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Rate Revised from OCT 25\"/>
    </mc:Choice>
  </mc:AlternateContent>
  <bookViews>
    <workbookView xWindow="0" yWindow="0" windowWidth="20490" windowHeight="7320" tabRatio="725"/>
  </bookViews>
  <sheets>
    <sheet name="Report" sheetId="1" r:id="rId1"/>
    <sheet name="Sheet1" sheetId="8" r:id="rId2"/>
    <sheet name="valuation" sheetId="5" r:id="rId3"/>
    <sheet name="Research" sheetId="4" r:id="rId4"/>
    <sheet name="Remarks" sheetId="6" r:id="rId5"/>
    <sheet name="Area Calculation" sheetId="7" r:id="rId6"/>
  </sheets>
  <definedNames>
    <definedName name="_xlnm.Print_Area" localSheetId="0">Report!$A$1:$H$348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4" i="1" l="1"/>
  <c r="N142" i="1" l="1"/>
  <c r="K142" i="1"/>
  <c r="N141" i="1"/>
  <c r="I141" i="1"/>
  <c r="K141" i="1"/>
  <c r="N140" i="1"/>
  <c r="K126" i="1"/>
  <c r="K182" i="1"/>
  <c r="M182" i="1"/>
  <c r="L183" i="1"/>
  <c r="L184" i="1"/>
  <c r="L185" i="1"/>
  <c r="L182" i="1"/>
  <c r="D143" i="1" l="1"/>
  <c r="E185" i="1"/>
  <c r="E190" i="1"/>
  <c r="E189" i="1"/>
  <c r="E188" i="1"/>
  <c r="E187" i="1"/>
  <c r="E184" i="1"/>
  <c r="E183" i="1"/>
  <c r="E182" i="1"/>
  <c r="E178" i="1"/>
  <c r="E176" i="1"/>
  <c r="E175" i="1"/>
  <c r="E174" i="1"/>
  <c r="E173" i="1"/>
  <c r="E172" i="1"/>
  <c r="E171" i="1"/>
  <c r="E170" i="1"/>
  <c r="E168" i="1"/>
  <c r="E167" i="1"/>
  <c r="E166" i="1"/>
  <c r="E165" i="1"/>
  <c r="E164" i="1"/>
  <c r="E163" i="1"/>
  <c r="E162" i="1"/>
  <c r="E160" i="1"/>
  <c r="E158" i="1"/>
  <c r="E157" i="1"/>
  <c r="E156" i="1"/>
  <c r="E155" i="1"/>
  <c r="E154" i="1"/>
  <c r="E153" i="1"/>
  <c r="E152" i="1"/>
  <c r="E151" i="1"/>
  <c r="E150" i="1"/>
  <c r="E147" i="1"/>
  <c r="E146" i="1"/>
  <c r="E145" i="1"/>
  <c r="E144" i="1"/>
  <c r="E143" i="1"/>
  <c r="N146" i="1" l="1"/>
  <c r="N145" i="1"/>
  <c r="N144" i="1"/>
  <c r="N143" i="1"/>
  <c r="I122" i="1" l="1"/>
  <c r="D190" i="1"/>
  <c r="F190" i="1" s="1"/>
  <c r="D189" i="1"/>
  <c r="F189" i="1" s="1"/>
  <c r="D188" i="1"/>
  <c r="F188" i="1" s="1"/>
  <c r="D187" i="1"/>
  <c r="F187" i="1" s="1"/>
  <c r="D185" i="1"/>
  <c r="D184" i="1"/>
  <c r="D183" i="1"/>
  <c r="D182" i="1"/>
  <c r="D178" i="1"/>
  <c r="F178" i="1" s="1"/>
  <c r="D176" i="1"/>
  <c r="F176" i="1" s="1"/>
  <c r="D175" i="1"/>
  <c r="F175" i="1" s="1"/>
  <c r="D174" i="1"/>
  <c r="F174" i="1" s="1"/>
  <c r="D173" i="1"/>
  <c r="F173" i="1" s="1"/>
  <c r="D172" i="1"/>
  <c r="F172" i="1" s="1"/>
  <c r="D171" i="1"/>
  <c r="F171" i="1" s="1"/>
  <c r="D170" i="1"/>
  <c r="F170" i="1" s="1"/>
  <c r="D168" i="1"/>
  <c r="D167" i="1"/>
  <c r="F167" i="1" s="1"/>
  <c r="D166" i="1"/>
  <c r="F166" i="1" s="1"/>
  <c r="D165" i="1"/>
  <c r="F165" i="1" s="1"/>
  <c r="D164" i="1"/>
  <c r="F164" i="1" s="1"/>
  <c r="D163" i="1"/>
  <c r="F163" i="1" s="1"/>
  <c r="D162" i="1"/>
  <c r="F162" i="1" s="1"/>
  <c r="D160" i="1"/>
  <c r="F160" i="1" s="1"/>
  <c r="D158" i="1"/>
  <c r="F158" i="1" s="1"/>
  <c r="K158" i="1" s="1"/>
  <c r="D157" i="1"/>
  <c r="F157" i="1" s="1"/>
  <c r="K157" i="1" s="1"/>
  <c r="D156" i="1"/>
  <c r="D155" i="1"/>
  <c r="F155" i="1" s="1"/>
  <c r="K155" i="1" s="1"/>
  <c r="D154" i="1"/>
  <c r="D153" i="1"/>
  <c r="D152" i="1"/>
  <c r="D151" i="1"/>
  <c r="D150" i="1"/>
  <c r="D147" i="1"/>
  <c r="F147" i="1" s="1"/>
  <c r="K147" i="1" s="1"/>
  <c r="D146" i="1"/>
  <c r="D145" i="1"/>
  <c r="D144" i="1"/>
  <c r="A171" i="1"/>
  <c r="A172" i="1" s="1"/>
  <c r="A173" i="1" s="1"/>
  <c r="A174" i="1" s="1"/>
  <c r="A175" i="1" s="1"/>
  <c r="A176" i="1" s="1"/>
  <c r="A177" i="1" s="1"/>
  <c r="A178" i="1" s="1"/>
  <c r="F168" i="1"/>
  <c r="A161" i="1"/>
  <c r="A162" i="1" s="1"/>
  <c r="A163" i="1" s="1"/>
  <c r="A164" i="1" s="1"/>
  <c r="A165" i="1" s="1"/>
  <c r="A166" i="1" s="1"/>
  <c r="A167" i="1" s="1"/>
  <c r="A168" i="1" s="1"/>
  <c r="F156" i="1"/>
  <c r="K156" i="1" s="1"/>
  <c r="I143" i="1"/>
  <c r="G51" i="1"/>
  <c r="G52" i="1" s="1"/>
  <c r="E43" i="1"/>
  <c r="I15" i="1"/>
  <c r="C88" i="1" l="1"/>
  <c r="F131" i="1" l="1"/>
  <c r="H131" i="1" s="1"/>
  <c r="E31" i="1" l="1"/>
  <c r="E26" i="1"/>
  <c r="F143" i="1" l="1"/>
  <c r="K143"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D42" i="7" s="1"/>
  <c r="I42" i="7"/>
  <c r="H42" i="7" s="1"/>
  <c r="L42" i="7"/>
  <c r="K42" i="7" s="1"/>
  <c r="D44" i="7" l="1"/>
  <c r="E44" i="7"/>
  <c r="B195" i="1"/>
  <c r="F132" i="1" l="1"/>
  <c r="H132" i="1" s="1"/>
  <c r="F133" i="1"/>
  <c r="H133" i="1" s="1"/>
  <c r="F134" i="1"/>
  <c r="H134" i="1" s="1"/>
  <c r="G56" i="1" l="1"/>
  <c r="S33" i="1" l="1"/>
  <c r="F11" i="5" l="1"/>
  <c r="G11" i="5" s="1"/>
  <c r="G10" i="5"/>
  <c r="F10" i="5"/>
  <c r="F9" i="5"/>
  <c r="G9" i="5" s="1"/>
  <c r="F8" i="5"/>
  <c r="G8" i="5" s="1"/>
  <c r="F7" i="5"/>
  <c r="G7" i="5" s="1"/>
  <c r="F6" i="5"/>
  <c r="G6" i="5" s="1"/>
  <c r="F5" i="5"/>
  <c r="G5" i="5" s="1"/>
  <c r="G12" i="5" s="1"/>
  <c r="D219" i="1"/>
  <c r="B196" i="1"/>
  <c r="F185" i="1"/>
  <c r="J185" i="1" s="1"/>
  <c r="F184" i="1"/>
  <c r="J184" i="1" s="1"/>
  <c r="F183" i="1"/>
  <c r="J183" i="1" s="1"/>
  <c r="F182" i="1"/>
  <c r="J182" i="1" s="1"/>
  <c r="F154" i="1"/>
  <c r="K154" i="1" s="1"/>
  <c r="F153" i="1"/>
  <c r="K153" i="1" s="1"/>
  <c r="F152" i="1"/>
  <c r="K152" i="1" s="1"/>
  <c r="F151" i="1"/>
  <c r="K151" i="1" s="1"/>
  <c r="F150" i="1"/>
  <c r="K150" i="1" s="1"/>
  <c r="A151" i="1"/>
  <c r="A152" i="1" s="1"/>
  <c r="A153" i="1" s="1"/>
  <c r="A154" i="1" s="1"/>
  <c r="A155" i="1" s="1"/>
  <c r="A156" i="1" s="1"/>
  <c r="A157" i="1" s="1"/>
  <c r="A158" i="1" s="1"/>
  <c r="F146" i="1"/>
  <c r="K146" i="1" s="1"/>
  <c r="F145" i="1"/>
  <c r="K145" i="1" s="1"/>
  <c r="F144" i="1"/>
  <c r="A144" i="1"/>
  <c r="A145" i="1" s="1"/>
  <c r="A146" i="1" s="1"/>
  <c r="A147" i="1" s="1"/>
  <c r="A132" i="1"/>
  <c r="A133" i="1" s="1"/>
  <c r="A134" i="1" s="1"/>
  <c r="F114" i="1"/>
  <c r="C74" i="1"/>
  <c r="B75" i="1" s="1"/>
  <c r="D62" i="1"/>
  <c r="C51" i="1"/>
  <c r="C52" i="1" s="1"/>
  <c r="E44" i="1"/>
  <c r="E45" i="1" s="1"/>
  <c r="E28" i="1"/>
  <c r="C16" i="1"/>
  <c r="Z13" i="1"/>
  <c r="E8" i="1"/>
  <c r="E3" i="1"/>
  <c r="D68" i="1" s="1"/>
  <c r="C123" i="1" l="1"/>
  <c r="E123" i="1"/>
  <c r="K144" i="1"/>
  <c r="C122" i="1"/>
  <c r="E122" i="1"/>
  <c r="G122" i="1"/>
  <c r="G123" i="1"/>
  <c r="H75" i="1"/>
  <c r="J74" i="1" l="1"/>
  <c r="J76" i="1" s="1"/>
  <c r="D81" i="1"/>
  <c r="J77" i="1"/>
  <c r="D86" i="1"/>
  <c r="D82" i="1"/>
  <c r="J80" i="1"/>
  <c r="J81" i="1" s="1"/>
  <c r="J86" i="1" s="1"/>
  <c r="D84" i="1"/>
  <c r="D83" i="1"/>
  <c r="J78" i="1"/>
  <c r="D80" i="1"/>
  <c r="J79" i="1"/>
  <c r="C78" i="1" s="1"/>
  <c r="D78" i="1" s="1"/>
  <c r="D85" i="1"/>
  <c r="D87" i="1"/>
  <c r="E124" i="1"/>
  <c r="E125" i="1" s="1"/>
  <c r="C124" i="1"/>
  <c r="C125" i="1" s="1"/>
  <c r="G124" i="1"/>
  <c r="G125" i="1" s="1"/>
  <c r="J84" i="1"/>
  <c r="J82" i="1"/>
  <c r="J83" i="1"/>
  <c r="J85" i="1"/>
  <c r="J87" i="1" l="1"/>
  <c r="C79" i="1" s="1"/>
  <c r="J75" i="1" s="1"/>
  <c r="B89" i="1"/>
  <c r="H89" i="1"/>
  <c r="G78" i="1" l="1"/>
  <c r="D72" i="1" s="1"/>
  <c r="D73" i="1" s="1"/>
  <c r="D79" i="1"/>
  <c r="I75" i="1" s="1"/>
  <c r="I76" i="1" s="1"/>
  <c r="I74" i="1" s="1"/>
  <c r="C76" i="1" s="1"/>
  <c r="E78" i="1"/>
  <c r="J91" i="1"/>
  <c r="D101" i="1"/>
  <c r="D95" i="1"/>
  <c r="J93" i="1"/>
  <c r="C92" i="1" s="1"/>
  <c r="D99" i="1"/>
  <c r="J88" i="1"/>
  <c r="J90" i="1" s="1"/>
  <c r="D96" i="1"/>
  <c r="D100" i="1"/>
  <c r="D94" i="1"/>
  <c r="D98" i="1"/>
  <c r="J92" i="1"/>
  <c r="D97" i="1"/>
  <c r="J94" i="1"/>
  <c r="J95" i="1" s="1"/>
  <c r="J99" i="1"/>
  <c r="J98" i="1"/>
  <c r="J97" i="1"/>
  <c r="J96" i="1"/>
  <c r="F73" i="1" l="1"/>
  <c r="J100" i="1"/>
  <c r="D92" i="1"/>
  <c r="J101" i="1" l="1"/>
  <c r="C93" i="1" s="1"/>
  <c r="J89" i="1" s="1"/>
  <c r="D93" i="1" l="1"/>
  <c r="I89" i="1" s="1"/>
  <c r="I90" i="1" s="1"/>
  <c r="G92" i="1"/>
  <c r="E92" i="1"/>
  <c r="I88" i="1" l="1"/>
  <c r="C90"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7"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<sst xmlns="http://schemas.openxmlformats.org/spreadsheetml/2006/main" count="691" uniqueCount="416">
  <si>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</si>
  <si>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</si>
  <si>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</si>
  <si>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</si>
  <si>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</si>
  <si>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</si>
  <si>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</si>
  <si>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</si>
  <si>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</si>
  <si>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</si>
  <si>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</si>
  <si>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</si>
  <si>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</si>
  <si>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</si>
  <si>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</si>
  <si>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</si>
  <si>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</si>
  <si>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</si>
  <si>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</si>
  <si>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</si>
  <si>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</si>
  <si>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</si>
  <si>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</si>
  <si>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</si>
  <si>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</si>
  <si>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</si>
  <si>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</si>
  <si>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</si>
  <si>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</si>
  <si>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</si>
  <si>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</si>
  <si>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</si>
  <si>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</si>
  <si>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</si>
  <si>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</si>
  <si>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</si>
  <si>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</si>
  <si>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</si>
  <si>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</si>
  <si>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</si>
  <si>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</si>
  <si>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</si>
  <si>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</si>
  <si>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</si>
  <si>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</si>
  <si>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</si>
  <si>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</si>
  <si>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</si>
  <si>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</si>
  <si>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</si>
  <si>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</si>
  <si>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</si>
  <si>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</si>
  <si>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</si>
  <si>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</si>
  <si>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</si>
  <si>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</si>
  <si>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</si>
  <si>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</si>
  <si>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</si>
  <si>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</si>
  <si>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</si>
  <si>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</si>
  <si>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</si>
  <si>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</si>
  <si>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</si>
  <si>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</si>
  <si>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</si>
  <si>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</si>
  <si>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</si>
  <si>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</si>
  <si>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</si>
  <si>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</si>
  <si>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</si>
  <si>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</si>
  <si>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</si>
  <si>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</si>
  <si>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</si>
  <si>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</si>
  <si>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</si>
  <si>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</si>
  <si>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</si>
  <si>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</si>
  <si>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</si>
  <si>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</si>
  <si>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</si>
  <si>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</si>
  <si>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</si>
  <si>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</si>
  <si>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</si>
  <si>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</si>
  <si>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</si>
  <si>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</si>
  <si>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</si>
  <si>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</si>
  <si>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</si>
  <si>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</si>
  <si>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</si>
  <si>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</si>
  <si>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</si>
  <si>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</si>
  <si>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</si>
  <si>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</si>
  <si>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</si>
  <si>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</si>
  <si>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</si>
  <si>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</si>
  <si>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</si>
  <si>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</si>
  <si>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</si>
  <si>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</si>
  <si>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</si>
  <si>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</si>
  <si>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</si>
  <si>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</si>
  <si>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</si>
  <si>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</si>
  <si>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</si>
  <si>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</si>
  <si>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</si>
  <si>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</si>
  <si>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</si>
  <si>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</si>
  <si>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</si>
  <si>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</si>
  <si>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</si>
  <si>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</si>
  <si>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</si>
  <si>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</si>
  <si>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</si>
  <si>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</si>
  <si>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</si>
  <si>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</si>
  <si>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</si>
  <si>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</si>
  <si>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</si>
  <si>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</si>
  <si>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</si>
  <si>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</si>
  <si>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</si>
  <si>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</si>
  <si>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</si>
  <si>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</si>
  <si>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</si>
  <si>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</si>
  <si>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</si>
  <si>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</si>
  <si>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</si>
  <si>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</si>
  <si>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</si>
  <si>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</si>
  <si>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</si>
  <si>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</si>
  <si>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</si>
  <si>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</si>
  <si>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</si>
  <si>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</si>
  <si>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</si>
  <si>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</si>
  <si>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</si>
  <si>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</si>
  <si>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</si>
  <si>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</si>
  <si>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</si>
  <si>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</si>
  <si>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</si>
  <si>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</si>
  <si>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</si>
  <si>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</si>
  <si>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</si>
  <si>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</si>
  <si>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</si>
  <si>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</si>
  <si>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</si>
  <si>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</si>
  <si>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</si>
  <si>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</si>
  <si>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</si>
  <si>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</si>
  <si>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</si>
  <si>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</si>
  <si>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</si>
  <si>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</si>
  <si>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</si>
  <si>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</si>
  <si>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</si>
  <si>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</si>
  <si>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</si>
  <si>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</si>
  <si>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</si>
  <si>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</si>
  <si>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</si>
  <si>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</si>
  <si>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</si>
  <si>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</si>
  <si>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</si>
  <si>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</si>
  <si>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</si>
  <si>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</si>
  <si>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</si>
  <si>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</si>
  <si>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</si>
  <si>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</si>
  <si>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</si>
  <si>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</si>
  <si>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</si>
  <si>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</si>
  <si>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</si>
  <si>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</si>
  <si>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</si>
  <si>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</si>
  <si>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</si>
  <si>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</si>
  <si>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</si>
  <si>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</si>
  <si>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</si>
  <si>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</si>
  <si>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</si>
  <si>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</si>
  <si>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</si>
  <si>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</si>
  <si>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</si>
  <si>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</si>
  <si>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</si>
  <si>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</si>
  <si>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</si>
  <si>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</si>
  <si>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</si>
  <si>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</si>
  <si>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</si>
  <si>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</si>
  <si>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</si>
  <si>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</si>
  <si>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</si>
  <si>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</si>
  <si>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</si>
  <si>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</si>
  <si>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</si>
  <si>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</si>
  <si>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</si>
  <si>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</si>
  <si>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</si>
  <si>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</si>
  <si>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</si>
  <si>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</si>
  <si>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</si>
  <si>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</si>
  <si>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</si>
  <si>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</si>
  <si>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</si>
  <si>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</si>
  <si>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</si>
  <si>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</si>
  <si>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</si>
  <si>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</si>
  <si>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</si>
  <si>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</si>
  <si>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</si>
  <si>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</si>
  <si>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</si>
  <si>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</si>
  <si>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</si>
  <si>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</si>
  <si>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</si>
  <si>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</si>
  <si>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</si>
  <si>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</si>
  <si>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</si>
  <si>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</si>
  <si>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</si>
  <si>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</si>
  <si>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</si>
  <si>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</si>
  <si>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</si>
  <si>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</si>
  <si>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</si>
  <si>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</si>
  <si>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</si>
  <si>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</si>
  <si>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</si>
  <si>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</si>
  <si>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</si>
  <si>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</si>
  <si>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</si>
  <si>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</si>
  <si>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</si>
  <si>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</si>
  <si>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</si>
  <si>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</si>
  <si>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</si>
  <si>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</si>
  <si>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</si>
  <si>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</si>
  <si>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</si>
  <si>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</si>
  <si>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</si>
  <si>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</si>
  <si>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</si>
  <si>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</si>
  <si>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</si>
  <si>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</si>
  <si>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</si>
  <si>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</si>
  <si>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</si>
  <si>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</si>
  <si>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</si>
  <si>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</si>
  <si>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</si>
  <si>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</si>
  <si>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</si>
  <si>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</si>
  <si>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</si>
  <si>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</si>
  <si>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</si>
  <si>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</si>
  <si>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</si>
  <si>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</si>
  <si>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</si>
  <si>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</si>
  <si>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</si>
  <si>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</si>
  <si>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</si>
  <si>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</si>
  <si>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</si>
  <si>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</si>
  <si>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</si>
  <si>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</si>
  <si>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</si>
  <si>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</si>
  <si>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</si>
  <si>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</si>
  <si>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</si>
  <si>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</si>
  <si>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</si>
  <si>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</si>
  <si>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</si>
  <si>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</si>
  <si>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</si>
  <si>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</si>
  <si>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</si>
  <si>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</si>
  <si>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</si>
  <si>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</si>
  <si>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</si>
  <si>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</si>
  <si>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</si>
  <si>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</si>
  <si>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</si>
  <si>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QA Riverfront 3</t>
  </si>
  <si>
    <t>Mr. Karan Patil 8879738434</t>
  </si>
  <si>
    <t>P52000076592</t>
  </si>
  <si>
    <t>Wing A &amp; B</t>
  </si>
  <si>
    <t>Survey No</t>
  </si>
  <si>
    <t>65, Hissa No.5, 6 And 12</t>
  </si>
  <si>
    <t>Ghot</t>
  </si>
  <si>
    <t>19.084806,73.108556</t>
  </si>
  <si>
    <t>https://maps.app.goo.gl/BLJuUXPq6Vs45BVS9</t>
  </si>
  <si>
    <t>Jijai Angan</t>
  </si>
  <si>
    <t>Taloja Panchnand East</t>
  </si>
  <si>
    <t>3.5 KM from Taloja Panchnand Railway Station</t>
  </si>
  <si>
    <t>Ghot Road</t>
  </si>
  <si>
    <t>Open Plot</t>
  </si>
  <si>
    <t>Building</t>
  </si>
  <si>
    <t xml:space="preserve">QA Riverfront </t>
  </si>
  <si>
    <t>Other Plot</t>
  </si>
  <si>
    <t>12.00 M. Wide Road</t>
  </si>
  <si>
    <t>02 Wings</t>
  </si>
  <si>
    <t>CARPC/B/2024/APL/00636</t>
  </si>
  <si>
    <t>Wing A = Gr + 1st to 13th Floor</t>
  </si>
  <si>
    <t>Wing A = Gr + 1st to 13th Floor
Wing B = Gr + 1st to 11th Floor</t>
  </si>
  <si>
    <t>Wing B = Gr + 1st to 11th Floor</t>
  </si>
  <si>
    <t>As per RERA - 31/12/2029</t>
  </si>
  <si>
    <r>
      <t xml:space="preserve">Proposed Amenities :                                                                                                                                                                                                                         </t>
    </r>
    <r>
      <rPr>
        <b/>
        <sz val="12"/>
        <rFont val="Times New Roman"/>
        <family val="1"/>
      </rPr>
      <t xml:space="preserve">                                               </t>
    </r>
  </si>
  <si>
    <t>24X7 Water Supply, 24X7 Water Supply, Amphitheatre, Gymanasium, Jogging Track, Senior Citizen Park, Yoga &amp; Meditation Area, Party Lawn, Pets Area, Swimming Pool, Banquet Hall, Kids Play Area, Gazebo, Indoor Games etc.</t>
  </si>
  <si>
    <t>doc</t>
  </si>
  <si>
    <t>Wing A</t>
  </si>
  <si>
    <t>Ground Floor For Driver Room, Meter Room &amp; Parking</t>
  </si>
  <si>
    <t>1st Floor For Residential &amp; Part Fiteness Center/Society Office</t>
  </si>
  <si>
    <t>-</t>
  </si>
  <si>
    <t>Fiteness Center/Society Office</t>
  </si>
  <si>
    <t>2BHK</t>
  </si>
  <si>
    <t>2nd to 7th, 9th, 10th, 12th Floor</t>
  </si>
  <si>
    <t>8th &amp; 11th Floor (Part Refuge Area)</t>
  </si>
  <si>
    <t>Refuge Area</t>
  </si>
  <si>
    <t>13th Floor (Part Terrace Area)</t>
  </si>
  <si>
    <t>Terrace Area</t>
  </si>
  <si>
    <t>Wing B</t>
  </si>
  <si>
    <t>Ground Floor For Meter Room &amp; Parking</t>
  </si>
  <si>
    <t>1st to 7th, 9th, 10th &amp; 11th Floor For Residential</t>
  </si>
  <si>
    <t>1BHK</t>
  </si>
  <si>
    <t>8th Floor (Part Refuge Area)</t>
  </si>
  <si>
    <t xml:space="preserve">Details of Residential in Building   </t>
  </si>
  <si>
    <t>Building Details Floor Wise</t>
  </si>
  <si>
    <t>as per RERA</t>
  </si>
  <si>
    <t>M/s. RS Couture LLP</t>
  </si>
  <si>
    <t>Flats - 154</t>
  </si>
  <si>
    <t>Builder Saleable Area</t>
  </si>
  <si>
    <t>Approved Plans, CC, Builder Saleable Area, Cost Sheet</t>
  </si>
  <si>
    <t>QA Riverfront 3 (Wing A) = Gr + 1st to 13th Floor
QA Riverfront 3 (Wing B) = Gr + 1st to 11th Floor</t>
  </si>
  <si>
    <t>Chajja Area</t>
  </si>
  <si>
    <t>350% Zoom</t>
  </si>
  <si>
    <t>We considered Gross carpet area = Net Carpet Area + Chajja Area</t>
  </si>
  <si>
    <t xml:space="preserve">Sunil Peravi
Sunil Peravi
</t>
  </si>
  <si>
    <t xml:space="preserve">Please check for Fire Noc &amp; Airport Noc
</t>
  </si>
  <si>
    <t>Void Area</t>
  </si>
  <si>
    <t>Outword/NO/PMC/Fire/2121/Ref.No.1932/1134</t>
  </si>
  <si>
    <t>Wing A = Gr + 1st to 13th Floor Total Height of 42.50 mtrs
Wing B = Gr + 1st to 12th Floor Total Height of 39.60 mtrs</t>
  </si>
  <si>
    <t>NAVI/WEST/B/012324/893703</t>
  </si>
  <si>
    <t>Date Valid Upto</t>
  </si>
  <si>
    <t>Above mean sea level =159M</t>
  </si>
  <si>
    <t>RAte 5300 OC 225000 smith</t>
  </si>
  <si>
    <t>Mr. Sahil More 9167716884</t>
  </si>
  <si>
    <t>Pranita Mhatre</t>
  </si>
  <si>
    <t>Construction work is in process at the time of Visit.</t>
  </si>
  <si>
    <t>rate 250+ smith verbal On 06/10/2025</t>
  </si>
  <si>
    <t xml:space="preserve">Recommended Rates/Other Charges of the Property have been revised on 28/10/2024 &amp; 06/10/2025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</si>
</sst>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71">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9" fontId="7" fillId="0" borderId="0" xfId="1" applyNumberFormat="1" applyFont="1" applyAlignment="1">
      <alignment horizontal="center" vertical="center"/>
    </xf>
    <xf numFmtId="2" fontId="7" fillId="0" borderId="0" xfId="1" applyNumberFormat="1" applyFont="1" applyAlignment="1">
      <alignment horizontal="center" vertical="center"/>
    </xf>
    <xf numFmtId="2" fontId="7" fillId="0" borderId="0" xfId="0" applyNumberFormat="1" applyFont="1" applyAlignment="1">
      <alignment horizontal="center" vertical="center"/>
    </xf>
    <xf numFmtId="1" fontId="7" fillId="0" borderId="1" xfId="0" applyNumberFormat="1" applyFont="1" applyBorder="1" applyAlignment="1">
      <alignment horizontal="center" vertical="center"/>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0" fontId="7" fillId="2" borderId="0" xfId="1" applyFont="1" applyFill="1"/>
    <xf numFmtId="14" fontId="7" fillId="2" borderId="0" xfId="1" applyNumberFormat="1" applyFont="1" applyFill="1"/>
    <xf numFmtId="1" fontId="7" fillId="0" borderId="1"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17" fillId="0" borderId="1" xfId="1" applyNumberFormat="1" applyFont="1" applyBorder="1" applyAlignment="1" applyProtection="1">
      <alignment horizontal="center" vertical="top" wrapText="1"/>
      <protection locked="0"/>
    </xf>
    <xf numFmtId="9" fontId="17" fillId="0" borderId="1" xfId="8" applyFont="1" applyFill="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0" fontId="10" fillId="0" borderId="0" xfId="1" applyFont="1"/>
    <xf numFmtId="167" fontId="12" fillId="0" borderId="1" xfId="9" applyNumberFormat="1" applyFont="1" applyFill="1" applyBorder="1" applyAlignment="1" applyProtection="1">
      <alignment horizontal="left" vertical="top"/>
      <protection locked="0"/>
    </xf>
    <xf numFmtId="167" fontId="13" fillId="0" borderId="1" xfId="9" applyNumberFormat="1" applyFont="1" applyFill="1" applyBorder="1" applyAlignment="1" applyProtection="1">
      <alignment horizontal="left" vertical="top"/>
      <protection locked="0"/>
    </xf>
    <xf numFmtId="1" fontId="6" fillId="0" borderId="1"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 fontId="8" fillId="0" borderId="1" xfId="1" applyNumberFormat="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0" fontId="8" fillId="0" borderId="16" xfId="1" applyFont="1" applyBorder="1" applyAlignment="1" applyProtection="1">
      <alignment horizontal="center" vertical="top"/>
      <protection locked="0"/>
    </xf>
    <xf numFmtId="1" fontId="4" fillId="0" borderId="1" xfId="1"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17"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13" fillId="0" borderId="1" xfId="1" applyNumberFormat="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3" fillId="0" borderId="32"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3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14" fontId="6" fillId="0" borderId="8"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64" fontId="12" fillId="0" borderId="1" xfId="1" applyNumberFormat="1" applyFont="1" applyBorder="1" applyAlignment="1" applyProtection="1">
      <alignment horizontal="left" vertical="top"/>
      <protection locked="0"/>
    </xf>
    <xf numFmtId="2" fontId="12" fillId="0" borderId="1" xfId="1" applyNumberFormat="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2" fontId="12" fillId="0" borderId="1" xfId="1" applyNumberFormat="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 fontId="7"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1" fontId="8" fillId="0" borderId="1" xfId="0" applyNumberFormat="1" applyFont="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00FFFF"/>
      <color rgb="FF1E10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3.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8</xdr:col>
      <xdr:colOff>618392</xdr:colOff>
      <xdr:row>14</xdr:row>
      <xdr:rowOff>19783</xdr:rowOff>
    </xdr:from>
    <xdr:to>
      <xdr:col>13</xdr:col>
      <xdr:colOff>523003</xdr:colOff>
      <xdr:row>20</xdr:row>
      <xdr:rowOff>84110</xdr:rowOff>
    </xdr:to>
    <xdr:pic>
      <xdr:nvPicPr>
        <xdr:cNvPr id="2" name="Picture 1"/>
        <xdr:cNvPicPr>
          <a:picLocks noChangeAspect="1"/>
        </xdr:cNvPicPr>
      </xdr:nvPicPr>
      <xdr:blipFill>
        <a:blip xmlns:r="http://schemas.openxmlformats.org/officeDocument/2006/relationships" r:embed="rId1"/>
        <a:stretch>
          <a:fillRect/>
        </a:stretch>
      </xdr:blipFill>
      <xdr:spPr>
        <a:xfrm>
          <a:off x="6933467" y="3410683"/>
          <a:ext cx="4248011" cy="1502602"/>
        </a:xfrm>
        <a:prstGeom prst="rect">
          <a:avLst/>
        </a:prstGeom>
      </xdr:spPr>
    </xdr:pic>
    <xdr:clientData/>
  </xdr:twoCellAnchor>
  <xdr:twoCellAnchor editAs="oneCell">
    <xdr:from>
      <xdr:col>1</xdr:col>
      <xdr:colOff>754674</xdr:colOff>
      <xdr:row>263</xdr:row>
      <xdr:rowOff>77124</xdr:rowOff>
    </xdr:from>
    <xdr:to>
      <xdr:col>6</xdr:col>
      <xdr:colOff>80596</xdr:colOff>
      <xdr:row>277</xdr:row>
      <xdr:rowOff>166214</xdr:rowOff>
    </xdr:to>
    <xdr:pic>
      <xdr:nvPicPr>
        <xdr:cNvPr id="3" name="Picture 2"/>
        <xdr:cNvPicPr>
          <a:picLocks noChangeAspect="1"/>
        </xdr:cNvPicPr>
      </xdr:nvPicPr>
      <xdr:blipFill>
        <a:blip xmlns:r="http://schemas.openxmlformats.org/officeDocument/2006/relationships" r:embed="rId2"/>
        <a:stretch>
          <a:fillRect/>
        </a:stretch>
      </xdr:blipFill>
      <xdr:spPr>
        <a:xfrm>
          <a:off x="1516674" y="53281053"/>
          <a:ext cx="3408065" cy="2946590"/>
        </a:xfrm>
        <a:prstGeom prst="rect">
          <a:avLst/>
        </a:prstGeom>
        <a:ln>
          <a:solidFill>
            <a:sysClr val="windowText" lastClr="000000"/>
          </a:solidFill>
        </a:ln>
      </xdr:spPr>
    </xdr:pic>
    <xdr:clientData/>
  </xdr:twoCellAnchor>
  <xdr:twoCellAnchor>
    <xdr:from>
      <xdr:col>0</xdr:col>
      <xdr:colOff>328821</xdr:colOff>
      <xdr:row>278</xdr:row>
      <xdr:rowOff>113917</xdr:rowOff>
    </xdr:from>
    <xdr:to>
      <xdr:col>7</xdr:col>
      <xdr:colOff>482580</xdr:colOff>
      <xdr:row>297</xdr:row>
      <xdr:rowOff>144176</xdr:rowOff>
    </xdr:to>
    <xdr:grpSp>
      <xdr:nvGrpSpPr>
        <xdr:cNvPr id="9" name="Group 8"/>
        <xdr:cNvGrpSpPr/>
      </xdr:nvGrpSpPr>
      <xdr:grpSpPr>
        <a:xfrm>
          <a:off x="328821" y="53168167"/>
          <a:ext cx="5735409" cy="3830734"/>
          <a:chOff x="312966" y="60291565"/>
          <a:chExt cx="5676898" cy="3769993"/>
        </a:xfrm>
      </xdr:grpSpPr>
      <xdr:pic>
        <xdr:nvPicPr>
          <xdr:cNvPr id="4" name="Picture 3"/>
          <xdr:cNvPicPr>
            <a:picLocks noChangeAspect="1"/>
          </xdr:cNvPicPr>
        </xdr:nvPicPr>
        <xdr:blipFill>
          <a:blip xmlns:r="http://schemas.openxmlformats.org/officeDocument/2006/relationships" r:embed="rId3"/>
          <a:stretch>
            <a:fillRect/>
          </a:stretch>
        </xdr:blipFill>
        <xdr:spPr>
          <a:xfrm>
            <a:off x="312966" y="60291565"/>
            <a:ext cx="5676898" cy="3769993"/>
          </a:xfrm>
          <a:prstGeom prst="rect">
            <a:avLst/>
          </a:prstGeom>
          <a:ln>
            <a:solidFill>
              <a:sysClr val="windowText" lastClr="000000"/>
            </a:solidFill>
          </a:ln>
        </xdr:spPr>
      </xdr:pic>
      <xdr:sp macro="" textlink="">
        <xdr:nvSpPr>
          <xdr:cNvPr id="5" name="Freeform 4"/>
          <xdr:cNvSpPr/>
        </xdr:nvSpPr>
        <xdr:spPr>
          <a:xfrm>
            <a:off x="1571625" y="61017150"/>
            <a:ext cx="1714500" cy="2476500"/>
          </a:xfrm>
          <a:custGeom>
            <a:avLst/>
            <a:gdLst>
              <a:gd name="connsiteX0" fmla="*/ 95250 w 1714500"/>
              <a:gd name="connsiteY0" fmla="*/ 0 h 2476500"/>
              <a:gd name="connsiteX1" fmla="*/ 828675 w 1714500"/>
              <a:gd name="connsiteY1" fmla="*/ 76200 h 2476500"/>
              <a:gd name="connsiteX2" fmla="*/ 828675 w 1714500"/>
              <a:gd name="connsiteY2" fmla="*/ 76200 h 2476500"/>
              <a:gd name="connsiteX3" fmla="*/ 723900 w 1714500"/>
              <a:gd name="connsiteY3" fmla="*/ 990600 h 2476500"/>
              <a:gd name="connsiteX4" fmla="*/ 1714500 w 1714500"/>
              <a:gd name="connsiteY4" fmla="*/ 1914525 h 2476500"/>
              <a:gd name="connsiteX5" fmla="*/ 1247775 w 1714500"/>
              <a:gd name="connsiteY5" fmla="*/ 2476500 h 2476500"/>
              <a:gd name="connsiteX6" fmla="*/ 0 w 1714500"/>
              <a:gd name="connsiteY6" fmla="*/ 1409700 h 2476500"/>
              <a:gd name="connsiteX7" fmla="*/ 95250 w 1714500"/>
              <a:gd name="connsiteY7" fmla="*/ 0 h 2476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714500" h="2476500">
                <a:moveTo>
                  <a:pt x="95250" y="0"/>
                </a:moveTo>
                <a:lnTo>
                  <a:pt x="828675" y="76200"/>
                </a:lnTo>
                <a:lnTo>
                  <a:pt x="828675" y="76200"/>
                </a:lnTo>
                <a:lnTo>
                  <a:pt x="723900" y="990600"/>
                </a:lnTo>
                <a:lnTo>
                  <a:pt x="1714500" y="1914525"/>
                </a:lnTo>
                <a:lnTo>
                  <a:pt x="1247775" y="2476500"/>
                </a:lnTo>
                <a:lnTo>
                  <a:pt x="0" y="1409700"/>
                </a:lnTo>
                <a:lnTo>
                  <a:pt x="95250" y="0"/>
                </a:lnTo>
                <a:close/>
              </a:path>
            </a:pathLst>
          </a:cu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 name="Rectangle 5"/>
          <xdr:cNvSpPr/>
        </xdr:nvSpPr>
        <xdr:spPr>
          <a:xfrm>
            <a:off x="3829050" y="62903100"/>
            <a:ext cx="1752600" cy="638175"/>
          </a:xfrm>
          <a:prstGeom prst="rect">
            <a:avLst/>
          </a:prstGeom>
          <a:noFill/>
          <a:ln w="38100">
            <a:solidFill>
              <a:srgbClr val="1E10C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7" name="TextBox 12"/>
          <xdr:cNvSpPr txBox="1"/>
        </xdr:nvSpPr>
        <xdr:spPr>
          <a:xfrm rot="2562504">
            <a:off x="1027139" y="62648748"/>
            <a:ext cx="1447800" cy="343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600" b="1">
                <a:solidFill>
                  <a:srgbClr val="C00000"/>
                </a:solidFill>
                <a:latin typeface="Times New Roman" panose="02020603050405020304" pitchFamily="18" charset="0"/>
                <a:cs typeface="Times New Roman" panose="02020603050405020304" pitchFamily="18" charset="0"/>
              </a:rPr>
              <a:t>Wing A</a:t>
            </a:r>
          </a:p>
        </xdr:txBody>
      </xdr:sp>
      <xdr:sp macro="" textlink="">
        <xdr:nvSpPr>
          <xdr:cNvPr id="8" name="TextBox 12"/>
          <xdr:cNvSpPr txBox="1"/>
        </xdr:nvSpPr>
        <xdr:spPr>
          <a:xfrm>
            <a:off x="3934387" y="63674328"/>
            <a:ext cx="1447800" cy="213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600" b="1">
                <a:solidFill>
                  <a:srgbClr val="1E10CE"/>
                </a:solidFill>
                <a:latin typeface="Times New Roman" panose="02020603050405020304" pitchFamily="18" charset="0"/>
                <a:cs typeface="Times New Roman" panose="02020603050405020304" pitchFamily="18" charset="0"/>
              </a:rPr>
              <a:t>Wing B</a:t>
            </a:r>
          </a:p>
        </xdr:txBody>
      </xdr:sp>
    </xdr:grpSp>
    <xdr:clientData/>
  </xdr:twoCellAnchor>
  <xdr:twoCellAnchor editAs="oneCell">
    <xdr:from>
      <xdr:col>1</xdr:col>
      <xdr:colOff>79243</xdr:colOff>
      <xdr:row>306</xdr:row>
      <xdr:rowOff>94939</xdr:rowOff>
    </xdr:from>
    <xdr:to>
      <xdr:col>6</xdr:col>
      <xdr:colOff>693963</xdr:colOff>
      <xdr:row>325</xdr:row>
      <xdr:rowOff>4722</xdr:rowOff>
    </xdr:to>
    <xdr:pic>
      <xdr:nvPicPr>
        <xdr:cNvPr id="11" name="Picture 10"/>
        <xdr:cNvPicPr>
          <a:picLocks noChangeAspect="1"/>
        </xdr:cNvPicPr>
      </xdr:nvPicPr>
      <xdr:blipFill>
        <a:blip xmlns:r="http://schemas.openxmlformats.org/officeDocument/2006/relationships" r:embed="rId4"/>
        <a:stretch>
          <a:fillRect/>
        </a:stretch>
      </xdr:blipFill>
      <xdr:spPr>
        <a:xfrm>
          <a:off x="841243" y="67178153"/>
          <a:ext cx="4696863" cy="3787817"/>
        </a:xfrm>
        <a:prstGeom prst="rect">
          <a:avLst/>
        </a:prstGeom>
        <a:ln>
          <a:solidFill>
            <a:sysClr val="windowText" lastClr="000000"/>
          </a:solidFill>
        </a:ln>
      </xdr:spPr>
    </xdr:pic>
    <xdr:clientData/>
  </xdr:twoCellAnchor>
  <xdr:twoCellAnchor>
    <xdr:from>
      <xdr:col>5</xdr:col>
      <xdr:colOff>709292</xdr:colOff>
      <xdr:row>337</xdr:row>
      <xdr:rowOff>120858</xdr:rowOff>
    </xdr:from>
    <xdr:to>
      <xdr:col>6</xdr:col>
      <xdr:colOff>377628</xdr:colOff>
      <xdr:row>337</xdr:row>
      <xdr:rowOff>166915</xdr:rowOff>
    </xdr:to>
    <xdr:sp macro="" textlink="">
      <xdr:nvSpPr>
        <xdr:cNvPr id="15" name="TextBox 12"/>
        <xdr:cNvSpPr txBox="1"/>
      </xdr:nvSpPr>
      <xdr:spPr>
        <a:xfrm rot="798146">
          <a:off x="4819696" y="71829454"/>
          <a:ext cx="408355" cy="46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600" b="1">
              <a:solidFill>
                <a:srgbClr val="1E10CE"/>
              </a:solidFill>
              <a:latin typeface="Times New Roman" panose="02020603050405020304" pitchFamily="18" charset="0"/>
              <a:cs typeface="Times New Roman" panose="02020603050405020304" pitchFamily="18" charset="0"/>
            </a:rPr>
            <a:t>Wing B</a:t>
          </a:r>
        </a:p>
      </xdr:txBody>
    </xdr:sp>
    <xdr:clientData/>
  </xdr:twoCellAnchor>
  <xdr:twoCellAnchor>
    <xdr:from>
      <xdr:col>0</xdr:col>
      <xdr:colOff>424695</xdr:colOff>
      <xdr:row>325</xdr:row>
      <xdr:rowOff>144349</xdr:rowOff>
    </xdr:from>
    <xdr:to>
      <xdr:col>7</xdr:col>
      <xdr:colOff>444300</xdr:colOff>
      <xdr:row>347</xdr:row>
      <xdr:rowOff>40822</xdr:rowOff>
    </xdr:to>
    <xdr:grpSp>
      <xdr:nvGrpSpPr>
        <xdr:cNvPr id="39" name="Group 38"/>
        <xdr:cNvGrpSpPr/>
      </xdr:nvGrpSpPr>
      <xdr:grpSpPr>
        <a:xfrm>
          <a:off x="424695" y="62599774"/>
          <a:ext cx="5601255" cy="4297023"/>
          <a:chOff x="522312" y="66931755"/>
          <a:chExt cx="5325238" cy="4233702"/>
        </a:xfrm>
      </xdr:grpSpPr>
      <xdr:grpSp>
        <xdr:nvGrpSpPr>
          <xdr:cNvPr id="20" name="Group 19"/>
          <xdr:cNvGrpSpPr/>
        </xdr:nvGrpSpPr>
        <xdr:grpSpPr>
          <a:xfrm>
            <a:off x="522312" y="66931755"/>
            <a:ext cx="5273616" cy="4233702"/>
            <a:chOff x="470546" y="70559684"/>
            <a:chExt cx="5271667" cy="4296334"/>
          </a:xfrm>
        </xdr:grpSpPr>
        <xdr:grpSp>
          <xdr:nvGrpSpPr>
            <xdr:cNvPr id="18" name="Group 17"/>
            <xdr:cNvGrpSpPr/>
          </xdr:nvGrpSpPr>
          <xdr:grpSpPr>
            <a:xfrm>
              <a:off x="470546" y="70559684"/>
              <a:ext cx="5271667" cy="4296334"/>
              <a:chOff x="526575" y="70458831"/>
              <a:chExt cx="5271667" cy="4296334"/>
            </a:xfrm>
          </xdr:grpSpPr>
          <xdr:pic>
            <xdr:nvPicPr>
              <xdr:cNvPr id="10" name="Picture 9"/>
              <xdr:cNvPicPr>
                <a:picLocks noChangeAspect="1"/>
              </xdr:cNvPicPr>
            </xdr:nvPicPr>
            <xdr:blipFill rotWithShape="1">
              <a:blip xmlns:r="http://schemas.openxmlformats.org/officeDocument/2006/relationships" r:embed="rId5"/>
              <a:srcRect t="1842" r="12370"/>
              <a:stretch/>
            </xdr:blipFill>
            <xdr:spPr>
              <a:xfrm>
                <a:off x="526575" y="70458831"/>
                <a:ext cx="5271667" cy="4296334"/>
              </a:xfrm>
              <a:prstGeom prst="rect">
                <a:avLst/>
              </a:prstGeom>
              <a:ln>
                <a:solidFill>
                  <a:sysClr val="windowText" lastClr="000000"/>
                </a:solidFill>
              </a:ln>
            </xdr:spPr>
          </xdr:pic>
          <xdr:sp macro="" textlink="">
            <xdr:nvSpPr>
              <xdr:cNvPr id="13" name="Rectangle 12"/>
              <xdr:cNvSpPr/>
            </xdr:nvSpPr>
            <xdr:spPr>
              <a:xfrm rot="1514294">
                <a:off x="2982370" y="72540098"/>
                <a:ext cx="333827" cy="120454"/>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4" name="TextBox 12"/>
              <xdr:cNvSpPr txBox="1"/>
            </xdr:nvSpPr>
            <xdr:spPr>
              <a:xfrm rot="20022262">
                <a:off x="1726687" y="71590193"/>
                <a:ext cx="1546657" cy="501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400" b="1" i="0" kern="1200">
                    <a:solidFill>
                      <a:srgbClr val="FFFF00"/>
                    </a:solidFill>
                    <a:effectLst/>
                    <a:latin typeface="Times New Roman" panose="02020603050405020304" pitchFamily="18" charset="0"/>
                    <a:ea typeface="+mn-ea"/>
                    <a:cs typeface="Times New Roman" panose="02020603050405020304" pitchFamily="18" charset="0"/>
                  </a:rPr>
                  <a:t>QA Riverfront 3 Wing A</a:t>
                </a:r>
                <a:endParaRPr lang="en-IN" sz="1400" b="1">
                  <a:solidFill>
                    <a:srgbClr val="FFFF00"/>
                  </a:solidFill>
                  <a:latin typeface="Times New Roman" panose="02020603050405020304" pitchFamily="18" charset="0"/>
                  <a:cs typeface="Times New Roman" panose="02020603050405020304" pitchFamily="18" charset="0"/>
                </a:endParaRPr>
              </a:p>
            </xdr:txBody>
          </xdr:sp>
          <xdr:sp macro="" textlink="">
            <xdr:nvSpPr>
              <xdr:cNvPr id="17" name="TextBox 12"/>
              <xdr:cNvSpPr txBox="1"/>
            </xdr:nvSpPr>
            <xdr:spPr>
              <a:xfrm rot="1753364">
                <a:off x="2764788" y="72147648"/>
                <a:ext cx="1433125" cy="580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400" b="1" i="0" kern="1200">
                    <a:solidFill>
                      <a:srgbClr val="FFFF00"/>
                    </a:solidFill>
                    <a:effectLst/>
                    <a:latin typeface="Times New Roman" panose="02020603050405020304" pitchFamily="18" charset="0"/>
                    <a:ea typeface="+mn-ea"/>
                    <a:cs typeface="Times New Roman" panose="02020603050405020304" pitchFamily="18" charset="0"/>
                  </a:rPr>
                  <a:t>QA Riverfront 3 Wing B</a:t>
                </a:r>
                <a:endParaRPr lang="en-IN" sz="1400" b="1">
                  <a:solidFill>
                    <a:srgbClr val="FFFF00"/>
                  </a:solidFill>
                  <a:latin typeface="Times New Roman" panose="02020603050405020304" pitchFamily="18" charset="0"/>
                  <a:cs typeface="Times New Roman" panose="02020603050405020304" pitchFamily="18" charset="0"/>
                </a:endParaRPr>
              </a:p>
            </xdr:txBody>
          </xdr:sp>
          <xdr:sp macro="" textlink="">
            <xdr:nvSpPr>
              <xdr:cNvPr id="22" name="Rectangle 21"/>
              <xdr:cNvSpPr/>
            </xdr:nvSpPr>
            <xdr:spPr>
              <a:xfrm rot="1514294">
                <a:off x="1843066" y="72558690"/>
                <a:ext cx="661752" cy="435822"/>
              </a:xfrm>
              <a:prstGeom prst="rect">
                <a:avLst/>
              </a:prstGeom>
              <a:no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3" name="TextBox 12"/>
              <xdr:cNvSpPr txBox="1"/>
            </xdr:nvSpPr>
            <xdr:spPr>
              <a:xfrm rot="1469836">
                <a:off x="1342160" y="72806969"/>
                <a:ext cx="1469433" cy="529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400" b="1" i="0" kern="1200">
                    <a:solidFill>
                      <a:schemeClr val="bg1"/>
                    </a:solidFill>
                    <a:effectLst/>
                    <a:latin typeface="Times New Roman" panose="02020603050405020304" pitchFamily="18" charset="0"/>
                    <a:ea typeface="+mn-ea"/>
                    <a:cs typeface="Times New Roman" panose="02020603050405020304" pitchFamily="18" charset="0"/>
                  </a:rPr>
                  <a:t>QA Riverfront </a:t>
                </a:r>
                <a:endParaRPr lang="en-IN" sz="1400" b="1">
                  <a:solidFill>
                    <a:schemeClr val="bg1"/>
                  </a:solidFill>
                  <a:latin typeface="Times New Roman" panose="02020603050405020304" pitchFamily="18" charset="0"/>
                  <a:cs typeface="Times New Roman" panose="02020603050405020304" pitchFamily="18" charset="0"/>
                </a:endParaRPr>
              </a:p>
            </xdr:txBody>
          </xdr:sp>
          <xdr:sp macro="" textlink="">
            <xdr:nvSpPr>
              <xdr:cNvPr id="28" name="TextBox 12"/>
              <xdr:cNvSpPr txBox="1"/>
            </xdr:nvSpPr>
            <xdr:spPr>
              <a:xfrm rot="500802">
                <a:off x="1660881" y="73401233"/>
                <a:ext cx="2407468" cy="580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600" b="1" i="0" kern="1200">
                    <a:solidFill>
                      <a:srgbClr val="00FFFF"/>
                    </a:solidFill>
                    <a:effectLst/>
                    <a:latin typeface="Times New Roman" panose="02020603050405020304" pitchFamily="18" charset="0"/>
                    <a:ea typeface="+mn-ea"/>
                    <a:cs typeface="Times New Roman" panose="02020603050405020304" pitchFamily="18" charset="0"/>
                  </a:rPr>
                  <a:t>Taloje</a:t>
                </a:r>
                <a:r>
                  <a:rPr lang="en-IN" sz="1600" b="1" i="0" kern="1200" baseline="0">
                    <a:solidFill>
                      <a:srgbClr val="00FFFF"/>
                    </a:solidFill>
                    <a:effectLst/>
                    <a:latin typeface="Times New Roman" panose="02020603050405020304" pitchFamily="18" charset="0"/>
                    <a:ea typeface="+mn-ea"/>
                    <a:cs typeface="Times New Roman" panose="02020603050405020304" pitchFamily="18" charset="0"/>
                  </a:rPr>
                  <a:t> River</a:t>
                </a:r>
                <a:endParaRPr lang="en-IN" sz="1400" b="1">
                  <a:solidFill>
                    <a:srgbClr val="00FFFF"/>
                  </a:solidFill>
                  <a:latin typeface="Times New Roman" panose="02020603050405020304" pitchFamily="18" charset="0"/>
                  <a:cs typeface="Times New Roman" panose="02020603050405020304" pitchFamily="18" charset="0"/>
                </a:endParaRPr>
              </a:p>
            </xdr:txBody>
          </xdr:sp>
        </xdr:grpSp>
        <xdr:sp macro="" textlink="">
          <xdr:nvSpPr>
            <xdr:cNvPr id="19" name="Freeform 18"/>
            <xdr:cNvSpPr/>
          </xdr:nvSpPr>
          <xdr:spPr>
            <a:xfrm>
              <a:off x="2411420" y="72154676"/>
              <a:ext cx="427005" cy="527970"/>
            </a:xfrm>
            <a:custGeom>
              <a:avLst/>
              <a:gdLst>
                <a:gd name="connsiteX0" fmla="*/ 95250 w 1714500"/>
                <a:gd name="connsiteY0" fmla="*/ 0 h 2476500"/>
                <a:gd name="connsiteX1" fmla="*/ 828675 w 1714500"/>
                <a:gd name="connsiteY1" fmla="*/ 76200 h 2476500"/>
                <a:gd name="connsiteX2" fmla="*/ 828675 w 1714500"/>
                <a:gd name="connsiteY2" fmla="*/ 76200 h 2476500"/>
                <a:gd name="connsiteX3" fmla="*/ 723900 w 1714500"/>
                <a:gd name="connsiteY3" fmla="*/ 990600 h 2476500"/>
                <a:gd name="connsiteX4" fmla="*/ 1714500 w 1714500"/>
                <a:gd name="connsiteY4" fmla="*/ 1914525 h 2476500"/>
                <a:gd name="connsiteX5" fmla="*/ 1247775 w 1714500"/>
                <a:gd name="connsiteY5" fmla="*/ 2476500 h 2476500"/>
                <a:gd name="connsiteX6" fmla="*/ 0 w 1714500"/>
                <a:gd name="connsiteY6" fmla="*/ 1409700 h 2476500"/>
                <a:gd name="connsiteX7" fmla="*/ 95250 w 1714500"/>
                <a:gd name="connsiteY7" fmla="*/ 0 h 2476500"/>
                <a:gd name="connsiteX0" fmla="*/ 95250 w 1593621"/>
                <a:gd name="connsiteY0" fmla="*/ 0 h 2476500"/>
                <a:gd name="connsiteX1" fmla="*/ 828675 w 1593621"/>
                <a:gd name="connsiteY1" fmla="*/ 76200 h 2476500"/>
                <a:gd name="connsiteX2" fmla="*/ 828675 w 1593621"/>
                <a:gd name="connsiteY2" fmla="*/ 76200 h 2476500"/>
                <a:gd name="connsiteX3" fmla="*/ 723900 w 1593621"/>
                <a:gd name="connsiteY3" fmla="*/ 990600 h 2476500"/>
                <a:gd name="connsiteX4" fmla="*/ 1593621 w 1593621"/>
                <a:gd name="connsiteY4" fmla="*/ 1875932 h 2476500"/>
                <a:gd name="connsiteX5" fmla="*/ 1247775 w 1593621"/>
                <a:gd name="connsiteY5" fmla="*/ 2476500 h 2476500"/>
                <a:gd name="connsiteX6" fmla="*/ 0 w 1593621"/>
                <a:gd name="connsiteY6" fmla="*/ 1409700 h 2476500"/>
                <a:gd name="connsiteX7" fmla="*/ 95250 w 1593621"/>
                <a:gd name="connsiteY7" fmla="*/ 0 h 2476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593621" h="2476500">
                  <a:moveTo>
                    <a:pt x="95250" y="0"/>
                  </a:moveTo>
                  <a:lnTo>
                    <a:pt x="828675" y="76200"/>
                  </a:lnTo>
                  <a:lnTo>
                    <a:pt x="828675" y="76200"/>
                  </a:lnTo>
                  <a:lnTo>
                    <a:pt x="723900" y="990600"/>
                  </a:lnTo>
                  <a:lnTo>
                    <a:pt x="1593621" y="1875932"/>
                  </a:lnTo>
                  <a:lnTo>
                    <a:pt x="1247775" y="2476500"/>
                  </a:lnTo>
                  <a:lnTo>
                    <a:pt x="0" y="1409700"/>
                  </a:lnTo>
                  <a:lnTo>
                    <a:pt x="95250" y="0"/>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grpSp>
        <xdr:nvGrpSpPr>
          <xdr:cNvPr id="27" name="Group 26"/>
          <xdr:cNvGrpSpPr/>
        </xdr:nvGrpSpPr>
        <xdr:grpSpPr>
          <a:xfrm>
            <a:off x="541684" y="69535815"/>
            <a:ext cx="5305866" cy="1616213"/>
            <a:chOff x="533400" y="69999225"/>
            <a:chExt cx="5305032" cy="1626254"/>
          </a:xfrm>
        </xdr:grpSpPr>
        <xdr:sp macro="" textlink="">
          <xdr:nvSpPr>
            <xdr:cNvPr id="25" name="Freeform 24"/>
            <xdr:cNvSpPr/>
          </xdr:nvSpPr>
          <xdr:spPr>
            <a:xfrm>
              <a:off x="533400" y="69999225"/>
              <a:ext cx="5252742" cy="1433763"/>
            </a:xfrm>
            <a:custGeom>
              <a:avLst/>
              <a:gdLst>
                <a:gd name="connsiteX0" fmla="*/ 0 w 5219700"/>
                <a:gd name="connsiteY0" fmla="*/ 0 h 1381125"/>
                <a:gd name="connsiteX1" fmla="*/ 390525 w 5219700"/>
                <a:gd name="connsiteY1" fmla="*/ 95250 h 1381125"/>
                <a:gd name="connsiteX2" fmla="*/ 762000 w 5219700"/>
                <a:gd name="connsiteY2" fmla="*/ 276225 h 1381125"/>
                <a:gd name="connsiteX3" fmla="*/ 1381125 w 5219700"/>
                <a:gd name="connsiteY3" fmla="*/ 419100 h 1381125"/>
                <a:gd name="connsiteX4" fmla="*/ 1619250 w 5219700"/>
                <a:gd name="connsiteY4" fmla="*/ 533400 h 1381125"/>
                <a:gd name="connsiteX5" fmla="*/ 1914525 w 5219700"/>
                <a:gd name="connsiteY5" fmla="*/ 685800 h 1381125"/>
                <a:gd name="connsiteX6" fmla="*/ 2343150 w 5219700"/>
                <a:gd name="connsiteY6" fmla="*/ 704850 h 1381125"/>
                <a:gd name="connsiteX7" fmla="*/ 2762250 w 5219700"/>
                <a:gd name="connsiteY7" fmla="*/ 704850 h 1381125"/>
                <a:gd name="connsiteX8" fmla="*/ 3143250 w 5219700"/>
                <a:gd name="connsiteY8" fmla="*/ 742950 h 1381125"/>
                <a:gd name="connsiteX9" fmla="*/ 3629025 w 5219700"/>
                <a:gd name="connsiteY9" fmla="*/ 790575 h 1381125"/>
                <a:gd name="connsiteX10" fmla="*/ 3971925 w 5219700"/>
                <a:gd name="connsiteY10" fmla="*/ 857250 h 1381125"/>
                <a:gd name="connsiteX11" fmla="*/ 4191000 w 5219700"/>
                <a:gd name="connsiteY11" fmla="*/ 876300 h 1381125"/>
                <a:gd name="connsiteX12" fmla="*/ 4724400 w 5219700"/>
                <a:gd name="connsiteY12" fmla="*/ 1038225 h 1381125"/>
                <a:gd name="connsiteX13" fmla="*/ 5219700 w 5219700"/>
                <a:gd name="connsiteY13" fmla="*/ 1381125 h 13811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5219700" h="1381125">
                  <a:moveTo>
                    <a:pt x="0" y="0"/>
                  </a:moveTo>
                  <a:lnTo>
                    <a:pt x="390525" y="95250"/>
                  </a:lnTo>
                  <a:lnTo>
                    <a:pt x="762000" y="276225"/>
                  </a:lnTo>
                  <a:lnTo>
                    <a:pt x="1381125" y="419100"/>
                  </a:lnTo>
                  <a:lnTo>
                    <a:pt x="1619250" y="533400"/>
                  </a:lnTo>
                  <a:lnTo>
                    <a:pt x="1914525" y="685800"/>
                  </a:lnTo>
                  <a:lnTo>
                    <a:pt x="2343150" y="704850"/>
                  </a:lnTo>
                  <a:lnTo>
                    <a:pt x="2762250" y="704850"/>
                  </a:lnTo>
                  <a:lnTo>
                    <a:pt x="3143250" y="742950"/>
                  </a:lnTo>
                  <a:lnTo>
                    <a:pt x="3629025" y="790575"/>
                  </a:lnTo>
                  <a:lnTo>
                    <a:pt x="3971925" y="857250"/>
                  </a:lnTo>
                  <a:lnTo>
                    <a:pt x="4191000" y="876300"/>
                  </a:lnTo>
                  <a:lnTo>
                    <a:pt x="4724400" y="1038225"/>
                  </a:lnTo>
                  <a:lnTo>
                    <a:pt x="5219700" y="1381125"/>
                  </a:lnTo>
                </a:path>
              </a:pathLst>
            </a:custGeom>
            <a:noFill/>
            <a:ln w="19050">
              <a:solidFill>
                <a:srgbClr val="00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6" name="Freeform 25"/>
            <xdr:cNvSpPr/>
          </xdr:nvSpPr>
          <xdr:spPr>
            <a:xfrm>
              <a:off x="535477" y="70127305"/>
              <a:ext cx="5302955" cy="1498174"/>
            </a:xfrm>
            <a:custGeom>
              <a:avLst/>
              <a:gdLst>
                <a:gd name="connsiteX0" fmla="*/ 0 w 5267325"/>
                <a:gd name="connsiteY0" fmla="*/ 0 h 1495425"/>
                <a:gd name="connsiteX1" fmla="*/ 295275 w 5267325"/>
                <a:gd name="connsiteY1" fmla="*/ 57150 h 1495425"/>
                <a:gd name="connsiteX2" fmla="*/ 542925 w 5267325"/>
                <a:gd name="connsiteY2" fmla="*/ 228600 h 1495425"/>
                <a:gd name="connsiteX3" fmla="*/ 561975 w 5267325"/>
                <a:gd name="connsiteY3" fmla="*/ 352425 h 1495425"/>
                <a:gd name="connsiteX4" fmla="*/ 1000125 w 5267325"/>
                <a:gd name="connsiteY4" fmla="*/ 361950 h 1495425"/>
                <a:gd name="connsiteX5" fmla="*/ 1323975 w 5267325"/>
                <a:gd name="connsiteY5" fmla="*/ 438150 h 1495425"/>
                <a:gd name="connsiteX6" fmla="*/ 1609725 w 5267325"/>
                <a:gd name="connsiteY6" fmla="*/ 685800 h 1495425"/>
                <a:gd name="connsiteX7" fmla="*/ 1809750 w 5267325"/>
                <a:gd name="connsiteY7" fmla="*/ 800100 h 1495425"/>
                <a:gd name="connsiteX8" fmla="*/ 2295525 w 5267325"/>
                <a:gd name="connsiteY8" fmla="*/ 790575 h 1495425"/>
                <a:gd name="connsiteX9" fmla="*/ 2762250 w 5267325"/>
                <a:gd name="connsiteY9" fmla="*/ 723900 h 1495425"/>
                <a:gd name="connsiteX10" fmla="*/ 3095625 w 5267325"/>
                <a:gd name="connsiteY10" fmla="*/ 695325 h 1495425"/>
                <a:gd name="connsiteX11" fmla="*/ 3600450 w 5267325"/>
                <a:gd name="connsiteY11" fmla="*/ 714375 h 1495425"/>
                <a:gd name="connsiteX12" fmla="*/ 3667125 w 5267325"/>
                <a:gd name="connsiteY12" fmla="*/ 762000 h 1495425"/>
                <a:gd name="connsiteX13" fmla="*/ 4057650 w 5267325"/>
                <a:gd name="connsiteY13" fmla="*/ 809625 h 1495425"/>
                <a:gd name="connsiteX14" fmla="*/ 4343400 w 5267325"/>
                <a:gd name="connsiteY14" fmla="*/ 952500 h 1495425"/>
                <a:gd name="connsiteX15" fmla="*/ 4800600 w 5267325"/>
                <a:gd name="connsiteY15" fmla="*/ 1390650 h 1495425"/>
                <a:gd name="connsiteX16" fmla="*/ 5267325 w 5267325"/>
                <a:gd name="connsiteY16" fmla="*/ 1495425 h 1495425"/>
                <a:gd name="connsiteX0" fmla="*/ 0 w 5267325"/>
                <a:gd name="connsiteY0" fmla="*/ 0 h 1495425"/>
                <a:gd name="connsiteX1" fmla="*/ 295275 w 5267325"/>
                <a:gd name="connsiteY1" fmla="*/ 57150 h 1495425"/>
                <a:gd name="connsiteX2" fmla="*/ 542925 w 5267325"/>
                <a:gd name="connsiteY2" fmla="*/ 228600 h 1495425"/>
                <a:gd name="connsiteX3" fmla="*/ 561975 w 5267325"/>
                <a:gd name="connsiteY3" fmla="*/ 352425 h 1495425"/>
                <a:gd name="connsiteX4" fmla="*/ 1000125 w 5267325"/>
                <a:gd name="connsiteY4" fmla="*/ 361950 h 1495425"/>
                <a:gd name="connsiteX5" fmla="*/ 1323975 w 5267325"/>
                <a:gd name="connsiteY5" fmla="*/ 438150 h 1495425"/>
                <a:gd name="connsiteX6" fmla="*/ 1609725 w 5267325"/>
                <a:gd name="connsiteY6" fmla="*/ 685800 h 1495425"/>
                <a:gd name="connsiteX7" fmla="*/ 1809750 w 5267325"/>
                <a:gd name="connsiteY7" fmla="*/ 800100 h 1495425"/>
                <a:gd name="connsiteX8" fmla="*/ 2295525 w 5267325"/>
                <a:gd name="connsiteY8" fmla="*/ 790575 h 1495425"/>
                <a:gd name="connsiteX9" fmla="*/ 2762250 w 5267325"/>
                <a:gd name="connsiteY9" fmla="*/ 723900 h 1495425"/>
                <a:gd name="connsiteX10" fmla="*/ 3095625 w 5267325"/>
                <a:gd name="connsiteY10" fmla="*/ 695325 h 1495425"/>
                <a:gd name="connsiteX11" fmla="*/ 3592578 w 5267325"/>
                <a:gd name="connsiteY11" fmla="*/ 788749 h 1495425"/>
                <a:gd name="connsiteX12" fmla="*/ 3667125 w 5267325"/>
                <a:gd name="connsiteY12" fmla="*/ 762000 h 1495425"/>
                <a:gd name="connsiteX13" fmla="*/ 4057650 w 5267325"/>
                <a:gd name="connsiteY13" fmla="*/ 809625 h 1495425"/>
                <a:gd name="connsiteX14" fmla="*/ 4343400 w 5267325"/>
                <a:gd name="connsiteY14" fmla="*/ 952500 h 1495425"/>
                <a:gd name="connsiteX15" fmla="*/ 4800600 w 5267325"/>
                <a:gd name="connsiteY15" fmla="*/ 1390650 h 1495425"/>
                <a:gd name="connsiteX16" fmla="*/ 5267325 w 5267325"/>
                <a:gd name="connsiteY16" fmla="*/ 1495425 h 1495425"/>
                <a:gd name="connsiteX0" fmla="*/ 0 w 5267325"/>
                <a:gd name="connsiteY0" fmla="*/ 0 h 1495425"/>
                <a:gd name="connsiteX1" fmla="*/ 295275 w 5267325"/>
                <a:gd name="connsiteY1" fmla="*/ 57150 h 1495425"/>
                <a:gd name="connsiteX2" fmla="*/ 542925 w 5267325"/>
                <a:gd name="connsiteY2" fmla="*/ 228600 h 1495425"/>
                <a:gd name="connsiteX3" fmla="*/ 561975 w 5267325"/>
                <a:gd name="connsiteY3" fmla="*/ 352425 h 1495425"/>
                <a:gd name="connsiteX4" fmla="*/ 1000125 w 5267325"/>
                <a:gd name="connsiteY4" fmla="*/ 361950 h 1495425"/>
                <a:gd name="connsiteX5" fmla="*/ 1323975 w 5267325"/>
                <a:gd name="connsiteY5" fmla="*/ 438150 h 1495425"/>
                <a:gd name="connsiteX6" fmla="*/ 1609725 w 5267325"/>
                <a:gd name="connsiteY6" fmla="*/ 685800 h 1495425"/>
                <a:gd name="connsiteX7" fmla="*/ 1809750 w 5267325"/>
                <a:gd name="connsiteY7" fmla="*/ 800100 h 1495425"/>
                <a:gd name="connsiteX8" fmla="*/ 2295525 w 5267325"/>
                <a:gd name="connsiteY8" fmla="*/ 790575 h 1495425"/>
                <a:gd name="connsiteX9" fmla="*/ 2762250 w 5267325"/>
                <a:gd name="connsiteY9" fmla="*/ 723900 h 1495425"/>
                <a:gd name="connsiteX10" fmla="*/ 3095625 w 5267325"/>
                <a:gd name="connsiteY10" fmla="*/ 695325 h 1495425"/>
                <a:gd name="connsiteX11" fmla="*/ 3592578 w 5267325"/>
                <a:gd name="connsiteY11" fmla="*/ 788749 h 1495425"/>
                <a:gd name="connsiteX12" fmla="*/ 3706485 w 5267325"/>
                <a:gd name="connsiteY12" fmla="*/ 778529 h 1495425"/>
                <a:gd name="connsiteX13" fmla="*/ 4057650 w 5267325"/>
                <a:gd name="connsiteY13" fmla="*/ 809625 h 1495425"/>
                <a:gd name="connsiteX14" fmla="*/ 4343400 w 5267325"/>
                <a:gd name="connsiteY14" fmla="*/ 952500 h 1495425"/>
                <a:gd name="connsiteX15" fmla="*/ 4800600 w 5267325"/>
                <a:gd name="connsiteY15" fmla="*/ 1390650 h 1495425"/>
                <a:gd name="connsiteX16" fmla="*/ 5267325 w 5267325"/>
                <a:gd name="connsiteY16" fmla="*/ 1495425 h 1495425"/>
                <a:gd name="connsiteX0" fmla="*/ 0 w 5267325"/>
                <a:gd name="connsiteY0" fmla="*/ 0 h 1495425"/>
                <a:gd name="connsiteX1" fmla="*/ 295275 w 5267325"/>
                <a:gd name="connsiteY1" fmla="*/ 57150 h 1495425"/>
                <a:gd name="connsiteX2" fmla="*/ 542925 w 5267325"/>
                <a:gd name="connsiteY2" fmla="*/ 228600 h 1495425"/>
                <a:gd name="connsiteX3" fmla="*/ 561975 w 5267325"/>
                <a:gd name="connsiteY3" fmla="*/ 352425 h 1495425"/>
                <a:gd name="connsiteX4" fmla="*/ 1000125 w 5267325"/>
                <a:gd name="connsiteY4" fmla="*/ 361950 h 1495425"/>
                <a:gd name="connsiteX5" fmla="*/ 1323975 w 5267325"/>
                <a:gd name="connsiteY5" fmla="*/ 438150 h 1495425"/>
                <a:gd name="connsiteX6" fmla="*/ 1609725 w 5267325"/>
                <a:gd name="connsiteY6" fmla="*/ 685800 h 1495425"/>
                <a:gd name="connsiteX7" fmla="*/ 1809750 w 5267325"/>
                <a:gd name="connsiteY7" fmla="*/ 800100 h 1495425"/>
                <a:gd name="connsiteX8" fmla="*/ 2295525 w 5267325"/>
                <a:gd name="connsiteY8" fmla="*/ 790575 h 1495425"/>
                <a:gd name="connsiteX9" fmla="*/ 2762250 w 5267325"/>
                <a:gd name="connsiteY9" fmla="*/ 723900 h 1495425"/>
                <a:gd name="connsiteX10" fmla="*/ 3095625 w 5267325"/>
                <a:gd name="connsiteY10" fmla="*/ 695325 h 1495425"/>
                <a:gd name="connsiteX11" fmla="*/ 3592578 w 5267325"/>
                <a:gd name="connsiteY11" fmla="*/ 788749 h 1495425"/>
                <a:gd name="connsiteX12" fmla="*/ 3706485 w 5267325"/>
                <a:gd name="connsiteY12" fmla="*/ 778529 h 1495425"/>
                <a:gd name="connsiteX13" fmla="*/ 4065522 w 5267325"/>
                <a:gd name="connsiteY13" fmla="*/ 867473 h 1495425"/>
                <a:gd name="connsiteX14" fmla="*/ 4343400 w 5267325"/>
                <a:gd name="connsiteY14" fmla="*/ 952500 h 1495425"/>
                <a:gd name="connsiteX15" fmla="*/ 4800600 w 5267325"/>
                <a:gd name="connsiteY15" fmla="*/ 1390650 h 1495425"/>
                <a:gd name="connsiteX16" fmla="*/ 5267325 w 5267325"/>
                <a:gd name="connsiteY16" fmla="*/ 1495425 h 14954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267325" h="1495425">
                  <a:moveTo>
                    <a:pt x="0" y="0"/>
                  </a:moveTo>
                  <a:lnTo>
                    <a:pt x="295275" y="57150"/>
                  </a:lnTo>
                  <a:lnTo>
                    <a:pt x="542925" y="228600"/>
                  </a:lnTo>
                  <a:lnTo>
                    <a:pt x="561975" y="352425"/>
                  </a:lnTo>
                  <a:lnTo>
                    <a:pt x="1000125" y="361950"/>
                  </a:lnTo>
                  <a:lnTo>
                    <a:pt x="1323975" y="438150"/>
                  </a:lnTo>
                  <a:lnTo>
                    <a:pt x="1609725" y="685800"/>
                  </a:lnTo>
                  <a:lnTo>
                    <a:pt x="1809750" y="800100"/>
                  </a:lnTo>
                  <a:lnTo>
                    <a:pt x="2295525" y="790575"/>
                  </a:lnTo>
                  <a:lnTo>
                    <a:pt x="2762250" y="723900"/>
                  </a:lnTo>
                  <a:lnTo>
                    <a:pt x="3095625" y="695325"/>
                  </a:lnTo>
                  <a:lnTo>
                    <a:pt x="3592578" y="788749"/>
                  </a:lnTo>
                  <a:lnTo>
                    <a:pt x="3706485" y="778529"/>
                  </a:lnTo>
                  <a:lnTo>
                    <a:pt x="4065522" y="867473"/>
                  </a:lnTo>
                  <a:lnTo>
                    <a:pt x="4343400" y="952500"/>
                  </a:lnTo>
                  <a:lnTo>
                    <a:pt x="4800600" y="1390650"/>
                  </a:lnTo>
                  <a:lnTo>
                    <a:pt x="5267325" y="1495425"/>
                  </a:lnTo>
                </a:path>
              </a:pathLst>
            </a:custGeom>
            <a:noFill/>
            <a:ln w="19050">
              <a:solidFill>
                <a:srgbClr val="00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grpSp>
    <xdr:clientData/>
  </xdr:twoCellAnchor>
  <xdr:twoCellAnchor>
    <xdr:from>
      <xdr:col>8</xdr:col>
      <xdr:colOff>533400</xdr:colOff>
      <xdr:row>217</xdr:row>
      <xdr:rowOff>195262</xdr:rowOff>
    </xdr:from>
    <xdr:to>
      <xdr:col>15</xdr:col>
      <xdr:colOff>391308</xdr:colOff>
      <xdr:row>251</xdr:row>
      <xdr:rowOff>45450</xdr:rowOff>
    </xdr:to>
    <xdr:grpSp>
      <xdr:nvGrpSpPr>
        <xdr:cNvPr id="12" name="Group 11"/>
        <xdr:cNvGrpSpPr/>
      </xdr:nvGrpSpPr>
      <xdr:grpSpPr>
        <a:xfrm>
          <a:off x="6848475" y="42648187"/>
          <a:ext cx="5849133" cy="6651038"/>
          <a:chOff x="180975" y="42733912"/>
          <a:chExt cx="5849133" cy="6651038"/>
        </a:xfrm>
      </xdr:grpSpPr>
      <xdr:pic>
        <xdr:nvPicPr>
          <xdr:cNvPr id="40" name="Picture 39" descr="https://vsjcllp.vsjadon.com/upload/insp-236406-1525.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752850" y="47224950"/>
            <a:ext cx="1618313" cy="21526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36406-843.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180975" y="42733912"/>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36406-845.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190500" y="44981812"/>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https://vsjcllp.vsjadon.com/upload/insp-236406-861.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152775" y="42733912"/>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https://vsjcllp.vsjadon.com/upload/insp-236406-860.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152775" y="44981812"/>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https://vsjcllp.vsjadon.com/upload/insp-236406-862.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800100" y="47224950"/>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133351</xdr:colOff>
      <xdr:row>219</xdr:row>
      <xdr:rowOff>66675</xdr:rowOff>
    </xdr:from>
    <xdr:to>
      <xdr:col>7</xdr:col>
      <xdr:colOff>394608</xdr:colOff>
      <xdr:row>253</xdr:row>
      <xdr:rowOff>0</xdr:rowOff>
    </xdr:to>
    <xdr:grpSp>
      <xdr:nvGrpSpPr>
        <xdr:cNvPr id="33" name="Group 32"/>
        <xdr:cNvGrpSpPr/>
      </xdr:nvGrpSpPr>
      <xdr:grpSpPr>
        <a:xfrm>
          <a:off x="133351" y="42919650"/>
          <a:ext cx="5842907" cy="6734175"/>
          <a:chOff x="342790" y="1782470"/>
          <a:chExt cx="6236618" cy="6952970"/>
        </a:xfrm>
      </xdr:grpSpPr>
      <xdr:pic>
        <xdr:nvPicPr>
          <xdr:cNvPr id="34" name="Picture 33" descr="https://vsjcllp.vsjadon.com/upload/insp-246854-1525.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956731" y="7095169"/>
            <a:ext cx="1228922" cy="164027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6854-843.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42790" y="1782470"/>
            <a:ext cx="3908264" cy="293391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46854-844.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181293" y="4825777"/>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46854-847.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942596" y="4825777"/>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6854-851.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381263" y="1782470"/>
            <a:ext cx="2198145" cy="293391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6854-874.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621788" y="7095169"/>
            <a:ext cx="2185003" cy="164027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190500</xdr:colOff>
      <xdr:row>0</xdr:row>
      <xdr:rowOff>0</xdr:rowOff>
    </xdr:from>
    <xdr:to>
      <xdr:col>14</xdr:col>
      <xdr:colOff>124837</xdr:colOff>
      <xdr:row>21</xdr:row>
      <xdr:rowOff>162506</xdr:rowOff>
    </xdr:to>
    <xdr:pic>
      <xdr:nvPicPr>
        <xdr:cNvPr id="2" name="Picture 1"/>
        <xdr:cNvPicPr>
          <a:picLocks noChangeAspect="1"/>
        </xdr:cNvPicPr>
      </xdr:nvPicPr>
      <xdr:blipFill>
        <a:blip xmlns:r="http://schemas.openxmlformats.org/officeDocument/2006/relationships" r:embed="rId1"/>
        <a:stretch>
          <a:fillRect/>
        </a:stretch>
      </xdr:blipFill>
      <xdr:spPr>
        <a:xfrm>
          <a:off x="1409700" y="0"/>
          <a:ext cx="7249537" cy="41630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15</xdr:col>
      <xdr:colOff>101974</xdr:colOff>
      <xdr:row>52</xdr:row>
      <xdr:rowOff>76200</xdr:rowOff>
    </xdr:to>
    <xdr:pic>
      <xdr:nvPicPr>
        <xdr:cNvPr id="3" name="Picture 2"/>
        <xdr:cNvPicPr>
          <a:picLocks noChangeAspect="1"/>
        </xdr:cNvPicPr>
      </xdr:nvPicPr>
      <xdr:blipFill>
        <a:blip xmlns:r="http://schemas.openxmlformats.org/officeDocument/2006/relationships" r:embed="rId2"/>
        <a:stretch>
          <a:fillRect/>
        </a:stretch>
      </xdr:blipFill>
      <xdr:spPr>
        <a:xfrm>
          <a:off x="582706" y="2678206"/>
          <a:ext cx="13011150" cy="7315200"/>
        </a:xfrm>
        <a:prstGeom prst="rect">
          <a:avLst/>
        </a:prstGeom>
      </xdr:spPr>
    </xdr:pic>
    <xdr:clientData/>
  </xdr:twoCellAnchor>
  <xdr:twoCellAnchor editAs="oneCell">
    <xdr:from>
      <xdr:col>3</xdr:col>
      <xdr:colOff>564030</xdr:colOff>
      <xdr:row>16</xdr:row>
      <xdr:rowOff>38100</xdr:rowOff>
    </xdr:from>
    <xdr:to>
      <xdr:col>22</xdr:col>
      <xdr:colOff>531532</xdr:colOff>
      <xdr:row>54</xdr:row>
      <xdr:rowOff>114300</xdr:rowOff>
    </xdr:to>
    <xdr:pic>
      <xdr:nvPicPr>
        <xdr:cNvPr id="4" name="Picture 3"/>
        <xdr:cNvPicPr>
          <a:picLocks noChangeAspect="1"/>
        </xdr:cNvPicPr>
      </xdr:nvPicPr>
      <xdr:blipFill>
        <a:blip xmlns:r="http://schemas.openxmlformats.org/officeDocument/2006/relationships" r:embed="rId3"/>
        <a:stretch>
          <a:fillRect/>
        </a:stretch>
      </xdr:blipFill>
      <xdr:spPr>
        <a:xfrm>
          <a:off x="5091206" y="3097306"/>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LJuUXPq6Vs45BVS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06"/>
  <sheetViews>
    <sheetView tabSelected="1" view="pageBreakPreview" topLeftCell="A97" zoomScaleNormal="100" zoomScaleSheetLayoutView="100" zoomScalePageLayoutView="85" workbookViewId="0">
      <selection activeCell="M120" sqref="M120"/>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0.57031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201" t="s">
        <v>162</v>
      </c>
      <c r="B1" s="201"/>
      <c r="C1" s="201"/>
      <c r="D1" s="201"/>
      <c r="E1" s="201"/>
      <c r="F1" s="201"/>
      <c r="G1" s="201"/>
      <c r="H1" s="201"/>
    </row>
    <row r="2" spans="1:26" ht="16.5" customHeight="1" x14ac:dyDescent="0.25">
      <c r="A2" s="144" t="s">
        <v>0</v>
      </c>
      <c r="B2" s="144"/>
      <c r="C2" s="144"/>
      <c r="D2" s="144"/>
      <c r="E2" s="144"/>
      <c r="F2" s="144"/>
      <c r="G2" s="144"/>
      <c r="H2" s="144"/>
    </row>
    <row r="3" spans="1:26" x14ac:dyDescent="0.25">
      <c r="A3" s="202" t="s">
        <v>1</v>
      </c>
      <c r="B3" s="202"/>
      <c r="C3" s="202"/>
      <c r="D3" s="202"/>
      <c r="E3" s="202" t="str">
        <f ca="1">TEXT(TODAY(),"DD/MM/YYYY")</f>
        <v>06/10/2025</v>
      </c>
      <c r="F3" s="202"/>
      <c r="G3" s="202"/>
      <c r="H3" s="202"/>
      <c r="K3" s="54" t="s">
        <v>234</v>
      </c>
      <c r="L3" s="51" t="s">
        <v>232</v>
      </c>
      <c r="M3" s="51" t="s">
        <v>237</v>
      </c>
      <c r="N3" s="51" t="s">
        <v>235</v>
      </c>
      <c r="O3" s="51" t="s">
        <v>340</v>
      </c>
      <c r="P3" s="51" t="s">
        <v>238</v>
      </c>
    </row>
    <row r="4" spans="1:26" ht="15" customHeight="1" x14ac:dyDescent="0.25">
      <c r="A4" s="202" t="s">
        <v>231</v>
      </c>
      <c r="B4" s="202"/>
      <c r="C4" s="202"/>
      <c r="D4" s="202"/>
      <c r="E4" s="202" t="s">
        <v>232</v>
      </c>
      <c r="F4" s="202"/>
      <c r="G4" s="202"/>
      <c r="H4" s="202"/>
      <c r="K4" s="50" t="s">
        <v>233</v>
      </c>
      <c r="L4" s="51" t="s">
        <v>168</v>
      </c>
      <c r="M4" s="51" t="s">
        <v>242</v>
      </c>
      <c r="N4" s="51" t="s">
        <v>244</v>
      </c>
      <c r="O4" s="51" t="s">
        <v>341</v>
      </c>
      <c r="P4" s="51"/>
    </row>
    <row r="5" spans="1:26" ht="15" customHeight="1" x14ac:dyDescent="0.25">
      <c r="A5" s="202" t="s">
        <v>2</v>
      </c>
      <c r="B5" s="202"/>
      <c r="C5" s="202"/>
      <c r="D5" s="202"/>
      <c r="E5" s="202" t="s">
        <v>240</v>
      </c>
      <c r="F5" s="202"/>
      <c r="G5" s="202"/>
      <c r="H5" s="202"/>
      <c r="K5" s="50"/>
      <c r="L5" s="51" t="s">
        <v>239</v>
      </c>
      <c r="M5" s="51" t="s">
        <v>243</v>
      </c>
      <c r="N5" s="51" t="s">
        <v>245</v>
      </c>
      <c r="O5" s="51" t="s">
        <v>342</v>
      </c>
      <c r="P5" s="51"/>
    </row>
    <row r="6" spans="1:26" x14ac:dyDescent="0.25">
      <c r="A6" s="202" t="s">
        <v>3</v>
      </c>
      <c r="B6" s="202"/>
      <c r="C6" s="202"/>
      <c r="D6" s="202"/>
      <c r="E6" s="203">
        <v>45908</v>
      </c>
      <c r="F6" s="202"/>
      <c r="G6" s="202"/>
      <c r="H6" s="202"/>
      <c r="K6" s="50"/>
      <c r="L6" s="51" t="s">
        <v>240</v>
      </c>
      <c r="M6" s="51"/>
      <c r="N6" s="51"/>
      <c r="O6" s="51" t="s">
        <v>343</v>
      </c>
      <c r="P6" s="51"/>
    </row>
    <row r="7" spans="1:26" ht="16.5" customHeight="1" x14ac:dyDescent="0.25">
      <c r="A7" s="202" t="s">
        <v>4</v>
      </c>
      <c r="B7" s="202"/>
      <c r="C7" s="202"/>
      <c r="D7" s="202"/>
      <c r="E7" s="202" t="s">
        <v>394</v>
      </c>
      <c r="F7" s="202"/>
      <c r="G7" s="202"/>
      <c r="H7" s="202"/>
      <c r="K7" s="50"/>
      <c r="L7" s="51" t="s">
        <v>241</v>
      </c>
      <c r="M7" s="51"/>
      <c r="N7" s="51"/>
      <c r="O7" s="51" t="s">
        <v>343</v>
      </c>
      <c r="P7" s="51"/>
    </row>
    <row r="8" spans="1:26" ht="15" customHeight="1" x14ac:dyDescent="0.25">
      <c r="A8" s="202" t="s">
        <v>5</v>
      </c>
      <c r="B8" s="202"/>
      <c r="C8" s="202"/>
      <c r="D8" s="202"/>
      <c r="E8" s="202" t="str">
        <f>E7</f>
        <v>M/s. RS Couture LLP</v>
      </c>
      <c r="F8" s="202"/>
      <c r="G8" s="202"/>
      <c r="H8" s="202"/>
      <c r="K8" s="50"/>
      <c r="L8" s="51"/>
      <c r="M8" s="51"/>
      <c r="N8" s="51"/>
      <c r="O8" s="51" t="s">
        <v>344</v>
      </c>
      <c r="P8" s="51"/>
    </row>
    <row r="9" spans="1:26" x14ac:dyDescent="0.25">
      <c r="A9" s="202" t="s">
        <v>6</v>
      </c>
      <c r="B9" s="202"/>
      <c r="C9" s="202"/>
      <c r="D9" s="202"/>
      <c r="E9" s="128" t="s">
        <v>348</v>
      </c>
      <c r="F9" s="128"/>
      <c r="G9" s="128"/>
      <c r="H9" s="128"/>
      <c r="K9" s="50"/>
      <c r="L9" s="51"/>
      <c r="M9" s="51"/>
      <c r="N9" s="51"/>
      <c r="O9" s="51" t="s">
        <v>345</v>
      </c>
      <c r="P9" s="51"/>
    </row>
    <row r="10" spans="1:26" x14ac:dyDescent="0.25">
      <c r="A10" s="202" t="s">
        <v>165</v>
      </c>
      <c r="B10" s="202"/>
      <c r="C10" s="202"/>
      <c r="D10" s="202"/>
      <c r="E10" s="202" t="s">
        <v>349</v>
      </c>
      <c r="F10" s="202"/>
      <c r="G10" s="202"/>
      <c r="H10" s="202"/>
      <c r="K10" s="50"/>
      <c r="L10" s="51"/>
      <c r="M10" s="51"/>
      <c r="N10" s="51"/>
      <c r="O10" s="51" t="s">
        <v>346</v>
      </c>
      <c r="P10" s="51"/>
    </row>
    <row r="11" spans="1:26" x14ac:dyDescent="0.25">
      <c r="A11" s="202" t="s">
        <v>166</v>
      </c>
      <c r="B11" s="202"/>
      <c r="C11" s="202"/>
      <c r="D11" s="202"/>
      <c r="E11" s="202" t="s">
        <v>411</v>
      </c>
      <c r="F11" s="202"/>
      <c r="G11" s="202"/>
      <c r="H11" s="202"/>
      <c r="O11" s="51" t="s">
        <v>347</v>
      </c>
    </row>
    <row r="12" spans="1:26" x14ac:dyDescent="0.25">
      <c r="A12" s="202" t="s">
        <v>7</v>
      </c>
      <c r="B12" s="202"/>
      <c r="C12" s="202"/>
      <c r="D12" s="202"/>
      <c r="E12" s="202" t="s">
        <v>351</v>
      </c>
      <c r="F12" s="202"/>
      <c r="G12" s="202"/>
      <c r="H12" s="202"/>
    </row>
    <row r="13" spans="1:26" x14ac:dyDescent="0.25">
      <c r="A13" s="202" t="s">
        <v>169</v>
      </c>
      <c r="B13" s="202"/>
      <c r="C13" s="202"/>
      <c r="D13" s="202"/>
      <c r="E13" s="202" t="s">
        <v>28</v>
      </c>
      <c r="F13" s="202"/>
      <c r="G13" s="202"/>
      <c r="H13" s="202"/>
      <c r="S13" s="51" t="s">
        <v>177</v>
      </c>
      <c r="T13" s="51" t="s">
        <v>186</v>
      </c>
      <c r="U13" s="51" t="s">
        <v>170</v>
      </c>
      <c r="V13" s="51" t="s">
        <v>191</v>
      </c>
      <c r="W13" s="51" t="s">
        <v>209</v>
      </c>
      <c r="X13"/>
      <c r="Y13" t="s">
        <v>191</v>
      </c>
      <c r="Z13" t="e">
        <f ca="1">OFFSET($S$13,1,MATCH($G20,$S$13:$W$13,0)-1,15,1)</f>
        <v>#VALUE!</v>
      </c>
    </row>
    <row r="14" spans="1:26" ht="32.25" customHeight="1" x14ac:dyDescent="0.25">
      <c r="A14" s="142" t="s">
        <v>277</v>
      </c>
      <c r="B14" s="142"/>
      <c r="C14" s="142"/>
      <c r="D14" s="142"/>
      <c r="E14" s="204" t="s">
        <v>397</v>
      </c>
      <c r="F14" s="204"/>
      <c r="G14" s="204"/>
      <c r="H14" s="204"/>
      <c r="S14" s="51" t="s">
        <v>177</v>
      </c>
      <c r="T14" s="51" t="s">
        <v>184</v>
      </c>
      <c r="U14" s="51" t="s">
        <v>206</v>
      </c>
      <c r="V14" s="51" t="s">
        <v>192</v>
      </c>
      <c r="W14" s="51" t="s">
        <v>210</v>
      </c>
      <c r="X14"/>
      <c r="Y14"/>
      <c r="Z14"/>
    </row>
    <row r="15" spans="1:26" x14ac:dyDescent="0.25">
      <c r="A15" s="142" t="s">
        <v>8</v>
      </c>
      <c r="B15" s="142"/>
      <c r="C15" s="142"/>
      <c r="D15" s="142"/>
      <c r="E15" s="205" t="s">
        <v>350</v>
      </c>
      <c r="F15" s="202"/>
      <c r="G15" s="202"/>
      <c r="H15" s="202"/>
      <c r="I15" s="151" t="e">
        <f ca="1">OFFSET($D$5,1,MATCH($J13,$D$5:$H$5,0)-1,15,1)</f>
        <v>#N/A</v>
      </c>
      <c r="J15" s="152"/>
      <c r="K15" s="152"/>
      <c r="L15" s="152"/>
      <c r="M15" s="152"/>
      <c r="N15" s="152"/>
      <c r="O15" s="152"/>
      <c r="P15" s="152"/>
      <c r="S15" s="51" t="s">
        <v>178</v>
      </c>
      <c r="T15" s="51" t="s">
        <v>185</v>
      </c>
      <c r="U15" s="51" t="s">
        <v>207</v>
      </c>
      <c r="V15" s="51" t="s">
        <v>193</v>
      </c>
      <c r="W15" s="51" t="s">
        <v>223</v>
      </c>
      <c r="X15"/>
      <c r="Y15"/>
      <c r="Z15"/>
    </row>
    <row r="16" spans="1:26" ht="34.5" customHeight="1" x14ac:dyDescent="0.25">
      <c r="A16" s="160" t="s">
        <v>9</v>
      </c>
      <c r="B16" s="160"/>
      <c r="C16" s="160" t="str">
        <f>CONCATENATE((IF(OR(E9="",E9="NA"),"",E9)),", ",(IF(OR(A17="",A17="NA"),"",A17)),".",(IF(OR(C17="",C17="NA"),"",C17)),", near ",(IF(OR(C22="",C22="NA"),"",C22)),", ",(IF(OR(C19="",C19="NA"),"",C19)),", ",(IF(OR(C18="",C18="NA"),"",C18)),", ",(IF(OR(G19="",G19="NA"),"",G19)),", ",(IF(OR(C20="",C20="NA"),"",C20)),", ",(IF(OR(C21="",C21="NA"),"",C21)),", ",(IF(OR(G20="",G20="NA"),"",G20))," - ",(IF(OR(G21="",G21="NA"),"",G21)),".")</f>
        <v>QA Riverfront 3, Survey No.65, Hissa No.5, 6 And 12, near Jijai Angan, Ghot Road, Ghot, Ghot, Taloja Panchnand East, Panvel, Raigad - 410208.</v>
      </c>
      <c r="D16" s="160"/>
      <c r="E16" s="160"/>
      <c r="F16" s="160"/>
      <c r="G16" s="160"/>
      <c r="H16" s="160"/>
      <c r="S16" s="51" t="s">
        <v>179</v>
      </c>
      <c r="T16" s="51" t="s">
        <v>187</v>
      </c>
      <c r="U16" s="51" t="s">
        <v>208</v>
      </c>
      <c r="V16" s="51" t="s">
        <v>194</v>
      </c>
      <c r="W16" s="51" t="s">
        <v>211</v>
      </c>
      <c r="X16"/>
      <c r="Y16"/>
      <c r="Z16"/>
    </row>
    <row r="17" spans="1:26" x14ac:dyDescent="0.25">
      <c r="A17" s="205" t="s">
        <v>352</v>
      </c>
      <c r="B17" s="205"/>
      <c r="C17" s="205" t="s">
        <v>353</v>
      </c>
      <c r="D17" s="205"/>
      <c r="E17" s="205"/>
      <c r="F17" s="205"/>
      <c r="G17" s="205"/>
      <c r="H17" s="205"/>
      <c r="S17" s="51" t="s">
        <v>180</v>
      </c>
      <c r="T17" s="51" t="s">
        <v>188</v>
      </c>
      <c r="U17" s="51" t="s">
        <v>170</v>
      </c>
      <c r="V17" s="51" t="s">
        <v>195</v>
      </c>
      <c r="W17" s="51" t="s">
        <v>212</v>
      </c>
      <c r="X17"/>
      <c r="Y17"/>
      <c r="Z17"/>
    </row>
    <row r="18" spans="1:26" ht="15.75" customHeight="1" x14ac:dyDescent="0.25">
      <c r="A18" s="205" t="s">
        <v>160</v>
      </c>
      <c r="B18" s="205"/>
      <c r="C18" s="205" t="s">
        <v>354</v>
      </c>
      <c r="D18" s="205"/>
      <c r="E18" s="205"/>
      <c r="F18" s="205"/>
      <c r="G18" s="205"/>
      <c r="H18" s="205"/>
      <c r="S18" s="51" t="s">
        <v>181</v>
      </c>
      <c r="T18" s="51" t="s">
        <v>186</v>
      </c>
      <c r="U18" s="51"/>
      <c r="V18" s="51" t="s">
        <v>196</v>
      </c>
      <c r="W18" s="51" t="s">
        <v>213</v>
      </c>
      <c r="X18"/>
      <c r="Y18"/>
      <c r="Z18"/>
    </row>
    <row r="19" spans="1:26" ht="15.75" customHeight="1" x14ac:dyDescent="0.25">
      <c r="A19" s="160" t="s">
        <v>10</v>
      </c>
      <c r="B19" s="160"/>
      <c r="C19" s="202" t="s">
        <v>360</v>
      </c>
      <c r="D19" s="202"/>
      <c r="E19" s="160" t="s">
        <v>69</v>
      </c>
      <c r="F19" s="160"/>
      <c r="G19" s="205" t="s">
        <v>354</v>
      </c>
      <c r="H19" s="205"/>
      <c r="S19" s="51" t="s">
        <v>182</v>
      </c>
      <c r="T19" s="51" t="s">
        <v>189</v>
      </c>
      <c r="U19" s="51"/>
      <c r="V19" s="51" t="s">
        <v>197</v>
      </c>
      <c r="W19" s="51" t="s">
        <v>214</v>
      </c>
      <c r="X19"/>
      <c r="Y19"/>
      <c r="Z19"/>
    </row>
    <row r="20" spans="1:26" x14ac:dyDescent="0.25">
      <c r="A20" s="142" t="s">
        <v>12</v>
      </c>
      <c r="B20" s="142"/>
      <c r="C20" s="205" t="s">
        <v>358</v>
      </c>
      <c r="D20" s="205"/>
      <c r="E20" s="205" t="s">
        <v>11</v>
      </c>
      <c r="F20" s="205"/>
      <c r="G20" s="206" t="s">
        <v>191</v>
      </c>
      <c r="H20" s="206"/>
      <c r="S20" s="51" t="s">
        <v>183</v>
      </c>
      <c r="T20" s="51" t="s">
        <v>190</v>
      </c>
      <c r="U20" s="51"/>
      <c r="V20" s="51" t="s">
        <v>198</v>
      </c>
      <c r="W20" s="51" t="s">
        <v>215</v>
      </c>
      <c r="X20"/>
      <c r="Y20"/>
      <c r="Z20"/>
    </row>
    <row r="21" spans="1:26" x14ac:dyDescent="0.25">
      <c r="A21" s="142" t="s">
        <v>70</v>
      </c>
      <c r="B21" s="142"/>
      <c r="C21" s="205" t="s">
        <v>193</v>
      </c>
      <c r="D21" s="205"/>
      <c r="E21" s="205" t="s">
        <v>13</v>
      </c>
      <c r="F21" s="205"/>
      <c r="G21" s="205">
        <v>410208</v>
      </c>
      <c r="H21" s="205"/>
      <c r="S21" s="51"/>
      <c r="T21" s="51"/>
      <c r="U21" s="51"/>
      <c r="V21" s="51" t="s">
        <v>199</v>
      </c>
      <c r="W21" s="51" t="s">
        <v>216</v>
      </c>
      <c r="X21"/>
      <c r="Y21"/>
      <c r="Z21"/>
    </row>
    <row r="22" spans="1:26" ht="46.5" customHeight="1" x14ac:dyDescent="0.25">
      <c r="A22" s="142" t="s">
        <v>119</v>
      </c>
      <c r="B22" s="142"/>
      <c r="C22" s="205" t="s">
        <v>357</v>
      </c>
      <c r="D22" s="205"/>
      <c r="E22" s="160" t="s">
        <v>14</v>
      </c>
      <c r="F22" s="160"/>
      <c r="G22" s="205" t="s">
        <v>359</v>
      </c>
      <c r="H22" s="205"/>
      <c r="S22" s="51"/>
      <c r="T22" s="51"/>
      <c r="U22" s="51"/>
      <c r="V22" s="51" t="s">
        <v>200</v>
      </c>
      <c r="W22" s="51" t="s">
        <v>217</v>
      </c>
      <c r="X22"/>
      <c r="Y22"/>
      <c r="Z22"/>
    </row>
    <row r="23" spans="1:26" ht="15" customHeight="1" x14ac:dyDescent="0.25">
      <c r="A23" s="160" t="s">
        <v>72</v>
      </c>
      <c r="B23" s="160"/>
      <c r="C23" s="160"/>
      <c r="D23" s="160"/>
      <c r="E23" s="202" t="s">
        <v>15</v>
      </c>
      <c r="F23" s="202"/>
      <c r="G23" s="202"/>
      <c r="H23" s="202"/>
      <c r="S23" s="51"/>
      <c r="T23" s="51"/>
      <c r="U23" s="51"/>
      <c r="V23" s="51" t="s">
        <v>201</v>
      </c>
      <c r="W23" s="51" t="s">
        <v>218</v>
      </c>
      <c r="X23"/>
      <c r="Y23"/>
      <c r="Z23"/>
    </row>
    <row r="24" spans="1:26" ht="18.75" customHeight="1" x14ac:dyDescent="0.25">
      <c r="A24" s="160"/>
      <c r="B24" s="160"/>
      <c r="C24" s="160"/>
      <c r="D24" s="160"/>
      <c r="E24" s="202"/>
      <c r="F24" s="202"/>
      <c r="G24" s="202"/>
      <c r="H24" s="202"/>
      <c r="S24" s="51"/>
      <c r="T24" s="51"/>
      <c r="U24" s="51"/>
      <c r="V24" s="51" t="s">
        <v>202</v>
      </c>
      <c r="W24" s="51" t="s">
        <v>219</v>
      </c>
      <c r="X24"/>
      <c r="Y24"/>
      <c r="Z24"/>
    </row>
    <row r="25" spans="1:26" ht="15" customHeight="1" x14ac:dyDescent="0.25">
      <c r="A25" s="160" t="s">
        <v>16</v>
      </c>
      <c r="B25" s="160"/>
      <c r="C25" s="160"/>
      <c r="D25" s="160"/>
      <c r="E25" s="205" t="s">
        <v>17</v>
      </c>
      <c r="F25" s="205"/>
      <c r="G25" s="205"/>
      <c r="H25" s="205"/>
      <c r="S25" s="51"/>
      <c r="T25" s="51"/>
      <c r="U25" s="51"/>
      <c r="V25" s="51" t="s">
        <v>203</v>
      </c>
      <c r="W25" s="51" t="s">
        <v>220</v>
      </c>
      <c r="X25"/>
      <c r="Y25"/>
      <c r="Z25"/>
    </row>
    <row r="26" spans="1:26" ht="15" customHeight="1" x14ac:dyDescent="0.25">
      <c r="A26" s="142" t="s">
        <v>18</v>
      </c>
      <c r="B26" s="142"/>
      <c r="C26" s="142"/>
      <c r="D26" s="142"/>
      <c r="E26" s="205" t="str">
        <f>IF(AND(G20="Mumbai"),"Upper Class","Middle Class")</f>
        <v>Middle Class</v>
      </c>
      <c r="F26" s="205"/>
      <c r="G26" s="205"/>
      <c r="H26" s="205"/>
      <c r="S26" s="51"/>
      <c r="T26" s="51"/>
      <c r="U26" s="51"/>
      <c r="V26" s="51" t="s">
        <v>204</v>
      </c>
      <c r="W26" s="51" t="s">
        <v>221</v>
      </c>
      <c r="X26"/>
      <c r="Y26"/>
      <c r="Z26"/>
    </row>
    <row r="27" spans="1:26" x14ac:dyDescent="0.25">
      <c r="A27" s="142" t="s">
        <v>19</v>
      </c>
      <c r="B27" s="142"/>
      <c r="C27" s="142"/>
      <c r="D27" s="142"/>
      <c r="E27" s="205" t="s">
        <v>20</v>
      </c>
      <c r="F27" s="205"/>
      <c r="G27" s="205"/>
      <c r="H27" s="205"/>
      <c r="S27" s="51"/>
      <c r="T27" s="51"/>
      <c r="U27" s="51"/>
      <c r="V27" s="51" t="s">
        <v>205</v>
      </c>
      <c r="W27" s="51" t="s">
        <v>222</v>
      </c>
      <c r="X27"/>
      <c r="Y27"/>
      <c r="Z27"/>
    </row>
    <row r="28" spans="1:26" ht="15.75" customHeight="1" x14ac:dyDescent="0.25">
      <c r="A28" s="142" t="s">
        <v>21</v>
      </c>
      <c r="B28" s="142"/>
      <c r="C28" s="142"/>
      <c r="D28" s="142"/>
      <c r="E28" s="205" t="str">
        <f>IF(AND(G20="Mumbai"),"Developed","Developing")</f>
        <v>Developing</v>
      </c>
      <c r="F28" s="205"/>
      <c r="G28" s="205"/>
      <c r="H28" s="205"/>
    </row>
    <row r="29" spans="1:26" x14ac:dyDescent="0.25">
      <c r="A29" s="142" t="s">
        <v>22</v>
      </c>
      <c r="B29" s="142"/>
      <c r="C29" s="142"/>
      <c r="D29" s="142"/>
      <c r="E29" s="205" t="s">
        <v>23</v>
      </c>
      <c r="F29" s="205"/>
      <c r="G29" s="205"/>
      <c r="H29" s="205"/>
    </row>
    <row r="30" spans="1:26" ht="15.75" customHeight="1" x14ac:dyDescent="0.25">
      <c r="A30" s="142" t="s">
        <v>77</v>
      </c>
      <c r="B30" s="142"/>
      <c r="C30" s="142"/>
      <c r="D30" s="142"/>
      <c r="E30" s="205" t="s">
        <v>78</v>
      </c>
      <c r="F30" s="205"/>
      <c r="G30" s="205"/>
      <c r="H30" s="205"/>
    </row>
    <row r="31" spans="1:26" ht="15" customHeight="1" x14ac:dyDescent="0.25">
      <c r="A31" s="142" t="s">
        <v>30</v>
      </c>
      <c r="B31" s="142"/>
      <c r="C31" s="142"/>
      <c r="D31" s="142"/>
      <c r="E31" s="20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205"/>
      <c r="G31" s="205"/>
      <c r="H31" s="205"/>
    </row>
    <row r="32" spans="1:26" ht="15.75" customHeight="1" x14ac:dyDescent="0.25">
      <c r="A32" s="142" t="s">
        <v>89</v>
      </c>
      <c r="B32" s="142"/>
      <c r="C32" s="142"/>
      <c r="D32" s="142"/>
      <c r="E32" s="205" t="s">
        <v>31</v>
      </c>
      <c r="F32" s="205"/>
      <c r="G32" s="205"/>
      <c r="H32" s="205"/>
    </row>
    <row r="33" spans="1:19" s="21" customFormat="1" x14ac:dyDescent="0.25">
      <c r="A33" s="209" t="s">
        <v>90</v>
      </c>
      <c r="B33" s="209"/>
      <c r="C33" s="153" t="s">
        <v>171</v>
      </c>
      <c r="D33" s="153"/>
      <c r="E33" s="153"/>
      <c r="F33" s="153" t="s">
        <v>29</v>
      </c>
      <c r="G33" s="153"/>
      <c r="H33" s="153"/>
      <c r="S33" s="21" t="e">
        <f ca="1">OFFSET($S$13,1,MATCH($G20,$S$13:$W$13,0)-1,15,1)</f>
        <v>#VALUE!</v>
      </c>
    </row>
    <row r="34" spans="1:19" s="21" customFormat="1" x14ac:dyDescent="0.25">
      <c r="A34" s="207" t="s">
        <v>24</v>
      </c>
      <c r="B34" s="207" t="s">
        <v>28</v>
      </c>
      <c r="C34" s="208" t="s">
        <v>364</v>
      </c>
      <c r="D34" s="208"/>
      <c r="E34" s="208"/>
      <c r="F34" s="208" t="s">
        <v>361</v>
      </c>
      <c r="G34" s="208"/>
      <c r="H34" s="208"/>
    </row>
    <row r="35" spans="1:19" x14ac:dyDescent="0.25">
      <c r="A35" s="207" t="s">
        <v>25</v>
      </c>
      <c r="B35" s="207" t="s">
        <v>28</v>
      </c>
      <c r="C35" s="208" t="s">
        <v>364</v>
      </c>
      <c r="D35" s="208"/>
      <c r="E35" s="208"/>
      <c r="F35" s="208" t="s">
        <v>362</v>
      </c>
      <c r="G35" s="208"/>
      <c r="H35" s="208"/>
    </row>
    <row r="36" spans="1:19" s="21" customFormat="1" x14ac:dyDescent="0.25">
      <c r="A36" s="207" t="s">
        <v>27</v>
      </c>
      <c r="B36" s="207" t="s">
        <v>28</v>
      </c>
      <c r="C36" s="208" t="s">
        <v>364</v>
      </c>
      <c r="D36" s="208"/>
      <c r="E36" s="208"/>
      <c r="F36" s="208" t="s">
        <v>361</v>
      </c>
      <c r="G36" s="208"/>
      <c r="H36" s="208"/>
    </row>
    <row r="37" spans="1:19" x14ac:dyDescent="0.25">
      <c r="A37" s="207" t="s">
        <v>26</v>
      </c>
      <c r="B37" s="207" t="s">
        <v>28</v>
      </c>
      <c r="C37" s="208" t="s">
        <v>365</v>
      </c>
      <c r="D37" s="208"/>
      <c r="E37" s="208"/>
      <c r="F37" s="208" t="s">
        <v>363</v>
      </c>
      <c r="G37" s="208"/>
      <c r="H37" s="208"/>
    </row>
    <row r="38" spans="1:19" x14ac:dyDescent="0.25">
      <c r="A38" s="142" t="s">
        <v>278</v>
      </c>
      <c r="B38" s="142"/>
      <c r="C38" s="142"/>
      <c r="D38" s="142"/>
      <c r="E38" s="142"/>
      <c r="F38" s="142"/>
      <c r="G38" s="142"/>
      <c r="H38" s="142"/>
    </row>
    <row r="39" spans="1:19" ht="15.75" customHeight="1" x14ac:dyDescent="0.25">
      <c r="A39" s="142" t="s">
        <v>163</v>
      </c>
      <c r="B39" s="142"/>
      <c r="C39" s="233" t="s">
        <v>355</v>
      </c>
      <c r="D39" s="233"/>
      <c r="E39" s="233"/>
      <c r="F39" s="233"/>
      <c r="G39" s="233"/>
      <c r="H39" s="233"/>
    </row>
    <row r="40" spans="1:19" x14ac:dyDescent="0.25">
      <c r="A40" s="142" t="s">
        <v>159</v>
      </c>
      <c r="B40" s="142"/>
      <c r="C40" s="236" t="s">
        <v>356</v>
      </c>
      <c r="D40" s="205"/>
      <c r="E40" s="205"/>
      <c r="F40" s="205"/>
      <c r="G40" s="205"/>
      <c r="H40" s="205"/>
    </row>
    <row r="41" spans="1:19" x14ac:dyDescent="0.25">
      <c r="A41" s="233" t="s">
        <v>32</v>
      </c>
      <c r="B41" s="233"/>
      <c r="C41" s="233"/>
      <c r="D41" s="233"/>
      <c r="E41" s="233"/>
      <c r="F41" s="233"/>
      <c r="G41" s="233"/>
      <c r="H41" s="233"/>
    </row>
    <row r="42" spans="1:19" x14ac:dyDescent="0.25">
      <c r="A42" s="142" t="s">
        <v>33</v>
      </c>
      <c r="B42" s="142"/>
      <c r="C42" s="142"/>
      <c r="D42" s="142"/>
      <c r="E42" s="237">
        <v>4060</v>
      </c>
      <c r="F42" s="237"/>
      <c r="G42" s="237"/>
      <c r="H42" s="237"/>
    </row>
    <row r="43" spans="1:19" x14ac:dyDescent="0.25">
      <c r="A43" s="142" t="s">
        <v>34</v>
      </c>
      <c r="B43" s="142"/>
      <c r="C43" s="142"/>
      <c r="D43" s="142"/>
      <c r="E43" s="234">
        <f>4466/E42</f>
        <v>1.1000000000000001</v>
      </c>
      <c r="F43" s="234"/>
      <c r="G43" s="234"/>
      <c r="H43" s="234"/>
    </row>
    <row r="44" spans="1:19" x14ac:dyDescent="0.25">
      <c r="A44" s="142" t="s">
        <v>35</v>
      </c>
      <c r="B44" s="142"/>
      <c r="C44" s="142"/>
      <c r="D44" s="142"/>
      <c r="E44" s="234">
        <f>E46/E42-E43</f>
        <v>1.4586206896551723</v>
      </c>
      <c r="F44" s="234"/>
      <c r="G44" s="234"/>
      <c r="H44" s="234"/>
    </row>
    <row r="45" spans="1:19" x14ac:dyDescent="0.25">
      <c r="A45" s="142" t="s">
        <v>36</v>
      </c>
      <c r="B45" s="142"/>
      <c r="C45" s="142"/>
      <c r="D45" s="142"/>
      <c r="E45" s="234">
        <f>E43+E44</f>
        <v>2.5586206896551724</v>
      </c>
      <c r="F45" s="234"/>
      <c r="G45" s="234"/>
      <c r="H45" s="234"/>
    </row>
    <row r="46" spans="1:19" x14ac:dyDescent="0.25">
      <c r="A46" s="142" t="s">
        <v>88</v>
      </c>
      <c r="B46" s="142"/>
      <c r="C46" s="142"/>
      <c r="D46" s="142"/>
      <c r="E46" s="235">
        <v>10388</v>
      </c>
      <c r="F46" s="235"/>
      <c r="G46" s="235"/>
      <c r="H46" s="235"/>
    </row>
    <row r="47" spans="1:19" x14ac:dyDescent="0.25">
      <c r="A47" s="202" t="s">
        <v>37</v>
      </c>
      <c r="B47" s="202"/>
      <c r="C47" s="202"/>
      <c r="D47" s="202"/>
      <c r="E47" s="202" t="s">
        <v>366</v>
      </c>
      <c r="F47" s="202"/>
      <c r="G47" s="202"/>
      <c r="H47" s="202"/>
    </row>
    <row r="48" spans="1:19" x14ac:dyDescent="0.25">
      <c r="A48" s="233" t="s">
        <v>38</v>
      </c>
      <c r="B48" s="233"/>
      <c r="C48" s="233"/>
      <c r="D48" s="233"/>
      <c r="E48" s="233"/>
      <c r="F48" s="233"/>
      <c r="G48" s="233"/>
      <c r="H48" s="233"/>
    </row>
    <row r="49" spans="1:24" ht="33.75" customHeight="1" x14ac:dyDescent="0.25">
      <c r="A49" s="168" t="s">
        <v>148</v>
      </c>
      <c r="B49" s="170"/>
      <c r="C49" s="243" t="s">
        <v>268</v>
      </c>
      <c r="D49" s="244"/>
      <c r="E49" s="244"/>
      <c r="F49" s="244"/>
      <c r="G49" s="244"/>
      <c r="H49" s="245"/>
      <c r="R49" t="s">
        <v>251</v>
      </c>
      <c r="S49" s="55" t="s">
        <v>170</v>
      </c>
      <c r="T49" s="55" t="s">
        <v>177</v>
      </c>
      <c r="U49" s="55" t="s">
        <v>191</v>
      </c>
      <c r="V49" s="55" t="s">
        <v>186</v>
      </c>
    </row>
    <row r="50" spans="1:24" ht="15.75" customHeight="1" x14ac:dyDescent="0.25">
      <c r="A50" s="168" t="s">
        <v>39</v>
      </c>
      <c r="B50" s="170"/>
      <c r="C50" s="168" t="s">
        <v>367</v>
      </c>
      <c r="D50" s="169"/>
      <c r="E50" s="170"/>
      <c r="F50" s="17" t="s">
        <v>40</v>
      </c>
      <c r="G50" s="223">
        <v>45442</v>
      </c>
      <c r="H50" s="170"/>
      <c r="R50"/>
      <c r="S50" s="55" t="s">
        <v>252</v>
      </c>
      <c r="T50" s="55" t="s">
        <v>257</v>
      </c>
      <c r="U50" s="55" t="s">
        <v>268</v>
      </c>
      <c r="V50" s="55" t="s">
        <v>273</v>
      </c>
    </row>
    <row r="51" spans="1:24" x14ac:dyDescent="0.25">
      <c r="A51" s="168" t="s">
        <v>41</v>
      </c>
      <c r="B51" s="170"/>
      <c r="C51" s="168" t="str">
        <f>C50</f>
        <v>CARPC/B/2024/APL/00636</v>
      </c>
      <c r="D51" s="169"/>
      <c r="E51" s="170"/>
      <c r="F51" s="17" t="s">
        <v>40</v>
      </c>
      <c r="G51" s="223">
        <f>G50</f>
        <v>45442</v>
      </c>
      <c r="H51" s="170"/>
      <c r="R51"/>
      <c r="S51" s="55" t="s">
        <v>253</v>
      </c>
      <c r="T51" s="55" t="s">
        <v>258</v>
      </c>
      <c r="U51" s="55" t="s">
        <v>266</v>
      </c>
      <c r="V51" s="55" t="s">
        <v>274</v>
      </c>
    </row>
    <row r="52" spans="1:24" s="22" customFormat="1" ht="15.75" customHeight="1" x14ac:dyDescent="0.25">
      <c r="A52" s="239" t="s">
        <v>152</v>
      </c>
      <c r="B52" s="240"/>
      <c r="C52" s="168" t="str">
        <f>C51</f>
        <v>CARPC/B/2024/APL/00636</v>
      </c>
      <c r="D52" s="169"/>
      <c r="E52" s="170"/>
      <c r="F52" s="17" t="s">
        <v>40</v>
      </c>
      <c r="G52" s="223">
        <f>G51</f>
        <v>45442</v>
      </c>
      <c r="H52" s="170"/>
      <c r="R52"/>
      <c r="S52" s="55" t="s">
        <v>254</v>
      </c>
      <c r="T52" s="55" t="s">
        <v>259</v>
      </c>
      <c r="U52" s="55" t="s">
        <v>256</v>
      </c>
      <c r="V52" s="55" t="s">
        <v>275</v>
      </c>
    </row>
    <row r="53" spans="1:24" s="22" customFormat="1" ht="33.75" customHeight="1" x14ac:dyDescent="0.25">
      <c r="A53" s="241"/>
      <c r="B53" s="242"/>
      <c r="C53" s="220" t="s">
        <v>398</v>
      </c>
      <c r="D53" s="221"/>
      <c r="E53" s="221"/>
      <c r="F53" s="221"/>
      <c r="G53" s="221"/>
      <c r="H53" s="222"/>
      <c r="R53"/>
      <c r="S53" s="55" t="s">
        <v>255</v>
      </c>
      <c r="T53" s="55" t="s">
        <v>262</v>
      </c>
      <c r="U53" s="55" t="s">
        <v>269</v>
      </c>
      <c r="V53" s="74"/>
    </row>
    <row r="54" spans="1:24" s="22" customFormat="1" ht="30" customHeight="1" x14ac:dyDescent="0.25">
      <c r="A54" s="164" t="s">
        <v>279</v>
      </c>
      <c r="B54" s="165"/>
      <c r="C54" s="168" t="s">
        <v>405</v>
      </c>
      <c r="D54" s="169"/>
      <c r="E54" s="170"/>
      <c r="F54" s="17" t="s">
        <v>40</v>
      </c>
      <c r="G54" s="171">
        <v>45373</v>
      </c>
      <c r="H54" s="172"/>
      <c r="R54"/>
      <c r="S54" s="55" t="s">
        <v>254</v>
      </c>
      <c r="T54" s="55" t="s">
        <v>259</v>
      </c>
      <c r="U54" s="55" t="s">
        <v>256</v>
      </c>
      <c r="V54" s="55" t="s">
        <v>275</v>
      </c>
    </row>
    <row r="55" spans="1:24" s="22" customFormat="1" ht="32.25" customHeight="1" x14ac:dyDescent="0.25">
      <c r="A55" s="166"/>
      <c r="B55" s="167"/>
      <c r="C55" s="220" t="s">
        <v>406</v>
      </c>
      <c r="D55" s="221"/>
      <c r="E55" s="221"/>
      <c r="F55" s="221"/>
      <c r="G55" s="221"/>
      <c r="H55" s="222"/>
      <c r="R55"/>
      <c r="S55" s="55" t="s">
        <v>256</v>
      </c>
      <c r="T55" s="55" t="s">
        <v>260</v>
      </c>
      <c r="U55" s="55" t="s">
        <v>270</v>
      </c>
      <c r="V55" s="75"/>
      <c r="W55" s="20"/>
      <c r="X55" s="20"/>
    </row>
    <row r="56" spans="1:24" s="22" customFormat="1" ht="34.5" hidden="1" customHeight="1" x14ac:dyDescent="0.25">
      <c r="A56" s="173" t="s">
        <v>280</v>
      </c>
      <c r="B56" s="174"/>
      <c r="C56" s="168"/>
      <c r="D56" s="169"/>
      <c r="E56" s="170"/>
      <c r="F56" s="17" t="s">
        <v>40</v>
      </c>
      <c r="G56" s="168">
        <f>G55</f>
        <v>0</v>
      </c>
      <c r="H56" s="170"/>
      <c r="R56"/>
      <c r="S56" s="75"/>
      <c r="T56" s="55" t="s">
        <v>261</v>
      </c>
      <c r="U56" s="55" t="s">
        <v>271</v>
      </c>
      <c r="V56" s="75"/>
      <c r="W56" s="20"/>
      <c r="X56" s="20"/>
    </row>
    <row r="57" spans="1:24" s="22" customFormat="1" ht="41.25" hidden="1" customHeight="1" x14ac:dyDescent="0.25">
      <c r="A57" s="175"/>
      <c r="B57" s="176"/>
      <c r="C57" s="168"/>
      <c r="D57" s="169"/>
      <c r="E57" s="169"/>
      <c r="F57" s="169"/>
      <c r="G57" s="169"/>
      <c r="H57" s="170"/>
      <c r="R57"/>
      <c r="S57" s="75"/>
      <c r="T57" s="55" t="s">
        <v>263</v>
      </c>
      <c r="U57" s="55" t="s">
        <v>272</v>
      </c>
      <c r="V57" s="75"/>
      <c r="W57" s="20"/>
      <c r="X57" s="20"/>
    </row>
    <row r="58" spans="1:24" s="22" customFormat="1" ht="15.75" customHeight="1" x14ac:dyDescent="0.25">
      <c r="A58" s="164" t="s">
        <v>281</v>
      </c>
      <c r="B58" s="165"/>
      <c r="C58" s="168" t="s">
        <v>407</v>
      </c>
      <c r="D58" s="169"/>
      <c r="E58" s="170"/>
      <c r="F58" s="17" t="s">
        <v>40</v>
      </c>
      <c r="G58" s="223">
        <v>45344</v>
      </c>
      <c r="H58" s="170"/>
      <c r="R58"/>
      <c r="S58" s="75"/>
      <c r="T58" s="55" t="s">
        <v>264</v>
      </c>
      <c r="U58" s="75" t="s">
        <v>295</v>
      </c>
      <c r="V58" s="75"/>
      <c r="W58" s="20"/>
      <c r="X58" s="20"/>
    </row>
    <row r="59" spans="1:24" s="22" customFormat="1" ht="33" customHeight="1" x14ac:dyDescent="0.25">
      <c r="A59" s="166"/>
      <c r="B59" s="167"/>
      <c r="C59" s="168" t="s">
        <v>409</v>
      </c>
      <c r="D59" s="169"/>
      <c r="E59" s="170"/>
      <c r="F59" s="17" t="s">
        <v>408</v>
      </c>
      <c r="G59" s="223">
        <v>48265</v>
      </c>
      <c r="H59" s="170"/>
      <c r="R59"/>
      <c r="S59" s="75"/>
      <c r="T59" s="55" t="s">
        <v>265</v>
      </c>
      <c r="U59" s="75"/>
      <c r="V59" s="75"/>
      <c r="W59" s="20"/>
      <c r="X59" s="20"/>
    </row>
    <row r="60" spans="1:24" ht="39.75" customHeight="1" x14ac:dyDescent="0.25">
      <c r="A60" s="155" t="s">
        <v>42</v>
      </c>
      <c r="B60" s="156"/>
      <c r="C60" s="155" t="s">
        <v>102</v>
      </c>
      <c r="D60" s="157"/>
      <c r="E60" s="156"/>
      <c r="F60" s="42" t="s">
        <v>40</v>
      </c>
      <c r="G60" s="162" t="s">
        <v>28</v>
      </c>
      <c r="H60" s="163"/>
      <c r="R60"/>
      <c r="S60" s="75"/>
      <c r="T60" s="55" t="s">
        <v>267</v>
      </c>
      <c r="U60" s="75"/>
      <c r="V60" s="75"/>
    </row>
    <row r="61" spans="1:24" x14ac:dyDescent="0.25">
      <c r="A61" s="197" t="s">
        <v>44</v>
      </c>
      <c r="B61" s="197"/>
      <c r="C61" s="197"/>
      <c r="D61" s="197"/>
      <c r="E61" s="197"/>
      <c r="F61" s="197"/>
      <c r="G61" s="197"/>
      <c r="H61" s="197"/>
      <c r="S61" s="75"/>
      <c r="T61" s="55" t="s">
        <v>276</v>
      </c>
      <c r="U61" s="75"/>
      <c r="V61" s="75"/>
    </row>
    <row r="62" spans="1:24" x14ac:dyDescent="0.25">
      <c r="A62" s="160" t="s">
        <v>87</v>
      </c>
      <c r="B62" s="160"/>
      <c r="C62" s="160"/>
      <c r="D62" s="142">
        <f>E46</f>
        <v>10388</v>
      </c>
      <c r="E62" s="142"/>
      <c r="F62" s="142"/>
      <c r="G62" s="142"/>
      <c r="H62" s="142"/>
      <c r="R62"/>
    </row>
    <row r="63" spans="1:24" x14ac:dyDescent="0.25">
      <c r="A63" s="205" t="s">
        <v>45</v>
      </c>
      <c r="B63" s="202"/>
      <c r="C63" s="202"/>
      <c r="D63" s="161" t="s">
        <v>395</v>
      </c>
      <c r="E63" s="161"/>
      <c r="F63" s="161"/>
      <c r="G63" s="161"/>
      <c r="H63" s="161"/>
      <c r="I63" s="23"/>
      <c r="R63"/>
    </row>
    <row r="64" spans="1:24" ht="33" customHeight="1" x14ac:dyDescent="0.25">
      <c r="A64" s="217" t="s">
        <v>46</v>
      </c>
      <c r="B64" s="218"/>
      <c r="C64" s="219"/>
      <c r="D64" s="215" t="s">
        <v>369</v>
      </c>
      <c r="E64" s="216"/>
      <c r="F64" s="216"/>
      <c r="G64" s="216"/>
      <c r="H64" s="216"/>
      <c r="R64"/>
    </row>
    <row r="65" spans="1:19" ht="15.75" customHeight="1" x14ac:dyDescent="0.25">
      <c r="A65" s="217" t="s">
        <v>85</v>
      </c>
      <c r="B65" s="218"/>
      <c r="C65" s="218"/>
      <c r="D65" s="227" t="s">
        <v>368</v>
      </c>
      <c r="E65" s="228"/>
      <c r="F65" s="228"/>
      <c r="G65" s="228"/>
      <c r="H65" s="229"/>
      <c r="R65"/>
    </row>
    <row r="66" spans="1:19" ht="15.75" customHeight="1" x14ac:dyDescent="0.25">
      <c r="A66" s="225"/>
      <c r="B66" s="226"/>
      <c r="C66" s="226"/>
      <c r="D66" s="230" t="s">
        <v>370</v>
      </c>
      <c r="E66" s="231"/>
      <c r="F66" s="231"/>
      <c r="G66" s="231"/>
      <c r="H66" s="232"/>
      <c r="R66"/>
    </row>
    <row r="67" spans="1:19" ht="15.75" customHeight="1" x14ac:dyDescent="0.25">
      <c r="A67" s="142" t="s">
        <v>43</v>
      </c>
      <c r="B67" s="142"/>
      <c r="C67" s="142"/>
      <c r="D67" s="238" t="s">
        <v>371</v>
      </c>
      <c r="E67" s="238"/>
      <c r="F67" s="238"/>
      <c r="G67" s="238"/>
      <c r="H67" s="238"/>
      <c r="J67" s="24"/>
      <c r="K67" s="23"/>
      <c r="N67" s="23"/>
      <c r="S67"/>
    </row>
    <row r="68" spans="1:19" ht="15.75" customHeight="1" x14ac:dyDescent="0.25">
      <c r="A68" s="142" t="s">
        <v>83</v>
      </c>
      <c r="B68" s="142"/>
      <c r="C68" s="142"/>
      <c r="D68" s="224" t="str">
        <f>(IF(G60="NA","60 Years After Completion",IF(G60&lt;&gt;"NA",""&amp;60-ROUNDDOWN((E3-G60)/360,0)&amp;" Years"," ")))</f>
        <v>60 Years After Completion</v>
      </c>
      <c r="E68" s="224"/>
      <c r="F68" s="224"/>
      <c r="G68" s="224"/>
      <c r="H68" s="224"/>
      <c r="N68" s="23"/>
      <c r="S68"/>
    </row>
    <row r="69" spans="1:19" ht="15.75" customHeight="1" x14ac:dyDescent="0.25">
      <c r="A69" s="142" t="s">
        <v>84</v>
      </c>
      <c r="B69" s="142"/>
      <c r="C69" s="142"/>
      <c r="D69" s="160" t="s">
        <v>23</v>
      </c>
      <c r="E69" s="160"/>
      <c r="F69" s="160"/>
      <c r="G69" s="160"/>
      <c r="H69" s="160"/>
      <c r="J69" s="25"/>
      <c r="K69" s="25"/>
      <c r="S69"/>
    </row>
    <row r="70" spans="1:19" ht="62.25" customHeight="1" x14ac:dyDescent="0.25">
      <c r="A70" s="202" t="s">
        <v>372</v>
      </c>
      <c r="B70" s="202"/>
      <c r="C70" s="202"/>
      <c r="D70" s="205" t="s">
        <v>373</v>
      </c>
      <c r="E70" s="205"/>
      <c r="F70" s="205"/>
      <c r="G70" s="205"/>
      <c r="H70" s="205"/>
      <c r="I70" s="20" t="s">
        <v>374</v>
      </c>
      <c r="S70"/>
    </row>
    <row r="71" spans="1:19" x14ac:dyDescent="0.25">
      <c r="A71" s="160" t="s">
        <v>145</v>
      </c>
      <c r="B71" s="160"/>
      <c r="C71" s="160"/>
      <c r="D71" s="160" t="s">
        <v>28</v>
      </c>
      <c r="E71" s="160"/>
      <c r="F71" s="160"/>
      <c r="G71" s="160"/>
      <c r="H71" s="160"/>
      <c r="I71" s="26"/>
      <c r="J71" s="26"/>
      <c r="K71" s="26"/>
      <c r="L71" s="26"/>
      <c r="M71" s="26"/>
      <c r="N71" s="26"/>
    </row>
    <row r="72" spans="1:19" ht="15.75" customHeight="1" x14ac:dyDescent="0.25">
      <c r="A72" s="142" t="s">
        <v>82</v>
      </c>
      <c r="B72" s="142"/>
      <c r="C72" s="142"/>
      <c r="D72" s="205" t="str">
        <f ca="1">(IF(G78&gt;95%,"Nothing",IF(G78&gt;0%,"Cement, Aggregate, Steel, etc",IF(G78=0%,"Work not yet Started"))))</f>
        <v>Cement, Aggregate, Steel, etc</v>
      </c>
      <c r="E72" s="205"/>
      <c r="F72" s="205"/>
      <c r="G72" s="205"/>
      <c r="H72" s="205"/>
      <c r="J72" s="25"/>
      <c r="S72"/>
    </row>
    <row r="73" spans="1:19" ht="33.75" customHeight="1" thickBot="1" x14ac:dyDescent="0.3">
      <c r="A73" s="160" t="s">
        <v>115</v>
      </c>
      <c r="B73" s="160"/>
      <c r="C73" s="160"/>
      <c r="D73" s="205" t="str">
        <f ca="1">(IF(D72="Nothing","Yes",IF(D72="Cement, Aggregate, Steel, etc","Under Construction",IF(D72="Work not yet Started","Work not yet Started"))))</f>
        <v>Under Construction</v>
      </c>
      <c r="E73" s="205"/>
      <c r="F73" s="205" t="str">
        <f ca="1">(IF(D72="Nothing","Yes",IF(D72="Cement, Aggregate, Steel, etc","Under Construction",IF(D72="Work not yet Started","Work not yet Started"))))</f>
        <v>Under Construction</v>
      </c>
      <c r="G73" s="205"/>
      <c r="H73" s="205"/>
      <c r="S73"/>
    </row>
    <row r="74" spans="1:19" ht="15.75" customHeight="1" x14ac:dyDescent="0.25">
      <c r="A74" s="210" t="s">
        <v>137</v>
      </c>
      <c r="B74" s="211"/>
      <c r="C74" s="212" t="str">
        <f>D65</f>
        <v>Wing A = Gr + 1st to 13th Floor</v>
      </c>
      <c r="D74" s="213"/>
      <c r="E74" s="213"/>
      <c r="F74" s="213"/>
      <c r="G74" s="213"/>
      <c r="H74" s="214"/>
      <c r="I74" s="44" t="str">
        <f ca="1">IF(D87=100%,"All work Completed. Possession granted to the Building.",IF(D86=100%,"All work Completed, Waiting for OC",I75&amp;""&amp;I76&amp;""&amp;J75&amp;""&amp;J74&amp;" "&amp;J76))</f>
        <v>Excavation, Plinth Completed, RCC upto 5 Slab Completed</v>
      </c>
      <c r="J74" s="45"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5 Slab</v>
      </c>
      <c r="S74"/>
    </row>
    <row r="75" spans="1:19" x14ac:dyDescent="0.25">
      <c r="A75" s="15" t="s">
        <v>139</v>
      </c>
      <c r="B75" s="48">
        <f>IF(AND(ISNUMBER(SEARCH("1B",C74))),1,IF(AND(ISNUMBER(SEARCH("2B",C74))),2,IF(AND(ISNUMBER(SEARCH("3B",C74))),3,IF(AND(ISNUMBER(SEARCH("4B",C74))),4,IF(ISNUMBER(SEARCH("5B",C74)),5,0)))))</f>
        <v>0</v>
      </c>
      <c r="C75" s="48" t="s">
        <v>68</v>
      </c>
      <c r="D75" s="48">
        <v>1</v>
      </c>
      <c r="E75" s="48" t="s">
        <v>67</v>
      </c>
      <c r="F75" s="48">
        <v>0</v>
      </c>
      <c r="G75" s="48" t="s">
        <v>76</v>
      </c>
      <c r="H75" s="16">
        <f ca="1">--TRIM(RIGHT(SUBSTITUTE(LEFT(C74,_xlfn.AGGREGATE(16,6,FIND({0,1,2,3,4,5,6,7,8,9},C74,ROW(INDIRECT("1:"&amp;LEN(C74)))),1))," ",REPT(" ",LEN(C74))),LEN(C74)))</f>
        <v>13</v>
      </c>
      <c r="I75" s="46" t="str">
        <f ca="1">IF(D78=100%,"Excavation","")&amp;IF(D79=100%,", Plinth","")&amp;IF(D80=100%,", RCC Slab","")&amp;IF(D81=100%,", Brickwork","")&amp;IF(D82=100%,", Internal Plaster","")&amp;IF(D83=100%,", External Plaster","")&amp;IF(D84=100%,", Flooring","")&amp;IF(D85=100%,", Painting","")&amp;IF(D86=100%,", Building common Amenities","")</f>
        <v>Excavation, Plinth</v>
      </c>
      <c r="J75" s="47"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x14ac:dyDescent="0.25">
      <c r="A76" s="127" t="s">
        <v>86</v>
      </c>
      <c r="B76" s="128"/>
      <c r="C76" s="260" t="str">
        <f ca="1">I74</f>
        <v>Excavation, Plinth Completed, RCC upto 5 Slab Completed</v>
      </c>
      <c r="D76" s="260"/>
      <c r="E76" s="260"/>
      <c r="F76" s="260"/>
      <c r="G76" s="260"/>
      <c r="H76" s="261"/>
      <c r="I76" s="46" t="str">
        <f ca="1">IF(I75&lt;&gt;""," Completed","")</f>
        <v xml:space="preserve"> Completed</v>
      </c>
      <c r="J76" s="47" t="str">
        <f ca="1">IF(J74&lt;&gt;"","Completed","")</f>
        <v>Completed</v>
      </c>
      <c r="S76"/>
    </row>
    <row r="77" spans="1:19" ht="15.75" customHeight="1" x14ac:dyDescent="0.25">
      <c r="A77" s="129" t="s">
        <v>47</v>
      </c>
      <c r="B77" s="130"/>
      <c r="C77" s="92" t="s">
        <v>136</v>
      </c>
      <c r="D77" s="92" t="s">
        <v>79</v>
      </c>
      <c r="E77" s="130" t="s">
        <v>81</v>
      </c>
      <c r="F77" s="130"/>
      <c r="G77" s="130" t="s">
        <v>80</v>
      </c>
      <c r="H77" s="148"/>
      <c r="I77" s="13" t="s">
        <v>138</v>
      </c>
      <c r="J77" s="27">
        <f ca="1">H75*25%</f>
        <v>3.25</v>
      </c>
      <c r="S77"/>
    </row>
    <row r="78" spans="1:19" x14ac:dyDescent="0.25">
      <c r="A78" s="129" t="s">
        <v>125</v>
      </c>
      <c r="B78" s="130"/>
      <c r="C78" s="92">
        <f ca="1">J79</f>
        <v>13</v>
      </c>
      <c r="D78" s="93">
        <f ca="1">((100/H75)*C78)/100</f>
        <v>1</v>
      </c>
      <c r="E78" s="133">
        <f ca="1">(((C79/H75*10)+(40/(D75+F75+H75)*C80)+(7.5/(H75)*C81)+(7.5/(H75)*C82)+(10/H75*C83)+(10/H75*C84)+(5/H75*C85)+(5/H75*C86)+(5/H75*C87))/100)</f>
        <v>0.24285714285714285</v>
      </c>
      <c r="F78" s="134"/>
      <c r="G78" s="133">
        <f ca="1">((((C78/H75)*20)+((C79/H75)*25)+(30/(H75+F75+D75)*C80)+(5/H75*C81)+(5/H75*C82)+(5/H75*C83)+(5/H75*C84)+(0/H75*C85)+(0/H75*C86)+(5/H75*C87))/100)</f>
        <v>0.55714285714285716</v>
      </c>
      <c r="H78" s="139"/>
      <c r="I78" s="13" t="s">
        <v>97</v>
      </c>
      <c r="J78" s="28">
        <f ca="1">H75*50%</f>
        <v>6.5</v>
      </c>
    </row>
    <row r="79" spans="1:19" x14ac:dyDescent="0.25">
      <c r="A79" s="129" t="s">
        <v>48</v>
      </c>
      <c r="B79" s="130"/>
      <c r="C79" s="96">
        <f ca="1">J87</f>
        <v>13</v>
      </c>
      <c r="D79" s="93">
        <f ca="1">((100/H75)*C79)/100</f>
        <v>1</v>
      </c>
      <c r="E79" s="135"/>
      <c r="F79" s="136"/>
      <c r="G79" s="135"/>
      <c r="H79" s="140"/>
      <c r="I79" s="13" t="s">
        <v>98</v>
      </c>
      <c r="J79" s="28">
        <f ca="1">H75</f>
        <v>13</v>
      </c>
      <c r="S79"/>
    </row>
    <row r="80" spans="1:19" ht="15.75" customHeight="1" x14ac:dyDescent="0.25">
      <c r="A80" s="129" t="s">
        <v>126</v>
      </c>
      <c r="B80" s="130"/>
      <c r="C80" s="92">
        <v>5</v>
      </c>
      <c r="D80" s="93">
        <f ca="1">((100/(D75+F75+H75))*C80)/100</f>
        <v>0.35714285714285715</v>
      </c>
      <c r="E80" s="135"/>
      <c r="F80" s="136"/>
      <c r="G80" s="135"/>
      <c r="H80" s="140"/>
      <c r="I80" s="13" t="s">
        <v>99</v>
      </c>
      <c r="J80" s="29">
        <f ca="1">(IF(B75&gt;1,(H75/(B75+2)),H75/4))</f>
        <v>3.25</v>
      </c>
      <c r="S80"/>
    </row>
    <row r="81" spans="1:19" ht="15.75" customHeight="1" x14ac:dyDescent="0.25">
      <c r="A81" s="129" t="s">
        <v>133</v>
      </c>
      <c r="B81" s="130" t="s">
        <v>127</v>
      </c>
      <c r="C81" s="92">
        <v>0</v>
      </c>
      <c r="D81" s="93">
        <f ca="1">((100/H75)*C81)/100</f>
        <v>0</v>
      </c>
      <c r="E81" s="135"/>
      <c r="F81" s="136"/>
      <c r="G81" s="135"/>
      <c r="H81" s="140"/>
      <c r="I81" s="13" t="s">
        <v>100</v>
      </c>
      <c r="J81" s="29">
        <f ca="1">(IF(B75&gt;1,(H75/(B75+2)+J80),H75/4+J80))</f>
        <v>6.5</v>
      </c>
    </row>
    <row r="82" spans="1:19" ht="15.75" customHeight="1" x14ac:dyDescent="0.25">
      <c r="A82" s="129" t="s">
        <v>134</v>
      </c>
      <c r="B82" s="130" t="s">
        <v>127</v>
      </c>
      <c r="C82" s="92">
        <v>0</v>
      </c>
      <c r="D82" s="93">
        <f ca="1">((100/H75)*C82)/100</f>
        <v>0</v>
      </c>
      <c r="E82" s="135"/>
      <c r="F82" s="136"/>
      <c r="G82" s="135"/>
      <c r="H82" s="140"/>
      <c r="I82" s="13" t="s">
        <v>143</v>
      </c>
      <c r="J82" s="29">
        <f>(IF(B75&gt;1,(H75/(B75+2)+J81),0))</f>
        <v>0</v>
      </c>
    </row>
    <row r="83" spans="1:19" ht="15" customHeight="1" x14ac:dyDescent="0.25">
      <c r="A83" s="129" t="s">
        <v>132</v>
      </c>
      <c r="B83" s="130" t="s">
        <v>129</v>
      </c>
      <c r="C83" s="92">
        <v>0</v>
      </c>
      <c r="D83" s="93">
        <f ca="1">((100/(H75))*C83)/100</f>
        <v>0</v>
      </c>
      <c r="E83" s="135"/>
      <c r="F83" s="136"/>
      <c r="G83" s="135"/>
      <c r="H83" s="140"/>
      <c r="I83" s="13" t="s">
        <v>140</v>
      </c>
      <c r="J83" s="29">
        <f>(IF(B75&gt;2,(H75/(B75+2)+J82),0))</f>
        <v>0</v>
      </c>
    </row>
    <row r="84" spans="1:19" ht="15.75" customHeight="1" x14ac:dyDescent="0.25">
      <c r="A84" s="129" t="s">
        <v>128</v>
      </c>
      <c r="B84" s="130" t="s">
        <v>128</v>
      </c>
      <c r="C84" s="92">
        <v>0</v>
      </c>
      <c r="D84" s="93">
        <f ca="1">((100/H75)*C84)/100</f>
        <v>0</v>
      </c>
      <c r="E84" s="135"/>
      <c r="F84" s="136"/>
      <c r="G84" s="135"/>
      <c r="H84" s="140"/>
      <c r="I84" s="13" t="s">
        <v>141</v>
      </c>
      <c r="J84" s="30">
        <f>(IF(B75&gt;3,(H75/(B75+2)+J83),0))</f>
        <v>0</v>
      </c>
    </row>
    <row r="85" spans="1:19" ht="15.75" customHeight="1" x14ac:dyDescent="0.25">
      <c r="A85" s="129" t="s">
        <v>135</v>
      </c>
      <c r="B85" s="130"/>
      <c r="C85" s="92">
        <v>0</v>
      </c>
      <c r="D85" s="93">
        <f ca="1">((100/H75)*C85)/100</f>
        <v>0</v>
      </c>
      <c r="E85" s="135"/>
      <c r="F85" s="136"/>
      <c r="G85" s="135"/>
      <c r="H85" s="140"/>
      <c r="I85" s="13" t="s">
        <v>142</v>
      </c>
      <c r="J85" s="29">
        <f>(IF(B75&gt;4,(H75/(B75+2)+J84),0))</f>
        <v>0</v>
      </c>
    </row>
    <row r="86" spans="1:19" ht="15.75" customHeight="1" x14ac:dyDescent="0.25">
      <c r="A86" s="129" t="s">
        <v>130</v>
      </c>
      <c r="B86" s="130" t="s">
        <v>130</v>
      </c>
      <c r="C86" s="92">
        <v>0</v>
      </c>
      <c r="D86" s="93">
        <f ca="1">((100/(H75))*C86)/100</f>
        <v>0</v>
      </c>
      <c r="E86" s="135"/>
      <c r="F86" s="136"/>
      <c r="G86" s="135"/>
      <c r="H86" s="140"/>
      <c r="I86" s="13" t="s">
        <v>144</v>
      </c>
      <c r="J86" s="29">
        <f ca="1">(IF(B75=1,(H75/(B75+3)+J81),IF(B75=0,(H75/4+J81),IF(B75&gt;1,0))))</f>
        <v>9.75</v>
      </c>
    </row>
    <row r="87" spans="1:19" ht="16.5" thickBot="1" x14ac:dyDescent="0.3">
      <c r="A87" s="149" t="s">
        <v>131</v>
      </c>
      <c r="B87" s="150"/>
      <c r="C87" s="94">
        <v>0</v>
      </c>
      <c r="D87" s="95">
        <f ca="1">((100/(H75))*C87)/100</f>
        <v>0</v>
      </c>
      <c r="E87" s="137"/>
      <c r="F87" s="138"/>
      <c r="G87" s="137"/>
      <c r="H87" s="141"/>
      <c r="I87" s="14" t="s">
        <v>101</v>
      </c>
      <c r="J87" s="31">
        <f ca="1">(IF(B75&gt;1.5,(H75/(B75+2)+J81+MAX(0,J82-J81)+MAX(0,J83-J82)+MAX(0,J84-J83)+MAX(0,J85-J84)+MAX(0,J86-J85)),IF(B75=1,(H75/(B75+3)+J86),IF(B75=0,H75/4+J86))))</f>
        <v>13</v>
      </c>
    </row>
    <row r="88" spans="1:19" ht="15.75" customHeight="1" x14ac:dyDescent="0.25">
      <c r="A88" s="248" t="s">
        <v>137</v>
      </c>
      <c r="B88" s="249"/>
      <c r="C88" s="250" t="str">
        <f>D66</f>
        <v>Wing B = Gr + 1st to 11th Floor</v>
      </c>
      <c r="D88" s="251"/>
      <c r="E88" s="251"/>
      <c r="F88" s="251"/>
      <c r="G88" s="251"/>
      <c r="H88" s="252"/>
      <c r="I88" s="44" t="str">
        <f ca="1">IF(D101=100%,"All work Completed. Possession granted to the Building.",IF(D100=100%,"All work Completed, Waiting for OC",I89&amp;""&amp;I90&amp;""&amp;J89&amp;""&amp;J88&amp;" "&amp;J90))</f>
        <v>Excavation, Plinth Completed, RCC upto 4 Slab Completed</v>
      </c>
      <c r="J88" s="45"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RCC upto 4 Slab</v>
      </c>
      <c r="S88"/>
    </row>
    <row r="89" spans="1:19" x14ac:dyDescent="0.25">
      <c r="A89" s="15" t="s">
        <v>139</v>
      </c>
      <c r="B89" s="48">
        <f>IF(AND(ISNUMBER(SEARCH("1B",C88))),1,IF(AND(ISNUMBER(SEARCH("2B",C88))),2,IF(AND(ISNUMBER(SEARCH("3B",C88))),3,IF(AND(ISNUMBER(SEARCH("4B",C88))),4,IF(ISNUMBER(SEARCH("5B",C88)),5,0)))))</f>
        <v>0</v>
      </c>
      <c r="C89" s="48" t="s">
        <v>68</v>
      </c>
      <c r="D89" s="48">
        <v>1</v>
      </c>
      <c r="E89" s="48" t="s">
        <v>67</v>
      </c>
      <c r="F89" s="48">
        <v>0</v>
      </c>
      <c r="G89" s="48" t="s">
        <v>76</v>
      </c>
      <c r="H89" s="16">
        <f ca="1">--TRIM(RIGHT(SUBSTITUTE(LEFT(C88,_xlfn.AGGREGATE(16,6,FIND({0,1,2,3,4,5,6,7,8,9},C88,ROW(INDIRECT("1:"&amp;LEN(C88)))),1))," ",REPT(" ",LEN(C88))),LEN(C88)))</f>
        <v>11</v>
      </c>
      <c r="I89" s="46" t="str">
        <f ca="1">IF(D92=100%,"Excavation","")&amp;IF(D93=100%,", Plinth","")&amp;IF(D94=100%,", RCC Slab","")&amp;IF(D95=100%,", Brickwork","")&amp;IF(D96=100%,", Internal Plaster","")&amp;IF(D97=100%,", External Plaster","")&amp;IF(D98=100%,", Flooring","")&amp;IF(D99=100%,", Painting","")&amp;IF(D100=100%,", Building common Amenities","")</f>
        <v>Excavation, Plinth</v>
      </c>
      <c r="J89" s="47"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c r="S89"/>
    </row>
    <row r="90" spans="1:19" x14ac:dyDescent="0.25">
      <c r="A90" s="127" t="s">
        <v>86</v>
      </c>
      <c r="B90" s="128"/>
      <c r="C90" s="260" t="str">
        <f ca="1">I88</f>
        <v>Excavation, Plinth Completed, RCC upto 4 Slab Completed</v>
      </c>
      <c r="D90" s="260"/>
      <c r="E90" s="260"/>
      <c r="F90" s="260"/>
      <c r="G90" s="260"/>
      <c r="H90" s="261"/>
      <c r="I90" s="46" t="str">
        <f ca="1">IF(I89&lt;&gt;""," Completed","")</f>
        <v xml:space="preserve"> Completed</v>
      </c>
      <c r="J90" s="47" t="str">
        <f ca="1">IF(J88&lt;&gt;"","Completed","")</f>
        <v>Completed</v>
      </c>
      <c r="S90"/>
    </row>
    <row r="91" spans="1:19" ht="15.75" customHeight="1" x14ac:dyDescent="0.25">
      <c r="A91" s="131" t="s">
        <v>47</v>
      </c>
      <c r="B91" s="132"/>
      <c r="C91" s="77" t="s">
        <v>136</v>
      </c>
      <c r="D91" s="77" t="s">
        <v>79</v>
      </c>
      <c r="E91" s="132" t="s">
        <v>81</v>
      </c>
      <c r="F91" s="132"/>
      <c r="G91" s="132" t="s">
        <v>80</v>
      </c>
      <c r="H91" s="146"/>
      <c r="I91" s="13" t="s">
        <v>138</v>
      </c>
      <c r="J91" s="27">
        <f ca="1">H89*25%</f>
        <v>2.75</v>
      </c>
      <c r="S91"/>
    </row>
    <row r="92" spans="1:19" x14ac:dyDescent="0.25">
      <c r="A92" s="131" t="s">
        <v>125</v>
      </c>
      <c r="B92" s="132"/>
      <c r="C92" s="98">
        <f ca="1">J93</f>
        <v>11</v>
      </c>
      <c r="D92" s="18">
        <f ca="1">((100/H89)*C92)/100</f>
        <v>1.0000000000000002</v>
      </c>
      <c r="E92" s="254">
        <f ca="1">(((C93/H89*10)+(40/(D89+F89+H89)*C94)+(7.5/(H89)*C95)+(7.5/(H89)*C96)+(10/H89*C97)+(10/H89*C98)+(5/H89*C99)+(5/H89*C100)+(5/H89*C101))/100)</f>
        <v>0.23333333333333336</v>
      </c>
      <c r="F92" s="255"/>
      <c r="G92" s="254">
        <f ca="1">((((C92/H89)*20)+((C93/H89)*25)+(30/(H89+F89+D89)*C94)+(5/H89*C95)+(5/H89*C96)+(5/H89*C97)+(5/H89*C98)+(0/H89*C99)+(0/H89*C100)+(5/H89*C101))/100)</f>
        <v>0.55000000000000004</v>
      </c>
      <c r="H92" s="262"/>
      <c r="I92" s="13" t="s">
        <v>97</v>
      </c>
      <c r="J92" s="28">
        <f ca="1">H89*50%</f>
        <v>5.5</v>
      </c>
    </row>
    <row r="93" spans="1:19" x14ac:dyDescent="0.25">
      <c r="A93" s="131" t="s">
        <v>48</v>
      </c>
      <c r="B93" s="132"/>
      <c r="C93" s="103">
        <f ca="1">J101</f>
        <v>11</v>
      </c>
      <c r="D93" s="18">
        <f ca="1">((100/H89)*C93)/100</f>
        <v>1.0000000000000002</v>
      </c>
      <c r="E93" s="256"/>
      <c r="F93" s="257"/>
      <c r="G93" s="256"/>
      <c r="H93" s="263"/>
      <c r="I93" s="13" t="s">
        <v>98</v>
      </c>
      <c r="J93" s="28">
        <f ca="1">H89</f>
        <v>11</v>
      </c>
      <c r="S93"/>
    </row>
    <row r="94" spans="1:19" ht="15.75" customHeight="1" x14ac:dyDescent="0.25">
      <c r="A94" s="131" t="s">
        <v>126</v>
      </c>
      <c r="B94" s="132"/>
      <c r="C94" s="77">
        <v>4</v>
      </c>
      <c r="D94" s="18">
        <f ca="1">((100/(D89+F89+H89))*C94)/100</f>
        <v>0.33333333333333337</v>
      </c>
      <c r="E94" s="256"/>
      <c r="F94" s="257"/>
      <c r="G94" s="256"/>
      <c r="H94" s="263"/>
      <c r="I94" s="13" t="s">
        <v>99</v>
      </c>
      <c r="J94" s="29">
        <f ca="1">(IF(B89&gt;1,(H89/(B89+2)),H89/4))</f>
        <v>2.75</v>
      </c>
      <c r="S94"/>
    </row>
    <row r="95" spans="1:19" ht="15.75" customHeight="1" x14ac:dyDescent="0.25">
      <c r="A95" s="131" t="s">
        <v>133</v>
      </c>
      <c r="B95" s="132" t="s">
        <v>127</v>
      </c>
      <c r="C95" s="77">
        <v>0</v>
      </c>
      <c r="D95" s="18">
        <f ca="1">((100/H89)*C95)/100</f>
        <v>0</v>
      </c>
      <c r="E95" s="256"/>
      <c r="F95" s="257"/>
      <c r="G95" s="256"/>
      <c r="H95" s="263"/>
      <c r="I95" s="13" t="s">
        <v>100</v>
      </c>
      <c r="J95" s="29">
        <f ca="1">(IF(B89&gt;1,(H89/(B89+2)+J94),H89/4+J94))</f>
        <v>5.5</v>
      </c>
    </row>
    <row r="96" spans="1:19" ht="15.75" customHeight="1" x14ac:dyDescent="0.25">
      <c r="A96" s="131" t="s">
        <v>134</v>
      </c>
      <c r="B96" s="132" t="s">
        <v>127</v>
      </c>
      <c r="C96" s="77">
        <v>0</v>
      </c>
      <c r="D96" s="18">
        <f ca="1">((100/H89)*C96)/100</f>
        <v>0</v>
      </c>
      <c r="E96" s="256"/>
      <c r="F96" s="257"/>
      <c r="G96" s="256"/>
      <c r="H96" s="263"/>
      <c r="I96" s="13" t="s">
        <v>143</v>
      </c>
      <c r="J96" s="29">
        <f>(IF(B89&gt;1,(H89/(B89+2)+J95),0))</f>
        <v>0</v>
      </c>
    </row>
    <row r="97" spans="1:22" ht="15" customHeight="1" x14ac:dyDescent="0.25">
      <c r="A97" s="131" t="s">
        <v>132</v>
      </c>
      <c r="B97" s="132" t="s">
        <v>129</v>
      </c>
      <c r="C97" s="77">
        <v>0</v>
      </c>
      <c r="D97" s="18">
        <f ca="1">((100/(H89))*C97)/100</f>
        <v>0</v>
      </c>
      <c r="E97" s="256"/>
      <c r="F97" s="257"/>
      <c r="G97" s="256"/>
      <c r="H97" s="263"/>
      <c r="I97" s="13" t="s">
        <v>140</v>
      </c>
      <c r="J97" s="29">
        <f>(IF(B89&gt;2,(H89/(B89+2)+J96),0))</f>
        <v>0</v>
      </c>
    </row>
    <row r="98" spans="1:22" ht="15.75" customHeight="1" x14ac:dyDescent="0.25">
      <c r="A98" s="131" t="s">
        <v>128</v>
      </c>
      <c r="B98" s="132" t="s">
        <v>128</v>
      </c>
      <c r="C98" s="77">
        <v>0</v>
      </c>
      <c r="D98" s="18">
        <f ca="1">((100/H89)*C98)/100</f>
        <v>0</v>
      </c>
      <c r="E98" s="256"/>
      <c r="F98" s="257"/>
      <c r="G98" s="256"/>
      <c r="H98" s="263"/>
      <c r="I98" s="13" t="s">
        <v>141</v>
      </c>
      <c r="J98" s="30">
        <f>(IF(B89&gt;3,(H89/(B89+2)+J97),0))</f>
        <v>0</v>
      </c>
    </row>
    <row r="99" spans="1:22" ht="15.75" customHeight="1" x14ac:dyDescent="0.25">
      <c r="A99" s="131" t="s">
        <v>135</v>
      </c>
      <c r="B99" s="132"/>
      <c r="C99" s="77">
        <v>0</v>
      </c>
      <c r="D99" s="18">
        <f ca="1">((100/H89)*C99)/100</f>
        <v>0</v>
      </c>
      <c r="E99" s="256"/>
      <c r="F99" s="257"/>
      <c r="G99" s="256"/>
      <c r="H99" s="263"/>
      <c r="I99" s="13" t="s">
        <v>142</v>
      </c>
      <c r="J99" s="29">
        <f>(IF(B89&gt;4,(H89/(B89+2)+J98),0))</f>
        <v>0</v>
      </c>
    </row>
    <row r="100" spans="1:22" ht="15.75" customHeight="1" x14ac:dyDescent="0.25">
      <c r="A100" s="131" t="s">
        <v>130</v>
      </c>
      <c r="B100" s="132" t="s">
        <v>130</v>
      </c>
      <c r="C100" s="77">
        <v>0</v>
      </c>
      <c r="D100" s="18">
        <f ca="1">((100/(H89))*C100)/100</f>
        <v>0</v>
      </c>
      <c r="E100" s="256"/>
      <c r="F100" s="257"/>
      <c r="G100" s="256"/>
      <c r="H100" s="263"/>
      <c r="I100" s="13" t="s">
        <v>144</v>
      </c>
      <c r="J100" s="29">
        <f ca="1">(IF(B89=1,(H89/(B89+3)+J95),IF(B89=0,(H89/4+J95),IF(B89&gt;1,0))))</f>
        <v>8.25</v>
      </c>
    </row>
    <row r="101" spans="1:22" ht="16.5" thickBot="1" x14ac:dyDescent="0.3">
      <c r="A101" s="177" t="s">
        <v>131</v>
      </c>
      <c r="B101" s="178"/>
      <c r="C101" s="76">
        <v>0</v>
      </c>
      <c r="D101" s="19">
        <f ca="1">((100/(H89))*C101)/100</f>
        <v>0</v>
      </c>
      <c r="E101" s="258"/>
      <c r="F101" s="259"/>
      <c r="G101" s="258"/>
      <c r="H101" s="264"/>
      <c r="I101" s="14" t="s">
        <v>101</v>
      </c>
      <c r="J101" s="31">
        <f ca="1">(IF(B89&gt;1.5,(H89/(B89+2)+J95+MAX(0,J96-J95)+MAX(0,J97-J96)+MAX(0,J98-J97)+MAX(0,J99-J98)+MAX(0,J100-J99)),IF(B89=1,(H89/(B89+3)+J100),IF(B89=0,H89/4+J100))))</f>
        <v>11</v>
      </c>
    </row>
    <row r="102" spans="1:22" x14ac:dyDescent="0.25">
      <c r="A102" s="147" t="s">
        <v>154</v>
      </c>
      <c r="B102" s="147"/>
      <c r="C102" s="147"/>
      <c r="D102" s="147"/>
      <c r="E102" s="147"/>
      <c r="F102" s="180" t="s">
        <v>158</v>
      </c>
      <c r="G102" s="180"/>
      <c r="H102" s="180"/>
      <c r="K102" s="110">
        <v>5300</v>
      </c>
      <c r="L102" s="110"/>
      <c r="M102" s="110"/>
      <c r="R102" t="s">
        <v>251</v>
      </c>
      <c r="S102" t="s">
        <v>170</v>
      </c>
      <c r="T102" t="s">
        <v>177</v>
      </c>
      <c r="U102" t="s">
        <v>191</v>
      </c>
      <c r="V102" t="s">
        <v>186</v>
      </c>
    </row>
    <row r="103" spans="1:22" x14ac:dyDescent="0.25">
      <c r="A103" s="142" t="s">
        <v>156</v>
      </c>
      <c r="B103" s="142"/>
      <c r="C103" s="142"/>
      <c r="D103" s="142"/>
      <c r="E103" s="142"/>
      <c r="F103" s="110">
        <v>5550</v>
      </c>
      <c r="G103" s="110"/>
      <c r="H103" s="110"/>
      <c r="K103" s="101" t="s">
        <v>410</v>
      </c>
      <c r="L103" s="101"/>
      <c r="M103" s="102">
        <v>45593</v>
      </c>
      <c r="R103"/>
      <c r="S103">
        <v>800000</v>
      </c>
      <c r="T103">
        <v>150000</v>
      </c>
      <c r="U103">
        <v>100000</v>
      </c>
      <c r="V103">
        <v>100000</v>
      </c>
    </row>
    <row r="104" spans="1:22" hidden="1" x14ac:dyDescent="0.25">
      <c r="A104" s="142" t="s">
        <v>155</v>
      </c>
      <c r="B104" s="142"/>
      <c r="C104" s="142"/>
      <c r="D104" s="142"/>
      <c r="E104" s="142"/>
      <c r="F104" s="110">
        <v>9500</v>
      </c>
      <c r="G104" s="110"/>
      <c r="H104" s="110"/>
      <c r="R104"/>
      <c r="S104">
        <v>900000</v>
      </c>
      <c r="T104">
        <v>200000</v>
      </c>
      <c r="U104">
        <v>150000</v>
      </c>
      <c r="V104">
        <v>150000</v>
      </c>
    </row>
    <row r="105" spans="1:22" hidden="1" x14ac:dyDescent="0.25">
      <c r="A105" s="142" t="s">
        <v>157</v>
      </c>
      <c r="B105" s="142"/>
      <c r="C105" s="142"/>
      <c r="D105" s="142"/>
      <c r="E105" s="142"/>
      <c r="F105" s="110"/>
      <c r="G105" s="110"/>
      <c r="H105" s="110"/>
      <c r="R105"/>
      <c r="S105">
        <v>1000000</v>
      </c>
      <c r="T105">
        <v>250000</v>
      </c>
      <c r="U105">
        <v>200000</v>
      </c>
      <c r="V105">
        <v>200000</v>
      </c>
    </row>
    <row r="106" spans="1:22" s="32" customFormat="1" hidden="1" x14ac:dyDescent="0.25">
      <c r="A106" s="142" t="s">
        <v>172</v>
      </c>
      <c r="B106" s="142"/>
      <c r="C106" s="142"/>
      <c r="D106" s="142"/>
      <c r="E106" s="142"/>
      <c r="F106" s="110"/>
      <c r="G106" s="110"/>
      <c r="H106" s="110"/>
      <c r="R106"/>
      <c r="S106">
        <v>1100000</v>
      </c>
      <c r="T106">
        <v>300000</v>
      </c>
      <c r="U106">
        <v>250000</v>
      </c>
      <c r="V106" s="22">
        <v>250000</v>
      </c>
    </row>
    <row r="107" spans="1:22" s="32" customFormat="1" x14ac:dyDescent="0.25">
      <c r="A107" s="142" t="s">
        <v>91</v>
      </c>
      <c r="B107" s="142"/>
      <c r="C107" s="142"/>
      <c r="D107" s="142"/>
      <c r="E107" s="142"/>
      <c r="F107" s="110">
        <v>225000</v>
      </c>
      <c r="G107" s="110"/>
      <c r="H107" s="110"/>
      <c r="R107"/>
      <c r="S107">
        <v>1200000</v>
      </c>
      <c r="T107">
        <v>350000</v>
      </c>
      <c r="U107">
        <v>300000</v>
      </c>
      <c r="V107">
        <v>300000</v>
      </c>
    </row>
    <row r="108" spans="1:22" s="32" customFormat="1" hidden="1" x14ac:dyDescent="0.25">
      <c r="A108" s="142" t="s">
        <v>92</v>
      </c>
      <c r="B108" s="142"/>
      <c r="C108" s="142"/>
      <c r="D108" s="142"/>
      <c r="E108" s="142"/>
      <c r="F108" s="110"/>
      <c r="G108" s="110"/>
      <c r="H108" s="110"/>
      <c r="R108"/>
      <c r="S108">
        <v>1300000</v>
      </c>
      <c r="T108">
        <v>400000</v>
      </c>
      <c r="U108">
        <v>350000</v>
      </c>
      <c r="V108" s="22">
        <v>400000</v>
      </c>
    </row>
    <row r="109" spans="1:22" s="32" customFormat="1" hidden="1" x14ac:dyDescent="0.25">
      <c r="A109" s="142" t="s">
        <v>93</v>
      </c>
      <c r="B109" s="142"/>
      <c r="C109" s="142"/>
      <c r="D109" s="142"/>
      <c r="E109" s="142"/>
      <c r="F109" s="110"/>
      <c r="G109" s="110"/>
      <c r="H109" s="110"/>
      <c r="R109"/>
      <c r="S109">
        <v>1400000</v>
      </c>
      <c r="T109">
        <v>500000</v>
      </c>
      <c r="U109">
        <v>400000</v>
      </c>
      <c r="V109"/>
    </row>
    <row r="110" spans="1:22" s="32" customFormat="1" hidden="1" x14ac:dyDescent="0.25">
      <c r="A110" s="142" t="s">
        <v>94</v>
      </c>
      <c r="B110" s="142"/>
      <c r="C110" s="142"/>
      <c r="D110" s="142"/>
      <c r="E110" s="142"/>
      <c r="F110" s="110"/>
      <c r="G110" s="110"/>
      <c r="H110" s="110"/>
      <c r="R110"/>
      <c r="S110">
        <v>1500000</v>
      </c>
      <c r="T110">
        <v>600000</v>
      </c>
      <c r="U110">
        <v>500000</v>
      </c>
      <c r="V110" s="22"/>
    </row>
    <row r="111" spans="1:22" s="32" customFormat="1" hidden="1" x14ac:dyDescent="0.25">
      <c r="A111" s="142" t="s">
        <v>95</v>
      </c>
      <c r="B111" s="142"/>
      <c r="C111" s="142"/>
      <c r="D111" s="142"/>
      <c r="E111" s="142"/>
      <c r="F111" s="110"/>
      <c r="G111" s="110"/>
      <c r="H111" s="110"/>
      <c r="R111"/>
      <c r="S111">
        <v>1600000</v>
      </c>
      <c r="T111">
        <v>700000</v>
      </c>
      <c r="U111">
        <v>600000</v>
      </c>
      <c r="V111"/>
    </row>
    <row r="112" spans="1:22" s="32" customFormat="1" hidden="1" x14ac:dyDescent="0.25">
      <c r="A112" s="142" t="s">
        <v>96</v>
      </c>
      <c r="B112" s="142"/>
      <c r="C112" s="142"/>
      <c r="D112" s="142"/>
      <c r="E112" s="142"/>
      <c r="F112" s="110"/>
      <c r="G112" s="110"/>
      <c r="H112" s="110"/>
      <c r="R112"/>
      <c r="S112">
        <v>1700000</v>
      </c>
      <c r="T112">
        <v>800000</v>
      </c>
      <c r="U112"/>
      <c r="V112" s="22"/>
    </row>
    <row r="113" spans="1:22" x14ac:dyDescent="0.25">
      <c r="A113" s="142" t="s">
        <v>49</v>
      </c>
      <c r="B113" s="142"/>
      <c r="C113" s="142"/>
      <c r="D113" s="142"/>
      <c r="E113" s="142"/>
      <c r="F113" s="110">
        <v>250000</v>
      </c>
      <c r="G113" s="110"/>
      <c r="H113" s="110"/>
      <c r="J113" s="109" t="s">
        <v>414</v>
      </c>
      <c r="K113" s="109"/>
      <c r="L113" s="109"/>
      <c r="R113"/>
      <c r="S113">
        <v>1800000</v>
      </c>
      <c r="T113">
        <v>900000</v>
      </c>
      <c r="U113"/>
    </row>
    <row r="114" spans="1:22" s="33" customFormat="1" x14ac:dyDescent="0.25">
      <c r="A114" s="233" t="s">
        <v>50</v>
      </c>
      <c r="B114" s="233"/>
      <c r="C114" s="233"/>
      <c r="D114" s="233"/>
      <c r="E114" s="233"/>
      <c r="F114" s="110">
        <f>F103*0.8</f>
        <v>4440</v>
      </c>
      <c r="G114" s="110"/>
      <c r="H114" s="110"/>
      <c r="J114" s="111">
        <f>5300+250</f>
        <v>5550</v>
      </c>
      <c r="K114" s="111"/>
      <c r="L114" s="111"/>
      <c r="R114" s="20"/>
      <c r="S114" s="20"/>
      <c r="T114">
        <v>1000000</v>
      </c>
      <c r="U114"/>
      <c r="V114" s="20"/>
    </row>
    <row r="115" spans="1:22" s="34" customFormat="1" ht="15.75" hidden="1" customHeight="1" x14ac:dyDescent="0.25">
      <c r="A115" s="253" t="s">
        <v>71</v>
      </c>
      <c r="B115" s="253"/>
      <c r="C115" s="253"/>
      <c r="D115" s="253"/>
      <c r="E115" s="253"/>
      <c r="F115" s="253"/>
      <c r="G115" s="253"/>
      <c r="H115" s="253"/>
      <c r="R115"/>
      <c r="S115" s="20"/>
      <c r="T115"/>
      <c r="U115"/>
      <c r="V115" s="20"/>
    </row>
    <row r="116" spans="1:22" s="34" customFormat="1" ht="15.75" hidden="1" customHeight="1" x14ac:dyDescent="0.25">
      <c r="A116" s="154" t="s">
        <v>51</v>
      </c>
      <c r="B116" s="154"/>
      <c r="C116" s="159" t="s">
        <v>74</v>
      </c>
      <c r="D116" s="159"/>
      <c r="E116" s="143" t="s">
        <v>52</v>
      </c>
      <c r="F116" s="143"/>
      <c r="G116" s="154" t="s">
        <v>53</v>
      </c>
      <c r="H116" s="154"/>
      <c r="R116"/>
      <c r="S116" s="20"/>
      <c r="T116"/>
      <c r="U116" s="20"/>
      <c r="V116" s="20"/>
    </row>
    <row r="117" spans="1:22" s="34" customFormat="1" hidden="1" x14ac:dyDescent="0.25">
      <c r="A117" s="158"/>
      <c r="B117" s="158"/>
      <c r="C117" s="182"/>
      <c r="D117" s="182"/>
      <c r="E117" s="183"/>
      <c r="F117" s="183"/>
      <c r="G117" s="185"/>
      <c r="H117" s="185"/>
      <c r="R117"/>
      <c r="S117" s="20"/>
      <c r="T117"/>
      <c r="U117" s="20"/>
      <c r="V117" s="20"/>
    </row>
    <row r="118" spans="1:22" s="34" customFormat="1" hidden="1" x14ac:dyDescent="0.25">
      <c r="A118" s="158"/>
      <c r="B118" s="158"/>
      <c r="C118" s="182"/>
      <c r="D118" s="182"/>
      <c r="E118" s="183"/>
      <c r="F118" s="183"/>
      <c r="G118" s="185"/>
      <c r="H118" s="185"/>
      <c r="R118"/>
      <c r="S118" s="20"/>
      <c r="T118"/>
      <c r="U118" s="20"/>
      <c r="V118" s="20"/>
    </row>
    <row r="119" spans="1:22" s="34" customFormat="1" hidden="1" x14ac:dyDescent="0.25">
      <c r="A119" s="253" t="s">
        <v>147</v>
      </c>
      <c r="B119" s="253"/>
      <c r="C119" s="159"/>
      <c r="D119" s="159"/>
      <c r="E119" s="143"/>
      <c r="F119" s="143"/>
      <c r="G119" s="154"/>
      <c r="H119" s="154"/>
      <c r="R119"/>
      <c r="S119" s="20"/>
      <c r="T119"/>
      <c r="U119" s="20"/>
      <c r="V119" s="20"/>
    </row>
    <row r="120" spans="1:22" s="34" customFormat="1" x14ac:dyDescent="0.25">
      <c r="A120" s="253" t="s">
        <v>66</v>
      </c>
      <c r="B120" s="253"/>
      <c r="C120" s="253"/>
      <c r="D120" s="253"/>
      <c r="E120" s="253"/>
      <c r="F120" s="253"/>
      <c r="G120" s="253"/>
      <c r="H120" s="253"/>
      <c r="T120"/>
    </row>
    <row r="121" spans="1:22" s="34" customFormat="1" ht="15.75" customHeight="1" x14ac:dyDescent="0.25">
      <c r="A121" s="154" t="s">
        <v>51</v>
      </c>
      <c r="B121" s="154"/>
      <c r="C121" s="159" t="s">
        <v>74</v>
      </c>
      <c r="D121" s="159"/>
      <c r="E121" s="143" t="s">
        <v>52</v>
      </c>
      <c r="F121" s="143"/>
      <c r="G121" s="154" t="s">
        <v>53</v>
      </c>
      <c r="H121" s="154"/>
      <c r="I121" s="34" t="s">
        <v>393</v>
      </c>
      <c r="T121"/>
    </row>
    <row r="122" spans="1:22" s="34" customFormat="1" x14ac:dyDescent="0.25">
      <c r="A122" s="158" t="s">
        <v>375</v>
      </c>
      <c r="B122" s="158"/>
      <c r="C122" s="246">
        <f>COUNT(F143:F147)+COUNT(F150:F158)*9+COUNT(F160,F162:F168)*2+COUNT(F170:F176,F178)</f>
        <v>110</v>
      </c>
      <c r="D122" s="246"/>
      <c r="E122" s="247">
        <f>SUM(F143:F147)+SUM(F150:F158)*9+SUM(F160,F162:F168)*2+SUM(F170:F176,F178)</f>
        <v>69003.994409999999</v>
      </c>
      <c r="F122" s="247"/>
      <c r="G122" s="247">
        <f>SUM(H143:H147)+SUM(H150:H158)*9+SUM(H160,H162:H168)*2+SUM(H170:H176,H178)</f>
        <v>105050</v>
      </c>
      <c r="H122" s="247"/>
      <c r="I122" s="34">
        <f>12+12+26+24+13+23</f>
        <v>110</v>
      </c>
      <c r="T122"/>
    </row>
    <row r="123" spans="1:22" s="34" customFormat="1" x14ac:dyDescent="0.25">
      <c r="A123" s="158" t="s">
        <v>386</v>
      </c>
      <c r="B123" s="158"/>
      <c r="C123" s="246">
        <f>COUNT(F182:F185)*10+COUNT(F187:F190)</f>
        <v>44</v>
      </c>
      <c r="D123" s="246"/>
      <c r="E123" s="247">
        <f>SUM(F182:F185)*10+SUM(F187:F190)</f>
        <v>20571.94152</v>
      </c>
      <c r="F123" s="247"/>
      <c r="G123" s="247">
        <f>SUM(H182:H185)*10+SUM(H187:H190)</f>
        <v>31020</v>
      </c>
      <c r="H123" s="247"/>
      <c r="T123"/>
    </row>
    <row r="124" spans="1:22" s="34" customFormat="1" x14ac:dyDescent="0.25">
      <c r="A124" s="253" t="s">
        <v>147</v>
      </c>
      <c r="B124" s="253"/>
      <c r="C124" s="179">
        <f t="shared" ref="C124:G124" si="0">SUM(C122:D123)</f>
        <v>154</v>
      </c>
      <c r="D124" s="159"/>
      <c r="E124" s="265">
        <f t="shared" si="0"/>
        <v>89575.935930000007</v>
      </c>
      <c r="F124" s="143"/>
      <c r="G124" s="154">
        <f t="shared" si="0"/>
        <v>136070</v>
      </c>
      <c r="H124" s="154"/>
      <c r="T124"/>
    </row>
    <row r="125" spans="1:22" s="34" customFormat="1" hidden="1" x14ac:dyDescent="0.25">
      <c r="A125" s="253" t="s">
        <v>164</v>
      </c>
      <c r="B125" s="253"/>
      <c r="C125" s="159">
        <f>C119+C124</f>
        <v>154</v>
      </c>
      <c r="D125" s="159"/>
      <c r="E125" s="143">
        <f>E119+E124</f>
        <v>89575.935930000007</v>
      </c>
      <c r="F125" s="143"/>
      <c r="G125" s="154">
        <f>G119+G124</f>
        <v>136070</v>
      </c>
      <c r="H125" s="154"/>
      <c r="T125"/>
    </row>
    <row r="126" spans="1:22" s="33" customFormat="1" x14ac:dyDescent="0.25">
      <c r="A126" s="144" t="s">
        <v>392</v>
      </c>
      <c r="B126" s="144"/>
      <c r="C126" s="144"/>
      <c r="D126" s="144"/>
      <c r="E126" s="144"/>
      <c r="F126" s="144"/>
      <c r="G126" s="144"/>
      <c r="H126" s="144"/>
      <c r="K126" s="33">
        <f>3632000/(404)</f>
        <v>8990.0990099009905</v>
      </c>
      <c r="T126" s="34"/>
    </row>
    <row r="127" spans="1:22" x14ac:dyDescent="0.25">
      <c r="A127" s="153" t="s">
        <v>391</v>
      </c>
      <c r="B127" s="153"/>
      <c r="C127" s="153"/>
      <c r="D127" s="153"/>
      <c r="E127" s="153"/>
      <c r="F127" s="153"/>
      <c r="G127" s="153"/>
      <c r="H127" s="153"/>
      <c r="T127" s="34"/>
    </row>
    <row r="128" spans="1:22" ht="47.25" hidden="1" customHeight="1" x14ac:dyDescent="0.25">
      <c r="A128" s="145" t="s">
        <v>117</v>
      </c>
      <c r="B128" s="145" t="s">
        <v>173</v>
      </c>
      <c r="C128" s="145" t="s">
        <v>54</v>
      </c>
      <c r="D128" s="184" t="s">
        <v>229</v>
      </c>
      <c r="E128" s="181" t="s">
        <v>153</v>
      </c>
      <c r="F128" s="145" t="s">
        <v>55</v>
      </c>
      <c r="G128" s="181" t="s">
        <v>56</v>
      </c>
      <c r="H128" s="105" t="s">
        <v>146</v>
      </c>
      <c r="T128" s="34"/>
    </row>
    <row r="129" spans="1:20" s="36" customFormat="1" hidden="1" x14ac:dyDescent="0.25">
      <c r="A129" s="145"/>
      <c r="B129" s="145"/>
      <c r="C129" s="145"/>
      <c r="D129" s="184"/>
      <c r="E129" s="181"/>
      <c r="F129" s="145"/>
      <c r="G129" s="181"/>
      <c r="H129" s="106">
        <v>0.45</v>
      </c>
      <c r="T129" s="34"/>
    </row>
    <row r="130" spans="1:20" s="36" customFormat="1" hidden="1" x14ac:dyDescent="0.25">
      <c r="A130" s="126" t="s">
        <v>116</v>
      </c>
      <c r="B130" s="126"/>
      <c r="C130" s="126"/>
      <c r="D130" s="126"/>
      <c r="E130" s="126"/>
      <c r="F130" s="126"/>
      <c r="G130" s="126"/>
      <c r="H130" s="126"/>
      <c r="J130" s="35"/>
      <c r="T130" s="34"/>
    </row>
    <row r="131" spans="1:20" s="36" customFormat="1" ht="15.75" hidden="1" customHeight="1" x14ac:dyDescent="0.25">
      <c r="A131" s="112">
        <v>1</v>
      </c>
      <c r="B131" s="112"/>
      <c r="C131" s="104"/>
      <c r="D131" s="104">
        <v>0</v>
      </c>
      <c r="E131" s="104">
        <v>0</v>
      </c>
      <c r="F131" s="104">
        <f>D131+(IF(E131&lt;201,E131,IF(E131&lt;301,E131/2,E131/3)))</f>
        <v>0</v>
      </c>
      <c r="G131" s="59">
        <v>0</v>
      </c>
      <c r="H131" s="104">
        <f>(F131+(IF(G131&lt;101,G131,IF(G131&lt;201,G131/2,IF(G131&lt;=301,G131/3,G131/4)))))*(($H$129)+1)</f>
        <v>0</v>
      </c>
      <c r="I131" s="35"/>
      <c r="L131" s="119"/>
      <c r="M131" s="119"/>
      <c r="N131" s="35"/>
      <c r="T131" s="34"/>
    </row>
    <row r="132" spans="1:20" s="36" customFormat="1" ht="15.75" hidden="1" customHeight="1" x14ac:dyDescent="0.25">
      <c r="A132" s="112">
        <f>A131+1</f>
        <v>2</v>
      </c>
      <c r="B132" s="112"/>
      <c r="C132" s="104"/>
      <c r="D132" s="104"/>
      <c r="E132" s="104">
        <v>0</v>
      </c>
      <c r="F132" s="104">
        <f t="shared" ref="F132:F134" si="1">D132+(IF(E132&lt;201,E132,IF(E132&lt;301,E132/2,E132/3)))</f>
        <v>0</v>
      </c>
      <c r="G132" s="104">
        <v>0</v>
      </c>
      <c r="H132" s="104">
        <f t="shared" ref="H132:H134" si="2">(F132+(IF(G132&lt;101,G132,IF(G132&lt;201,G132/2,IF(G132&lt;=301,G132/3,G132/4)))))*(($H$129)+1)</f>
        <v>0</v>
      </c>
      <c r="I132" s="35"/>
      <c r="L132" s="119"/>
      <c r="M132" s="119"/>
      <c r="N132" s="35"/>
      <c r="T132" s="33"/>
    </row>
    <row r="133" spans="1:20" s="36" customFormat="1" ht="15.75" hidden="1" customHeight="1" x14ac:dyDescent="0.25">
      <c r="A133" s="112">
        <f>A132+1</f>
        <v>3</v>
      </c>
      <c r="B133" s="112"/>
      <c r="C133" s="104"/>
      <c r="D133" s="104"/>
      <c r="E133" s="104">
        <v>0</v>
      </c>
      <c r="F133" s="104">
        <f t="shared" si="1"/>
        <v>0</v>
      </c>
      <c r="G133" s="104">
        <v>0</v>
      </c>
      <c r="H133" s="104">
        <f t="shared" si="2"/>
        <v>0</v>
      </c>
      <c r="I133" s="35"/>
      <c r="L133" s="119"/>
      <c r="M133" s="119"/>
      <c r="N133" s="35"/>
      <c r="T133" s="20"/>
    </row>
    <row r="134" spans="1:20" s="36" customFormat="1" ht="15.75" hidden="1" customHeight="1" x14ac:dyDescent="0.25">
      <c r="A134" s="112">
        <f>A133+1</f>
        <v>4</v>
      </c>
      <c r="B134" s="112"/>
      <c r="C134" s="104"/>
      <c r="D134" s="104"/>
      <c r="E134" s="104">
        <v>0</v>
      </c>
      <c r="F134" s="104">
        <f t="shared" si="1"/>
        <v>0</v>
      </c>
      <c r="G134" s="104">
        <v>0</v>
      </c>
      <c r="H134" s="104">
        <f t="shared" si="2"/>
        <v>0</v>
      </c>
      <c r="I134" s="35"/>
      <c r="L134" s="119"/>
      <c r="M134" s="119"/>
      <c r="N134" s="35"/>
      <c r="T134" s="20"/>
    </row>
    <row r="135" spans="1:20" s="36" customFormat="1" x14ac:dyDescent="0.25">
      <c r="A135" s="112"/>
      <c r="B135" s="112"/>
      <c r="C135" s="112"/>
      <c r="D135" s="112"/>
      <c r="E135" s="112"/>
      <c r="F135" s="112"/>
      <c r="G135" s="112"/>
      <c r="H135" s="112"/>
      <c r="I135" s="35"/>
      <c r="N135" s="35"/>
    </row>
    <row r="136" spans="1:20" ht="47.25" customHeight="1" x14ac:dyDescent="0.25">
      <c r="A136" s="145" t="s">
        <v>118</v>
      </c>
      <c r="B136" s="145" t="s">
        <v>174</v>
      </c>
      <c r="C136" s="145" t="s">
        <v>54</v>
      </c>
      <c r="D136" s="187" t="s">
        <v>229</v>
      </c>
      <c r="E136" s="145" t="s">
        <v>399</v>
      </c>
      <c r="F136" s="145" t="s">
        <v>55</v>
      </c>
      <c r="G136" s="181" t="s">
        <v>56</v>
      </c>
      <c r="H136" s="107" t="s">
        <v>396</v>
      </c>
      <c r="I136" s="35"/>
      <c r="T136" s="36"/>
    </row>
    <row r="137" spans="1:20" s="36" customFormat="1" x14ac:dyDescent="0.25">
      <c r="A137" s="145"/>
      <c r="B137" s="145"/>
      <c r="C137" s="145"/>
      <c r="D137" s="187"/>
      <c r="E137" s="145"/>
      <c r="F137" s="145"/>
      <c r="G137" s="181"/>
      <c r="H137" s="108">
        <v>0.5</v>
      </c>
      <c r="I137" s="35"/>
    </row>
    <row r="138" spans="1:20" s="36" customFormat="1" x14ac:dyDescent="0.25">
      <c r="A138" s="116" t="s">
        <v>375</v>
      </c>
      <c r="B138" s="117"/>
      <c r="C138" s="117"/>
      <c r="D138" s="117"/>
      <c r="E138" s="117"/>
      <c r="F138" s="117"/>
      <c r="G138" s="117"/>
      <c r="H138" s="118"/>
      <c r="I138" s="86">
        <v>10.763999999999999</v>
      </c>
      <c r="J138" s="35"/>
    </row>
    <row r="139" spans="1:20" s="36" customFormat="1" ht="15.75" customHeight="1" x14ac:dyDescent="0.25">
      <c r="A139" s="116" t="s">
        <v>376</v>
      </c>
      <c r="B139" s="117"/>
      <c r="C139" s="117"/>
      <c r="D139" s="117"/>
      <c r="E139" s="117"/>
      <c r="F139" s="117"/>
      <c r="G139" s="117"/>
      <c r="H139" s="118"/>
      <c r="I139" s="35"/>
      <c r="L139" s="119"/>
      <c r="M139" s="119"/>
      <c r="N139" s="35"/>
    </row>
    <row r="140" spans="1:20" s="36" customFormat="1" ht="15.75" customHeight="1" x14ac:dyDescent="0.25">
      <c r="A140" s="116" t="s">
        <v>377</v>
      </c>
      <c r="B140" s="117"/>
      <c r="C140" s="117"/>
      <c r="D140" s="117"/>
      <c r="E140" s="117"/>
      <c r="F140" s="117"/>
      <c r="G140" s="117"/>
      <c r="H140" s="118"/>
      <c r="I140" s="35"/>
      <c r="J140" s="88" t="s">
        <v>400</v>
      </c>
      <c r="L140" s="119">
        <v>690</v>
      </c>
      <c r="M140" s="119"/>
      <c r="N140" s="85">
        <f>L140*(($H$137)+1)+(IF(M140&lt;101,M140,IF(M140&lt;201,M140/2,IF(M140&lt;=301,M140/3,M140/4))))</f>
        <v>1035</v>
      </c>
    </row>
    <row r="141" spans="1:20" s="99" customFormat="1" ht="15.75" customHeight="1" x14ac:dyDescent="0.25">
      <c r="A141" s="113">
        <v>1</v>
      </c>
      <c r="B141" s="115"/>
      <c r="C141" s="120" t="s">
        <v>404</v>
      </c>
      <c r="D141" s="121"/>
      <c r="E141" s="121"/>
      <c r="F141" s="121"/>
      <c r="G141" s="121"/>
      <c r="H141" s="122"/>
      <c r="I141" s="35">
        <f>2.9*4.55+2.1*3.05+2.75*3.05+3.3*3+1.2*2*2+2.5*0.9+2.4*1</f>
        <v>47.337499999999991</v>
      </c>
      <c r="K141" s="99" t="e">
        <f>930/F141</f>
        <v>#DIV/0!</v>
      </c>
      <c r="N141" s="97">
        <f>M148*(($H$137)+1)+(IF(N148&lt;101,N148,IF(N148&lt;201,N148/2,IF(N148&lt;=301,N148/3,N148/4))))</f>
        <v>0</v>
      </c>
    </row>
    <row r="142" spans="1:20" s="99" customFormat="1" ht="15.75" customHeight="1" x14ac:dyDescent="0.25">
      <c r="A142" s="113">
        <v>2</v>
      </c>
      <c r="B142" s="115"/>
      <c r="C142" s="123"/>
      <c r="D142" s="124"/>
      <c r="E142" s="124"/>
      <c r="F142" s="124"/>
      <c r="G142" s="124"/>
      <c r="H142" s="125"/>
      <c r="I142" s="35"/>
      <c r="K142" s="99" t="e">
        <f>964/F142</f>
        <v>#DIV/0!</v>
      </c>
      <c r="L142" s="119"/>
      <c r="M142" s="119"/>
      <c r="N142" s="97">
        <f>L142*(($H$137)+1)+(IF(M142&lt;101,M142,IF(M142&lt;201,M142/2,IF(M142&lt;=301,M142/3,M142/4))))</f>
        <v>0</v>
      </c>
      <c r="T142" s="20"/>
    </row>
    <row r="143" spans="1:20" s="36" customFormat="1" ht="15.75" customHeight="1" x14ac:dyDescent="0.25">
      <c r="A143" s="113">
        <v>3</v>
      </c>
      <c r="B143" s="115"/>
      <c r="C143" s="41" t="s">
        <v>380</v>
      </c>
      <c r="D143" s="86">
        <f>(49.34)*10.764</f>
        <v>531.09576000000004</v>
      </c>
      <c r="E143" s="86">
        <f>(0.75*(2.9+2.1+2.75+1.9))*10.764</f>
        <v>77.904449999999997</v>
      </c>
      <c r="F143" s="41">
        <f>D143+E143</f>
        <v>609.00021000000004</v>
      </c>
      <c r="G143" s="52">
        <v>0</v>
      </c>
      <c r="H143" s="52">
        <v>930</v>
      </c>
      <c r="I143" s="35">
        <f>2.9*4.55+2.1*3.05+2.75*3.05+3.3*3+1.2*2*2+2.5*0.9+2.4*1</f>
        <v>47.337499999999991</v>
      </c>
      <c r="K143" s="36">
        <f>930/F143</f>
        <v>1.5270930694752962</v>
      </c>
      <c r="N143" s="85">
        <f>M150*(($H$137)+1)+(IF(N150&lt;101,N150,IF(N150&lt;201,N150/2,IF(N150&lt;=301,N150/3,N150/4))))</f>
        <v>0</v>
      </c>
    </row>
    <row r="144" spans="1:20" s="36" customFormat="1" ht="15.75" customHeight="1" x14ac:dyDescent="0.25">
      <c r="A144" s="113">
        <f>A143+1</f>
        <v>4</v>
      </c>
      <c r="B144" s="115"/>
      <c r="C144" s="82" t="s">
        <v>380</v>
      </c>
      <c r="D144" s="86">
        <f>(51.02)*10.764</f>
        <v>549.17927999999995</v>
      </c>
      <c r="E144" s="86">
        <f>(0.75*(2.9+2.1+2.75+3.05))*10.764</f>
        <v>87.188400000000016</v>
      </c>
      <c r="F144" s="52">
        <f>D144+E144</f>
        <v>636.36767999999995</v>
      </c>
      <c r="G144" s="52">
        <v>0</v>
      </c>
      <c r="H144" s="52">
        <v>965</v>
      </c>
      <c r="I144" s="35"/>
      <c r="K144" s="84">
        <f>964/F144</f>
        <v>1.5148475170832059</v>
      </c>
      <c r="L144" s="119"/>
      <c r="M144" s="119"/>
      <c r="N144" s="85">
        <f>L144*(($H$137)+1)+(IF(M144&lt;101,M144,IF(M144&lt;201,M144/2,IF(M144&lt;=301,M144/3,M144/4))))</f>
        <v>0</v>
      </c>
      <c r="T144" s="20"/>
    </row>
    <row r="145" spans="1:14" s="36" customFormat="1" x14ac:dyDescent="0.25">
      <c r="A145" s="113">
        <f>A144+1</f>
        <v>5</v>
      </c>
      <c r="B145" s="115"/>
      <c r="C145" s="82" t="s">
        <v>380</v>
      </c>
      <c r="D145" s="86">
        <f>(51.02)*10.764</f>
        <v>549.17927999999995</v>
      </c>
      <c r="E145" s="86">
        <f>(0.75*(2.9+2.1+2.75+3.05))*10.764</f>
        <v>87.188400000000016</v>
      </c>
      <c r="F145" s="52">
        <f>D145+E145</f>
        <v>636.36767999999995</v>
      </c>
      <c r="G145" s="52">
        <v>0</v>
      </c>
      <c r="H145" s="52">
        <v>965</v>
      </c>
      <c r="I145" s="35"/>
      <c r="K145" s="84">
        <f>964/F145</f>
        <v>1.5148475170832059</v>
      </c>
      <c r="L145" s="119"/>
      <c r="M145" s="119"/>
      <c r="N145" s="85">
        <f>L145*(($H$137)+1)+(IF(M145&lt;101,M145,IF(M145&lt;201,M145/2,IF(M145&lt;=301,M145/3,M145/4))))</f>
        <v>0</v>
      </c>
    </row>
    <row r="146" spans="1:14" s="36" customFormat="1" x14ac:dyDescent="0.25">
      <c r="A146" s="113">
        <f>A145+1</f>
        <v>6</v>
      </c>
      <c r="B146" s="115"/>
      <c r="C146" s="82" t="s">
        <v>380</v>
      </c>
      <c r="D146" s="86">
        <f>(51.67)*10.764</f>
        <v>556.17588000000001</v>
      </c>
      <c r="E146" s="86">
        <f>(0.75*(2.9+2.1+2.75+3.05))*10.764</f>
        <v>87.188400000000016</v>
      </c>
      <c r="F146" s="52">
        <f>D146+E146</f>
        <v>643.36428000000001</v>
      </c>
      <c r="G146" s="52">
        <v>0</v>
      </c>
      <c r="H146" s="52">
        <v>980</v>
      </c>
      <c r="I146" s="35"/>
      <c r="K146" s="84">
        <f t="shared" ref="K146:K147" si="3">930/F146</f>
        <v>1.4455263198634527</v>
      </c>
      <c r="N146" s="85">
        <f>L146*(($H$137)+1)+(IF(M146&lt;101,M146,IF(M146&lt;201,M146/2,IF(M146&lt;=301,M146/3,M146/4))))</f>
        <v>0</v>
      </c>
    </row>
    <row r="147" spans="1:14" s="83" customFormat="1" x14ac:dyDescent="0.25">
      <c r="A147" s="113">
        <f>A146+1</f>
        <v>7</v>
      </c>
      <c r="B147" s="115"/>
      <c r="C147" s="82" t="s">
        <v>380</v>
      </c>
      <c r="D147" s="86">
        <f>(49.94)*10.764</f>
        <v>537.55415999999991</v>
      </c>
      <c r="E147" s="86">
        <f>(0.75*(2.9+2.1+2.75+1.9))*10.764</f>
        <v>77.904449999999997</v>
      </c>
      <c r="F147" s="82">
        <f>D147+E147</f>
        <v>615.45860999999991</v>
      </c>
      <c r="G147" s="82">
        <v>0</v>
      </c>
      <c r="H147" s="82">
        <v>940</v>
      </c>
      <c r="I147" s="35"/>
      <c r="K147" s="84">
        <f t="shared" si="3"/>
        <v>1.5110683072579001</v>
      </c>
      <c r="N147" s="35"/>
    </row>
    <row r="148" spans="1:14" s="83" customFormat="1" x14ac:dyDescent="0.25">
      <c r="A148" s="113" t="s">
        <v>378</v>
      </c>
      <c r="B148" s="115"/>
      <c r="C148" s="113" t="s">
        <v>379</v>
      </c>
      <c r="D148" s="114"/>
      <c r="E148" s="114"/>
      <c r="F148" s="114"/>
      <c r="G148" s="115"/>
      <c r="H148" s="82" t="s">
        <v>378</v>
      </c>
      <c r="I148" s="35"/>
      <c r="K148" s="84"/>
      <c r="N148" s="35"/>
    </row>
    <row r="149" spans="1:14" s="36" customFormat="1" x14ac:dyDescent="0.25">
      <c r="A149" s="126" t="s">
        <v>381</v>
      </c>
      <c r="B149" s="126"/>
      <c r="C149" s="126"/>
      <c r="D149" s="126"/>
      <c r="E149" s="126"/>
      <c r="F149" s="126"/>
      <c r="G149" s="126"/>
      <c r="H149" s="126"/>
      <c r="I149" s="35"/>
      <c r="N149" s="35"/>
    </row>
    <row r="150" spans="1:14" s="36" customFormat="1" x14ac:dyDescent="0.25">
      <c r="A150" s="112">
        <v>1</v>
      </c>
      <c r="B150" s="112"/>
      <c r="C150" s="82" t="s">
        <v>380</v>
      </c>
      <c r="D150" s="86">
        <f>(51.67)*10.764</f>
        <v>556.17588000000001</v>
      </c>
      <c r="E150" s="86">
        <f>(0.75*(2.9+2.1+2.75+3.05))*10.764</f>
        <v>87.188400000000016</v>
      </c>
      <c r="F150" s="52">
        <f t="shared" ref="F150:F158" si="4">D150+E150</f>
        <v>643.36428000000001</v>
      </c>
      <c r="G150" s="52">
        <v>0</v>
      </c>
      <c r="H150" s="52">
        <v>980</v>
      </c>
      <c r="I150" s="35"/>
      <c r="K150" s="89">
        <f>H150/F150</f>
        <v>1.5232427886733158</v>
      </c>
      <c r="M150" s="119"/>
      <c r="N150" s="119"/>
    </row>
    <row r="151" spans="1:14" s="36" customFormat="1" x14ac:dyDescent="0.25">
      <c r="A151" s="112">
        <f t="shared" ref="A151:A158" si="5">A150+1</f>
        <v>2</v>
      </c>
      <c r="B151" s="112"/>
      <c r="C151" s="82" t="s">
        <v>380</v>
      </c>
      <c r="D151" s="86">
        <f>(49.92)*10.764</f>
        <v>537.33888000000002</v>
      </c>
      <c r="E151" s="86">
        <f>(0.75*(2.88+2.1+2.75+1.9))*10.764</f>
        <v>77.742989999999992</v>
      </c>
      <c r="F151" s="52">
        <f t="shared" si="4"/>
        <v>615.08186999999998</v>
      </c>
      <c r="G151" s="52">
        <v>0</v>
      </c>
      <c r="H151" s="52">
        <v>940</v>
      </c>
      <c r="I151" s="35"/>
      <c r="K151" s="89">
        <f t="shared" ref="K151:K158" si="6">H151/F151</f>
        <v>1.5282518406858587</v>
      </c>
      <c r="N151" s="35"/>
    </row>
    <row r="152" spans="1:14" s="36" customFormat="1" x14ac:dyDescent="0.25">
      <c r="A152" s="112">
        <f t="shared" si="5"/>
        <v>3</v>
      </c>
      <c r="B152" s="112"/>
      <c r="C152" s="82" t="s">
        <v>380</v>
      </c>
      <c r="D152" s="86">
        <f>(49.34)*10.764</f>
        <v>531.09576000000004</v>
      </c>
      <c r="E152" s="86">
        <f>(0.75*(2.9+2.1+2.75+1.9))*10.764</f>
        <v>77.904449999999997</v>
      </c>
      <c r="F152" s="52">
        <f t="shared" si="4"/>
        <v>609.00021000000004</v>
      </c>
      <c r="G152" s="52">
        <v>0</v>
      </c>
      <c r="H152" s="52">
        <v>930</v>
      </c>
      <c r="I152" s="35"/>
      <c r="K152" s="89">
        <f t="shared" si="6"/>
        <v>1.5270930694752962</v>
      </c>
      <c r="N152" s="35"/>
    </row>
    <row r="153" spans="1:14" s="36" customFormat="1" ht="15.75" customHeight="1" x14ac:dyDescent="0.25">
      <c r="A153" s="112">
        <f t="shared" si="5"/>
        <v>4</v>
      </c>
      <c r="B153" s="112"/>
      <c r="C153" s="82" t="s">
        <v>380</v>
      </c>
      <c r="D153" s="86">
        <f>(51.02)*10.764</f>
        <v>549.17927999999995</v>
      </c>
      <c r="E153" s="86">
        <f>(0.75*(2.9+2.1+2.75+3.05))*10.764</f>
        <v>87.188400000000016</v>
      </c>
      <c r="F153" s="52">
        <f t="shared" si="4"/>
        <v>636.36767999999995</v>
      </c>
      <c r="G153" s="52">
        <v>0</v>
      </c>
      <c r="H153" s="52">
        <v>965</v>
      </c>
      <c r="I153" s="35"/>
      <c r="K153" s="89">
        <f t="shared" si="6"/>
        <v>1.5164189356693918</v>
      </c>
    </row>
    <row r="154" spans="1:14" s="36" customFormat="1" ht="15.75" customHeight="1" x14ac:dyDescent="0.25">
      <c r="A154" s="112">
        <f t="shared" si="5"/>
        <v>5</v>
      </c>
      <c r="B154" s="112"/>
      <c r="C154" s="82" t="s">
        <v>380</v>
      </c>
      <c r="D154" s="86">
        <f>(51.02)*10.764</f>
        <v>549.17927999999995</v>
      </c>
      <c r="E154" s="86">
        <f>(0.75*(2.9+2.1+2.75+3.05))*10.764</f>
        <v>87.188400000000016</v>
      </c>
      <c r="F154" s="52">
        <f t="shared" si="4"/>
        <v>636.36767999999995</v>
      </c>
      <c r="G154" s="52">
        <v>0</v>
      </c>
      <c r="H154" s="52">
        <v>965</v>
      </c>
      <c r="I154" s="35"/>
      <c r="K154" s="89">
        <f t="shared" si="6"/>
        <v>1.5164189356693918</v>
      </c>
    </row>
    <row r="155" spans="1:14" s="36" customFormat="1" ht="15.75" customHeight="1" x14ac:dyDescent="0.25">
      <c r="A155" s="112">
        <f t="shared" si="5"/>
        <v>6</v>
      </c>
      <c r="B155" s="112"/>
      <c r="C155" s="82" t="s">
        <v>380</v>
      </c>
      <c r="D155" s="86">
        <f>(51.67)*10.764</f>
        <v>556.17588000000001</v>
      </c>
      <c r="E155" s="86">
        <f>(0.75*(2.9+2.1+2.75+3.05))*10.764</f>
        <v>87.188400000000016</v>
      </c>
      <c r="F155" s="82">
        <f t="shared" si="4"/>
        <v>643.36428000000001</v>
      </c>
      <c r="G155" s="82">
        <v>0</v>
      </c>
      <c r="H155" s="82">
        <v>980</v>
      </c>
      <c r="I155" s="35"/>
      <c r="K155" s="89">
        <f t="shared" si="6"/>
        <v>1.5232427886733158</v>
      </c>
    </row>
    <row r="156" spans="1:14" s="36" customFormat="1" ht="15.75" customHeight="1" x14ac:dyDescent="0.25">
      <c r="A156" s="112">
        <f t="shared" si="5"/>
        <v>7</v>
      </c>
      <c r="B156" s="112"/>
      <c r="C156" s="82" t="s">
        <v>380</v>
      </c>
      <c r="D156" s="86">
        <f>(49.72)*10.764</f>
        <v>535.18607999999995</v>
      </c>
      <c r="E156" s="86">
        <f>(0.75*(2.9+2.1+2.75+1.9))*10.764</f>
        <v>77.904449999999997</v>
      </c>
      <c r="F156" s="82">
        <f t="shared" si="4"/>
        <v>613.09052999999994</v>
      </c>
      <c r="G156" s="82">
        <v>0</v>
      </c>
      <c r="H156" s="82">
        <v>940</v>
      </c>
      <c r="I156" s="35"/>
      <c r="K156" s="89">
        <f t="shared" si="6"/>
        <v>1.5332156574005475</v>
      </c>
    </row>
    <row r="157" spans="1:14" s="36" customFormat="1" ht="15.75" customHeight="1" x14ac:dyDescent="0.25">
      <c r="A157" s="112">
        <f t="shared" si="5"/>
        <v>8</v>
      </c>
      <c r="B157" s="112"/>
      <c r="C157" s="82" t="s">
        <v>380</v>
      </c>
      <c r="D157" s="86">
        <f>(49.34)*10.764</f>
        <v>531.09576000000004</v>
      </c>
      <c r="E157" s="86">
        <f>(0.75*(2.9+2.1+2.75+1.9))*10.764</f>
        <v>77.904449999999997</v>
      </c>
      <c r="F157" s="82">
        <f t="shared" si="4"/>
        <v>609.00021000000004</v>
      </c>
      <c r="G157" s="82">
        <v>0</v>
      </c>
      <c r="H157" s="82">
        <v>930</v>
      </c>
      <c r="I157" s="35"/>
      <c r="K157" s="89">
        <f t="shared" si="6"/>
        <v>1.5270930694752962</v>
      </c>
    </row>
    <row r="158" spans="1:14" s="36" customFormat="1" ht="15.75" customHeight="1" x14ac:dyDescent="0.25">
      <c r="A158" s="112">
        <f t="shared" si="5"/>
        <v>9</v>
      </c>
      <c r="B158" s="112"/>
      <c r="C158" s="82" t="s">
        <v>380</v>
      </c>
      <c r="D158" s="86">
        <f>(50.73)*10.764</f>
        <v>546.0577199999999</v>
      </c>
      <c r="E158" s="86">
        <f>(0.75*(2.9+2.1+2.75+3.35))*10.764</f>
        <v>89.610299999999981</v>
      </c>
      <c r="F158" s="82">
        <f t="shared" si="4"/>
        <v>635.66801999999984</v>
      </c>
      <c r="G158" s="82">
        <v>0</v>
      </c>
      <c r="H158" s="82">
        <v>960</v>
      </c>
      <c r="I158" s="35"/>
      <c r="K158" s="89">
        <f t="shared" si="6"/>
        <v>1.510222269794224</v>
      </c>
    </row>
    <row r="159" spans="1:14" s="36" customFormat="1" x14ac:dyDescent="0.25">
      <c r="A159" s="126" t="s">
        <v>382</v>
      </c>
      <c r="B159" s="126"/>
      <c r="C159" s="126"/>
      <c r="D159" s="126"/>
      <c r="E159" s="126"/>
      <c r="F159" s="126"/>
      <c r="G159" s="126"/>
      <c r="H159" s="126"/>
      <c r="I159" s="35"/>
      <c r="K159" s="89"/>
    </row>
    <row r="160" spans="1:14" s="36" customFormat="1" ht="15.75" customHeight="1" x14ac:dyDescent="0.25">
      <c r="A160" s="112">
        <v>1</v>
      </c>
      <c r="B160" s="112"/>
      <c r="C160" s="82" t="s">
        <v>380</v>
      </c>
      <c r="D160" s="86">
        <f>(51.67)*10.764</f>
        <v>556.17588000000001</v>
      </c>
      <c r="E160" s="86">
        <f>(0.75*(2.9+2.1+2.75+3.05))*10.764</f>
        <v>87.188400000000016</v>
      </c>
      <c r="F160" s="82">
        <f>D160+E160</f>
        <v>643.36428000000001</v>
      </c>
      <c r="G160" s="82">
        <v>0</v>
      </c>
      <c r="H160" s="85">
        <v>980</v>
      </c>
      <c r="I160" s="35"/>
    </row>
    <row r="161" spans="1:20" s="36" customFormat="1" ht="15.75" customHeight="1" x14ac:dyDescent="0.25">
      <c r="A161" s="112">
        <f t="shared" ref="A161:A168" si="7">A160+1</f>
        <v>2</v>
      </c>
      <c r="B161" s="112"/>
      <c r="C161" s="113" t="s">
        <v>383</v>
      </c>
      <c r="D161" s="114"/>
      <c r="E161" s="114"/>
      <c r="F161" s="114"/>
      <c r="G161" s="115"/>
      <c r="H161" s="82" t="s">
        <v>378</v>
      </c>
      <c r="I161" s="35"/>
    </row>
    <row r="162" spans="1:20" s="36" customFormat="1" ht="15.75" customHeight="1" x14ac:dyDescent="0.25">
      <c r="A162" s="112">
        <f t="shared" si="7"/>
        <v>3</v>
      </c>
      <c r="B162" s="112"/>
      <c r="C162" s="82" t="s">
        <v>380</v>
      </c>
      <c r="D162" s="86">
        <f>(49.34)*10.764</f>
        <v>531.09576000000004</v>
      </c>
      <c r="E162" s="86">
        <f>(0.75*(2.9+2.1+2.75+1.9))*10.764</f>
        <v>77.904449999999997</v>
      </c>
      <c r="F162" s="82">
        <f t="shared" ref="F162:F168" si="8">D162+E162</f>
        <v>609.00021000000004</v>
      </c>
      <c r="G162" s="82">
        <v>0</v>
      </c>
      <c r="H162" s="85">
        <v>930</v>
      </c>
      <c r="I162" s="35"/>
    </row>
    <row r="163" spans="1:20" s="36" customFormat="1" ht="15.75" customHeight="1" x14ac:dyDescent="0.25">
      <c r="A163" s="112">
        <f t="shared" si="7"/>
        <v>4</v>
      </c>
      <c r="B163" s="112"/>
      <c r="C163" s="82" t="s">
        <v>380</v>
      </c>
      <c r="D163" s="86">
        <f>(51.02)*10.764</f>
        <v>549.17927999999995</v>
      </c>
      <c r="E163" s="86">
        <f>(0.75*(2.9+2.1+2.75+3.05))*10.764</f>
        <v>87.188400000000016</v>
      </c>
      <c r="F163" s="82">
        <f t="shared" si="8"/>
        <v>636.36767999999995</v>
      </c>
      <c r="G163" s="82">
        <v>0</v>
      </c>
      <c r="H163" s="85">
        <v>965</v>
      </c>
      <c r="I163" s="35"/>
    </row>
    <row r="164" spans="1:20" s="36" customFormat="1" ht="15.75" customHeight="1" x14ac:dyDescent="0.25">
      <c r="A164" s="112">
        <f t="shared" si="7"/>
        <v>5</v>
      </c>
      <c r="B164" s="112"/>
      <c r="C164" s="82" t="s">
        <v>380</v>
      </c>
      <c r="D164" s="86">
        <f>(51.02)*10.764</f>
        <v>549.17927999999995</v>
      </c>
      <c r="E164" s="86">
        <f>(0.75*(2.9+2.1+2.75+3.05))*10.764</f>
        <v>87.188400000000016</v>
      </c>
      <c r="F164" s="82">
        <f t="shared" si="8"/>
        <v>636.36767999999995</v>
      </c>
      <c r="G164" s="82">
        <v>0</v>
      </c>
      <c r="H164" s="85">
        <v>965</v>
      </c>
      <c r="I164" s="35"/>
    </row>
    <row r="165" spans="1:20" s="36" customFormat="1" x14ac:dyDescent="0.25">
      <c r="A165" s="112">
        <f t="shared" si="7"/>
        <v>6</v>
      </c>
      <c r="B165" s="112"/>
      <c r="C165" s="82" t="s">
        <v>380</v>
      </c>
      <c r="D165" s="86">
        <f>(51.68)*10.764</f>
        <v>556.28351999999995</v>
      </c>
      <c r="E165" s="86">
        <f>(0.75*(2.9+2.1+2.75+3.05))*10.764</f>
        <v>87.188400000000016</v>
      </c>
      <c r="F165" s="82">
        <f t="shared" si="8"/>
        <v>643.47191999999995</v>
      </c>
      <c r="G165" s="82">
        <v>0</v>
      </c>
      <c r="H165" s="85">
        <v>980</v>
      </c>
      <c r="I165" s="35"/>
    </row>
    <row r="166" spans="1:20" s="36" customFormat="1" ht="15.75" customHeight="1" x14ac:dyDescent="0.25">
      <c r="A166" s="112">
        <f t="shared" si="7"/>
        <v>7</v>
      </c>
      <c r="B166" s="112"/>
      <c r="C166" s="82" t="s">
        <v>380</v>
      </c>
      <c r="D166" s="86">
        <f>(49.94)*10.764</f>
        <v>537.55415999999991</v>
      </c>
      <c r="E166" s="86">
        <f>(0.75*(2.9+2.1+2.75+1.9))*10.764</f>
        <v>77.904449999999997</v>
      </c>
      <c r="F166" s="82">
        <f t="shared" si="8"/>
        <v>615.45860999999991</v>
      </c>
      <c r="G166" s="82">
        <v>0</v>
      </c>
      <c r="H166" s="85">
        <v>940</v>
      </c>
      <c r="I166" s="35"/>
    </row>
    <row r="167" spans="1:20" s="36" customFormat="1" ht="15.75" customHeight="1" x14ac:dyDescent="0.25">
      <c r="A167" s="112">
        <f t="shared" si="7"/>
        <v>8</v>
      </c>
      <c r="B167" s="112"/>
      <c r="C167" s="82" t="s">
        <v>380</v>
      </c>
      <c r="D167" s="86">
        <f>(49.33)*10.764</f>
        <v>530.98811999999998</v>
      </c>
      <c r="E167" s="86">
        <f>(0.75*(2.9+2.1+2.75+1.9))*10.764</f>
        <v>77.904449999999997</v>
      </c>
      <c r="F167" s="82">
        <f t="shared" si="8"/>
        <v>608.89256999999998</v>
      </c>
      <c r="G167" s="82">
        <v>0</v>
      </c>
      <c r="H167" s="85">
        <v>930</v>
      </c>
      <c r="I167" s="35"/>
    </row>
    <row r="168" spans="1:20" s="36" customFormat="1" ht="15.75" customHeight="1" x14ac:dyDescent="0.25">
      <c r="A168" s="112">
        <f t="shared" si="7"/>
        <v>9</v>
      </c>
      <c r="B168" s="112"/>
      <c r="C168" s="82" t="s">
        <v>380</v>
      </c>
      <c r="D168" s="86">
        <f>(50.73)*10.764</f>
        <v>546.0577199999999</v>
      </c>
      <c r="E168" s="86">
        <f>(0.75*(2.9+2.1+2.75+3.35))*10.764</f>
        <v>89.610299999999981</v>
      </c>
      <c r="F168" s="82">
        <f t="shared" si="8"/>
        <v>635.66801999999984</v>
      </c>
      <c r="G168" s="82">
        <v>0</v>
      </c>
      <c r="H168" s="85">
        <v>960</v>
      </c>
      <c r="I168" s="35"/>
    </row>
    <row r="169" spans="1:20" s="36" customFormat="1" ht="15.75" customHeight="1" x14ac:dyDescent="0.25">
      <c r="A169" s="126" t="s">
        <v>384</v>
      </c>
      <c r="B169" s="126"/>
      <c r="C169" s="126"/>
      <c r="D169" s="126"/>
      <c r="E169" s="126"/>
      <c r="F169" s="126"/>
      <c r="G169" s="126"/>
      <c r="H169" s="126"/>
      <c r="I169" s="35"/>
    </row>
    <row r="170" spans="1:20" s="36" customFormat="1" ht="15.75" customHeight="1" x14ac:dyDescent="0.25">
      <c r="A170" s="112">
        <v>1</v>
      </c>
      <c r="B170" s="112"/>
      <c r="C170" s="104" t="s">
        <v>380</v>
      </c>
      <c r="D170" s="86">
        <f>(51.67)*10.764</f>
        <v>556.17588000000001</v>
      </c>
      <c r="E170" s="86">
        <f>(0.75*(2.9+2.1+2.75+3.05))*10.764</f>
        <v>87.188400000000016</v>
      </c>
      <c r="F170" s="104">
        <f t="shared" ref="F170:F176" si="9">D170+E170</f>
        <v>643.36428000000001</v>
      </c>
      <c r="G170" s="104">
        <v>0</v>
      </c>
      <c r="H170" s="104">
        <v>980</v>
      </c>
      <c r="I170" s="35"/>
    </row>
    <row r="171" spans="1:20" s="34" customFormat="1" x14ac:dyDescent="0.25">
      <c r="A171" s="112">
        <f t="shared" ref="A171:A178" si="10">A170+1</f>
        <v>2</v>
      </c>
      <c r="B171" s="112"/>
      <c r="C171" s="104" t="s">
        <v>380</v>
      </c>
      <c r="D171" s="86">
        <f>(49.92)*10.764</f>
        <v>537.33888000000002</v>
      </c>
      <c r="E171" s="86">
        <f>(0.75*(2.86+2.1+2.75+1.9))*10.764</f>
        <v>77.581529999999987</v>
      </c>
      <c r="F171" s="104">
        <f t="shared" si="9"/>
        <v>614.92040999999995</v>
      </c>
      <c r="G171" s="104">
        <v>0</v>
      </c>
      <c r="H171" s="104">
        <v>940</v>
      </c>
      <c r="T171" s="36"/>
    </row>
    <row r="172" spans="1:20" s="34" customFormat="1" x14ac:dyDescent="0.25">
      <c r="A172" s="112">
        <f t="shared" si="10"/>
        <v>3</v>
      </c>
      <c r="B172" s="112"/>
      <c r="C172" s="104" t="s">
        <v>380</v>
      </c>
      <c r="D172" s="86">
        <f>(49.34)*10.764</f>
        <v>531.09576000000004</v>
      </c>
      <c r="E172" s="86">
        <f>(0.75*(2.9+2.1+2.75+1.9))*10.764</f>
        <v>77.904449999999997</v>
      </c>
      <c r="F172" s="104">
        <f t="shared" si="9"/>
        <v>609.00021000000004</v>
      </c>
      <c r="G172" s="104">
        <v>0</v>
      </c>
      <c r="H172" s="104">
        <v>930</v>
      </c>
      <c r="T172" s="36"/>
    </row>
    <row r="173" spans="1:20" s="34" customFormat="1" x14ac:dyDescent="0.25">
      <c r="A173" s="112">
        <f t="shared" si="10"/>
        <v>4</v>
      </c>
      <c r="B173" s="112"/>
      <c r="C173" s="104" t="s">
        <v>380</v>
      </c>
      <c r="D173" s="86">
        <f>(51.02)*10.764</f>
        <v>549.17927999999995</v>
      </c>
      <c r="E173" s="86">
        <f>(0.75*(2.9+2.1+2.75+3.05))*10.764</f>
        <v>87.188400000000016</v>
      </c>
      <c r="F173" s="104">
        <f t="shared" si="9"/>
        <v>636.36767999999995</v>
      </c>
      <c r="G173" s="104">
        <v>0</v>
      </c>
      <c r="H173" s="104">
        <v>965</v>
      </c>
      <c r="T173" s="36"/>
    </row>
    <row r="174" spans="1:20" s="34" customFormat="1" x14ac:dyDescent="0.25">
      <c r="A174" s="112">
        <f t="shared" si="10"/>
        <v>5</v>
      </c>
      <c r="B174" s="112"/>
      <c r="C174" s="104" t="s">
        <v>380</v>
      </c>
      <c r="D174" s="86">
        <f>(51.02)*10.764</f>
        <v>549.17927999999995</v>
      </c>
      <c r="E174" s="86">
        <f>(0.75*(2.9+2.1+2.75+3.05))*10.764</f>
        <v>87.188400000000016</v>
      </c>
      <c r="F174" s="104">
        <f t="shared" si="9"/>
        <v>636.36767999999995</v>
      </c>
      <c r="G174" s="104">
        <v>0</v>
      </c>
      <c r="H174" s="104">
        <v>965</v>
      </c>
      <c r="T174" s="36"/>
    </row>
    <row r="175" spans="1:20" s="34" customFormat="1" x14ac:dyDescent="0.25">
      <c r="A175" s="112">
        <f t="shared" si="10"/>
        <v>6</v>
      </c>
      <c r="B175" s="112"/>
      <c r="C175" s="104" t="s">
        <v>380</v>
      </c>
      <c r="D175" s="86">
        <f>(51.67)*10.764</f>
        <v>556.17588000000001</v>
      </c>
      <c r="E175" s="86">
        <f>(0.75*(2.9+2.1+2.75+3.05))*10.764</f>
        <v>87.188400000000016</v>
      </c>
      <c r="F175" s="104">
        <f t="shared" si="9"/>
        <v>643.36428000000001</v>
      </c>
      <c r="G175" s="104">
        <v>0</v>
      </c>
      <c r="H175" s="104">
        <v>980</v>
      </c>
      <c r="T175" s="36"/>
    </row>
    <row r="176" spans="1:20" s="34" customFormat="1" x14ac:dyDescent="0.25">
      <c r="A176" s="112">
        <f t="shared" si="10"/>
        <v>7</v>
      </c>
      <c r="B176" s="112"/>
      <c r="C176" s="104" t="s">
        <v>380</v>
      </c>
      <c r="D176" s="86">
        <f>(49.94)*10.764</f>
        <v>537.55415999999991</v>
      </c>
      <c r="E176" s="86">
        <f>(0.75*(2.9+2.1+2.75+1.9))*10.764</f>
        <v>77.904449999999997</v>
      </c>
      <c r="F176" s="104">
        <f t="shared" si="9"/>
        <v>615.45860999999991</v>
      </c>
      <c r="G176" s="104">
        <v>0</v>
      </c>
      <c r="H176" s="104">
        <v>940</v>
      </c>
      <c r="T176" s="36"/>
    </row>
    <row r="177" spans="1:20" s="34" customFormat="1" x14ac:dyDescent="0.25">
      <c r="A177" s="112">
        <f t="shared" si="10"/>
        <v>8</v>
      </c>
      <c r="B177" s="112"/>
      <c r="C177" s="113" t="s">
        <v>385</v>
      </c>
      <c r="D177" s="114"/>
      <c r="E177" s="114"/>
      <c r="F177" s="114"/>
      <c r="G177" s="115"/>
      <c r="H177" s="82" t="s">
        <v>378</v>
      </c>
    </row>
    <row r="178" spans="1:20" s="34" customFormat="1" x14ac:dyDescent="0.25">
      <c r="A178" s="112">
        <f t="shared" si="10"/>
        <v>9</v>
      </c>
      <c r="B178" s="112"/>
      <c r="C178" s="82" t="s">
        <v>380</v>
      </c>
      <c r="D178" s="86">
        <f>(50.73)*10.764</f>
        <v>546.0577199999999</v>
      </c>
      <c r="E178" s="86">
        <f>(0.75*(2.9+2.1+2.75+3.35))*10.764</f>
        <v>89.610299999999981</v>
      </c>
      <c r="F178" s="82">
        <f>D178+E178</f>
        <v>635.66801999999984</v>
      </c>
      <c r="G178" s="82">
        <v>0</v>
      </c>
      <c r="H178" s="85">
        <v>960</v>
      </c>
    </row>
    <row r="179" spans="1:20" s="34" customFormat="1" x14ac:dyDescent="0.25">
      <c r="A179" s="116" t="s">
        <v>386</v>
      </c>
      <c r="B179" s="117"/>
      <c r="C179" s="117"/>
      <c r="D179" s="117"/>
      <c r="E179" s="117"/>
      <c r="F179" s="117"/>
      <c r="G179" s="117"/>
      <c r="H179" s="118"/>
    </row>
    <row r="180" spans="1:20" s="34" customFormat="1" x14ac:dyDescent="0.25">
      <c r="A180" s="116" t="s">
        <v>387</v>
      </c>
      <c r="B180" s="117"/>
      <c r="C180" s="117"/>
      <c r="D180" s="117"/>
      <c r="E180" s="117"/>
      <c r="F180" s="117"/>
      <c r="G180" s="117"/>
      <c r="H180" s="118"/>
    </row>
    <row r="181" spans="1:20" s="34" customFormat="1" x14ac:dyDescent="0.25">
      <c r="A181" s="116" t="s">
        <v>388</v>
      </c>
      <c r="B181" s="117"/>
      <c r="C181" s="117"/>
      <c r="D181" s="117"/>
      <c r="E181" s="117"/>
      <c r="F181" s="117"/>
      <c r="G181" s="117"/>
      <c r="H181" s="118"/>
      <c r="I181" s="91">
        <v>10.763999999999999</v>
      </c>
    </row>
    <row r="182" spans="1:20" s="34" customFormat="1" x14ac:dyDescent="0.25">
      <c r="A182" s="113">
        <v>1</v>
      </c>
      <c r="B182" s="115"/>
      <c r="C182" s="41" t="s">
        <v>389</v>
      </c>
      <c r="D182" s="86">
        <f>(37.37)*10.764</f>
        <v>402.25067999999993</v>
      </c>
      <c r="E182" s="91">
        <f>(0.75*(2.75+2.15+3.2))*10.764</f>
        <v>65.391300000000001</v>
      </c>
      <c r="F182" s="52">
        <f>D182+E182</f>
        <v>467.64197999999993</v>
      </c>
      <c r="G182" s="52">
        <v>0</v>
      </c>
      <c r="H182" s="52">
        <v>705</v>
      </c>
      <c r="J182" s="90">
        <f>705/F182</f>
        <v>1.5075635425202847</v>
      </c>
      <c r="K182" s="34">
        <f>3500000/H182</f>
        <v>4964.5390070921985</v>
      </c>
      <c r="L182" s="34">
        <f>5000*H182</f>
        <v>3525000</v>
      </c>
      <c r="M182" s="34">
        <f>36320000/H182</f>
        <v>51517.7304964539</v>
      </c>
    </row>
    <row r="183" spans="1:20" x14ac:dyDescent="0.25">
      <c r="A183" s="113">
        <v>2</v>
      </c>
      <c r="B183" s="115"/>
      <c r="C183" s="82" t="s">
        <v>389</v>
      </c>
      <c r="D183" s="86">
        <f>(37.33)*10.764</f>
        <v>401.82011999999997</v>
      </c>
      <c r="E183" s="91">
        <f>(0.75*(2.75+2.15+3.2))*10.764</f>
        <v>65.391300000000001</v>
      </c>
      <c r="F183" s="52">
        <f>D183+E183</f>
        <v>467.21141999999998</v>
      </c>
      <c r="G183" s="52">
        <v>0</v>
      </c>
      <c r="H183" s="87">
        <v>705</v>
      </c>
      <c r="J183" s="90">
        <f t="shared" ref="J183:J185" si="11">705/F183</f>
        <v>1.5089528419489404</v>
      </c>
      <c r="L183" s="34">
        <f t="shared" ref="L183:L185" si="12">5000*H183</f>
        <v>3525000</v>
      </c>
      <c r="T183" s="34"/>
    </row>
    <row r="184" spans="1:20" x14ac:dyDescent="0.25">
      <c r="A184" s="113">
        <v>3</v>
      </c>
      <c r="B184" s="115"/>
      <c r="C184" s="82" t="s">
        <v>389</v>
      </c>
      <c r="D184" s="86">
        <f>(37.37)*10.764</f>
        <v>402.25067999999993</v>
      </c>
      <c r="E184" s="91">
        <f>(0.75*(2.75+2.15+3.2))*10.764</f>
        <v>65.391300000000001</v>
      </c>
      <c r="F184" s="52">
        <f>D184+E184</f>
        <v>467.64197999999993</v>
      </c>
      <c r="G184" s="52">
        <v>0</v>
      </c>
      <c r="H184" s="87">
        <v>705</v>
      </c>
      <c r="J184" s="90">
        <f t="shared" si="11"/>
        <v>1.5075635425202847</v>
      </c>
      <c r="L184" s="34">
        <f t="shared" si="12"/>
        <v>3525000</v>
      </c>
      <c r="T184" s="34"/>
    </row>
    <row r="185" spans="1:20" ht="15.75" customHeight="1" x14ac:dyDescent="0.25">
      <c r="A185" s="113">
        <v>4</v>
      </c>
      <c r="B185" s="115"/>
      <c r="C185" s="82" t="s">
        <v>389</v>
      </c>
      <c r="D185" s="86">
        <f>(37.37)*10.764</f>
        <v>402.25067999999993</v>
      </c>
      <c r="E185" s="91">
        <f>(0.75*(2.75+2.15+3.2))*10.764</f>
        <v>65.391300000000001</v>
      </c>
      <c r="F185" s="52">
        <f>D185+E185</f>
        <v>467.64197999999993</v>
      </c>
      <c r="G185" s="52">
        <v>0</v>
      </c>
      <c r="H185" s="87">
        <v>705</v>
      </c>
      <c r="J185" s="90">
        <f t="shared" si="11"/>
        <v>1.5075635425202847</v>
      </c>
      <c r="L185" s="34">
        <f t="shared" si="12"/>
        <v>3525000</v>
      </c>
      <c r="T185" s="34"/>
    </row>
    <row r="186" spans="1:20" ht="15.75" customHeight="1" x14ac:dyDescent="0.25">
      <c r="A186" s="116" t="s">
        <v>390</v>
      </c>
      <c r="B186" s="117"/>
      <c r="C186" s="117"/>
      <c r="D186" s="117"/>
      <c r="E186" s="117"/>
      <c r="F186" s="117"/>
      <c r="G186" s="117"/>
      <c r="H186" s="118"/>
      <c r="J186" s="34"/>
      <c r="T186" s="34"/>
    </row>
    <row r="187" spans="1:20" x14ac:dyDescent="0.25">
      <c r="A187" s="113">
        <v>1</v>
      </c>
      <c r="B187" s="115"/>
      <c r="C187" s="82" t="s">
        <v>389</v>
      </c>
      <c r="D187" s="86">
        <f>(37.37)*10.764</f>
        <v>402.25067999999993</v>
      </c>
      <c r="E187" s="91">
        <f>(0.75*(2.75+2.15+3.2))*10.764</f>
        <v>65.391300000000001</v>
      </c>
      <c r="F187" s="82">
        <f>D187+E187</f>
        <v>467.64197999999993</v>
      </c>
      <c r="G187" s="82">
        <v>0</v>
      </c>
      <c r="H187" s="87">
        <v>705</v>
      </c>
      <c r="T187" s="34"/>
    </row>
    <row r="188" spans="1:20" x14ac:dyDescent="0.25">
      <c r="A188" s="113">
        <v>2</v>
      </c>
      <c r="B188" s="115"/>
      <c r="C188" s="82" t="s">
        <v>389</v>
      </c>
      <c r="D188" s="86">
        <f>(37.37)*10.764</f>
        <v>402.25067999999993</v>
      </c>
      <c r="E188" s="91">
        <f>(0.75*(2.75+2.15+3.2))*10.764</f>
        <v>65.391300000000001</v>
      </c>
      <c r="F188" s="82">
        <f>D188+E188</f>
        <v>467.64197999999993</v>
      </c>
      <c r="G188" s="82">
        <v>0</v>
      </c>
      <c r="H188" s="87">
        <v>705</v>
      </c>
    </row>
    <row r="189" spans="1:20" x14ac:dyDescent="0.25">
      <c r="A189" s="113">
        <v>3</v>
      </c>
      <c r="B189" s="115"/>
      <c r="C189" s="82" t="s">
        <v>389</v>
      </c>
      <c r="D189" s="86">
        <f>(37.37)*10.764</f>
        <v>402.25067999999993</v>
      </c>
      <c r="E189" s="91">
        <f>(0.75*(2.75+2.15+3.2))*10.764</f>
        <v>65.391300000000001</v>
      </c>
      <c r="F189" s="82">
        <f>D189+E189</f>
        <v>467.64197999999993</v>
      </c>
      <c r="G189" s="82">
        <v>0</v>
      </c>
      <c r="H189" s="87">
        <v>705</v>
      </c>
    </row>
    <row r="190" spans="1:20" x14ac:dyDescent="0.25">
      <c r="A190" s="113">
        <v>4</v>
      </c>
      <c r="B190" s="115"/>
      <c r="C190" s="82" t="s">
        <v>389</v>
      </c>
      <c r="D190" s="86">
        <f>(37.37)*10.764</f>
        <v>402.25067999999993</v>
      </c>
      <c r="E190" s="91">
        <f>(0.75*(2.75+2.15+3.2))*10.764</f>
        <v>65.391300000000001</v>
      </c>
      <c r="F190" s="82">
        <f>D190+E190</f>
        <v>467.64197999999993</v>
      </c>
      <c r="G190" s="82">
        <v>0</v>
      </c>
      <c r="H190" s="87">
        <v>705</v>
      </c>
    </row>
    <row r="191" spans="1:20" x14ac:dyDescent="0.25">
      <c r="A191" s="112" t="s">
        <v>378</v>
      </c>
      <c r="B191" s="112"/>
      <c r="C191" s="113" t="s">
        <v>383</v>
      </c>
      <c r="D191" s="114"/>
      <c r="E191" s="114"/>
      <c r="F191" s="114"/>
      <c r="G191" s="115"/>
      <c r="H191" s="82" t="s">
        <v>378</v>
      </c>
    </row>
    <row r="192" spans="1:20" x14ac:dyDescent="0.25">
      <c r="A192" s="116"/>
      <c r="B192" s="117"/>
      <c r="C192" s="117"/>
      <c r="D192" s="117"/>
      <c r="E192" s="117"/>
      <c r="F192" s="117"/>
      <c r="G192" s="117"/>
      <c r="H192" s="118"/>
    </row>
    <row r="193" spans="1:8" x14ac:dyDescent="0.25">
      <c r="A193" s="194" t="s">
        <v>64</v>
      </c>
      <c r="B193" s="194"/>
      <c r="C193" s="194"/>
      <c r="D193" s="194"/>
      <c r="E193" s="194"/>
      <c r="F193" s="194"/>
      <c r="G193" s="194"/>
      <c r="H193" s="194"/>
    </row>
    <row r="194" spans="1:8" x14ac:dyDescent="0.25">
      <c r="A194" s="43" t="s">
        <v>150</v>
      </c>
      <c r="B194" s="191" t="s">
        <v>413</v>
      </c>
      <c r="C194" s="192"/>
      <c r="D194" s="192"/>
      <c r="E194" s="192"/>
      <c r="F194" s="192"/>
      <c r="G194" s="192"/>
      <c r="H194" s="193"/>
    </row>
    <row r="195" spans="1:8" x14ac:dyDescent="0.25">
      <c r="A195" s="43" t="s">
        <v>150</v>
      </c>
      <c r="B195" s="191" t="str">
        <f>(IF(H136="Saleable area Loading :","We have considered Saleable area of Flats as per our Calculation.","We considered Saleable area of Flat as per Builder area Sheet."))</f>
        <v>We considered Saleable area of Flat as per Builder area Sheet.</v>
      </c>
      <c r="C195" s="192"/>
      <c r="D195" s="192"/>
      <c r="E195" s="192"/>
      <c r="F195" s="192"/>
      <c r="G195" s="192"/>
      <c r="H195" s="193"/>
    </row>
    <row r="196" spans="1:8" hidden="1" x14ac:dyDescent="0.25">
      <c r="A196" s="43" t="s">
        <v>150</v>
      </c>
      <c r="B196" s="191" t="str">
        <f>(IF(H128="Saleable area Loading :","We have considered Saleable area of Commercial as per our Calculation.","We considered Saleable area of Commercial as per Builder area Sheet."))</f>
        <v>We have considered Saleable area of Commercial as per our Calculation.</v>
      </c>
      <c r="C196" s="192"/>
      <c r="D196" s="192"/>
      <c r="E196" s="192"/>
      <c r="F196" s="192"/>
      <c r="G196" s="192"/>
      <c r="H196" s="193"/>
    </row>
    <row r="197" spans="1:8" x14ac:dyDescent="0.25">
      <c r="A197" s="43" t="s">
        <v>150</v>
      </c>
      <c r="B197" s="188" t="s">
        <v>120</v>
      </c>
      <c r="C197" s="189"/>
      <c r="D197" s="189"/>
      <c r="E197" s="189"/>
      <c r="F197" s="189"/>
      <c r="G197" s="189"/>
      <c r="H197" s="190"/>
    </row>
    <row r="198" spans="1:8" x14ac:dyDescent="0.25">
      <c r="A198" s="43" t="s">
        <v>150</v>
      </c>
      <c r="B198" s="188" t="s">
        <v>401</v>
      </c>
      <c r="C198" s="189"/>
      <c r="D198" s="189"/>
      <c r="E198" s="189"/>
      <c r="F198" s="189"/>
      <c r="G198" s="189"/>
      <c r="H198" s="190"/>
    </row>
    <row r="199" spans="1:8" x14ac:dyDescent="0.25">
      <c r="A199" s="43" t="s">
        <v>150</v>
      </c>
      <c r="B199" s="188" t="s">
        <v>149</v>
      </c>
      <c r="C199" s="189"/>
      <c r="D199" s="189"/>
      <c r="E199" s="189"/>
      <c r="F199" s="189"/>
      <c r="G199" s="189"/>
      <c r="H199" s="190"/>
    </row>
    <row r="200" spans="1:8" x14ac:dyDescent="0.25">
      <c r="A200" s="43" t="s">
        <v>150</v>
      </c>
      <c r="B200" s="188" t="s">
        <v>121</v>
      </c>
      <c r="C200" s="189"/>
      <c r="D200" s="189"/>
      <c r="E200" s="189"/>
      <c r="F200" s="189"/>
      <c r="G200" s="189"/>
      <c r="H200" s="190"/>
    </row>
    <row r="201" spans="1:8" ht="32.25" customHeight="1" x14ac:dyDescent="0.25">
      <c r="A201" s="43" t="s">
        <v>150</v>
      </c>
      <c r="B201" s="188" t="s">
        <v>151</v>
      </c>
      <c r="C201" s="189"/>
      <c r="D201" s="189"/>
      <c r="E201" s="189"/>
      <c r="F201" s="189"/>
      <c r="G201" s="189"/>
      <c r="H201" s="190"/>
    </row>
    <row r="202" spans="1:8" x14ac:dyDescent="0.25">
      <c r="A202" s="43" t="s">
        <v>150</v>
      </c>
      <c r="B202" s="188" t="s">
        <v>122</v>
      </c>
      <c r="C202" s="189"/>
      <c r="D202" s="189"/>
      <c r="E202" s="189"/>
      <c r="F202" s="189"/>
      <c r="G202" s="189"/>
      <c r="H202" s="190"/>
    </row>
    <row r="203" spans="1:8" hidden="1" x14ac:dyDescent="0.25">
      <c r="A203" s="81" t="s">
        <v>150</v>
      </c>
      <c r="B203" s="188" t="s">
        <v>403</v>
      </c>
      <c r="C203" s="189"/>
      <c r="D203" s="189"/>
      <c r="E203" s="189"/>
      <c r="F203" s="189"/>
      <c r="G203" s="189"/>
      <c r="H203" s="190"/>
    </row>
    <row r="204" spans="1:8" hidden="1" x14ac:dyDescent="0.25">
      <c r="A204" s="49" t="s">
        <v>150</v>
      </c>
      <c r="B204" s="198" t="s">
        <v>175</v>
      </c>
      <c r="C204" s="199"/>
      <c r="D204" s="199"/>
      <c r="E204" s="199"/>
      <c r="F204" s="199"/>
      <c r="G204" s="199"/>
      <c r="H204" s="200"/>
    </row>
    <row r="205" spans="1:8" hidden="1" x14ac:dyDescent="0.25">
      <c r="A205" s="53" t="s">
        <v>150</v>
      </c>
      <c r="B205" s="198" t="s">
        <v>230</v>
      </c>
      <c r="C205" s="199"/>
      <c r="D205" s="199"/>
      <c r="E205" s="199"/>
      <c r="F205" s="199"/>
      <c r="G205" s="199"/>
      <c r="H205" s="200"/>
    </row>
    <row r="206" spans="1:8" ht="32.25" customHeight="1" x14ac:dyDescent="0.25">
      <c r="A206" s="100" t="s">
        <v>150</v>
      </c>
      <c r="B206" s="188" t="s">
        <v>415</v>
      </c>
      <c r="C206" s="189"/>
      <c r="D206" s="189"/>
      <c r="E206" s="189"/>
      <c r="F206" s="189"/>
      <c r="G206" s="189"/>
      <c r="H206" s="190"/>
    </row>
    <row r="207" spans="1:8" x14ac:dyDescent="0.25">
      <c r="A207" s="197" t="s">
        <v>57</v>
      </c>
      <c r="B207" s="197"/>
      <c r="C207" s="197"/>
      <c r="D207" s="197"/>
      <c r="E207" s="197"/>
      <c r="F207" s="197"/>
      <c r="G207" s="197"/>
      <c r="H207" s="197"/>
    </row>
    <row r="208" spans="1:8" x14ac:dyDescent="0.25">
      <c r="A208" s="142" t="s">
        <v>58</v>
      </c>
      <c r="B208" s="142"/>
      <c r="C208" s="142"/>
      <c r="D208" s="142"/>
      <c r="E208" s="142"/>
      <c r="F208" s="142"/>
      <c r="G208" s="142"/>
      <c r="H208" s="142"/>
    </row>
    <row r="209" spans="1:8" x14ac:dyDescent="0.25">
      <c r="A209" s="186" t="s">
        <v>59</v>
      </c>
      <c r="B209" s="186"/>
      <c r="C209" s="186"/>
      <c r="D209" s="186"/>
      <c r="E209" s="186"/>
      <c r="F209" s="186"/>
      <c r="G209" s="186"/>
      <c r="H209" s="186"/>
    </row>
    <row r="210" spans="1:8" x14ac:dyDescent="0.25">
      <c r="A210" s="142" t="s">
        <v>60</v>
      </c>
      <c r="B210" s="142"/>
      <c r="C210" s="142"/>
      <c r="D210" s="142"/>
      <c r="E210" s="142"/>
      <c r="F210" s="142"/>
      <c r="G210" s="142"/>
      <c r="H210" s="142"/>
    </row>
    <row r="211" spans="1:8" x14ac:dyDescent="0.25">
      <c r="A211" s="142" t="s">
        <v>61</v>
      </c>
      <c r="B211" s="142"/>
      <c r="C211" s="142"/>
      <c r="D211" s="142"/>
      <c r="E211" s="142"/>
      <c r="F211" s="142"/>
      <c r="G211" s="142"/>
      <c r="H211" s="142"/>
    </row>
    <row r="212" spans="1:8" x14ac:dyDescent="0.25">
      <c r="A212" s="142" t="s">
        <v>123</v>
      </c>
      <c r="B212" s="142"/>
      <c r="C212" s="142"/>
      <c r="D212" s="142"/>
      <c r="E212" s="142"/>
      <c r="F212" s="142"/>
      <c r="G212" s="142"/>
      <c r="H212" s="142"/>
    </row>
    <row r="213" spans="1:8" x14ac:dyDescent="0.25">
      <c r="A213" s="160" t="s">
        <v>124</v>
      </c>
      <c r="B213" s="160"/>
      <c r="C213" s="160"/>
      <c r="D213" s="160"/>
      <c r="E213" s="160"/>
      <c r="F213" s="160"/>
      <c r="G213" s="160"/>
      <c r="H213" s="160"/>
    </row>
    <row r="214" spans="1:8" x14ac:dyDescent="0.25">
      <c r="A214" s="196" t="s">
        <v>73</v>
      </c>
      <c r="B214" s="196"/>
      <c r="C214" s="196" t="s">
        <v>402</v>
      </c>
      <c r="D214" s="196"/>
      <c r="E214" s="196" t="s">
        <v>103</v>
      </c>
      <c r="F214" s="196"/>
      <c r="G214" s="196" t="s">
        <v>412</v>
      </c>
      <c r="H214" s="196"/>
    </row>
    <row r="215" spans="1:8" x14ac:dyDescent="0.25">
      <c r="A215" s="195" t="s">
        <v>75</v>
      </c>
      <c r="B215" s="195"/>
      <c r="C215" s="195"/>
      <c r="D215" s="195"/>
      <c r="E215" s="195"/>
      <c r="F215" s="195"/>
      <c r="G215" s="195"/>
      <c r="H215" s="195"/>
    </row>
    <row r="216" spans="1:8" x14ac:dyDescent="0.25">
      <c r="A216" s="195"/>
      <c r="B216" s="195"/>
      <c r="C216" s="195"/>
      <c r="D216" s="195"/>
      <c r="E216" s="195"/>
      <c r="F216" s="195"/>
      <c r="G216" s="195"/>
      <c r="H216" s="195"/>
    </row>
    <row r="217" spans="1:8" x14ac:dyDescent="0.25">
      <c r="A217" s="195"/>
      <c r="B217" s="195"/>
      <c r="C217" s="195"/>
      <c r="D217" s="195"/>
      <c r="E217" s="195"/>
      <c r="F217" s="195"/>
      <c r="G217" s="195"/>
      <c r="H217" s="195"/>
    </row>
    <row r="218" spans="1:8" x14ac:dyDescent="0.25">
      <c r="A218" s="195"/>
      <c r="B218" s="195"/>
      <c r="C218" s="195"/>
      <c r="D218" s="195"/>
      <c r="E218" s="195"/>
      <c r="F218" s="195"/>
      <c r="G218" s="195"/>
      <c r="H218" s="195"/>
    </row>
    <row r="219" spans="1:8" x14ac:dyDescent="0.25">
      <c r="A219" s="37" t="s">
        <v>62</v>
      </c>
      <c r="B219" s="38"/>
      <c r="C219" s="38"/>
      <c r="D219" s="37" t="str">
        <f>E9</f>
        <v>QA Riverfront 3</v>
      </c>
      <c r="F219" s="38"/>
      <c r="G219" s="38"/>
      <c r="H219" s="38"/>
    </row>
    <row r="220" spans="1:8" x14ac:dyDescent="0.25">
      <c r="A220" s="38"/>
      <c r="B220" s="38"/>
      <c r="C220" s="38"/>
      <c r="D220" s="38"/>
      <c r="E220" s="38"/>
      <c r="F220" s="38"/>
      <c r="G220" s="38"/>
      <c r="H220" s="38"/>
    </row>
    <row r="221" spans="1:8" x14ac:dyDescent="0.25">
      <c r="A221" s="38"/>
      <c r="B221" s="38"/>
      <c r="C221" s="38"/>
      <c r="D221" s="38"/>
      <c r="E221" s="38"/>
      <c r="F221" s="38"/>
      <c r="G221" s="38"/>
      <c r="H221" s="38"/>
    </row>
    <row r="235" spans="8:8" x14ac:dyDescent="0.25">
      <c r="H235"/>
    </row>
    <row r="254" hidden="1" x14ac:dyDescent="0.25"/>
    <row r="255" hidden="1" x14ac:dyDescent="0.25"/>
    <row r="256" hidden="1" x14ac:dyDescent="0.25"/>
    <row r="257" spans="1:1" hidden="1" x14ac:dyDescent="0.25"/>
    <row r="258" spans="1:1" hidden="1" x14ac:dyDescent="0.25"/>
    <row r="259" spans="1:1" hidden="1" x14ac:dyDescent="0.25"/>
    <row r="260" spans="1:1" hidden="1" x14ac:dyDescent="0.25"/>
    <row r="261" spans="1:1" hidden="1" x14ac:dyDescent="0.25"/>
    <row r="263" spans="1:1" x14ac:dyDescent="0.25">
      <c r="A263" s="40" t="s">
        <v>161</v>
      </c>
    </row>
    <row r="306" spans="1:1" x14ac:dyDescent="0.25">
      <c r="A306" s="40" t="s">
        <v>63</v>
      </c>
    </row>
  </sheetData>
  <mergeCells count="377">
    <mergeCell ref="C76:H76"/>
    <mergeCell ref="A107:E107"/>
    <mergeCell ref="B204:H204"/>
    <mergeCell ref="C125:D125"/>
    <mergeCell ref="E125:F125"/>
    <mergeCell ref="A124:B124"/>
    <mergeCell ref="E124:F124"/>
    <mergeCell ref="A112:E112"/>
    <mergeCell ref="G124:H124"/>
    <mergeCell ref="C118:D118"/>
    <mergeCell ref="E118:F118"/>
    <mergeCell ref="G118:H118"/>
    <mergeCell ref="A119:B119"/>
    <mergeCell ref="C119:D119"/>
    <mergeCell ref="E119:F119"/>
    <mergeCell ref="G119:H119"/>
    <mergeCell ref="A123:B123"/>
    <mergeCell ref="C123:D123"/>
    <mergeCell ref="E123:F123"/>
    <mergeCell ref="G123:H123"/>
    <mergeCell ref="A186:H186"/>
    <mergeCell ref="A179:H179"/>
    <mergeCell ref="A157:B157"/>
    <mergeCell ref="A168:B168"/>
    <mergeCell ref="E91:F91"/>
    <mergeCell ref="E92:F101"/>
    <mergeCell ref="L134:M134"/>
    <mergeCell ref="L133:M133"/>
    <mergeCell ref="L132:M132"/>
    <mergeCell ref="L131:M131"/>
    <mergeCell ref="C90:H90"/>
    <mergeCell ref="A93:B93"/>
    <mergeCell ref="A94:B94"/>
    <mergeCell ref="G92:H101"/>
    <mergeCell ref="A95:B95"/>
    <mergeCell ref="F104:H104"/>
    <mergeCell ref="A104:E104"/>
    <mergeCell ref="A125:B125"/>
    <mergeCell ref="A90:B90"/>
    <mergeCell ref="A77:B77"/>
    <mergeCell ref="A85:B85"/>
    <mergeCell ref="C122:D122"/>
    <mergeCell ref="E122:F122"/>
    <mergeCell ref="G122:H122"/>
    <mergeCell ref="A103:E103"/>
    <mergeCell ref="A88:B88"/>
    <mergeCell ref="C88:H88"/>
    <mergeCell ref="A92:B92"/>
    <mergeCell ref="F105:H105"/>
    <mergeCell ref="A115:H115"/>
    <mergeCell ref="A113:E113"/>
    <mergeCell ref="F113:H113"/>
    <mergeCell ref="A114:E114"/>
    <mergeCell ref="A117:B117"/>
    <mergeCell ref="A120:H120"/>
    <mergeCell ref="A108:E108"/>
    <mergeCell ref="F108:H108"/>
    <mergeCell ref="A110:E110"/>
    <mergeCell ref="F114:H114"/>
    <mergeCell ref="A122:B122"/>
    <mergeCell ref="A96:B96"/>
    <mergeCell ref="A98:B98"/>
    <mergeCell ref="A38:H38"/>
    <mergeCell ref="A37:B37"/>
    <mergeCell ref="C37:E37"/>
    <mergeCell ref="A42:D42"/>
    <mergeCell ref="E42:H42"/>
    <mergeCell ref="A41:H41"/>
    <mergeCell ref="A67:C67"/>
    <mergeCell ref="A68:C68"/>
    <mergeCell ref="D67:H67"/>
    <mergeCell ref="F37:H37"/>
    <mergeCell ref="C51:E51"/>
    <mergeCell ref="C50:E50"/>
    <mergeCell ref="G50:H50"/>
    <mergeCell ref="A51:B51"/>
    <mergeCell ref="G56:H56"/>
    <mergeCell ref="A58:B59"/>
    <mergeCell ref="C58:E58"/>
    <mergeCell ref="G58:H58"/>
    <mergeCell ref="G51:H51"/>
    <mergeCell ref="A52:B53"/>
    <mergeCell ref="A39:B39"/>
    <mergeCell ref="A45:D45"/>
    <mergeCell ref="A49:B49"/>
    <mergeCell ref="C49:H49"/>
    <mergeCell ref="A47:D47"/>
    <mergeCell ref="D68:H68"/>
    <mergeCell ref="A65:C66"/>
    <mergeCell ref="D65:H65"/>
    <mergeCell ref="D66:H66"/>
    <mergeCell ref="C39:H39"/>
    <mergeCell ref="A46:D46"/>
    <mergeCell ref="A44:D44"/>
    <mergeCell ref="E44:H44"/>
    <mergeCell ref="E45:H45"/>
    <mergeCell ref="E46:H46"/>
    <mergeCell ref="E47:H47"/>
    <mergeCell ref="C57:H57"/>
    <mergeCell ref="A48:H48"/>
    <mergeCell ref="E43:H43"/>
    <mergeCell ref="A43:D43"/>
    <mergeCell ref="A40:B40"/>
    <mergeCell ref="C40:H40"/>
    <mergeCell ref="C55:H55"/>
    <mergeCell ref="A74:B74"/>
    <mergeCell ref="C74:H74"/>
    <mergeCell ref="D64:H64"/>
    <mergeCell ref="A64:C64"/>
    <mergeCell ref="A50:B50"/>
    <mergeCell ref="C52:E52"/>
    <mergeCell ref="C53:H53"/>
    <mergeCell ref="A69:C69"/>
    <mergeCell ref="G52:H52"/>
    <mergeCell ref="A61:H61"/>
    <mergeCell ref="A62:C62"/>
    <mergeCell ref="A63:C63"/>
    <mergeCell ref="A71:C71"/>
    <mergeCell ref="D72:H72"/>
    <mergeCell ref="C59:E59"/>
    <mergeCell ref="G59:H59"/>
    <mergeCell ref="A70:C70"/>
    <mergeCell ref="D70:H70"/>
    <mergeCell ref="A73:C73"/>
    <mergeCell ref="D73:H73"/>
    <mergeCell ref="A72:C72"/>
    <mergeCell ref="D69:H69"/>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15:H218"/>
    <mergeCell ref="A214:B214"/>
    <mergeCell ref="E214:F214"/>
    <mergeCell ref="C214:D214"/>
    <mergeCell ref="G214:H214"/>
    <mergeCell ref="B203:H203"/>
    <mergeCell ref="C191:G191"/>
    <mergeCell ref="A182:B182"/>
    <mergeCell ref="B196:H196"/>
    <mergeCell ref="A192:H192"/>
    <mergeCell ref="B200:H200"/>
    <mergeCell ref="A187:B187"/>
    <mergeCell ref="A207:H207"/>
    <mergeCell ref="B199:H199"/>
    <mergeCell ref="A189:B189"/>
    <mergeCell ref="B201:H201"/>
    <mergeCell ref="B202:H202"/>
    <mergeCell ref="B206:H206"/>
    <mergeCell ref="B205:H205"/>
    <mergeCell ref="A184:B184"/>
    <mergeCell ref="A210:H210"/>
    <mergeCell ref="A213:H213"/>
    <mergeCell ref="A211:H211"/>
    <mergeCell ref="A212:H212"/>
    <mergeCell ref="A209:H209"/>
    <mergeCell ref="A150:B150"/>
    <mergeCell ref="A121:B121"/>
    <mergeCell ref="D136:D137"/>
    <mergeCell ref="E136:E137"/>
    <mergeCell ref="A185:B185"/>
    <mergeCell ref="B198:H198"/>
    <mergeCell ref="B194:H194"/>
    <mergeCell ref="B195:H195"/>
    <mergeCell ref="B197:H197"/>
    <mergeCell ref="A208:H208"/>
    <mergeCell ref="A143:B143"/>
    <mergeCell ref="A158:B158"/>
    <mergeCell ref="A159:H159"/>
    <mergeCell ref="A193:H193"/>
    <mergeCell ref="A190:B190"/>
    <mergeCell ref="A191:B191"/>
    <mergeCell ref="A188:B188"/>
    <mergeCell ref="A140:H140"/>
    <mergeCell ref="A147:B147"/>
    <mergeCell ref="A148:B148"/>
    <mergeCell ref="C148:G148"/>
    <mergeCell ref="A155:B155"/>
    <mergeCell ref="A156:B156"/>
    <mergeCell ref="A101:B101"/>
    <mergeCell ref="F109:H109"/>
    <mergeCell ref="C116:D116"/>
    <mergeCell ref="C124:D124"/>
    <mergeCell ref="A138:H138"/>
    <mergeCell ref="F102:H102"/>
    <mergeCell ref="F107:H107"/>
    <mergeCell ref="F106:H106"/>
    <mergeCell ref="G128:G129"/>
    <mergeCell ref="A106:E106"/>
    <mergeCell ref="G121:H121"/>
    <mergeCell ref="F128:F129"/>
    <mergeCell ref="C117:D117"/>
    <mergeCell ref="E117:F117"/>
    <mergeCell ref="B128:B129"/>
    <mergeCell ref="A128:A129"/>
    <mergeCell ref="C136:C137"/>
    <mergeCell ref="G136:G137"/>
    <mergeCell ref="A130:H130"/>
    <mergeCell ref="E128:E129"/>
    <mergeCell ref="D128:D129"/>
    <mergeCell ref="C128:C129"/>
    <mergeCell ref="F103:H103"/>
    <mergeCell ref="G117:H117"/>
    <mergeCell ref="I15:P15"/>
    <mergeCell ref="F112:H112"/>
    <mergeCell ref="F110:H110"/>
    <mergeCell ref="A183:B183"/>
    <mergeCell ref="A127:H127"/>
    <mergeCell ref="G116:H116"/>
    <mergeCell ref="A111:E111"/>
    <mergeCell ref="A132:B132"/>
    <mergeCell ref="A60:B60"/>
    <mergeCell ref="C60:E60"/>
    <mergeCell ref="D62:H62"/>
    <mergeCell ref="F111:H111"/>
    <mergeCell ref="E116:F116"/>
    <mergeCell ref="A116:B116"/>
    <mergeCell ref="A118:B118"/>
    <mergeCell ref="C121:D121"/>
    <mergeCell ref="D71:H71"/>
    <mergeCell ref="D63:H63"/>
    <mergeCell ref="G60:H60"/>
    <mergeCell ref="A54:B55"/>
    <mergeCell ref="C54:E54"/>
    <mergeCell ref="G54:H54"/>
    <mergeCell ref="A56:B57"/>
    <mergeCell ref="C56:E56"/>
    <mergeCell ref="A78:B78"/>
    <mergeCell ref="G77:H77"/>
    <mergeCell ref="A86:B86"/>
    <mergeCell ref="A87:B87"/>
    <mergeCell ref="A82:B82"/>
    <mergeCell ref="A79:B79"/>
    <mergeCell ref="A81:B81"/>
    <mergeCell ref="E77:F77"/>
    <mergeCell ref="A84:B84"/>
    <mergeCell ref="A76:B76"/>
    <mergeCell ref="A83:B83"/>
    <mergeCell ref="A97:B97"/>
    <mergeCell ref="A91:B91"/>
    <mergeCell ref="A80:B80"/>
    <mergeCell ref="E78:F87"/>
    <mergeCell ref="G78:H87"/>
    <mergeCell ref="A167:B167"/>
    <mergeCell ref="A134:B134"/>
    <mergeCell ref="A133:B133"/>
    <mergeCell ref="A139:H139"/>
    <mergeCell ref="A109:E109"/>
    <mergeCell ref="A135:H135"/>
    <mergeCell ref="E121:F121"/>
    <mergeCell ref="A126:H126"/>
    <mergeCell ref="A136:A137"/>
    <mergeCell ref="F136:F137"/>
    <mergeCell ref="A131:B131"/>
    <mergeCell ref="G91:H91"/>
    <mergeCell ref="A99:B99"/>
    <mergeCell ref="A100:B100"/>
    <mergeCell ref="A105:E105"/>
    <mergeCell ref="A102:E102"/>
    <mergeCell ref="C161:G161"/>
    <mergeCell ref="A180:H180"/>
    <mergeCell ref="A181:H181"/>
    <mergeCell ref="L142:M142"/>
    <mergeCell ref="C141:H142"/>
    <mergeCell ref="A164:B164"/>
    <mergeCell ref="A165:B165"/>
    <mergeCell ref="A166:B166"/>
    <mergeCell ref="L145:M145"/>
    <mergeCell ref="A154:B154"/>
    <mergeCell ref="A151:B151"/>
    <mergeCell ref="A152:B152"/>
    <mergeCell ref="L144:M144"/>
    <mergeCell ref="A153:B153"/>
    <mergeCell ref="A149:H149"/>
    <mergeCell ref="A141:B141"/>
    <mergeCell ref="A142:B142"/>
    <mergeCell ref="A171:B171"/>
    <mergeCell ref="A172:B172"/>
    <mergeCell ref="A160:B160"/>
    <mergeCell ref="A161:B161"/>
    <mergeCell ref="A162:B162"/>
    <mergeCell ref="A163:B163"/>
    <mergeCell ref="A146:B146"/>
    <mergeCell ref="A144:B144"/>
    <mergeCell ref="K102:M102"/>
    <mergeCell ref="J114:L114"/>
    <mergeCell ref="A173:B173"/>
    <mergeCell ref="A174:B174"/>
    <mergeCell ref="A175:B175"/>
    <mergeCell ref="A176:B176"/>
    <mergeCell ref="A177:B177"/>
    <mergeCell ref="A178:B178"/>
    <mergeCell ref="C177:G177"/>
    <mergeCell ref="B136:B137"/>
    <mergeCell ref="L139:M139"/>
    <mergeCell ref="G125:H125"/>
    <mergeCell ref="L140:M140"/>
    <mergeCell ref="A145:B145"/>
    <mergeCell ref="M150:N150"/>
    <mergeCell ref="A169:H169"/>
    <mergeCell ref="A170:B170"/>
  </mergeCells>
  <dataValidations disablePrompts="1"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8:E129">
      <formula1>"Attached Loft area,Attached Otla area,Attached Mezzanine area"</formula1>
    </dataValidation>
    <dataValidation type="list" allowBlank="1" showInputMessage="1" showErrorMessage="1" sqref="G214:H214">
      <formula1>"Kunal Kadam,Pranita Mhatre,Shruti Fule,Pooja Kawale,Gaurav Panchal,Shruti Tathare, Hitakshi Mhatre, Sachin Sawant"</formula1>
    </dataValidation>
    <dataValidation type="list" allowBlank="1" showInputMessage="1" showErrorMessage="1" sqref="F102:H102">
      <formula1>"On Saleable Area,On Builtup Area,On Carpet Area,On Plot Area"</formula1>
    </dataValidation>
    <dataValidation type="list" allowBlank="1" showInputMessage="1" showErrorMessage="1" sqref="F113:H113">
      <formula1>OFFSET($S$102,1,MATCH($G20,$S$102:$W$102,0)-1,15,1)</formula1>
    </dataValidation>
    <dataValidation type="list" allowBlank="1" showInputMessage="1" showErrorMessage="1" sqref="B128:B129">
      <formula1>"Shop No. (Sale Plan),Sale / Rehab,Sale / Mhada"</formula1>
    </dataValidation>
    <dataValidation type="list" allowBlank="1" showInputMessage="1" showErrorMessage="1" sqref="B136:B137">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6:E137">
      <formula1>"Fungible area,Balcony Area,Chajja Area,Cornice Area,AP Area,WS Area"</formula1>
    </dataValidation>
    <dataValidation type="list" allowBlank="1" showInputMessage="1" showErrorMessage="1" sqref="H129">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28 H136">
      <formula1>"Saleable area Loading :,Builder Saleable Area"</formula1>
    </dataValidation>
    <dataValidation type="list" allowBlank="1" showInputMessage="1" showErrorMessage="1" sqref="D128:D129 D136:D137">
      <formula1>"Carpet area,RERA Carpet area"</formula1>
    </dataValidation>
    <dataValidation type="list" allowBlank="1" showInputMessage="1" showErrorMessage="1" sqref="H137">
      <formula1>".45,.50,.55,.60,0.75"</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3" manualBreakCount="3">
    <brk id="218" max="7" man="1"/>
    <brk id="262" max="7" man="1"/>
    <brk id="305"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15" zoomScaleNormal="115" workbookViewId="0">
      <selection activeCell="P11" sqref="P11"/>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66" t="s">
        <v>104</v>
      </c>
      <c r="C3" s="266"/>
      <c r="D3" s="266"/>
      <c r="E3" s="266"/>
      <c r="F3" s="266"/>
      <c r="G3" s="266"/>
      <c r="H3" s="266"/>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0"/>
      <c r="C4" s="50" t="s">
        <v>11</v>
      </c>
      <c r="D4" s="51" t="s">
        <v>176</v>
      </c>
      <c r="E4" s="51" t="s">
        <v>186</v>
      </c>
      <c r="F4" s="51" t="s">
        <v>170</v>
      </c>
      <c r="G4" s="51" t="s">
        <v>191</v>
      </c>
      <c r="H4" s="51" t="s">
        <v>209</v>
      </c>
      <c r="J4" t="s">
        <v>191</v>
      </c>
      <c r="K4" t="s">
        <v>207</v>
      </c>
    </row>
    <row r="5" spans="2:11" x14ac:dyDescent="0.25">
      <c r="B5" s="50"/>
      <c r="C5" s="50"/>
      <c r="D5" s="51" t="s">
        <v>177</v>
      </c>
      <c r="E5" s="51" t="s">
        <v>184</v>
      </c>
      <c r="F5" s="51" t="s">
        <v>206</v>
      </c>
      <c r="G5" s="51" t="s">
        <v>192</v>
      </c>
      <c r="H5" s="51" t="s">
        <v>210</v>
      </c>
    </row>
    <row r="6" spans="2:11" x14ac:dyDescent="0.25">
      <c r="B6" s="50"/>
      <c r="C6" s="50"/>
      <c r="D6" s="51" t="s">
        <v>178</v>
      </c>
      <c r="E6" s="51" t="s">
        <v>185</v>
      </c>
      <c r="F6" s="51" t="s">
        <v>207</v>
      </c>
      <c r="G6" s="51" t="s">
        <v>193</v>
      </c>
      <c r="H6" s="51" t="s">
        <v>223</v>
      </c>
    </row>
    <row r="7" spans="2:11" x14ac:dyDescent="0.25">
      <c r="B7" s="50"/>
      <c r="C7" s="50"/>
      <c r="D7" s="51" t="s">
        <v>179</v>
      </c>
      <c r="E7" s="51" t="s">
        <v>187</v>
      </c>
      <c r="F7" s="51" t="s">
        <v>208</v>
      </c>
      <c r="G7" s="51" t="s">
        <v>194</v>
      </c>
      <c r="H7" s="51" t="s">
        <v>211</v>
      </c>
    </row>
    <row r="8" spans="2:11" x14ac:dyDescent="0.25">
      <c r="B8" s="50"/>
      <c r="C8" s="50"/>
      <c r="D8" s="51" t="s">
        <v>180</v>
      </c>
      <c r="E8" s="51" t="s">
        <v>188</v>
      </c>
      <c r="F8" s="51"/>
      <c r="G8" s="51" t="s">
        <v>195</v>
      </c>
      <c r="H8" s="51" t="s">
        <v>212</v>
      </c>
    </row>
    <row r="9" spans="2:11" x14ac:dyDescent="0.25">
      <c r="B9" s="50"/>
      <c r="C9" s="50"/>
      <c r="D9" s="51" t="s">
        <v>181</v>
      </c>
      <c r="E9" s="51" t="s">
        <v>186</v>
      </c>
      <c r="F9" s="51"/>
      <c r="G9" s="51" t="s">
        <v>196</v>
      </c>
      <c r="H9" s="51" t="s">
        <v>213</v>
      </c>
    </row>
    <row r="10" spans="2:11" x14ac:dyDescent="0.25">
      <c r="B10" s="50"/>
      <c r="C10" s="50"/>
      <c r="D10" s="51" t="s">
        <v>182</v>
      </c>
      <c r="E10" s="51" t="s">
        <v>189</v>
      </c>
      <c r="F10" s="51"/>
      <c r="G10" s="51" t="s">
        <v>197</v>
      </c>
      <c r="H10" s="51" t="s">
        <v>214</v>
      </c>
    </row>
    <row r="11" spans="2:11" x14ac:dyDescent="0.25">
      <c r="B11" s="50"/>
      <c r="C11" s="50"/>
      <c r="D11" s="51" t="s">
        <v>183</v>
      </c>
      <c r="E11" s="51" t="s">
        <v>190</v>
      </c>
      <c r="F11" s="51"/>
      <c r="G11" s="51" t="s">
        <v>198</v>
      </c>
      <c r="H11" s="51" t="s">
        <v>215</v>
      </c>
    </row>
    <row r="12" spans="2:11" x14ac:dyDescent="0.25">
      <c r="B12" s="50"/>
      <c r="C12" s="50"/>
      <c r="D12" s="51"/>
      <c r="E12" s="51"/>
      <c r="F12" s="51"/>
      <c r="G12" s="51" t="s">
        <v>199</v>
      </c>
      <c r="H12" s="51" t="s">
        <v>216</v>
      </c>
    </row>
    <row r="13" spans="2:11" x14ac:dyDescent="0.25">
      <c r="B13" s="50"/>
      <c r="C13" s="50"/>
      <c r="D13" s="51"/>
      <c r="E13" s="51"/>
      <c r="F13" s="51"/>
      <c r="G13" s="51" t="s">
        <v>200</v>
      </c>
      <c r="H13" s="51" t="s">
        <v>217</v>
      </c>
    </row>
    <row r="14" spans="2:11" x14ac:dyDescent="0.25">
      <c r="B14" s="50"/>
      <c r="C14" s="50"/>
      <c r="D14" s="51"/>
      <c r="E14" s="51"/>
      <c r="F14" s="51"/>
      <c r="G14" s="51" t="s">
        <v>201</v>
      </c>
      <c r="H14" s="51" t="s">
        <v>218</v>
      </c>
    </row>
    <row r="15" spans="2:11" x14ac:dyDescent="0.25">
      <c r="B15" s="50"/>
      <c r="C15" s="50"/>
      <c r="D15" s="51"/>
      <c r="E15" s="51"/>
      <c r="F15" s="51"/>
      <c r="G15" s="51" t="s">
        <v>202</v>
      </c>
      <c r="H15" s="51" t="s">
        <v>219</v>
      </c>
    </row>
    <row r="16" spans="2:11" x14ac:dyDescent="0.25">
      <c r="B16" s="50"/>
      <c r="C16" s="50"/>
      <c r="D16" s="51"/>
      <c r="E16" s="51"/>
      <c r="F16" s="51"/>
      <c r="G16" s="51" t="s">
        <v>203</v>
      </c>
      <c r="H16" s="51" t="s">
        <v>220</v>
      </c>
    </row>
    <row r="17" spans="2:8" x14ac:dyDescent="0.25">
      <c r="B17" s="50"/>
      <c r="C17" s="50"/>
      <c r="D17" s="51"/>
      <c r="E17" s="51"/>
      <c r="F17" s="51"/>
      <c r="G17" s="51" t="s">
        <v>204</v>
      </c>
      <c r="H17" s="51" t="s">
        <v>221</v>
      </c>
    </row>
    <row r="18" spans="2:8" x14ac:dyDescent="0.25">
      <c r="B18" s="50"/>
      <c r="C18" s="50"/>
      <c r="D18" s="51"/>
      <c r="E18" s="51"/>
      <c r="F18" s="51"/>
      <c r="G18" s="51" t="s">
        <v>205</v>
      </c>
      <c r="H18" s="51" t="s">
        <v>222</v>
      </c>
    </row>
    <row r="24" spans="2:8" x14ac:dyDescent="0.25">
      <c r="C24" t="s">
        <v>167</v>
      </c>
    </row>
    <row r="25" spans="2:8" x14ac:dyDescent="0.25">
      <c r="C25" t="s">
        <v>224</v>
      </c>
    </row>
    <row r="26" spans="2:8" x14ac:dyDescent="0.25">
      <c r="C26" t="s">
        <v>225</v>
      </c>
    </row>
    <row r="27" spans="2:8" x14ac:dyDescent="0.25">
      <c r="C27" t="s">
        <v>226</v>
      </c>
    </row>
    <row r="28" spans="2:8" x14ac:dyDescent="0.25">
      <c r="C28" t="s">
        <v>227</v>
      </c>
    </row>
    <row r="29" spans="2:8" x14ac:dyDescent="0.25">
      <c r="C29" t="s">
        <v>228</v>
      </c>
    </row>
    <row r="30" spans="2:8" x14ac:dyDescent="0.25">
      <c r="C30" t="s">
        <v>167</v>
      </c>
    </row>
    <row r="33" spans="3:11" x14ac:dyDescent="0.25">
      <c r="J33">
        <v>1</v>
      </c>
      <c r="K33">
        <v>2</v>
      </c>
    </row>
    <row r="34" spans="3:11" x14ac:dyDescent="0.25">
      <c r="C34" s="54" t="s">
        <v>234</v>
      </c>
      <c r="D34" s="51" t="s">
        <v>232</v>
      </c>
      <c r="E34" s="51" t="s">
        <v>237</v>
      </c>
      <c r="F34" s="51" t="s">
        <v>235</v>
      </c>
      <c r="G34" s="51" t="s">
        <v>236</v>
      </c>
      <c r="H34" s="51" t="s">
        <v>238</v>
      </c>
      <c r="J34" t="s">
        <v>191</v>
      </c>
      <c r="K34" t="s">
        <v>207</v>
      </c>
    </row>
    <row r="35" spans="3:11" x14ac:dyDescent="0.25">
      <c r="C35" s="50" t="s">
        <v>233</v>
      </c>
      <c r="D35" s="51" t="s">
        <v>168</v>
      </c>
      <c r="E35" s="51" t="s">
        <v>242</v>
      </c>
      <c r="F35" s="51" t="s">
        <v>244</v>
      </c>
      <c r="G35" s="51" t="s">
        <v>246</v>
      </c>
      <c r="H35" s="51"/>
    </row>
    <row r="36" spans="3:11" x14ac:dyDescent="0.25">
      <c r="C36" s="50"/>
      <c r="D36" s="51" t="s">
        <v>239</v>
      </c>
      <c r="E36" s="51" t="s">
        <v>243</v>
      </c>
      <c r="F36" s="51" t="s">
        <v>245</v>
      </c>
      <c r="G36" s="51" t="s">
        <v>247</v>
      </c>
      <c r="H36" s="51"/>
    </row>
    <row r="37" spans="3:11" x14ac:dyDescent="0.25">
      <c r="C37" s="50"/>
      <c r="D37" s="51" t="s">
        <v>240</v>
      </c>
      <c r="E37" s="51"/>
      <c r="F37" s="51"/>
      <c r="G37" s="51" t="s">
        <v>248</v>
      </c>
      <c r="H37" s="51"/>
    </row>
    <row r="38" spans="3:11" x14ac:dyDescent="0.25">
      <c r="C38" s="50"/>
      <c r="D38" s="51" t="s">
        <v>241</v>
      </c>
      <c r="E38" s="51"/>
      <c r="F38" s="51"/>
      <c r="G38" s="51" t="s">
        <v>248</v>
      </c>
      <c r="H38" s="51"/>
    </row>
    <row r="39" spans="3:11" x14ac:dyDescent="0.25">
      <c r="C39" s="50"/>
      <c r="D39" s="51"/>
      <c r="E39" s="51"/>
      <c r="F39" s="51"/>
      <c r="G39" s="51" t="s">
        <v>249</v>
      </c>
      <c r="H39" s="51"/>
    </row>
    <row r="40" spans="3:11" x14ac:dyDescent="0.25">
      <c r="C40" s="50"/>
      <c r="D40" s="51"/>
      <c r="E40" s="51"/>
      <c r="F40" s="51"/>
      <c r="G40" s="51" t="s">
        <v>250</v>
      </c>
      <c r="H40" s="51"/>
    </row>
    <row r="41" spans="3:11" x14ac:dyDescent="0.25">
      <c r="C41" s="50"/>
      <c r="D41" s="51"/>
      <c r="E41" s="51"/>
      <c r="F41" s="51"/>
      <c r="G41" s="51"/>
      <c r="H41" s="51"/>
    </row>
    <row r="43" spans="3:11" x14ac:dyDescent="0.25">
      <c r="C43" t="s">
        <v>251</v>
      </c>
    </row>
    <row r="44" spans="3:11" x14ac:dyDescent="0.25">
      <c r="C44" t="s">
        <v>170</v>
      </c>
      <c r="D44" t="s">
        <v>252</v>
      </c>
    </row>
    <row r="45" spans="3:11" x14ac:dyDescent="0.25">
      <c r="D45" t="s">
        <v>253</v>
      </c>
    </row>
    <row r="46" spans="3:11" x14ac:dyDescent="0.25">
      <c r="D46" t="s">
        <v>254</v>
      </c>
    </row>
    <row r="47" spans="3:11" x14ac:dyDescent="0.25">
      <c r="D47" t="s">
        <v>255</v>
      </c>
    </row>
    <row r="48" spans="3:11" x14ac:dyDescent="0.25">
      <c r="D48" t="s">
        <v>256</v>
      </c>
    </row>
    <row r="49" spans="3:4" x14ac:dyDescent="0.25">
      <c r="C49" t="s">
        <v>176</v>
      </c>
      <c r="D49" t="s">
        <v>257</v>
      </c>
    </row>
    <row r="50" spans="3:4" x14ac:dyDescent="0.25">
      <c r="D50" t="s">
        <v>258</v>
      </c>
    </row>
    <row r="51" spans="3:4" x14ac:dyDescent="0.25">
      <c r="D51" t="s">
        <v>259</v>
      </c>
    </row>
    <row r="52" spans="3:4" x14ac:dyDescent="0.25">
      <c r="D52" t="s">
        <v>262</v>
      </c>
    </row>
    <row r="53" spans="3:4" x14ac:dyDescent="0.25">
      <c r="D53" t="s">
        <v>260</v>
      </c>
    </row>
    <row r="54" spans="3:4" x14ac:dyDescent="0.25">
      <c r="D54" t="s">
        <v>261</v>
      </c>
    </row>
    <row r="55" spans="3:4" x14ac:dyDescent="0.25">
      <c r="D55" t="s">
        <v>263</v>
      </c>
    </row>
    <row r="56" spans="3:4" x14ac:dyDescent="0.25">
      <c r="D56" t="s">
        <v>264</v>
      </c>
    </row>
    <row r="57" spans="3:4" x14ac:dyDescent="0.25">
      <c r="D57" t="s">
        <v>265</v>
      </c>
    </row>
    <row r="58" spans="3:4" x14ac:dyDescent="0.25">
      <c r="D58" t="s">
        <v>267</v>
      </c>
    </row>
    <row r="59" spans="3:4" x14ac:dyDescent="0.25">
      <c r="D59" t="s">
        <v>276</v>
      </c>
    </row>
    <row r="60" spans="3:4" x14ac:dyDescent="0.25">
      <c r="C60" t="s">
        <v>191</v>
      </c>
      <c r="D60" t="s">
        <v>268</v>
      </c>
    </row>
    <row r="61" spans="3:4" x14ac:dyDescent="0.25">
      <c r="D61" t="s">
        <v>266</v>
      </c>
    </row>
    <row r="62" spans="3:4" x14ac:dyDescent="0.25">
      <c r="D62" t="s">
        <v>256</v>
      </c>
    </row>
    <row r="63" spans="3:4" x14ac:dyDescent="0.25">
      <c r="D63" t="s">
        <v>269</v>
      </c>
    </row>
    <row r="64" spans="3:4" x14ac:dyDescent="0.25">
      <c r="D64" t="s">
        <v>270</v>
      </c>
    </row>
    <row r="65" spans="3:4" x14ac:dyDescent="0.25">
      <c r="D65" t="s">
        <v>271</v>
      </c>
    </row>
    <row r="66" spans="3:4" x14ac:dyDescent="0.25">
      <c r="D66" t="s">
        <v>272</v>
      </c>
    </row>
    <row r="67" spans="3:4" x14ac:dyDescent="0.25">
      <c r="C67" t="s">
        <v>186</v>
      </c>
      <c r="D67" t="s">
        <v>273</v>
      </c>
    </row>
    <row r="68" spans="3:4" x14ac:dyDescent="0.25">
      <c r="D68" t="s">
        <v>274</v>
      </c>
    </row>
    <row r="69" spans="3:4" x14ac:dyDescent="0.25">
      <c r="D69" t="s">
        <v>275</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topLeftCell="A10" workbookViewId="0">
      <selection activeCell="C2" sqref="C2"/>
    </sheetView>
  </sheetViews>
  <sheetFormatPr defaultRowHeight="15" x14ac:dyDescent="0.25"/>
  <cols>
    <col min="2" max="2" width="3" bestFit="1" customWidth="1"/>
    <col min="3" max="3" width="155.28515625" customWidth="1"/>
  </cols>
  <sheetData>
    <row r="2" spans="2:3" ht="15" customHeight="1" x14ac:dyDescent="0.25">
      <c r="B2" s="55">
        <v>1</v>
      </c>
      <c r="C2" s="58" t="s">
        <v>282</v>
      </c>
    </row>
    <row r="3" spans="2:3" x14ac:dyDescent="0.25">
      <c r="B3" s="55">
        <v>2</v>
      </c>
      <c r="C3" s="56" t="s">
        <v>283</v>
      </c>
    </row>
    <row r="4" spans="2:3" x14ac:dyDescent="0.25">
      <c r="B4" s="55">
        <v>3</v>
      </c>
      <c r="C4" s="57" t="s">
        <v>284</v>
      </c>
    </row>
    <row r="5" spans="2:3" x14ac:dyDescent="0.25">
      <c r="B5" s="55">
        <v>4</v>
      </c>
      <c r="C5" s="56" t="s">
        <v>285</v>
      </c>
    </row>
    <row r="6" spans="2:3" x14ac:dyDescent="0.25">
      <c r="B6" s="55">
        <v>5</v>
      </c>
      <c r="C6" s="57" t="s">
        <v>286</v>
      </c>
    </row>
    <row r="7" spans="2:3" ht="30" x14ac:dyDescent="0.25">
      <c r="B7" s="55">
        <v>6</v>
      </c>
      <c r="C7" s="56" t="s">
        <v>287</v>
      </c>
    </row>
    <row r="8" spans="2:3" ht="75" x14ac:dyDescent="0.25">
      <c r="B8" s="55">
        <v>7</v>
      </c>
      <c r="C8" s="56" t="s">
        <v>288</v>
      </c>
    </row>
    <row r="9" spans="2:3" x14ac:dyDescent="0.25">
      <c r="B9" s="55">
        <v>8</v>
      </c>
      <c r="C9" s="57" t="s">
        <v>289</v>
      </c>
    </row>
    <row r="10" spans="2:3" x14ac:dyDescent="0.25">
      <c r="B10" s="55">
        <v>9</v>
      </c>
      <c r="C10" s="57" t="s">
        <v>290</v>
      </c>
    </row>
    <row r="11" spans="2:3" x14ac:dyDescent="0.25">
      <c r="B11" s="55">
        <v>10</v>
      </c>
      <c r="C11" s="57" t="s">
        <v>291</v>
      </c>
    </row>
    <row r="12" spans="2:3" x14ac:dyDescent="0.25">
      <c r="B12" s="55">
        <v>11</v>
      </c>
      <c r="C12" s="57" t="s">
        <v>292</v>
      </c>
    </row>
    <row r="13" spans="2:3" x14ac:dyDescent="0.25">
      <c r="B13" s="55">
        <v>12</v>
      </c>
      <c r="C13" s="57" t="s">
        <v>293</v>
      </c>
    </row>
    <row r="14" spans="2:3" x14ac:dyDescent="0.25">
      <c r="B14" s="55">
        <v>13</v>
      </c>
      <c r="C14" s="57" t="s">
        <v>294</v>
      </c>
    </row>
    <row r="15" spans="2:3" x14ac:dyDescent="0.25">
      <c r="B15" s="55">
        <v>14</v>
      </c>
      <c r="C15" s="57" t="s">
        <v>284</v>
      </c>
    </row>
    <row r="16" spans="2:3" x14ac:dyDescent="0.25">
      <c r="B16" s="55">
        <v>15</v>
      </c>
      <c r="C16" s="57" t="s">
        <v>296</v>
      </c>
    </row>
    <row r="17" spans="2:3" x14ac:dyDescent="0.25">
      <c r="B17" s="79">
        <v>16</v>
      </c>
      <c r="C17" s="62" t="s">
        <v>297</v>
      </c>
    </row>
    <row r="18" spans="2:3" x14ac:dyDescent="0.25">
      <c r="B18" s="61">
        <v>17</v>
      </c>
      <c r="C18" s="62" t="s">
        <v>298</v>
      </c>
    </row>
    <row r="19" spans="2:3" x14ac:dyDescent="0.25">
      <c r="B19" s="60">
        <v>18</v>
      </c>
      <c r="C19" s="55" t="s">
        <v>299</v>
      </c>
    </row>
    <row r="20" spans="2:3" x14ac:dyDescent="0.25">
      <c r="B20" s="61">
        <v>19</v>
      </c>
      <c r="C20" s="55" t="s">
        <v>335</v>
      </c>
    </row>
    <row r="21" spans="2:3" x14ac:dyDescent="0.25">
      <c r="B21" s="63">
        <v>20</v>
      </c>
      <c r="C21" s="55" t="s">
        <v>300</v>
      </c>
    </row>
    <row r="22" spans="2:3" x14ac:dyDescent="0.25">
      <c r="B22" s="61">
        <v>21</v>
      </c>
      <c r="C22" s="55" t="s">
        <v>299</v>
      </c>
    </row>
    <row r="23" spans="2:3" s="71" customFormat="1" ht="29.25" customHeight="1" x14ac:dyDescent="0.25">
      <c r="B23" s="70">
        <v>22</v>
      </c>
      <c r="C23" s="58" t="s">
        <v>327</v>
      </c>
    </row>
    <row r="24" spans="2:3" s="71" customFormat="1" ht="30.75" customHeight="1" x14ac:dyDescent="0.25">
      <c r="B24" s="72">
        <v>23</v>
      </c>
      <c r="C24" s="58" t="s">
        <v>328</v>
      </c>
    </row>
    <row r="25" spans="2:3" x14ac:dyDescent="0.25">
      <c r="B25" s="63">
        <v>24</v>
      </c>
      <c r="C25" s="55" t="s">
        <v>331</v>
      </c>
    </row>
    <row r="26" spans="2:3" x14ac:dyDescent="0.25">
      <c r="B26" s="61">
        <v>25</v>
      </c>
      <c r="C26" s="55" t="s">
        <v>329</v>
      </c>
    </row>
    <row r="27" spans="2:3" x14ac:dyDescent="0.25">
      <c r="B27" s="72">
        <v>26</v>
      </c>
      <c r="C27" s="63" t="s">
        <v>330</v>
      </c>
    </row>
    <row r="28" spans="2:3" x14ac:dyDescent="0.25">
      <c r="B28" s="73">
        <v>27</v>
      </c>
      <c r="C28" s="55" t="s">
        <v>332</v>
      </c>
    </row>
    <row r="29" spans="2:3" ht="60" x14ac:dyDescent="0.25">
      <c r="B29" s="78">
        <v>28</v>
      </c>
      <c r="C29" s="56" t="s">
        <v>333</v>
      </c>
    </row>
    <row r="30" spans="2:3" x14ac:dyDescent="0.25">
      <c r="B30" s="72">
        <v>29</v>
      </c>
      <c r="C30" s="55" t="s">
        <v>334</v>
      </c>
    </row>
    <row r="31" spans="2:3" ht="30" x14ac:dyDescent="0.25">
      <c r="B31" s="80">
        <v>30</v>
      </c>
      <c r="C31" s="56" t="s">
        <v>336</v>
      </c>
    </row>
    <row r="32" spans="2:3" x14ac:dyDescent="0.25">
      <c r="B32" s="72">
        <v>31</v>
      </c>
      <c r="C32" s="55" t="s">
        <v>337</v>
      </c>
    </row>
    <row r="33" spans="2:3" x14ac:dyDescent="0.25">
      <c r="B33" s="72">
        <v>32</v>
      </c>
      <c r="C33" s="55" t="s">
        <v>338</v>
      </c>
    </row>
    <row r="34" spans="2:3" ht="36.75" customHeight="1" x14ac:dyDescent="0.25">
      <c r="B34" s="80">
        <v>33</v>
      </c>
      <c r="C34" s="62" t="s">
        <v>339</v>
      </c>
    </row>
    <row r="35" spans="2:3" x14ac:dyDescent="0.25">
      <c r="B35" s="72">
        <v>34</v>
      </c>
      <c r="C35" s="55"/>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0"/>
    <col min="2" max="2" width="12.28515625" style="50" customWidth="1"/>
    <col min="3" max="16384" width="9.140625" style="50"/>
  </cols>
  <sheetData>
    <row r="2" spans="1:12" x14ac:dyDescent="0.25">
      <c r="B2" s="64" t="s">
        <v>301</v>
      </c>
      <c r="C2" s="267"/>
      <c r="D2" s="267"/>
    </row>
    <row r="3" spans="1:12" x14ac:dyDescent="0.25">
      <c r="D3" s="65"/>
      <c r="E3" s="65"/>
      <c r="F3" s="65"/>
      <c r="G3" s="65"/>
      <c r="H3" s="65"/>
      <c r="I3" s="65"/>
    </row>
    <row r="4" spans="1:12" x14ac:dyDescent="0.25">
      <c r="A4" s="64" t="s">
        <v>65</v>
      </c>
      <c r="B4" s="66" t="s">
        <v>302</v>
      </c>
      <c r="C4" s="268" t="s">
        <v>303</v>
      </c>
      <c r="D4" s="268"/>
      <c r="E4" s="268"/>
      <c r="F4" s="66"/>
      <c r="G4" s="269" t="s">
        <v>304</v>
      </c>
      <c r="H4" s="269"/>
      <c r="I4" s="269"/>
      <c r="J4" s="270" t="s">
        <v>305</v>
      </c>
      <c r="K4" s="270"/>
      <c r="L4" s="270"/>
    </row>
    <row r="5" spans="1:12" x14ac:dyDescent="0.25">
      <c r="A5" s="64"/>
      <c r="B5" s="66"/>
      <c r="C5" s="66" t="s">
        <v>306</v>
      </c>
      <c r="D5" s="66" t="s">
        <v>307</v>
      </c>
      <c r="E5" s="66" t="s">
        <v>308</v>
      </c>
      <c r="F5" s="66"/>
      <c r="G5" s="66" t="s">
        <v>306</v>
      </c>
      <c r="H5" s="66" t="s">
        <v>307</v>
      </c>
      <c r="I5" s="66" t="s">
        <v>308</v>
      </c>
      <c r="J5" s="66" t="s">
        <v>306</v>
      </c>
      <c r="K5" s="66" t="s">
        <v>307</v>
      </c>
      <c r="L5" s="66" t="s">
        <v>308</v>
      </c>
    </row>
    <row r="6" spans="1:12" x14ac:dyDescent="0.25">
      <c r="B6" s="51" t="s">
        <v>309</v>
      </c>
      <c r="C6" s="51"/>
      <c r="D6" s="51"/>
      <c r="E6" s="51">
        <f>C6*D6</f>
        <v>0</v>
      </c>
      <c r="F6" s="51" t="s">
        <v>326</v>
      </c>
      <c r="G6" s="51"/>
      <c r="H6" s="51"/>
      <c r="I6" s="51">
        <f>G6*H6</f>
        <v>0</v>
      </c>
      <c r="J6" s="51"/>
      <c r="K6" s="51"/>
      <c r="L6" s="51">
        <f>J6*K6</f>
        <v>0</v>
      </c>
    </row>
    <row r="7" spans="1:12" x14ac:dyDescent="0.25">
      <c r="B7" s="51"/>
      <c r="C7" s="51"/>
      <c r="D7" s="51"/>
      <c r="E7" s="51">
        <f t="shared" ref="E7:E41" si="0">C7*D7</f>
        <v>0</v>
      </c>
      <c r="F7" s="51" t="s">
        <v>326</v>
      </c>
      <c r="G7" s="51"/>
      <c r="H7" s="51"/>
      <c r="I7" s="51">
        <f t="shared" ref="I7:I35" si="1">G7*H7</f>
        <v>0</v>
      </c>
      <c r="J7" s="51"/>
      <c r="K7" s="51"/>
      <c r="L7" s="51">
        <f t="shared" ref="L7:L35" si="2">J7*K7</f>
        <v>0</v>
      </c>
    </row>
    <row r="8" spans="1:12" x14ac:dyDescent="0.25">
      <c r="B8" s="51"/>
      <c r="C8" s="51"/>
      <c r="D8" s="51"/>
      <c r="E8" s="51">
        <f t="shared" si="0"/>
        <v>0</v>
      </c>
      <c r="F8" s="51"/>
      <c r="G8" s="51"/>
      <c r="H8" s="51"/>
      <c r="I8" s="51">
        <f t="shared" si="1"/>
        <v>0</v>
      </c>
      <c r="J8" s="51"/>
      <c r="K8" s="51"/>
      <c r="L8" s="51">
        <f t="shared" si="2"/>
        <v>0</v>
      </c>
    </row>
    <row r="9" spans="1:12" x14ac:dyDescent="0.25">
      <c r="B9" s="51"/>
      <c r="C9" s="51"/>
      <c r="D9" s="51"/>
      <c r="E9" s="51">
        <f t="shared" si="0"/>
        <v>0</v>
      </c>
      <c r="F9" s="51" t="s">
        <v>310</v>
      </c>
      <c r="G9" s="51"/>
      <c r="H9" s="51"/>
      <c r="I9" s="51">
        <f t="shared" si="1"/>
        <v>0</v>
      </c>
      <c r="J9" s="51"/>
      <c r="K9" s="51"/>
      <c r="L9" s="51">
        <f t="shared" si="2"/>
        <v>0</v>
      </c>
    </row>
    <row r="10" spans="1:12" x14ac:dyDescent="0.25">
      <c r="B10" s="51" t="s">
        <v>311</v>
      </c>
      <c r="C10" s="51"/>
      <c r="D10" s="51"/>
      <c r="E10" s="51">
        <f t="shared" si="0"/>
        <v>0</v>
      </c>
      <c r="F10" s="51" t="s">
        <v>310</v>
      </c>
      <c r="G10" s="51"/>
      <c r="H10" s="51"/>
      <c r="I10" s="51">
        <f t="shared" si="1"/>
        <v>0</v>
      </c>
      <c r="J10" s="51"/>
      <c r="K10" s="51"/>
      <c r="L10" s="51">
        <f t="shared" si="2"/>
        <v>0</v>
      </c>
    </row>
    <row r="11" spans="1:12" x14ac:dyDescent="0.25">
      <c r="B11" s="51"/>
      <c r="C11" s="51"/>
      <c r="D11" s="51"/>
      <c r="E11" s="51">
        <f t="shared" si="0"/>
        <v>0</v>
      </c>
      <c r="F11" s="51" t="s">
        <v>312</v>
      </c>
      <c r="G11" s="51"/>
      <c r="H11" s="51"/>
      <c r="I11" s="51">
        <f t="shared" si="1"/>
        <v>0</v>
      </c>
      <c r="J11" s="51"/>
      <c r="K11" s="51"/>
      <c r="L11" s="51">
        <f t="shared" si="2"/>
        <v>0</v>
      </c>
    </row>
    <row r="12" spans="1:12" x14ac:dyDescent="0.25">
      <c r="B12" s="51"/>
      <c r="C12" s="51"/>
      <c r="D12" s="51"/>
      <c r="E12" s="51">
        <f t="shared" si="0"/>
        <v>0</v>
      </c>
      <c r="F12" s="51"/>
      <c r="G12" s="51"/>
      <c r="H12" s="51"/>
      <c r="I12" s="51">
        <f t="shared" si="1"/>
        <v>0</v>
      </c>
      <c r="J12" s="51"/>
      <c r="K12" s="51"/>
      <c r="L12" s="51">
        <f t="shared" si="2"/>
        <v>0</v>
      </c>
    </row>
    <row r="13" spans="1:12" x14ac:dyDescent="0.25">
      <c r="B13" s="51"/>
      <c r="C13" s="51"/>
      <c r="D13" s="51"/>
      <c r="E13" s="51">
        <f t="shared" si="0"/>
        <v>0</v>
      </c>
      <c r="F13" s="51"/>
      <c r="G13" s="51"/>
      <c r="H13" s="51"/>
      <c r="I13" s="51">
        <f t="shared" si="1"/>
        <v>0</v>
      </c>
      <c r="J13" s="51"/>
      <c r="K13" s="51"/>
      <c r="L13" s="51">
        <f t="shared" si="2"/>
        <v>0</v>
      </c>
    </row>
    <row r="14" spans="1:12" x14ac:dyDescent="0.25">
      <c r="B14" s="51" t="s">
        <v>313</v>
      </c>
      <c r="C14" s="51"/>
      <c r="D14" s="51"/>
      <c r="E14" s="51">
        <f t="shared" si="0"/>
        <v>0</v>
      </c>
      <c r="F14" s="51" t="s">
        <v>310</v>
      </c>
      <c r="G14" s="51"/>
      <c r="H14" s="51"/>
      <c r="I14" s="51">
        <f t="shared" si="1"/>
        <v>0</v>
      </c>
      <c r="J14" s="51"/>
      <c r="K14" s="51"/>
      <c r="L14" s="51">
        <f t="shared" si="2"/>
        <v>0</v>
      </c>
    </row>
    <row r="15" spans="1:12" x14ac:dyDescent="0.25">
      <c r="B15" s="51"/>
      <c r="C15" s="51"/>
      <c r="D15" s="51"/>
      <c r="E15" s="51">
        <f t="shared" si="0"/>
        <v>0</v>
      </c>
      <c r="F15" s="51" t="s">
        <v>312</v>
      </c>
      <c r="G15" s="51"/>
      <c r="H15" s="51"/>
      <c r="I15" s="51">
        <f t="shared" si="1"/>
        <v>0</v>
      </c>
      <c r="J15" s="51"/>
      <c r="K15" s="51"/>
      <c r="L15" s="51">
        <f t="shared" si="2"/>
        <v>0</v>
      </c>
    </row>
    <row r="16" spans="1:12" x14ac:dyDescent="0.25">
      <c r="B16" s="51"/>
      <c r="C16" s="51"/>
      <c r="D16" s="51"/>
      <c r="E16" s="51">
        <f t="shared" si="0"/>
        <v>0</v>
      </c>
      <c r="F16" s="51"/>
      <c r="G16" s="51"/>
      <c r="H16" s="51"/>
      <c r="I16" s="51">
        <f t="shared" si="1"/>
        <v>0</v>
      </c>
      <c r="J16" s="51"/>
      <c r="K16" s="51"/>
      <c r="L16" s="51">
        <f t="shared" si="2"/>
        <v>0</v>
      </c>
    </row>
    <row r="17" spans="2:12" x14ac:dyDescent="0.25">
      <c r="B17" s="51"/>
      <c r="C17" s="51"/>
      <c r="D17" s="51"/>
      <c r="E17" s="51">
        <f t="shared" si="0"/>
        <v>0</v>
      </c>
      <c r="F17" s="51"/>
      <c r="G17" s="51"/>
      <c r="H17" s="51"/>
      <c r="I17" s="51">
        <f t="shared" si="1"/>
        <v>0</v>
      </c>
      <c r="J17" s="51"/>
      <c r="K17" s="51"/>
      <c r="L17" s="51">
        <f t="shared" si="2"/>
        <v>0</v>
      </c>
    </row>
    <row r="18" spans="2:12" x14ac:dyDescent="0.25">
      <c r="B18" s="51" t="s">
        <v>314</v>
      </c>
      <c r="C18" s="51"/>
      <c r="D18" s="51"/>
      <c r="E18" s="51">
        <f t="shared" si="0"/>
        <v>0</v>
      </c>
      <c r="F18" s="51" t="s">
        <v>310</v>
      </c>
      <c r="G18" s="51"/>
      <c r="H18" s="51"/>
      <c r="I18" s="51">
        <f t="shared" si="1"/>
        <v>0</v>
      </c>
      <c r="J18" s="51"/>
      <c r="K18" s="51"/>
      <c r="L18" s="51">
        <f t="shared" si="2"/>
        <v>0</v>
      </c>
    </row>
    <row r="19" spans="2:12" x14ac:dyDescent="0.25">
      <c r="B19" s="51"/>
      <c r="C19" s="51"/>
      <c r="D19" s="51"/>
      <c r="E19" s="51">
        <f t="shared" si="0"/>
        <v>0</v>
      </c>
      <c r="F19" s="51" t="s">
        <v>312</v>
      </c>
      <c r="G19" s="51"/>
      <c r="H19" s="51"/>
      <c r="I19" s="51">
        <f t="shared" si="1"/>
        <v>0</v>
      </c>
      <c r="J19" s="51"/>
      <c r="K19" s="51"/>
      <c r="L19" s="51">
        <f t="shared" si="2"/>
        <v>0</v>
      </c>
    </row>
    <row r="20" spans="2:12" x14ac:dyDescent="0.25">
      <c r="B20" s="51"/>
      <c r="C20" s="51"/>
      <c r="D20" s="51"/>
      <c r="E20" s="51">
        <f t="shared" si="0"/>
        <v>0</v>
      </c>
      <c r="F20" s="51"/>
      <c r="G20" s="51"/>
      <c r="H20" s="51"/>
      <c r="I20" s="51">
        <f t="shared" si="1"/>
        <v>0</v>
      </c>
      <c r="J20" s="51"/>
      <c r="K20" s="51"/>
      <c r="L20" s="51">
        <f t="shared" si="2"/>
        <v>0</v>
      </c>
    </row>
    <row r="21" spans="2:12" x14ac:dyDescent="0.25">
      <c r="B21" s="51" t="s">
        <v>315</v>
      </c>
      <c r="C21" s="51"/>
      <c r="D21" s="51"/>
      <c r="E21" s="51">
        <f t="shared" si="0"/>
        <v>0</v>
      </c>
      <c r="F21" s="51" t="s">
        <v>310</v>
      </c>
      <c r="G21" s="51"/>
      <c r="H21" s="51"/>
      <c r="I21" s="51">
        <f t="shared" si="1"/>
        <v>0</v>
      </c>
      <c r="J21" s="51"/>
      <c r="K21" s="51"/>
      <c r="L21" s="51">
        <f t="shared" si="2"/>
        <v>0</v>
      </c>
    </row>
    <row r="22" spans="2:12" x14ac:dyDescent="0.25">
      <c r="B22" s="51"/>
      <c r="C22" s="51"/>
      <c r="D22" s="51"/>
      <c r="E22" s="51">
        <f t="shared" si="0"/>
        <v>0</v>
      </c>
      <c r="F22" s="51" t="s">
        <v>312</v>
      </c>
      <c r="G22" s="51"/>
      <c r="H22" s="51"/>
      <c r="I22" s="51">
        <f t="shared" si="1"/>
        <v>0</v>
      </c>
      <c r="J22" s="51"/>
      <c r="K22" s="51"/>
      <c r="L22" s="51">
        <f t="shared" si="2"/>
        <v>0</v>
      </c>
    </row>
    <row r="23" spans="2:12" x14ac:dyDescent="0.25">
      <c r="B23" s="51"/>
      <c r="C23" s="51"/>
      <c r="D23" s="51"/>
      <c r="E23" s="51">
        <f t="shared" si="0"/>
        <v>0</v>
      </c>
      <c r="F23" s="51"/>
      <c r="G23" s="51"/>
      <c r="H23" s="51"/>
      <c r="I23" s="51">
        <f t="shared" si="1"/>
        <v>0</v>
      </c>
      <c r="J23" s="51"/>
      <c r="K23" s="51"/>
      <c r="L23" s="51">
        <f t="shared" si="2"/>
        <v>0</v>
      </c>
    </row>
    <row r="24" spans="2:12" x14ac:dyDescent="0.25">
      <c r="B24" s="51" t="s">
        <v>316</v>
      </c>
      <c r="C24" s="51"/>
      <c r="D24" s="51"/>
      <c r="E24" s="51">
        <f t="shared" si="0"/>
        <v>0</v>
      </c>
      <c r="F24" s="51" t="s">
        <v>317</v>
      </c>
      <c r="G24" s="51"/>
      <c r="H24" s="51"/>
      <c r="I24" s="51">
        <f t="shared" si="1"/>
        <v>0</v>
      </c>
      <c r="J24" s="51"/>
      <c r="K24" s="51"/>
      <c r="L24" s="51">
        <f t="shared" si="2"/>
        <v>0</v>
      </c>
    </row>
    <row r="25" spans="2:12" x14ac:dyDescent="0.25">
      <c r="B25" s="51"/>
      <c r="C25" s="51"/>
      <c r="D25" s="51"/>
      <c r="E25" s="51">
        <f t="shared" ref="E25:E27" si="3">C25*D25</f>
        <v>0</v>
      </c>
      <c r="F25" s="51" t="s">
        <v>317</v>
      </c>
      <c r="G25" s="51"/>
      <c r="H25" s="51"/>
      <c r="I25" s="51">
        <f t="shared" ref="I25:I27" si="4">G25*H25</f>
        <v>0</v>
      </c>
      <c r="J25" s="51"/>
      <c r="K25" s="51"/>
      <c r="L25" s="51">
        <f t="shared" ref="L25:L27" si="5">J25*K25</f>
        <v>0</v>
      </c>
    </row>
    <row r="26" spans="2:12" x14ac:dyDescent="0.25">
      <c r="B26" s="51"/>
      <c r="C26" s="51"/>
      <c r="D26" s="51"/>
      <c r="E26" s="51">
        <f t="shared" si="3"/>
        <v>0</v>
      </c>
      <c r="F26" s="51" t="s">
        <v>317</v>
      </c>
      <c r="G26" s="51"/>
      <c r="H26" s="51"/>
      <c r="I26" s="51">
        <f t="shared" si="4"/>
        <v>0</v>
      </c>
      <c r="J26" s="51"/>
      <c r="K26" s="51"/>
      <c r="L26" s="51">
        <f t="shared" si="5"/>
        <v>0</v>
      </c>
    </row>
    <row r="27" spans="2:12" x14ac:dyDescent="0.25">
      <c r="B27" s="51"/>
      <c r="C27" s="51"/>
      <c r="D27" s="51"/>
      <c r="E27" s="51">
        <f t="shared" si="3"/>
        <v>0</v>
      </c>
      <c r="F27" s="51" t="s">
        <v>317</v>
      </c>
      <c r="G27" s="51"/>
      <c r="H27" s="51"/>
      <c r="I27" s="51">
        <f t="shared" si="4"/>
        <v>0</v>
      </c>
      <c r="J27" s="51"/>
      <c r="K27" s="51"/>
      <c r="L27" s="51">
        <f t="shared" si="5"/>
        <v>0</v>
      </c>
    </row>
    <row r="28" spans="2:12" x14ac:dyDescent="0.25">
      <c r="B28" s="51" t="s">
        <v>318</v>
      </c>
      <c r="C28" s="51"/>
      <c r="D28" s="51"/>
      <c r="E28" s="51">
        <f t="shared" si="0"/>
        <v>0</v>
      </c>
      <c r="F28" s="51" t="s">
        <v>317</v>
      </c>
      <c r="G28" s="51"/>
      <c r="H28" s="51"/>
      <c r="I28" s="51">
        <f t="shared" si="1"/>
        <v>0</v>
      </c>
      <c r="J28" s="51"/>
      <c r="K28" s="51"/>
      <c r="L28" s="51">
        <f t="shared" si="2"/>
        <v>0</v>
      </c>
    </row>
    <row r="29" spans="2:12" x14ac:dyDescent="0.25">
      <c r="B29" s="51" t="s">
        <v>319</v>
      </c>
      <c r="C29" s="51"/>
      <c r="D29" s="51"/>
      <c r="E29" s="51">
        <f t="shared" si="0"/>
        <v>0</v>
      </c>
      <c r="F29" s="51" t="s">
        <v>317</v>
      </c>
      <c r="G29" s="51"/>
      <c r="H29" s="51"/>
      <c r="I29" s="51">
        <f t="shared" si="1"/>
        <v>0</v>
      </c>
      <c r="J29" s="51"/>
      <c r="K29" s="51"/>
      <c r="L29" s="51">
        <f t="shared" si="2"/>
        <v>0</v>
      </c>
    </row>
    <row r="30" spans="2:12" x14ac:dyDescent="0.25">
      <c r="B30" s="51" t="s">
        <v>323</v>
      </c>
      <c r="C30" s="51"/>
      <c r="D30" s="51"/>
      <c r="E30" s="51">
        <f t="shared" si="0"/>
        <v>0</v>
      </c>
      <c r="F30" s="51"/>
      <c r="G30" s="51"/>
      <c r="H30" s="51"/>
      <c r="I30" s="51">
        <f t="shared" si="1"/>
        <v>0</v>
      </c>
      <c r="J30" s="51"/>
      <c r="K30" s="51"/>
      <c r="L30" s="51">
        <f t="shared" si="2"/>
        <v>0</v>
      </c>
    </row>
    <row r="31" spans="2:12" x14ac:dyDescent="0.25">
      <c r="B31" s="51"/>
      <c r="C31" s="51"/>
      <c r="D31" s="51"/>
      <c r="E31" s="51">
        <f t="shared" ref="E31:E32" si="6">C31*D31</f>
        <v>0</v>
      </c>
      <c r="F31" s="51"/>
      <c r="G31" s="51"/>
      <c r="H31" s="51"/>
      <c r="I31" s="51">
        <f t="shared" ref="I31:I32" si="7">G31*H31</f>
        <v>0</v>
      </c>
      <c r="J31" s="51"/>
      <c r="K31" s="51"/>
      <c r="L31" s="51">
        <f t="shared" ref="L31:L32" si="8">J31*K31</f>
        <v>0</v>
      </c>
    </row>
    <row r="32" spans="2:12" x14ac:dyDescent="0.25">
      <c r="B32" s="51"/>
      <c r="C32" s="51"/>
      <c r="D32" s="51"/>
      <c r="E32" s="51">
        <f t="shared" si="6"/>
        <v>0</v>
      </c>
      <c r="F32" s="51"/>
      <c r="G32" s="51"/>
      <c r="H32" s="51"/>
      <c r="I32" s="51">
        <f t="shared" si="7"/>
        <v>0</v>
      </c>
      <c r="J32" s="51"/>
      <c r="K32" s="51"/>
      <c r="L32" s="51">
        <f t="shared" si="8"/>
        <v>0</v>
      </c>
    </row>
    <row r="33" spans="2:12" x14ac:dyDescent="0.25">
      <c r="B33" s="51" t="s">
        <v>320</v>
      </c>
      <c r="C33" s="51"/>
      <c r="D33" s="51"/>
      <c r="E33" s="51">
        <f t="shared" si="0"/>
        <v>0</v>
      </c>
      <c r="F33" s="51"/>
      <c r="G33" s="51"/>
      <c r="H33" s="51"/>
      <c r="I33" s="51">
        <f t="shared" si="1"/>
        <v>0</v>
      </c>
      <c r="J33" s="51"/>
      <c r="K33" s="51"/>
      <c r="L33" s="51">
        <f t="shared" si="2"/>
        <v>0</v>
      </c>
    </row>
    <row r="34" spans="2:12" x14ac:dyDescent="0.25">
      <c r="B34" s="51" t="s">
        <v>324</v>
      </c>
      <c r="C34" s="51"/>
      <c r="D34" s="51"/>
      <c r="E34" s="51">
        <f t="shared" si="0"/>
        <v>0</v>
      </c>
      <c r="F34" s="51"/>
      <c r="G34" s="51"/>
      <c r="H34" s="51"/>
      <c r="I34" s="51">
        <f t="shared" si="1"/>
        <v>0</v>
      </c>
      <c r="J34" s="51"/>
      <c r="K34" s="51"/>
      <c r="L34" s="51">
        <f t="shared" si="2"/>
        <v>0</v>
      </c>
    </row>
    <row r="35" spans="2:12" x14ac:dyDescent="0.25">
      <c r="B35" s="51" t="s">
        <v>321</v>
      </c>
      <c r="C35" s="51"/>
      <c r="D35" s="51"/>
      <c r="E35" s="51">
        <f t="shared" si="0"/>
        <v>0</v>
      </c>
      <c r="F35" s="51"/>
      <c r="G35" s="51"/>
      <c r="H35" s="51"/>
      <c r="I35" s="51">
        <f t="shared" si="1"/>
        <v>0</v>
      </c>
      <c r="J35" s="51"/>
      <c r="K35" s="51"/>
      <c r="L35" s="51">
        <f t="shared" si="2"/>
        <v>0</v>
      </c>
    </row>
    <row r="36" spans="2:12" x14ac:dyDescent="0.25">
      <c r="B36" s="51" t="s">
        <v>322</v>
      </c>
      <c r="C36" s="51"/>
      <c r="D36" s="51"/>
      <c r="E36" s="51">
        <f t="shared" si="0"/>
        <v>0</v>
      </c>
      <c r="F36" s="51"/>
      <c r="G36" s="51"/>
      <c r="H36" s="51"/>
      <c r="I36" s="51">
        <f>G36*H36</f>
        <v>0</v>
      </c>
      <c r="J36" s="51"/>
      <c r="K36" s="51"/>
      <c r="L36" s="51">
        <f>J36*K36</f>
        <v>0</v>
      </c>
    </row>
    <row r="37" spans="2:12" x14ac:dyDescent="0.25">
      <c r="B37" s="51"/>
      <c r="C37" s="51"/>
      <c r="D37" s="51"/>
      <c r="E37" s="51">
        <f t="shared" ref="E37:E38" si="9">C37*D37</f>
        <v>0</v>
      </c>
      <c r="F37" s="51"/>
      <c r="G37" s="51"/>
      <c r="H37" s="51"/>
      <c r="I37" s="51">
        <f t="shared" ref="I37:I38" si="10">G37*H37</f>
        <v>0</v>
      </c>
      <c r="J37" s="51"/>
      <c r="K37" s="51"/>
      <c r="L37" s="51">
        <f t="shared" ref="L37:L38" si="11">J37*K37</f>
        <v>0</v>
      </c>
    </row>
    <row r="38" spans="2:12" x14ac:dyDescent="0.25">
      <c r="B38" s="51" t="s">
        <v>325</v>
      </c>
      <c r="C38" s="51"/>
      <c r="D38" s="51"/>
      <c r="E38" s="51">
        <f t="shared" si="9"/>
        <v>0</v>
      </c>
      <c r="F38" s="51"/>
      <c r="G38" s="51"/>
      <c r="H38" s="51"/>
      <c r="I38" s="51">
        <f t="shared" si="10"/>
        <v>0</v>
      </c>
      <c r="J38" s="51"/>
      <c r="K38" s="51"/>
      <c r="L38" s="51">
        <f t="shared" si="11"/>
        <v>0</v>
      </c>
    </row>
    <row r="39" spans="2:12" x14ac:dyDescent="0.25">
      <c r="B39" s="51"/>
      <c r="C39" s="51"/>
      <c r="D39" s="51"/>
      <c r="E39" s="51">
        <f t="shared" si="0"/>
        <v>0</v>
      </c>
      <c r="F39" s="51"/>
      <c r="G39" s="51"/>
      <c r="H39" s="51"/>
      <c r="I39" s="51">
        <f>G39*H39</f>
        <v>0</v>
      </c>
      <c r="J39" s="51"/>
      <c r="K39" s="51"/>
      <c r="L39" s="51">
        <f>J39*K39</f>
        <v>0</v>
      </c>
    </row>
    <row r="40" spans="2:12" x14ac:dyDescent="0.25">
      <c r="B40" s="51"/>
      <c r="C40" s="51"/>
      <c r="D40" s="51"/>
      <c r="E40" s="51">
        <f t="shared" si="0"/>
        <v>0</v>
      </c>
      <c r="F40" s="51"/>
      <c r="G40" s="51"/>
      <c r="H40" s="51"/>
      <c r="I40" s="51">
        <f>G40*H40</f>
        <v>0</v>
      </c>
      <c r="J40" s="51"/>
      <c r="K40" s="51"/>
      <c r="L40" s="51">
        <f>J40*K40</f>
        <v>0</v>
      </c>
    </row>
    <row r="41" spans="2:12" x14ac:dyDescent="0.25">
      <c r="B41" s="51"/>
      <c r="C41" s="51"/>
      <c r="D41" s="51"/>
      <c r="E41" s="51">
        <f t="shared" si="0"/>
        <v>0</v>
      </c>
      <c r="F41" s="51"/>
      <c r="G41" s="51"/>
      <c r="H41" s="51"/>
      <c r="I41" s="51">
        <f>G41*H41</f>
        <v>0</v>
      </c>
      <c r="J41" s="51"/>
      <c r="K41" s="51"/>
      <c r="L41" s="51">
        <f>J41*K41</f>
        <v>0</v>
      </c>
    </row>
    <row r="42" spans="2:12" x14ac:dyDescent="0.25">
      <c r="B42" s="51" t="s">
        <v>147</v>
      </c>
      <c r="C42" s="51"/>
      <c r="D42" s="51">
        <f>E42*10.764</f>
        <v>0</v>
      </c>
      <c r="E42" s="69">
        <f>SUM(E6:E41)</f>
        <v>0</v>
      </c>
      <c r="F42" s="51"/>
      <c r="G42" s="51"/>
      <c r="H42" s="51">
        <f>I42*10.764</f>
        <v>0</v>
      </c>
      <c r="I42" s="68">
        <f>SUM(I6:I41)</f>
        <v>0</v>
      </c>
      <c r="J42" s="51"/>
      <c r="K42" s="51">
        <f>L42*10.764</f>
        <v>0</v>
      </c>
      <c r="L42" s="67">
        <f>SUM(L6:L41)</f>
        <v>0</v>
      </c>
    </row>
    <row r="44" spans="2:12" x14ac:dyDescent="0.25">
      <c r="D44" s="50">
        <f>D42+H42</f>
        <v>0</v>
      </c>
      <c r="E44" s="50">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Sheet1</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2025-10-06T11:50:08Z</cp:lastPrinted>
  <dcterms:created xsi:type="dcterms:W3CDTF">2019-07-16T09:29:46Z</dcterms:created>
  <dcterms:modified xsi:type="dcterms:W3CDTF">2025-10-06T11:50:59Z</dcterms:modified>
</cp:coreProperties>
</file>