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K151" i="1" s="1"/>
  <c r="E3" i="1"/>
  <c r="D154" i="1" l="1"/>
  <c r="D153" i="1"/>
  <c r="D152" i="1"/>
  <c r="D151" i="1"/>
  <c r="D150" i="1"/>
  <c r="D147" i="1"/>
  <c r="D146" i="1"/>
  <c r="D145" i="1"/>
  <c r="G144" i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D144" i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D135" i="1"/>
  <c r="J135" i="1" s="1"/>
  <c r="D134" i="1"/>
  <c r="J134" i="1" s="1"/>
  <c r="D133" i="1"/>
  <c r="J133" i="1" s="1"/>
  <c r="D132" i="1"/>
  <c r="J132" i="1" s="1"/>
  <c r="D130" i="1"/>
  <c r="J130" i="1" s="1"/>
  <c r="D129" i="1"/>
  <c r="J129" i="1" s="1"/>
  <c r="D128" i="1"/>
  <c r="J128" i="1" s="1"/>
  <c r="E127" i="1"/>
  <c r="D127" i="1"/>
  <c r="E126" i="1"/>
  <c r="D126" i="1"/>
  <c r="E125" i="1"/>
  <c r="D125" i="1"/>
  <c r="E124" i="1"/>
  <c r="D124" i="1"/>
  <c r="E123" i="1"/>
  <c r="D123" i="1"/>
  <c r="D122" i="1"/>
  <c r="J122" i="1" s="1"/>
  <c r="D121" i="1"/>
  <c r="J121" i="1" s="1"/>
  <c r="D120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F108" i="1" l="1"/>
  <c r="F116" i="1"/>
  <c r="F112" i="1"/>
  <c r="F110" i="1"/>
  <c r="F109" i="1"/>
  <c r="F117" i="1"/>
  <c r="F114" i="1"/>
  <c r="F113" i="1"/>
  <c r="F111" i="1"/>
  <c r="F115" i="1"/>
  <c r="F127" i="1"/>
  <c r="J127" i="1" s="1"/>
  <c r="C95" i="1"/>
  <c r="J120" i="1"/>
  <c r="J124" i="1"/>
  <c r="J126" i="1"/>
  <c r="J123" i="1"/>
  <c r="J125" i="1"/>
  <c r="C92" i="1"/>
  <c r="E92" i="1"/>
  <c r="E95" i="1"/>
  <c r="B157" i="1" l="1"/>
  <c r="C13" i="1" l="1"/>
  <c r="E27" i="1" l="1"/>
  <c r="G95" i="1" l="1"/>
  <c r="F102" i="1"/>
  <c r="F103" i="1"/>
  <c r="F104" i="1"/>
  <c r="F105" i="1"/>
  <c r="F106" i="1"/>
  <c r="F107" i="1"/>
  <c r="F101" i="1"/>
  <c r="G92" i="1" l="1"/>
  <c r="B15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8" i="1"/>
  <c r="G132" i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20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G101" i="1"/>
  <c r="F89" i="1"/>
  <c r="J74" i="1"/>
  <c r="J73" i="1"/>
  <c r="J72" i="1"/>
  <c r="J71" i="1"/>
  <c r="C63" i="1"/>
  <c r="D52" i="1"/>
  <c r="G47" i="1"/>
  <c r="G48" i="1" s="1"/>
  <c r="C47" i="1"/>
  <c r="E40" i="1"/>
  <c r="E41" i="1" s="1"/>
  <c r="E24" i="1"/>
  <c r="E22" i="1"/>
  <c r="E7" i="1"/>
  <c r="D57" i="1"/>
  <c r="H64" i="1"/>
  <c r="D69" i="1" l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D75" i="1"/>
  <c r="D71" i="1"/>
  <c r="D73" i="1"/>
  <c r="J76" i="1" l="1"/>
  <c r="C68" i="1" s="1"/>
  <c r="E67" i="1" s="1"/>
  <c r="I63" i="1" s="1"/>
  <c r="G67" i="1" l="1"/>
  <c r="D61" i="1" s="1"/>
  <c r="F62" i="1" s="1"/>
  <c r="D68" i="1"/>
  <c r="C65" i="1"/>
  <c r="D62" i="1" l="1"/>
</calcChain>
</file>

<file path=xl/sharedStrings.xml><?xml version="1.0" encoding="utf-8"?>
<sst xmlns="http://schemas.openxmlformats.org/spreadsheetml/2006/main" count="307" uniqueCount="221">
  <si>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</si>
  <si>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</si>
  <si>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</si>
  <si>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</si>
  <si>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</si>
  <si>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</si>
  <si>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</si>
  <si>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</si>
  <si>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</si>
  <si>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</si>
  <si>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</si>
  <si>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</si>
  <si>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</si>
  <si>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</si>
  <si>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</si>
  <si>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</si>
  <si>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</si>
  <si>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</si>
  <si>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</si>
  <si>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</si>
  <si>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</si>
  <si>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</si>
  <si>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</si>
  <si>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</si>
  <si>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</si>
  <si>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</si>
  <si>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</si>
  <si>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</si>
  <si>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</si>
  <si>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</si>
  <si>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</si>
  <si>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</si>
  <si>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</si>
  <si>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</si>
  <si>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</si>
  <si>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</si>
  <si>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</si>
  <si>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</si>
  <si>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</si>
  <si>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</si>
  <si>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</si>
  <si>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</si>
  <si>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</si>
  <si>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</si>
  <si>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</si>
  <si>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</si>
  <si>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</si>
  <si>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</si>
  <si>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</si>
  <si>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</si>
  <si>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</si>
  <si>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</si>
  <si>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</si>
  <si>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</si>
  <si>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</si>
  <si>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</si>
  <si>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</si>
  <si>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</si>
  <si>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</si>
  <si>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</si>
  <si>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</si>
  <si>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</si>
  <si>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</si>
  <si>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</si>
  <si>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</si>
  <si>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</si>
  <si>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</si>
  <si>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</si>
  <si>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</si>
  <si>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</si>
  <si>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</si>
  <si>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</si>
  <si>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</si>
  <si>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</si>
  <si>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</si>
  <si>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</si>
  <si>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</si>
  <si>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</si>
  <si>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</si>
  <si>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</si>
  <si>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</si>
  <si>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</si>
  <si>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</si>
  <si>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</si>
  <si>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</si>
  <si>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</si>
  <si>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</si>
  <si>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</si>
  <si>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</si>
  <si>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</si>
  <si>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</si>
  <si>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</si>
  <si>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</si>
  <si>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</si>
  <si>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</si>
  <si>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</si>
  <si>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</si>
  <si>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</si>
  <si>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</si>
  <si>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</si>
  <si>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</si>
  <si>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Legal Services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</si>
  <si>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</si>
  <si>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</si>
  <si>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</si>
  <si>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</si>
  <si>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</si>
  <si>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</si>
  <si>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</si>
  <si>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</si>
  <si>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</si>
  <si>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</si>
  <si>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</si>
  <si>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</si>
  <si>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</si>
  <si>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</si>
  <si>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</si>
  <si>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</si>
  <si>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</si>
  <si>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</si>
  <si>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</si>
  <si>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</si>
  <si>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</si>
  <si>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</si>
  <si>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</si>
  <si>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</si>
  <si>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</si>
  <si>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</si>
  <si>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</si>
  <si>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</si>
  <si>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</si>
  <si>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</si>
  <si>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</si>
  <si>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</si>
  <si>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</si>
  <si>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</si>
  <si>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</si>
  <si>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</si>
  <si>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</si>
  <si>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</si>
  <si>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</si>
  <si>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</si>
  <si>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</si>
  <si>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</si>
  <si>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</si>
  <si>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</si>
  <si>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</si>
  <si>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</si>
  <si>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</si>
  <si>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</si>
  <si>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</si>
  <si>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</si>
  <si>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</si>
  <si>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</si>
  <si>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</si>
  <si>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</si>
  <si>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</si>
  <si>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</si>
  <si>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</si>
  <si>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</si>
  <si>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</si>
  <si>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</si>
  <si>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</si>
  <si>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</si>
  <si>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</si>
  <si>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</si>
  <si>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Ground Floor for Commercial &amp; Parking</t>
  </si>
  <si>
    <t>Shop</t>
  </si>
  <si>
    <t>Attached Loft area</t>
  </si>
  <si>
    <t>1st Floor for Residential</t>
  </si>
  <si>
    <t>1BHK</t>
  </si>
  <si>
    <t>2BHK</t>
  </si>
  <si>
    <t>2nd to 7th &amp; 9th to 12th Floor</t>
  </si>
  <si>
    <t>8th Floor (Part Refuge Area)</t>
  </si>
  <si>
    <t>Refuge Area</t>
  </si>
  <si>
    <t>Building No. 2</t>
  </si>
  <si>
    <t>Axis Sanpada</t>
  </si>
  <si>
    <t>M/s. Raj Homes &amp; Infracon</t>
  </si>
  <si>
    <t>Raj Nirvana - Eden</t>
  </si>
  <si>
    <t>Miss.Nita - 7738467706/7517654647</t>
  </si>
  <si>
    <t>Approved Plans, CC, Cost Sheet.</t>
  </si>
  <si>
    <t>P51700033064</t>
  </si>
  <si>
    <t xml:space="preserve">40/3/2, S No. 40/3A - Plot No. 5, S. No. 43/2 - Plot No. 1, S.No. 43/2 - Plot No. 2B </t>
  </si>
  <si>
    <t>Survey No</t>
  </si>
  <si>
    <t xml:space="preserve">Ambernath </t>
  </si>
  <si>
    <t>Thane</t>
  </si>
  <si>
    <t>Pale</t>
  </si>
  <si>
    <t>Ambernath east</t>
  </si>
  <si>
    <t>4 KM from Ambernath Railway Station</t>
  </si>
  <si>
    <t>Pale road</t>
  </si>
  <si>
    <t>Ananta Shingne</t>
  </si>
  <si>
    <t>Internal road</t>
  </si>
  <si>
    <t>Vishwajeet Empire</t>
  </si>
  <si>
    <t>Open land</t>
  </si>
  <si>
    <t>Raj Urbania</t>
  </si>
  <si>
    <t>1 Building</t>
  </si>
  <si>
    <t>Ambernath Municipal Council</t>
  </si>
  <si>
    <t>ANP/NRV/BP/21-22/1063/9240/116</t>
  </si>
  <si>
    <t>ANP/NRV/BP/2021-22/1063/9240/116</t>
  </si>
  <si>
    <t>Valid Up to:  Building No. 2 = G/St + 1st to 12th Floor.</t>
  </si>
  <si>
    <t>Flats - 131, Shops - 17</t>
  </si>
  <si>
    <t>As per RERA - 30/06/2025</t>
  </si>
  <si>
    <t>Water, MSEB, Development Charges</t>
  </si>
  <si>
    <t>Club Membership</t>
  </si>
  <si>
    <t>We considered Gross carpet area = Net carpet + Balcony + C.B Area.</t>
  </si>
  <si>
    <t>On Site, we meet Sales Person (7738467706).</t>
  </si>
  <si>
    <t>Building No. 2 = G/St + 1st to 12th Floor</t>
  </si>
  <si>
    <t>Floor Rise Rate Per Sq.ft from 2nd Floor</t>
  </si>
  <si>
    <t>Builder Saleable area</t>
  </si>
  <si>
    <t>Location Link</t>
  </si>
  <si>
    <t>https://goo.gl/maps/5u63uzAHd35dC5od7</t>
  </si>
  <si>
    <t>4000 to 4200</t>
  </si>
  <si>
    <t>Rushikesh</t>
  </si>
  <si>
    <t>Verbal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</si>
  <si>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</si>
  <si>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Latitude,Longitude</t>
  </si>
  <si>
    <t>19.1883889,73.1695667</t>
  </si>
  <si>
    <t>Sudhir Bhosale</t>
  </si>
  <si>
    <t>Pranita Mhatre</t>
  </si>
  <si>
    <t>Construction work is in process at the time of Visit. (Labour Found)</t>
  </si>
  <si>
    <t xml:space="preserve">As per RERA, completion period of project Raj Nirvana - Eden is expired on 30/06/2025 but still project is under construction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</si>
</sst>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0" xfId="1" applyNumberFormat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4" fillId="0" borderId="8" xfId="10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25" fillId="0" borderId="8" xfId="0" applyNumberFormat="1" applyFont="1" applyFill="1" applyBorder="1" applyAlignment="1" applyProtection="1">
      <alignment vertical="top" wrapText="1"/>
      <protection locked="0"/>
    </xf>
    <xf numFmtId="1" fontId="25" fillId="0" borderId="23" xfId="0" applyNumberFormat="1" applyFont="1" applyFill="1" applyBorder="1" applyAlignment="1" applyProtection="1">
      <alignment vertical="top" wrapText="1"/>
      <protection locked="0"/>
    </xf>
    <xf numFmtId="1" fontId="25" fillId="0" borderId="9" xfId="0" applyNumberFormat="1" applyFont="1" applyFill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26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1" fontId="7" fillId="0" borderId="27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219</xdr:row>
      <xdr:rowOff>9525</xdr:rowOff>
    </xdr:from>
    <xdr:to>
      <xdr:col>7</xdr:col>
      <xdr:colOff>47086</xdr:colOff>
      <xdr:row>237</xdr:row>
      <xdr:rowOff>49422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5159275"/>
          <a:ext cx="5400136" cy="36403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238</xdr:row>
      <xdr:rowOff>76843</xdr:rowOff>
    </xdr:from>
    <xdr:to>
      <xdr:col>7</xdr:col>
      <xdr:colOff>12580</xdr:colOff>
      <xdr:row>256</xdr:row>
      <xdr:rowOff>116741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9027068"/>
          <a:ext cx="5365630" cy="36403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747031</xdr:colOff>
      <xdr:row>178</xdr:row>
      <xdr:rowOff>96611</xdr:rowOff>
    </xdr:from>
    <xdr:to>
      <xdr:col>15</xdr:col>
      <xdr:colOff>424542</xdr:colOff>
      <xdr:row>215</xdr:row>
      <xdr:rowOff>96611</xdr:rowOff>
    </xdr:to>
    <xdr:grpSp>
      <xdr:nvGrpSpPr>
        <xdr:cNvPr id="19" name="Group 18"/>
        <xdr:cNvGrpSpPr/>
      </xdr:nvGrpSpPr>
      <xdr:grpSpPr>
        <a:xfrm>
          <a:off x="7243081" y="37920386"/>
          <a:ext cx="5382986" cy="7391400"/>
          <a:chOff x="970160" y="557110"/>
          <a:chExt cx="4903752" cy="7632076"/>
        </a:xfrm>
      </xdr:grpSpPr>
      <xdr:pic>
        <xdr:nvPicPr>
          <xdr:cNvPr id="20" name="Picture 19" descr="https://vsjcllp.vsjadon.com/upload/insp-23678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01379" y="6749186"/>
            <a:ext cx="1910258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78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6899" y="3490383"/>
            <a:ext cx="1138476" cy="15137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786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38362" y="3475579"/>
            <a:ext cx="1138476" cy="15137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786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9825" y="3475579"/>
            <a:ext cx="1138476" cy="15137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786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8400" y="557110"/>
            <a:ext cx="2087639" cy="2775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6786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1035" y="5166492"/>
            <a:ext cx="1083013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6786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7498" y="5166492"/>
            <a:ext cx="1083013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786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83290" y="5166492"/>
            <a:ext cx="1083013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6786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0160" y="5166492"/>
            <a:ext cx="1083013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6786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35436" y="3490383"/>
            <a:ext cx="1138476" cy="15137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6786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6358" y="557110"/>
            <a:ext cx="2087639" cy="27757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6786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92322" y="6749186"/>
            <a:ext cx="1078500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144235</xdr:colOff>
      <xdr:row>178</xdr:row>
      <xdr:rowOff>21770</xdr:rowOff>
    </xdr:from>
    <xdr:to>
      <xdr:col>7</xdr:col>
      <xdr:colOff>552450</xdr:colOff>
      <xdr:row>209</xdr:row>
      <xdr:rowOff>138710</xdr:rowOff>
    </xdr:to>
    <xdr:grpSp>
      <xdr:nvGrpSpPr>
        <xdr:cNvPr id="17" name="Group 16"/>
        <xdr:cNvGrpSpPr/>
      </xdr:nvGrpSpPr>
      <xdr:grpSpPr>
        <a:xfrm>
          <a:off x="144235" y="37845545"/>
          <a:ext cx="6104165" cy="6308190"/>
          <a:chOff x="-246709" y="374936"/>
          <a:chExt cx="7343326" cy="6455364"/>
        </a:xfrm>
      </xdr:grpSpPr>
      <xdr:pic>
        <xdr:nvPicPr>
          <xdr:cNvPr id="18" name="Picture 17" descr="https://vsjcllp.vsjadon.com/upload/insp-246857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9714" y="3515550"/>
            <a:ext cx="1354941" cy="18015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857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2851" y="3507183"/>
            <a:ext cx="1353766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5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3679" y="5397337"/>
            <a:ext cx="1868836" cy="1408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85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7399" y="393014"/>
            <a:ext cx="2266392" cy="3013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57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46709" y="3515550"/>
            <a:ext cx="1354941" cy="18015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85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1932" y="3506862"/>
            <a:ext cx="1354941" cy="18015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857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45906" y="3512875"/>
            <a:ext cx="1354941" cy="18015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857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2926" y="5421525"/>
            <a:ext cx="1868836" cy="1408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857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421" y="5421523"/>
            <a:ext cx="1868836" cy="1408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85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01218" y="374936"/>
            <a:ext cx="2256948" cy="3013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857-9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8469" y="5417510"/>
            <a:ext cx="1055114" cy="1408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685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08097" y="384239"/>
            <a:ext cx="2266392" cy="3013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382621</xdr:colOff>
      <xdr:row>28</xdr:row>
      <xdr:rowOff>146992</xdr:rowOff>
    </xdr:from>
    <xdr:to>
      <xdr:col>5</xdr:col>
      <xdr:colOff>235202</xdr:colOff>
      <xdr:row>40</xdr:row>
      <xdr:rowOff>20992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503" y="549219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38862</xdr:rowOff>
    </xdr:from>
    <xdr:to>
      <xdr:col>4</xdr:col>
      <xdr:colOff>614581</xdr:colOff>
      <xdr:row>26</xdr:row>
      <xdr:rowOff>103362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290756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464744</xdr:colOff>
      <xdr:row>15</xdr:row>
      <xdr:rowOff>0</xdr:rowOff>
    </xdr:from>
    <xdr:to>
      <xdr:col>9</xdr:col>
      <xdr:colOff>362148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920" y="28687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u63uzAHd35dC5od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18"/>
  <sheetViews>
    <sheetView tabSelected="1" view="pageBreakPreview" topLeftCell="A61" zoomScaleNormal="100" zoomScaleSheetLayoutView="100" workbookViewId="0">
      <selection activeCell="M67" sqref="M67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" style="11" customWidth="1"/>
    <col min="9" max="9" width="17.42578125" style="3" customWidth="1"/>
    <col min="10" max="10" width="11.42578125" style="3" customWidth="1"/>
    <col min="11" max="11" width="11.8554687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47" t="s">
        <v>214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25">
      <c r="A3" s="145" t="s">
        <v>1</v>
      </c>
      <c r="B3" s="145"/>
      <c r="C3" s="145"/>
      <c r="D3" s="145"/>
      <c r="E3" s="146" t="str">
        <f ca="1">TEXT(TODAY(),"DD/MM/YYYY")</f>
        <v>10/09/2025</v>
      </c>
      <c r="F3" s="146"/>
      <c r="G3" s="146"/>
      <c r="H3" s="146"/>
    </row>
    <row r="4" spans="1:8" ht="15" customHeight="1" x14ac:dyDescent="0.25">
      <c r="A4" s="145" t="s">
        <v>2</v>
      </c>
      <c r="B4" s="145"/>
      <c r="C4" s="145"/>
      <c r="D4" s="145"/>
      <c r="E4" s="138" t="s">
        <v>176</v>
      </c>
      <c r="F4" s="138"/>
      <c r="G4" s="138"/>
      <c r="H4" s="138"/>
    </row>
    <row r="5" spans="1:8" x14ac:dyDescent="0.25">
      <c r="A5" s="145" t="s">
        <v>3</v>
      </c>
      <c r="B5" s="145"/>
      <c r="C5" s="145"/>
      <c r="D5" s="145"/>
      <c r="E5" s="146">
        <v>45908</v>
      </c>
      <c r="F5" s="146"/>
      <c r="G5" s="146"/>
      <c r="H5" s="146"/>
    </row>
    <row r="6" spans="1:8" ht="16.5" customHeight="1" x14ac:dyDescent="0.25">
      <c r="A6" s="145" t="s">
        <v>4</v>
      </c>
      <c r="B6" s="145"/>
      <c r="C6" s="145"/>
      <c r="D6" s="145"/>
      <c r="E6" s="142" t="s">
        <v>177</v>
      </c>
      <c r="F6" s="142"/>
      <c r="G6" s="142"/>
      <c r="H6" s="142"/>
    </row>
    <row r="7" spans="1:8" ht="15" customHeight="1" x14ac:dyDescent="0.25">
      <c r="A7" s="145" t="s">
        <v>5</v>
      </c>
      <c r="B7" s="145"/>
      <c r="C7" s="145"/>
      <c r="D7" s="145"/>
      <c r="E7" s="142" t="str">
        <f>E6</f>
        <v>M/s. Raj Homes &amp; Infracon</v>
      </c>
      <c r="F7" s="142"/>
      <c r="G7" s="142"/>
      <c r="H7" s="142"/>
    </row>
    <row r="8" spans="1:8" x14ac:dyDescent="0.25">
      <c r="A8" s="145" t="s">
        <v>6</v>
      </c>
      <c r="B8" s="145"/>
      <c r="C8" s="145"/>
      <c r="D8" s="145"/>
      <c r="E8" s="149" t="s">
        <v>178</v>
      </c>
      <c r="F8" s="149"/>
      <c r="G8" s="149"/>
      <c r="H8" s="149"/>
    </row>
    <row r="9" spans="1:8" x14ac:dyDescent="0.25">
      <c r="A9" s="145" t="s">
        <v>129</v>
      </c>
      <c r="B9" s="145"/>
      <c r="C9" s="145"/>
      <c r="D9" s="145"/>
      <c r="E9" s="145" t="s">
        <v>179</v>
      </c>
      <c r="F9" s="145"/>
      <c r="G9" s="145"/>
      <c r="H9" s="145"/>
    </row>
    <row r="10" spans="1:8" x14ac:dyDescent="0.25">
      <c r="A10" s="141" t="s">
        <v>7</v>
      </c>
      <c r="B10" s="141"/>
      <c r="C10" s="141"/>
      <c r="D10" s="141"/>
      <c r="E10" s="141" t="s">
        <v>175</v>
      </c>
      <c r="F10" s="141"/>
      <c r="G10" s="141"/>
      <c r="H10" s="141"/>
    </row>
    <row r="11" spans="1:8" x14ac:dyDescent="0.25">
      <c r="A11" s="145" t="s">
        <v>8</v>
      </c>
      <c r="B11" s="145"/>
      <c r="C11" s="145"/>
      <c r="D11" s="145"/>
      <c r="E11" s="140" t="s">
        <v>180</v>
      </c>
      <c r="F11" s="140"/>
      <c r="G11" s="140"/>
      <c r="H11" s="140"/>
    </row>
    <row r="12" spans="1:8" x14ac:dyDescent="0.25">
      <c r="A12" s="145" t="s">
        <v>9</v>
      </c>
      <c r="B12" s="145"/>
      <c r="C12" s="145"/>
      <c r="D12" s="145"/>
      <c r="E12" s="140" t="s">
        <v>181</v>
      </c>
      <c r="F12" s="141"/>
      <c r="G12" s="141"/>
      <c r="H12" s="141"/>
    </row>
    <row r="13" spans="1:8" ht="48.75" customHeight="1" x14ac:dyDescent="0.25">
      <c r="A13" s="142" t="s">
        <v>10</v>
      </c>
      <c r="B13" s="142"/>
      <c r="C13" s="14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Raj Nirvana - Eden, Survey No.40/3/2, S No. 40/3A - Plot No. 5, S. No. 43/2 - Plot No. 1, S.No. 43/2 - Plot No. 2B , near Ananta Shingne, Pale road, Pale, Ambernath east, Ambernath , Thane - 421501.</v>
      </c>
      <c r="D13" s="142"/>
      <c r="E13" s="142"/>
      <c r="F13" s="142"/>
      <c r="G13" s="142"/>
      <c r="H13" s="142"/>
    </row>
    <row r="14" spans="1:8" x14ac:dyDescent="0.25">
      <c r="A14" s="136" t="s">
        <v>183</v>
      </c>
      <c r="B14" s="136"/>
      <c r="C14" s="136" t="s">
        <v>182</v>
      </c>
      <c r="D14" s="136"/>
      <c r="E14" s="136"/>
      <c r="F14" s="136"/>
      <c r="G14" s="136"/>
      <c r="H14" s="136"/>
    </row>
    <row r="15" spans="1:8" ht="15.75" customHeight="1" x14ac:dyDescent="0.25">
      <c r="A15" s="137" t="s">
        <v>11</v>
      </c>
      <c r="B15" s="137"/>
      <c r="C15" s="139" t="s">
        <v>189</v>
      </c>
      <c r="D15" s="139"/>
      <c r="E15" s="137" t="s">
        <v>78</v>
      </c>
      <c r="F15" s="137"/>
      <c r="G15" s="136" t="s">
        <v>186</v>
      </c>
      <c r="H15" s="136"/>
    </row>
    <row r="16" spans="1:8" x14ac:dyDescent="0.25">
      <c r="A16" s="98" t="s">
        <v>13</v>
      </c>
      <c r="B16" s="98"/>
      <c r="C16" s="136" t="s">
        <v>187</v>
      </c>
      <c r="D16" s="136"/>
      <c r="E16" s="137" t="s">
        <v>12</v>
      </c>
      <c r="F16" s="137"/>
      <c r="G16" s="143" t="s">
        <v>185</v>
      </c>
      <c r="H16" s="143"/>
    </row>
    <row r="17" spans="1:8" x14ac:dyDescent="0.25">
      <c r="A17" s="98" t="s">
        <v>79</v>
      </c>
      <c r="B17" s="98"/>
      <c r="C17" s="136" t="s">
        <v>184</v>
      </c>
      <c r="D17" s="136"/>
      <c r="E17" s="137" t="s">
        <v>14</v>
      </c>
      <c r="F17" s="137"/>
      <c r="G17" s="136">
        <v>421501</v>
      </c>
      <c r="H17" s="136"/>
    </row>
    <row r="18" spans="1:8" ht="32.25" customHeight="1" x14ac:dyDescent="0.25">
      <c r="A18" s="98" t="s">
        <v>130</v>
      </c>
      <c r="B18" s="98"/>
      <c r="C18" s="144" t="s">
        <v>190</v>
      </c>
      <c r="D18" s="144"/>
      <c r="E18" s="137" t="s">
        <v>15</v>
      </c>
      <c r="F18" s="137"/>
      <c r="G18" s="136" t="s">
        <v>188</v>
      </c>
      <c r="H18" s="136"/>
    </row>
    <row r="19" spans="1:8" ht="15" customHeight="1" x14ac:dyDescent="0.25">
      <c r="A19" s="137" t="s">
        <v>82</v>
      </c>
      <c r="B19" s="137"/>
      <c r="C19" s="137"/>
      <c r="D19" s="137"/>
      <c r="E19" s="139" t="s">
        <v>16</v>
      </c>
      <c r="F19" s="139"/>
      <c r="G19" s="139"/>
      <c r="H19" s="139"/>
    </row>
    <row r="20" spans="1:8" ht="18.75" customHeight="1" x14ac:dyDescent="0.25">
      <c r="A20" s="137"/>
      <c r="B20" s="137"/>
      <c r="C20" s="137"/>
      <c r="D20" s="137"/>
      <c r="E20" s="139"/>
      <c r="F20" s="139"/>
      <c r="G20" s="139"/>
      <c r="H20" s="139"/>
    </row>
    <row r="21" spans="1:8" ht="15" customHeight="1" x14ac:dyDescent="0.25">
      <c r="A21" s="137" t="s">
        <v>17</v>
      </c>
      <c r="B21" s="137"/>
      <c r="C21" s="137"/>
      <c r="D21" s="137"/>
      <c r="E21" s="136" t="s">
        <v>18</v>
      </c>
      <c r="F21" s="136"/>
      <c r="G21" s="136"/>
      <c r="H21" s="136"/>
    </row>
    <row r="22" spans="1:8" ht="15" customHeight="1" x14ac:dyDescent="0.25">
      <c r="A22" s="98" t="s">
        <v>19</v>
      </c>
      <c r="B22" s="98"/>
      <c r="C22" s="98"/>
      <c r="D22" s="98"/>
      <c r="E22" s="136" t="str">
        <f>IF(AND(G16="Mumbai"),"Upper Class","Middle Class")</f>
        <v>Middle Class</v>
      </c>
      <c r="F22" s="136"/>
      <c r="G22" s="136"/>
      <c r="H22" s="136"/>
    </row>
    <row r="23" spans="1:8" x14ac:dyDescent="0.25">
      <c r="A23" s="98" t="s">
        <v>20</v>
      </c>
      <c r="B23" s="98"/>
      <c r="C23" s="98"/>
      <c r="D23" s="98"/>
      <c r="E23" s="136" t="s">
        <v>21</v>
      </c>
      <c r="F23" s="136"/>
      <c r="G23" s="136"/>
      <c r="H23" s="136"/>
    </row>
    <row r="24" spans="1:8" ht="15.75" customHeight="1" x14ac:dyDescent="0.25">
      <c r="A24" s="98" t="s">
        <v>22</v>
      </c>
      <c r="B24" s="98"/>
      <c r="C24" s="98"/>
      <c r="D24" s="98"/>
      <c r="E24" s="136" t="str">
        <f>IF(AND(G16="Mumbai"),"Developed","Developing")</f>
        <v>Developing</v>
      </c>
      <c r="F24" s="136"/>
      <c r="G24" s="136"/>
      <c r="H24" s="136"/>
    </row>
    <row r="25" spans="1:8" x14ac:dyDescent="0.25">
      <c r="A25" s="98" t="s">
        <v>23</v>
      </c>
      <c r="B25" s="98"/>
      <c r="C25" s="98"/>
      <c r="D25" s="98"/>
      <c r="E25" s="136" t="s">
        <v>24</v>
      </c>
      <c r="F25" s="136"/>
      <c r="G25" s="136"/>
      <c r="H25" s="136"/>
    </row>
    <row r="26" spans="1:8" x14ac:dyDescent="0.25">
      <c r="A26" s="98" t="s">
        <v>87</v>
      </c>
      <c r="B26" s="98"/>
      <c r="C26" s="98"/>
      <c r="D26" s="98"/>
      <c r="E26" s="136" t="s">
        <v>88</v>
      </c>
      <c r="F26" s="136"/>
      <c r="G26" s="136"/>
      <c r="H26" s="136"/>
    </row>
    <row r="27" spans="1:8" ht="15" customHeight="1" x14ac:dyDescent="0.25">
      <c r="A27" s="137" t="s">
        <v>33</v>
      </c>
      <c r="B27" s="137"/>
      <c r="C27" s="137"/>
      <c r="D27" s="137"/>
      <c r="E27" s="138" t="str">
        <f>IF(ISNUMBER(SEARCH("Shop",D53)),"Residential + Commercial",IF(ISNUMBER(SEARCH("Office",D53)),"Residential + Commercial",IF(SEARCH("Flats",D53),"Residential","")))</f>
        <v>Residential + Commercial</v>
      </c>
      <c r="F27" s="138"/>
      <c r="G27" s="138"/>
      <c r="H27" s="138"/>
    </row>
    <row r="28" spans="1:8" x14ac:dyDescent="0.25">
      <c r="A28" s="137" t="s">
        <v>99</v>
      </c>
      <c r="B28" s="137"/>
      <c r="C28" s="137"/>
      <c r="D28" s="137"/>
      <c r="E28" s="137" t="s">
        <v>34</v>
      </c>
      <c r="F28" s="137"/>
      <c r="G28" s="137"/>
      <c r="H28" s="137"/>
    </row>
    <row r="29" spans="1:8" s="6" customFormat="1" x14ac:dyDescent="0.25">
      <c r="A29" s="128" t="s">
        <v>100</v>
      </c>
      <c r="B29" s="128"/>
      <c r="C29" s="126" t="s">
        <v>29</v>
      </c>
      <c r="D29" s="126"/>
      <c r="E29" s="126"/>
      <c r="F29" s="126" t="s">
        <v>31</v>
      </c>
      <c r="G29" s="126"/>
      <c r="H29" s="126"/>
    </row>
    <row r="30" spans="1:8" s="6" customFormat="1" x14ac:dyDescent="0.25">
      <c r="A30" s="127" t="s">
        <v>25</v>
      </c>
      <c r="B30" s="127" t="s">
        <v>30</v>
      </c>
      <c r="C30" s="125" t="s">
        <v>30</v>
      </c>
      <c r="D30" s="125"/>
      <c r="E30" s="125"/>
      <c r="F30" s="125" t="s">
        <v>191</v>
      </c>
      <c r="G30" s="125"/>
      <c r="H30" s="125"/>
    </row>
    <row r="31" spans="1:8" x14ac:dyDescent="0.25">
      <c r="A31" s="127" t="s">
        <v>26</v>
      </c>
      <c r="B31" s="127" t="s">
        <v>30</v>
      </c>
      <c r="C31" s="125" t="s">
        <v>30</v>
      </c>
      <c r="D31" s="125"/>
      <c r="E31" s="125"/>
      <c r="F31" s="125" t="s">
        <v>192</v>
      </c>
      <c r="G31" s="125"/>
      <c r="H31" s="125"/>
    </row>
    <row r="32" spans="1:8" s="6" customFormat="1" x14ac:dyDescent="0.25">
      <c r="A32" s="127" t="s">
        <v>28</v>
      </c>
      <c r="B32" s="127" t="s">
        <v>30</v>
      </c>
      <c r="C32" s="125" t="s">
        <v>30</v>
      </c>
      <c r="D32" s="125"/>
      <c r="E32" s="125"/>
      <c r="F32" s="125" t="s">
        <v>193</v>
      </c>
      <c r="G32" s="125"/>
      <c r="H32" s="125"/>
    </row>
    <row r="33" spans="1:8" x14ac:dyDescent="0.25">
      <c r="A33" s="127" t="s">
        <v>27</v>
      </c>
      <c r="B33" s="127" t="s">
        <v>30</v>
      </c>
      <c r="C33" s="125" t="s">
        <v>30</v>
      </c>
      <c r="D33" s="125"/>
      <c r="E33" s="125"/>
      <c r="F33" s="125" t="s">
        <v>194</v>
      </c>
      <c r="G33" s="125"/>
      <c r="H33" s="125"/>
    </row>
    <row r="34" spans="1:8" x14ac:dyDescent="0.25">
      <c r="A34" s="98" t="s">
        <v>32</v>
      </c>
      <c r="B34" s="98"/>
      <c r="C34" s="98"/>
      <c r="D34" s="98"/>
      <c r="E34" s="98"/>
      <c r="F34" s="98"/>
      <c r="G34" s="98"/>
      <c r="H34" s="98"/>
    </row>
    <row r="35" spans="1:8" ht="15.75" customHeight="1" x14ac:dyDescent="0.25">
      <c r="A35" s="98" t="s">
        <v>215</v>
      </c>
      <c r="B35" s="98"/>
      <c r="C35" s="133" t="s">
        <v>216</v>
      </c>
      <c r="D35" s="134"/>
      <c r="E35" s="134"/>
      <c r="F35" s="134"/>
      <c r="G35" s="134"/>
      <c r="H35" s="135"/>
    </row>
    <row r="36" spans="1:8" ht="15.75" customHeight="1" x14ac:dyDescent="0.25">
      <c r="A36" s="98" t="s">
        <v>209</v>
      </c>
      <c r="B36" s="98"/>
      <c r="C36" s="130" t="s">
        <v>210</v>
      </c>
      <c r="D36" s="131"/>
      <c r="E36" s="131"/>
      <c r="F36" s="131"/>
      <c r="G36" s="131"/>
      <c r="H36" s="132"/>
    </row>
    <row r="37" spans="1:8" x14ac:dyDescent="0.25">
      <c r="A37" s="129" t="s">
        <v>35</v>
      </c>
      <c r="B37" s="129"/>
      <c r="C37" s="129"/>
      <c r="D37" s="129"/>
      <c r="E37" s="129"/>
      <c r="F37" s="129"/>
      <c r="G37" s="129"/>
      <c r="H37" s="129"/>
    </row>
    <row r="38" spans="1:8" x14ac:dyDescent="0.25">
      <c r="A38" s="98" t="s">
        <v>36</v>
      </c>
      <c r="B38" s="98"/>
      <c r="C38" s="98"/>
      <c r="D38" s="98"/>
      <c r="E38" s="124">
        <v>7038.14</v>
      </c>
      <c r="F38" s="124"/>
      <c r="G38" s="124"/>
      <c r="H38" s="124"/>
    </row>
    <row r="39" spans="1:8" x14ac:dyDescent="0.25">
      <c r="A39" s="98" t="s">
        <v>37</v>
      </c>
      <c r="B39" s="98"/>
      <c r="C39" s="98"/>
      <c r="D39" s="98"/>
      <c r="E39" s="157">
        <v>1.1000000000000001</v>
      </c>
      <c r="F39" s="157"/>
      <c r="G39" s="157"/>
      <c r="H39" s="157"/>
    </row>
    <row r="40" spans="1:8" x14ac:dyDescent="0.25">
      <c r="A40" s="98" t="s">
        <v>38</v>
      </c>
      <c r="B40" s="98"/>
      <c r="C40" s="98"/>
      <c r="D40" s="98"/>
      <c r="E40" s="157">
        <f>E42/E38-E39</f>
        <v>1.1739843197208351</v>
      </c>
      <c r="F40" s="157"/>
      <c r="G40" s="157"/>
      <c r="H40" s="157"/>
    </row>
    <row r="41" spans="1:8" x14ac:dyDescent="0.25">
      <c r="A41" s="98" t="s">
        <v>39</v>
      </c>
      <c r="B41" s="98"/>
      <c r="C41" s="98"/>
      <c r="D41" s="98"/>
      <c r="E41" s="157">
        <f>E39+E40</f>
        <v>2.2739843197208351</v>
      </c>
      <c r="F41" s="157"/>
      <c r="G41" s="157"/>
      <c r="H41" s="157"/>
    </row>
    <row r="42" spans="1:8" x14ac:dyDescent="0.25">
      <c r="A42" s="98" t="s">
        <v>98</v>
      </c>
      <c r="B42" s="98"/>
      <c r="C42" s="98"/>
      <c r="D42" s="98"/>
      <c r="E42" s="158">
        <v>16004.62</v>
      </c>
      <c r="F42" s="158"/>
      <c r="G42" s="158"/>
      <c r="H42" s="158"/>
    </row>
    <row r="43" spans="1:8" x14ac:dyDescent="0.25">
      <c r="A43" s="139" t="s">
        <v>40</v>
      </c>
      <c r="B43" s="139"/>
      <c r="C43" s="139"/>
      <c r="D43" s="139"/>
      <c r="E43" s="139" t="s">
        <v>195</v>
      </c>
      <c r="F43" s="139"/>
      <c r="G43" s="139"/>
      <c r="H43" s="139"/>
    </row>
    <row r="44" spans="1:8" x14ac:dyDescent="0.25">
      <c r="A44" s="159" t="s">
        <v>41</v>
      </c>
      <c r="B44" s="159"/>
      <c r="C44" s="159"/>
      <c r="D44" s="159"/>
      <c r="E44" s="159"/>
      <c r="F44" s="159"/>
      <c r="G44" s="159"/>
      <c r="H44" s="159"/>
    </row>
    <row r="45" spans="1:8" ht="33.75" customHeight="1" x14ac:dyDescent="0.25">
      <c r="A45" s="89" t="s">
        <v>159</v>
      </c>
      <c r="B45" s="90"/>
      <c r="C45" s="91" t="s">
        <v>196</v>
      </c>
      <c r="D45" s="92"/>
      <c r="E45" s="92"/>
      <c r="F45" s="92"/>
      <c r="G45" s="92"/>
      <c r="H45" s="93"/>
    </row>
    <row r="46" spans="1:8" x14ac:dyDescent="0.25">
      <c r="A46" s="136" t="s">
        <v>42</v>
      </c>
      <c r="B46" s="136"/>
      <c r="C46" s="192" t="s">
        <v>197</v>
      </c>
      <c r="D46" s="192"/>
      <c r="E46" s="192"/>
      <c r="F46" s="70" t="s">
        <v>43</v>
      </c>
      <c r="G46" s="164">
        <v>44538</v>
      </c>
      <c r="H46" s="164"/>
    </row>
    <row r="47" spans="1:8" x14ac:dyDescent="0.25">
      <c r="A47" s="139" t="s">
        <v>44</v>
      </c>
      <c r="B47" s="139"/>
      <c r="C47" s="192" t="str">
        <f>C46</f>
        <v>ANP/NRV/BP/21-22/1063/9240/116</v>
      </c>
      <c r="D47" s="192"/>
      <c r="E47" s="192"/>
      <c r="F47" s="70" t="s">
        <v>43</v>
      </c>
      <c r="G47" s="164">
        <f>G46</f>
        <v>44538</v>
      </c>
      <c r="H47" s="164"/>
    </row>
    <row r="48" spans="1:8" s="5" customFormat="1" x14ac:dyDescent="0.25">
      <c r="A48" s="136" t="s">
        <v>45</v>
      </c>
      <c r="B48" s="136"/>
      <c r="C48" s="192" t="s">
        <v>198</v>
      </c>
      <c r="D48" s="198"/>
      <c r="E48" s="198"/>
      <c r="F48" s="8" t="s">
        <v>43</v>
      </c>
      <c r="G48" s="164">
        <f>G47</f>
        <v>44538</v>
      </c>
      <c r="H48" s="164"/>
    </row>
    <row r="49" spans="1:14" s="5" customFormat="1" x14ac:dyDescent="0.25">
      <c r="A49" s="136"/>
      <c r="B49" s="136"/>
      <c r="C49" s="204" t="s">
        <v>199</v>
      </c>
      <c r="D49" s="205"/>
      <c r="E49" s="205"/>
      <c r="F49" s="205"/>
      <c r="G49" s="205"/>
      <c r="H49" s="206"/>
    </row>
    <row r="50" spans="1:14" x14ac:dyDescent="0.25">
      <c r="A50" s="172" t="s">
        <v>46</v>
      </c>
      <c r="B50" s="172"/>
      <c r="C50" s="193" t="s">
        <v>111</v>
      </c>
      <c r="D50" s="194"/>
      <c r="E50" s="194" t="s">
        <v>47</v>
      </c>
      <c r="F50" s="71" t="s">
        <v>43</v>
      </c>
      <c r="G50" s="196" t="s">
        <v>30</v>
      </c>
      <c r="H50" s="196"/>
    </row>
    <row r="51" spans="1:14" x14ac:dyDescent="0.25">
      <c r="A51" s="195" t="s">
        <v>49</v>
      </c>
      <c r="B51" s="195"/>
      <c r="C51" s="195"/>
      <c r="D51" s="195"/>
      <c r="E51" s="195"/>
      <c r="F51" s="195"/>
      <c r="G51" s="195"/>
      <c r="H51" s="195"/>
    </row>
    <row r="52" spans="1:14" x14ac:dyDescent="0.25">
      <c r="A52" s="137" t="s">
        <v>97</v>
      </c>
      <c r="B52" s="137"/>
      <c r="C52" s="137"/>
      <c r="D52" s="139">
        <f>E42</f>
        <v>16004.62</v>
      </c>
      <c r="E52" s="139"/>
      <c r="F52" s="139"/>
      <c r="G52" s="139"/>
      <c r="H52" s="139"/>
    </row>
    <row r="53" spans="1:14" x14ac:dyDescent="0.25">
      <c r="A53" s="136" t="s">
        <v>50</v>
      </c>
      <c r="B53" s="139"/>
      <c r="C53" s="139"/>
      <c r="D53" s="139" t="s">
        <v>200</v>
      </c>
      <c r="E53" s="139"/>
      <c r="F53" s="139"/>
      <c r="G53" s="139"/>
      <c r="H53" s="139"/>
      <c r="I53" s="42"/>
    </row>
    <row r="54" spans="1:14" ht="15.75" customHeight="1" x14ac:dyDescent="0.25">
      <c r="A54" s="161" t="s">
        <v>51</v>
      </c>
      <c r="B54" s="162"/>
      <c r="C54" s="163"/>
      <c r="D54" s="160" t="s">
        <v>206</v>
      </c>
      <c r="E54" s="160"/>
      <c r="F54" s="160"/>
      <c r="G54" s="160"/>
      <c r="H54" s="160"/>
      <c r="I54" s="43"/>
    </row>
    <row r="55" spans="1:14" ht="15.75" customHeight="1" x14ac:dyDescent="0.25">
      <c r="A55" s="161" t="s">
        <v>95</v>
      </c>
      <c r="B55" s="162"/>
      <c r="C55" s="162"/>
      <c r="D55" s="199" t="s">
        <v>206</v>
      </c>
      <c r="E55" s="200"/>
      <c r="F55" s="200"/>
      <c r="G55" s="200"/>
      <c r="H55" s="201"/>
      <c r="I55" s="43"/>
    </row>
    <row r="56" spans="1:14" ht="15.75" customHeight="1" x14ac:dyDescent="0.25">
      <c r="A56" s="98" t="s">
        <v>48</v>
      </c>
      <c r="B56" s="98"/>
      <c r="C56" s="98"/>
      <c r="D56" s="136" t="s">
        <v>201</v>
      </c>
      <c r="E56" s="136"/>
      <c r="F56" s="136"/>
      <c r="G56" s="136"/>
      <c r="H56" s="136"/>
      <c r="J56" s="41"/>
      <c r="K56" s="42"/>
      <c r="N56" s="42"/>
    </row>
    <row r="57" spans="1:14" ht="15.75" customHeight="1" x14ac:dyDescent="0.25">
      <c r="A57" s="98" t="s">
        <v>93</v>
      </c>
      <c r="B57" s="98"/>
      <c r="C57" s="98"/>
      <c r="D57" s="156" t="str">
        <f>(IF(G50="NA","60 Years After Completion",IF(G50&lt;&gt;"NA",""&amp;60-ROUNDDOWN((E3-G50)/360,0)&amp;" Years"," ")))</f>
        <v>60 Years After Completion</v>
      </c>
      <c r="E57" s="156"/>
      <c r="F57" s="156"/>
      <c r="G57" s="156"/>
      <c r="H57" s="156"/>
      <c r="N57" s="42"/>
    </row>
    <row r="58" spans="1:14" ht="15.75" customHeight="1" x14ac:dyDescent="0.25">
      <c r="A58" s="98" t="s">
        <v>94</v>
      </c>
      <c r="B58" s="98"/>
      <c r="C58" s="98"/>
      <c r="D58" s="137" t="s">
        <v>24</v>
      </c>
      <c r="E58" s="137"/>
      <c r="F58" s="137"/>
      <c r="G58" s="137"/>
      <c r="H58" s="137"/>
      <c r="J58" s="13"/>
      <c r="K58" s="13"/>
    </row>
    <row r="59" spans="1:14" ht="15" hidden="1" customHeight="1" x14ac:dyDescent="0.25">
      <c r="A59" s="98" t="s">
        <v>80</v>
      </c>
      <c r="B59" s="98"/>
      <c r="C59" s="98"/>
      <c r="D59" s="136" t="s">
        <v>156</v>
      </c>
      <c r="E59" s="137"/>
      <c r="F59" s="137"/>
      <c r="G59" s="137"/>
      <c r="H59" s="137"/>
    </row>
    <row r="60" spans="1:14" x14ac:dyDescent="0.25">
      <c r="A60" s="137" t="s">
        <v>157</v>
      </c>
      <c r="B60" s="137"/>
      <c r="C60" s="137"/>
      <c r="D60" s="137" t="s">
        <v>30</v>
      </c>
      <c r="E60" s="137"/>
      <c r="F60" s="137"/>
      <c r="G60" s="137"/>
      <c r="H60" s="137"/>
      <c r="I60" s="59"/>
      <c r="J60" s="59"/>
      <c r="K60" s="59"/>
      <c r="L60" s="59"/>
      <c r="M60" s="59"/>
      <c r="N60" s="59"/>
    </row>
    <row r="61" spans="1:14" ht="15.75" customHeight="1" x14ac:dyDescent="0.25">
      <c r="A61" s="207" t="s">
        <v>92</v>
      </c>
      <c r="B61" s="207"/>
      <c r="C61" s="207"/>
      <c r="D61" s="175" t="str">
        <f ca="1">(IF(G67&gt;95%,"Nothing",IF(G67&gt;0%,"Cement, Aggregate, Steel, etc",IF(G67=0%,"Work not yet Started"))))</f>
        <v>Cement, Aggregate, Steel, etc</v>
      </c>
      <c r="E61" s="175"/>
      <c r="F61" s="175"/>
      <c r="G61" s="175"/>
      <c r="H61" s="175"/>
      <c r="J61" s="13"/>
    </row>
    <row r="62" spans="1:14" ht="33.75" customHeight="1" thickBot="1" x14ac:dyDescent="0.3">
      <c r="A62" s="174" t="s">
        <v>124</v>
      </c>
      <c r="B62" s="174"/>
      <c r="C62" s="174"/>
      <c r="D62" s="175" t="str">
        <f ca="1">(IF(D61="Nothing","Yes",IF(D61="Cement, Aggregate, Steel, etc","Under Construction",IF(D61="Work not yet Started","Work not yet Started"))))</f>
        <v>Under Construction</v>
      </c>
      <c r="E62" s="175"/>
      <c r="F62" s="175" t="str">
        <f ca="1">(IF(D61="Nothing","Yes",IF(D61="Cement, Aggregate, Steel, etc","Under Construction",IF(D61="Work not yet Started","Work not yet Started"))))</f>
        <v>Under Construction</v>
      </c>
      <c r="G62" s="175"/>
      <c r="H62" s="175"/>
    </row>
    <row r="63" spans="1:14" ht="15.75" customHeight="1" x14ac:dyDescent="0.25">
      <c r="A63" s="167" t="s">
        <v>148</v>
      </c>
      <c r="B63" s="168"/>
      <c r="C63" s="169" t="str">
        <f>D55</f>
        <v>Building No. 2 = G/St + 1st to 12th Floor</v>
      </c>
      <c r="D63" s="170"/>
      <c r="E63" s="170"/>
      <c r="F63" s="170"/>
      <c r="G63" s="170"/>
      <c r="H63" s="171"/>
      <c r="I63" s="48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Completed, External Plaster Completed, Flooring upto 8 Floor Completed, Painting upto 7 Floor Completed, Finishing upto 2 Floor Completed.</v>
      </c>
      <c r="J63" s="15"/>
    </row>
    <row r="64" spans="1:14" x14ac:dyDescent="0.25">
      <c r="A64" s="54" t="s">
        <v>150</v>
      </c>
      <c r="B64" s="63">
        <v>0</v>
      </c>
      <c r="C64" s="63" t="s">
        <v>77</v>
      </c>
      <c r="D64" s="63">
        <v>1</v>
      </c>
      <c r="E64" s="63" t="s">
        <v>76</v>
      </c>
      <c r="F64" s="63">
        <v>0</v>
      </c>
      <c r="G64" s="63" t="s">
        <v>86</v>
      </c>
      <c r="H64" s="56">
        <f ca="1">--TRIM(RIGHT(SUBSTITUTE(LEFT(C63,_xlfn.AGGREGATE(16,6,FIND({0,1,2,3,4,5,6,7,8,9},C63,ROW(INDIRECT("1:"&amp;LEN(C63)))),1))," ",REPT(" ",LEN(C63))),LEN(C63)))</f>
        <v>12</v>
      </c>
      <c r="I64" s="49"/>
      <c r="J64" s="16"/>
    </row>
    <row r="65" spans="1:13" ht="50.25" customHeight="1" x14ac:dyDescent="0.25">
      <c r="A65" s="166" t="s">
        <v>96</v>
      </c>
      <c r="B65" s="159"/>
      <c r="C65" s="172" t="str">
        <f ca="1">(IF($G$50="NA",I63,"All work Completed. OC Received."))</f>
        <v>Excavation work Completed. Plinth work completed, RCC Slab Completed, Brickwork Completed, Internal Plaster Completed, External Plaster Completed, Flooring upto 8 Floor Completed, Painting upto 7 Floor Completed, Finishing upto 2 Floor Completed.</v>
      </c>
      <c r="D65" s="172"/>
      <c r="E65" s="172"/>
      <c r="F65" s="172"/>
      <c r="G65" s="172"/>
      <c r="H65" s="173"/>
      <c r="I65" s="49" t="s">
        <v>110</v>
      </c>
      <c r="J65" s="16"/>
    </row>
    <row r="66" spans="1:13" ht="15.75" customHeight="1" x14ac:dyDescent="0.25">
      <c r="A66" s="103" t="s">
        <v>52</v>
      </c>
      <c r="B66" s="104"/>
      <c r="C66" s="72" t="s">
        <v>147</v>
      </c>
      <c r="D66" s="73" t="s">
        <v>89</v>
      </c>
      <c r="E66" s="104" t="s">
        <v>91</v>
      </c>
      <c r="F66" s="104"/>
      <c r="G66" s="104" t="s">
        <v>90</v>
      </c>
      <c r="H66" s="165"/>
      <c r="I66" s="40" t="s">
        <v>149</v>
      </c>
      <c r="J66" s="17">
        <f ca="1">H64*25%</f>
        <v>3</v>
      </c>
    </row>
    <row r="67" spans="1:13" x14ac:dyDescent="0.25">
      <c r="A67" s="103" t="s">
        <v>136</v>
      </c>
      <c r="B67" s="104"/>
      <c r="C67" s="74">
        <f ca="1">J68</f>
        <v>12</v>
      </c>
      <c r="D67" s="75">
        <f ca="1">((100/H64)*C67)/100</f>
        <v>1</v>
      </c>
      <c r="E67" s="150">
        <f ca="1">(((C68/H64*10)+(40/(D64+F64+H64)*C69)+(7.5/(H64)*C70)+(7.5/(H64)*C71)+(10/H64*C72)+(10/H64*C73)+(5/H64*C74)+(5/H64*C75)+(5/H64*C76))/100)</f>
        <v>0.85416666666666674</v>
      </c>
      <c r="F67" s="150"/>
      <c r="G67" s="150">
        <f ca="1">((((C67/H64)*20)+((C68/H64)*25)+(30/(H64+F64+D64)*C69)+(5/H64*C70)+(5/H64*C71)+(5/H64*C72)+(5/H64*C73)+(0/H64*C74)+(0/H64*C75)+(5/H64*C76))/100)</f>
        <v>0.93333333333333324</v>
      </c>
      <c r="H67" s="152"/>
      <c r="I67" s="40" t="s">
        <v>105</v>
      </c>
      <c r="J67" s="47">
        <f ca="1">H64*50%</f>
        <v>6</v>
      </c>
    </row>
    <row r="68" spans="1:13" x14ac:dyDescent="0.25">
      <c r="A68" s="103" t="s">
        <v>53</v>
      </c>
      <c r="B68" s="104"/>
      <c r="C68" s="76">
        <f ca="1">J76</f>
        <v>12</v>
      </c>
      <c r="D68" s="75">
        <f ca="1">((100/H64)*C68)/100</f>
        <v>1</v>
      </c>
      <c r="E68" s="150"/>
      <c r="F68" s="150"/>
      <c r="G68" s="150"/>
      <c r="H68" s="152"/>
      <c r="I68" s="40" t="s">
        <v>106</v>
      </c>
      <c r="J68" s="47">
        <f ca="1">H64</f>
        <v>12</v>
      </c>
    </row>
    <row r="69" spans="1:13" ht="15.75" customHeight="1" x14ac:dyDescent="0.25">
      <c r="A69" s="103" t="s">
        <v>137</v>
      </c>
      <c r="B69" s="104"/>
      <c r="C69" s="76">
        <v>13</v>
      </c>
      <c r="D69" s="75">
        <f ca="1">((100/(D64+F64+H64))*C69)/100</f>
        <v>1</v>
      </c>
      <c r="E69" s="150"/>
      <c r="F69" s="150"/>
      <c r="G69" s="150"/>
      <c r="H69" s="152"/>
      <c r="I69" s="40" t="s">
        <v>107</v>
      </c>
      <c r="J69" s="51">
        <f ca="1">(IF(B64&gt;1,(H64/(B64+2)),H64/4))</f>
        <v>3</v>
      </c>
    </row>
    <row r="70" spans="1:13" ht="15.75" customHeight="1" x14ac:dyDescent="0.25">
      <c r="A70" s="103" t="s">
        <v>144</v>
      </c>
      <c r="B70" s="104" t="s">
        <v>138</v>
      </c>
      <c r="C70" s="74">
        <v>12</v>
      </c>
      <c r="D70" s="75">
        <f ca="1">((100/H64)*C70)/100</f>
        <v>1</v>
      </c>
      <c r="E70" s="150"/>
      <c r="F70" s="150"/>
      <c r="G70" s="150"/>
      <c r="H70" s="152"/>
      <c r="I70" s="40" t="s">
        <v>108</v>
      </c>
      <c r="J70" s="51">
        <f ca="1">(IF(B64&gt;1,(H64/(B64+2)+J69),H64/4+J69))</f>
        <v>6</v>
      </c>
    </row>
    <row r="71" spans="1:13" ht="15.75" customHeight="1" x14ac:dyDescent="0.25">
      <c r="A71" s="103" t="s">
        <v>145</v>
      </c>
      <c r="B71" s="104" t="s">
        <v>138</v>
      </c>
      <c r="C71" s="74">
        <v>12</v>
      </c>
      <c r="D71" s="75">
        <f ca="1">((100/H64)*C71)/100</f>
        <v>1</v>
      </c>
      <c r="E71" s="150"/>
      <c r="F71" s="150"/>
      <c r="G71" s="150"/>
      <c r="H71" s="152"/>
      <c r="I71" s="40" t="s">
        <v>154</v>
      </c>
      <c r="J71" s="51">
        <f>(IF(B64&gt;1,(H64/(B64+2)+J70),0))</f>
        <v>0</v>
      </c>
    </row>
    <row r="72" spans="1:13" ht="15" customHeight="1" x14ac:dyDescent="0.25">
      <c r="A72" s="103" t="s">
        <v>143</v>
      </c>
      <c r="B72" s="104" t="s">
        <v>140</v>
      </c>
      <c r="C72" s="74">
        <v>12</v>
      </c>
      <c r="D72" s="75">
        <f ca="1">((100/(H64))*C72)/100</f>
        <v>1</v>
      </c>
      <c r="E72" s="150"/>
      <c r="F72" s="150"/>
      <c r="G72" s="150"/>
      <c r="H72" s="152"/>
      <c r="I72" s="40" t="s">
        <v>151</v>
      </c>
      <c r="J72" s="51">
        <f>(IF(B64&gt;2,(H64/(B64+2)+J71),0))</f>
        <v>0</v>
      </c>
    </row>
    <row r="73" spans="1:13" ht="15.75" customHeight="1" x14ac:dyDescent="0.25">
      <c r="A73" s="103" t="s">
        <v>139</v>
      </c>
      <c r="B73" s="104" t="s">
        <v>139</v>
      </c>
      <c r="C73" s="74">
        <v>8</v>
      </c>
      <c r="D73" s="75">
        <f ca="1">((100/H64)*C73)/100</f>
        <v>0.66666666666666674</v>
      </c>
      <c r="E73" s="150"/>
      <c r="F73" s="150"/>
      <c r="G73" s="150"/>
      <c r="H73" s="152"/>
      <c r="I73" s="40" t="s">
        <v>152</v>
      </c>
      <c r="J73" s="52">
        <f>(IF(B64&gt;3,(H64/(B64+2)+J72),0))</f>
        <v>0</v>
      </c>
    </row>
    <row r="74" spans="1:13" ht="15.75" customHeight="1" x14ac:dyDescent="0.25">
      <c r="A74" s="103" t="s">
        <v>146</v>
      </c>
      <c r="B74" s="104"/>
      <c r="C74" s="74">
        <v>7</v>
      </c>
      <c r="D74" s="75">
        <f ca="1">((100/H64)*C74)/100</f>
        <v>0.58333333333333337</v>
      </c>
      <c r="E74" s="150"/>
      <c r="F74" s="150"/>
      <c r="G74" s="150"/>
      <c r="H74" s="152"/>
      <c r="I74" s="40" t="s">
        <v>153</v>
      </c>
      <c r="J74" s="51">
        <f>(IF(B64&gt;4,(H64/(B64+2)+J73),0))</f>
        <v>0</v>
      </c>
    </row>
    <row r="75" spans="1:13" ht="15.75" customHeight="1" x14ac:dyDescent="0.25">
      <c r="A75" s="103" t="s">
        <v>141</v>
      </c>
      <c r="B75" s="104" t="s">
        <v>141</v>
      </c>
      <c r="C75" s="74">
        <v>2</v>
      </c>
      <c r="D75" s="75">
        <f ca="1">((100/(H64))*C75)/100</f>
        <v>0.16666666666666669</v>
      </c>
      <c r="E75" s="150"/>
      <c r="F75" s="150"/>
      <c r="G75" s="150"/>
      <c r="H75" s="152"/>
      <c r="I75" s="40" t="s">
        <v>155</v>
      </c>
      <c r="J75" s="51">
        <f ca="1">(IF(B64=1,(H64/(B64+3)+J70),IF(B64=0,(H64/4+J70),IF(B64&gt;1,0))))</f>
        <v>9</v>
      </c>
    </row>
    <row r="76" spans="1:13" ht="16.5" thickBot="1" x14ac:dyDescent="0.3">
      <c r="A76" s="154" t="s">
        <v>142</v>
      </c>
      <c r="B76" s="155"/>
      <c r="C76" s="77">
        <v>0</v>
      </c>
      <c r="D76" s="78">
        <f ca="1">((100/(H64))*C76)/100</f>
        <v>0</v>
      </c>
      <c r="E76" s="151"/>
      <c r="F76" s="151"/>
      <c r="G76" s="151"/>
      <c r="H76" s="153"/>
      <c r="I76" s="50" t="s">
        <v>109</v>
      </c>
      <c r="J76" s="53">
        <f ca="1">(IF(B64&gt;1.5,(H64/(B64+2)+J70+MAX(0,J71-J70)+MAX(0,J72-J71)+MAX(0,J73-J72)+MAX(0,J74-J73)+MAX(0,J75-J74)),IF(B64=1,(H64/(B64+3)+J75),IF(B64=0,H64/4+J75))))</f>
        <v>12</v>
      </c>
    </row>
    <row r="77" spans="1:13" x14ac:dyDescent="0.25">
      <c r="A77" s="129" t="s">
        <v>54</v>
      </c>
      <c r="B77" s="129"/>
      <c r="C77" s="129"/>
      <c r="D77" s="129"/>
      <c r="E77" s="129"/>
      <c r="F77" s="129"/>
      <c r="G77" s="129"/>
      <c r="H77" s="129"/>
    </row>
    <row r="78" spans="1:13" x14ac:dyDescent="0.25">
      <c r="A78" s="98" t="s">
        <v>162</v>
      </c>
      <c r="B78" s="98"/>
      <c r="C78" s="98"/>
      <c r="D78" s="98"/>
      <c r="E78" s="98"/>
      <c r="F78" s="97">
        <v>4200</v>
      </c>
      <c r="G78" s="97"/>
      <c r="H78" s="97"/>
      <c r="J78" s="84" t="s">
        <v>211</v>
      </c>
      <c r="K78" s="85">
        <v>45013</v>
      </c>
      <c r="L78" s="84" t="s">
        <v>212</v>
      </c>
      <c r="M78" s="84" t="s">
        <v>213</v>
      </c>
    </row>
    <row r="79" spans="1:13" x14ac:dyDescent="0.25">
      <c r="A79" s="98" t="s">
        <v>163</v>
      </c>
      <c r="B79" s="98"/>
      <c r="C79" s="98"/>
      <c r="D79" s="98"/>
      <c r="E79" s="98"/>
      <c r="F79" s="97">
        <v>9000</v>
      </c>
      <c r="G79" s="97"/>
      <c r="H79" s="97"/>
    </row>
    <row r="80" spans="1:13" hidden="1" x14ac:dyDescent="0.25">
      <c r="A80" s="98" t="s">
        <v>164</v>
      </c>
      <c r="B80" s="98"/>
      <c r="C80" s="98"/>
      <c r="D80" s="98"/>
      <c r="E80" s="98"/>
      <c r="F80" s="97"/>
      <c r="G80" s="97"/>
      <c r="H80" s="97"/>
    </row>
    <row r="81" spans="1:11" s="7" customFormat="1" x14ac:dyDescent="0.25">
      <c r="A81" s="98" t="s">
        <v>207</v>
      </c>
      <c r="B81" s="98"/>
      <c r="C81" s="98"/>
      <c r="D81" s="98"/>
      <c r="E81" s="98"/>
      <c r="F81" s="97">
        <v>20</v>
      </c>
      <c r="G81" s="97"/>
      <c r="H81" s="97"/>
    </row>
    <row r="82" spans="1:11" s="7" customFormat="1" x14ac:dyDescent="0.25">
      <c r="A82" s="98" t="s">
        <v>203</v>
      </c>
      <c r="B82" s="98"/>
      <c r="C82" s="98"/>
      <c r="D82" s="98"/>
      <c r="E82" s="98"/>
      <c r="F82" s="97">
        <v>75000</v>
      </c>
      <c r="G82" s="97"/>
      <c r="H82" s="97"/>
    </row>
    <row r="83" spans="1:11" s="7" customFormat="1" hidden="1" x14ac:dyDescent="0.25">
      <c r="A83" s="98" t="s">
        <v>101</v>
      </c>
      <c r="B83" s="98"/>
      <c r="C83" s="98"/>
      <c r="D83" s="98"/>
      <c r="E83" s="98"/>
      <c r="F83" s="97"/>
      <c r="G83" s="97"/>
      <c r="H83" s="97"/>
    </row>
    <row r="84" spans="1:11" s="7" customFormat="1" hidden="1" x14ac:dyDescent="0.25">
      <c r="A84" s="98" t="s">
        <v>102</v>
      </c>
      <c r="B84" s="98"/>
      <c r="C84" s="98"/>
      <c r="D84" s="98"/>
      <c r="E84" s="98"/>
      <c r="F84" s="97"/>
      <c r="G84" s="97"/>
      <c r="H84" s="97"/>
    </row>
    <row r="85" spans="1:11" s="7" customFormat="1" x14ac:dyDescent="0.25">
      <c r="A85" s="98" t="s">
        <v>202</v>
      </c>
      <c r="B85" s="98"/>
      <c r="C85" s="98"/>
      <c r="D85" s="98"/>
      <c r="E85" s="98"/>
      <c r="F85" s="97">
        <v>340000</v>
      </c>
      <c r="G85" s="97"/>
      <c r="H85" s="97"/>
    </row>
    <row r="86" spans="1:11" s="7" customFormat="1" hidden="1" x14ac:dyDescent="0.25">
      <c r="A86" s="98" t="s">
        <v>103</v>
      </c>
      <c r="B86" s="98"/>
      <c r="C86" s="98"/>
      <c r="D86" s="98"/>
      <c r="E86" s="98"/>
      <c r="F86" s="97"/>
      <c r="G86" s="97"/>
      <c r="H86" s="97"/>
    </row>
    <row r="87" spans="1:11" s="7" customFormat="1" hidden="1" x14ac:dyDescent="0.25">
      <c r="A87" s="98" t="s">
        <v>104</v>
      </c>
      <c r="B87" s="98"/>
      <c r="C87" s="98"/>
      <c r="D87" s="98"/>
      <c r="E87" s="98"/>
      <c r="F87" s="97"/>
      <c r="G87" s="97"/>
      <c r="H87" s="97"/>
    </row>
    <row r="88" spans="1:11" x14ac:dyDescent="0.25">
      <c r="A88" s="98" t="s">
        <v>55</v>
      </c>
      <c r="B88" s="98"/>
      <c r="C88" s="98"/>
      <c r="D88" s="98"/>
      <c r="E88" s="98"/>
      <c r="F88" s="97">
        <v>150000</v>
      </c>
      <c r="G88" s="97"/>
      <c r="H88" s="97"/>
    </row>
    <row r="89" spans="1:11" s="4" customFormat="1" x14ac:dyDescent="0.25">
      <c r="A89" s="129" t="s">
        <v>56</v>
      </c>
      <c r="B89" s="129"/>
      <c r="C89" s="129"/>
      <c r="D89" s="129"/>
      <c r="E89" s="129"/>
      <c r="F89" s="97">
        <f>F78*0.8</f>
        <v>3360</v>
      </c>
      <c r="G89" s="97"/>
      <c r="H89" s="97"/>
    </row>
    <row r="90" spans="1:11" s="1" customFormat="1" ht="15.75" customHeight="1" x14ac:dyDescent="0.25">
      <c r="A90" s="178" t="s">
        <v>81</v>
      </c>
      <c r="B90" s="178"/>
      <c r="C90" s="178"/>
      <c r="D90" s="178"/>
      <c r="E90" s="178"/>
      <c r="F90" s="178"/>
      <c r="G90" s="178"/>
      <c r="H90" s="178"/>
    </row>
    <row r="91" spans="1:11" s="1" customFormat="1" ht="15.75" customHeight="1" x14ac:dyDescent="0.25">
      <c r="A91" s="185" t="s">
        <v>57</v>
      </c>
      <c r="B91" s="185"/>
      <c r="C91" s="186" t="s">
        <v>84</v>
      </c>
      <c r="D91" s="186"/>
      <c r="E91" s="183" t="s">
        <v>58</v>
      </c>
      <c r="F91" s="183"/>
      <c r="G91" s="185" t="s">
        <v>59</v>
      </c>
      <c r="H91" s="185"/>
    </row>
    <row r="92" spans="1:11" s="1" customFormat="1" x14ac:dyDescent="0.25">
      <c r="A92" s="180" t="s">
        <v>175</v>
      </c>
      <c r="B92" s="180"/>
      <c r="C92" s="187">
        <f>COUNT(D101:D117)</f>
        <v>17</v>
      </c>
      <c r="D92" s="105"/>
      <c r="E92" s="106">
        <f>SUM(D101:D117)</f>
        <v>4175.46324</v>
      </c>
      <c r="F92" s="188"/>
      <c r="G92" s="106">
        <f>SUM(F101:F117)</f>
        <v>7610.9068619999998</v>
      </c>
      <c r="H92" s="188"/>
      <c r="J92" s="83"/>
      <c r="K92" s="83"/>
    </row>
    <row r="93" spans="1:11" s="1" customFormat="1" x14ac:dyDescent="0.25">
      <c r="A93" s="178" t="s">
        <v>75</v>
      </c>
      <c r="B93" s="178"/>
      <c r="C93" s="178"/>
      <c r="D93" s="178"/>
      <c r="E93" s="178"/>
      <c r="F93" s="178"/>
      <c r="G93" s="178"/>
      <c r="H93" s="178"/>
    </row>
    <row r="94" spans="1:11" s="1" customFormat="1" ht="15.75" customHeight="1" x14ac:dyDescent="0.25">
      <c r="A94" s="185" t="s">
        <v>57</v>
      </c>
      <c r="B94" s="185"/>
      <c r="C94" s="186" t="s">
        <v>84</v>
      </c>
      <c r="D94" s="186"/>
      <c r="E94" s="183" t="s">
        <v>58</v>
      </c>
      <c r="F94" s="183"/>
      <c r="G94" s="185" t="s">
        <v>59</v>
      </c>
      <c r="H94" s="185"/>
    </row>
    <row r="95" spans="1:11" s="1" customFormat="1" x14ac:dyDescent="0.25">
      <c r="A95" s="180" t="s">
        <v>175</v>
      </c>
      <c r="B95" s="180"/>
      <c r="C95" s="105">
        <f>COUNT(D120:D130)+COUNT(D132:D142)*10+COUNT(D144:D148,D150:D154)</f>
        <v>131</v>
      </c>
      <c r="D95" s="105"/>
      <c r="E95" s="106">
        <f>SUM(D120:D130)+SUM(D132:D142)*10+SUM(D144:D148,D150:D154)</f>
        <v>69663.951719999983</v>
      </c>
      <c r="F95" s="106"/>
      <c r="G95" s="106">
        <f>SUM(F120:F130)+SUM(F132:F142)*10+SUM(F144:F148,F150:F154)</f>
        <v>104802.24722</v>
      </c>
      <c r="H95" s="106"/>
    </row>
    <row r="96" spans="1:11" s="4" customFormat="1" x14ac:dyDescent="0.25">
      <c r="A96" s="184" t="s">
        <v>60</v>
      </c>
      <c r="B96" s="184"/>
      <c r="C96" s="184"/>
      <c r="D96" s="184"/>
      <c r="E96" s="184"/>
      <c r="F96" s="184"/>
      <c r="G96" s="184"/>
      <c r="H96" s="184"/>
    </row>
    <row r="97" spans="1:14" x14ac:dyDescent="0.25">
      <c r="A97" s="184" t="s">
        <v>61</v>
      </c>
      <c r="B97" s="184"/>
      <c r="C97" s="184"/>
      <c r="D97" s="184"/>
      <c r="E97" s="184"/>
      <c r="F97" s="184"/>
      <c r="G97" s="184"/>
      <c r="H97" s="184"/>
    </row>
    <row r="98" spans="1:14" ht="47.25" customHeight="1" x14ac:dyDescent="0.25">
      <c r="A98" s="99" t="s">
        <v>126</v>
      </c>
      <c r="B98" s="99" t="s">
        <v>125</v>
      </c>
      <c r="C98" s="99" t="s">
        <v>62</v>
      </c>
      <c r="D98" s="99" t="s">
        <v>63</v>
      </c>
      <c r="E98" s="118" t="s">
        <v>168</v>
      </c>
      <c r="F98" s="32" t="s">
        <v>158</v>
      </c>
      <c r="G98" s="120" t="s">
        <v>65</v>
      </c>
      <c r="H98" s="121"/>
    </row>
    <row r="99" spans="1:14" s="2" customFormat="1" x14ac:dyDescent="0.25">
      <c r="A99" s="100"/>
      <c r="B99" s="100"/>
      <c r="C99" s="100"/>
      <c r="D99" s="100"/>
      <c r="E99" s="119"/>
      <c r="F99" s="33">
        <v>0.55000000000000004</v>
      </c>
      <c r="G99" s="122"/>
      <c r="H99" s="123"/>
    </row>
    <row r="100" spans="1:14" s="2" customFormat="1" x14ac:dyDescent="0.25">
      <c r="A100" s="115" t="s">
        <v>166</v>
      </c>
      <c r="B100" s="116"/>
      <c r="C100" s="116"/>
      <c r="D100" s="116"/>
      <c r="E100" s="116"/>
      <c r="F100" s="116"/>
      <c r="G100" s="116"/>
      <c r="H100" s="117"/>
      <c r="J100" s="35"/>
    </row>
    <row r="101" spans="1:14" s="2" customFormat="1" ht="15.75" customHeight="1" x14ac:dyDescent="0.25">
      <c r="A101" s="101">
        <v>15</v>
      </c>
      <c r="B101" s="102"/>
      <c r="C101" s="34" t="s">
        <v>167</v>
      </c>
      <c r="D101" s="34">
        <f>(36.74)*10.764</f>
        <v>395.46935999999999</v>
      </c>
      <c r="E101" s="34">
        <v>0</v>
      </c>
      <c r="F101" s="34">
        <f>D101*(($F$99)+1)+(IF(E101&lt;101,E101,IF(E101&lt;201,E101/2,IF(E101&lt;=301,E101/3,E101/4))))</f>
        <v>612.97750800000006</v>
      </c>
      <c r="G101" s="108" t="str">
        <f>A100</f>
        <v>Ground Floor for Commercial &amp; Parking</v>
      </c>
      <c r="H101" s="109"/>
      <c r="I101" s="35"/>
      <c r="L101" s="107"/>
      <c r="M101" s="107"/>
      <c r="N101" s="35"/>
    </row>
    <row r="102" spans="1:14" s="2" customFormat="1" ht="15.75" customHeight="1" x14ac:dyDescent="0.25">
      <c r="A102" s="101">
        <f t="shared" ref="A102:A117" si="0">A101+1</f>
        <v>16</v>
      </c>
      <c r="B102" s="102"/>
      <c r="C102" s="62" t="s">
        <v>167</v>
      </c>
      <c r="D102" s="34">
        <f>(36.51)*10.764</f>
        <v>392.99363999999997</v>
      </c>
      <c r="E102" s="46">
        <v>0</v>
      </c>
      <c r="F102" s="58">
        <f t="shared" ref="F102:F107" si="1">D102*(($F$99)+1)+(IF(E102&lt;101,E102,IF(E102&lt;201,E102/2,IF(E102&lt;=301,E102/3,E102/4))))</f>
        <v>609.14014199999997</v>
      </c>
      <c r="G102" s="110"/>
      <c r="H102" s="111"/>
      <c r="I102" s="35"/>
      <c r="L102" s="107"/>
      <c r="M102" s="107"/>
      <c r="N102" s="35"/>
    </row>
    <row r="103" spans="1:14" s="2" customFormat="1" ht="15.75" customHeight="1" x14ac:dyDescent="0.25">
      <c r="A103" s="101">
        <f t="shared" si="0"/>
        <v>17</v>
      </c>
      <c r="B103" s="102"/>
      <c r="C103" s="62" t="s">
        <v>167</v>
      </c>
      <c r="D103" s="34">
        <f>(25.75)*10.764</f>
        <v>277.173</v>
      </c>
      <c r="E103" s="46">
        <f>(3.1*2.75)*10.764</f>
        <v>91.763099999999994</v>
      </c>
      <c r="F103" s="58">
        <f t="shared" si="1"/>
        <v>521.38125000000002</v>
      </c>
      <c r="G103" s="110"/>
      <c r="H103" s="111"/>
      <c r="I103" s="35"/>
      <c r="L103" s="107"/>
      <c r="M103" s="107"/>
      <c r="N103" s="35"/>
    </row>
    <row r="104" spans="1:14" s="2" customFormat="1" ht="15.75" customHeight="1" x14ac:dyDescent="0.25">
      <c r="A104" s="101">
        <f t="shared" si="0"/>
        <v>18</v>
      </c>
      <c r="B104" s="102"/>
      <c r="C104" s="62" t="s">
        <v>167</v>
      </c>
      <c r="D104" s="34">
        <f>(20.39)*10.764</f>
        <v>219.47796</v>
      </c>
      <c r="E104" s="46">
        <f>(2.5*2.75)*10.764</f>
        <v>74.002499999999998</v>
      </c>
      <c r="F104" s="58">
        <f t="shared" si="1"/>
        <v>414.19333799999998</v>
      </c>
      <c r="G104" s="110"/>
      <c r="H104" s="111"/>
      <c r="I104" s="35"/>
      <c r="L104" s="107"/>
      <c r="M104" s="107"/>
      <c r="N104" s="35"/>
    </row>
    <row r="105" spans="1:14" s="2" customFormat="1" ht="15.75" customHeight="1" x14ac:dyDescent="0.25">
      <c r="A105" s="101">
        <f t="shared" si="0"/>
        <v>19</v>
      </c>
      <c r="B105" s="102"/>
      <c r="C105" s="62" t="s">
        <v>167</v>
      </c>
      <c r="D105" s="34">
        <f>(15.65)*10.764</f>
        <v>168.45659999999998</v>
      </c>
      <c r="E105" s="46">
        <f>(2.5*2.1)*10.764</f>
        <v>56.510999999999996</v>
      </c>
      <c r="F105" s="58">
        <f t="shared" si="1"/>
        <v>317.61873000000003</v>
      </c>
      <c r="G105" s="110"/>
      <c r="H105" s="111"/>
      <c r="I105" s="35"/>
      <c r="L105" s="107"/>
      <c r="M105" s="107"/>
      <c r="N105" s="35"/>
    </row>
    <row r="106" spans="1:14" s="2" customFormat="1" ht="15.75" customHeight="1" x14ac:dyDescent="0.25">
      <c r="A106" s="101">
        <f t="shared" si="0"/>
        <v>20</v>
      </c>
      <c r="B106" s="102"/>
      <c r="C106" s="62" t="s">
        <v>167</v>
      </c>
      <c r="D106" s="34">
        <f>(23.55)*10.764</f>
        <v>253.4922</v>
      </c>
      <c r="E106" s="46">
        <f>(2.9*2.75)*10.764</f>
        <v>85.842899999999986</v>
      </c>
      <c r="F106" s="58">
        <f t="shared" si="1"/>
        <v>478.75581</v>
      </c>
      <c r="G106" s="110"/>
      <c r="H106" s="111"/>
      <c r="I106" s="35"/>
      <c r="L106" s="107"/>
      <c r="M106" s="107"/>
      <c r="N106" s="35"/>
    </row>
    <row r="107" spans="1:14" s="2" customFormat="1" ht="15.75" customHeight="1" x14ac:dyDescent="0.25">
      <c r="A107" s="101">
        <f t="shared" si="0"/>
        <v>21</v>
      </c>
      <c r="B107" s="102"/>
      <c r="C107" s="62" t="s">
        <v>167</v>
      </c>
      <c r="D107" s="34">
        <f>(20.39)*10.764</f>
        <v>219.47796</v>
      </c>
      <c r="E107" s="46">
        <f>(2.75*2.5)*10.764</f>
        <v>74.002499999999998</v>
      </c>
      <c r="F107" s="58">
        <f t="shared" si="1"/>
        <v>414.19333799999998</v>
      </c>
      <c r="G107" s="110"/>
      <c r="H107" s="111"/>
      <c r="I107" s="35"/>
      <c r="L107" s="107"/>
      <c r="M107" s="107"/>
      <c r="N107" s="35"/>
    </row>
    <row r="108" spans="1:14" s="64" customFormat="1" ht="15.75" customHeight="1" x14ac:dyDescent="0.25">
      <c r="A108" s="101">
        <f t="shared" si="0"/>
        <v>22</v>
      </c>
      <c r="B108" s="102"/>
      <c r="C108" s="62" t="s">
        <v>167</v>
      </c>
      <c r="D108" s="62">
        <f>(15.65)*10.764</f>
        <v>168.45659999999998</v>
      </c>
      <c r="E108" s="62">
        <f>(2.5*2.1)*10.764</f>
        <v>56.510999999999996</v>
      </c>
      <c r="F108" s="62">
        <f t="shared" ref="F108:F112" si="2">D108*(($F$99)+1)+(IF(E108&lt;101,E108,IF(E108&lt;201,E108/2,IF(E108&lt;=301,E108/3,E108/4))))</f>
        <v>317.61873000000003</v>
      </c>
      <c r="G108" s="110"/>
      <c r="H108" s="111"/>
      <c r="I108" s="35"/>
      <c r="L108" s="107"/>
      <c r="M108" s="107"/>
      <c r="N108" s="35"/>
    </row>
    <row r="109" spans="1:14" s="64" customFormat="1" ht="15.75" customHeight="1" x14ac:dyDescent="0.25">
      <c r="A109" s="101">
        <f t="shared" si="0"/>
        <v>23</v>
      </c>
      <c r="B109" s="102"/>
      <c r="C109" s="62" t="s">
        <v>167</v>
      </c>
      <c r="D109" s="62">
        <f>(23.55)*10.764</f>
        <v>253.4922</v>
      </c>
      <c r="E109" s="62">
        <f>(2.9*2.75)*10.764</f>
        <v>85.842899999999986</v>
      </c>
      <c r="F109" s="62">
        <f t="shared" si="2"/>
        <v>478.75581</v>
      </c>
      <c r="G109" s="110"/>
      <c r="H109" s="111"/>
      <c r="I109" s="35"/>
      <c r="L109" s="107"/>
      <c r="M109" s="107"/>
      <c r="N109" s="35"/>
    </row>
    <row r="110" spans="1:14" s="64" customFormat="1" ht="15.75" customHeight="1" x14ac:dyDescent="0.25">
      <c r="A110" s="101">
        <f t="shared" si="0"/>
        <v>24</v>
      </c>
      <c r="B110" s="102"/>
      <c r="C110" s="62" t="s">
        <v>167</v>
      </c>
      <c r="D110" s="62">
        <f>(23.55)*10.764</f>
        <v>253.4922</v>
      </c>
      <c r="E110" s="62">
        <f>(2.75*2.9)*10.764</f>
        <v>85.842899999999986</v>
      </c>
      <c r="F110" s="62">
        <f t="shared" si="2"/>
        <v>478.75581</v>
      </c>
      <c r="G110" s="110"/>
      <c r="H110" s="111"/>
      <c r="I110" s="35"/>
      <c r="L110" s="107"/>
      <c r="M110" s="107"/>
      <c r="N110" s="35"/>
    </row>
    <row r="111" spans="1:14" s="64" customFormat="1" ht="15.75" customHeight="1" x14ac:dyDescent="0.25">
      <c r="A111" s="101">
        <f t="shared" si="0"/>
        <v>25</v>
      </c>
      <c r="B111" s="102"/>
      <c r="C111" s="62" t="s">
        <v>167</v>
      </c>
      <c r="D111" s="62">
        <f>(15.65)*10.764</f>
        <v>168.45659999999998</v>
      </c>
      <c r="E111" s="62">
        <f>(2.5*2.1)*10.764</f>
        <v>56.510999999999996</v>
      </c>
      <c r="F111" s="62">
        <f t="shared" si="2"/>
        <v>317.61873000000003</v>
      </c>
      <c r="G111" s="110"/>
      <c r="H111" s="111"/>
      <c r="I111" s="35"/>
      <c r="L111" s="107"/>
      <c r="M111" s="107"/>
      <c r="N111" s="35"/>
    </row>
    <row r="112" spans="1:14" s="64" customFormat="1" ht="15.75" customHeight="1" x14ac:dyDescent="0.25">
      <c r="A112" s="101">
        <f t="shared" si="0"/>
        <v>26</v>
      </c>
      <c r="B112" s="102"/>
      <c r="C112" s="62" t="s">
        <v>167</v>
      </c>
      <c r="D112" s="62">
        <f>(24.09)*10.764</f>
        <v>259.30475999999999</v>
      </c>
      <c r="E112" s="62">
        <f>(2.5*3.25)*10.764</f>
        <v>87.457499999999996</v>
      </c>
      <c r="F112" s="62">
        <f t="shared" si="2"/>
        <v>489.37987799999996</v>
      </c>
      <c r="G112" s="110"/>
      <c r="H112" s="111"/>
      <c r="I112" s="35"/>
      <c r="L112" s="107"/>
      <c r="M112" s="107"/>
      <c r="N112" s="35"/>
    </row>
    <row r="113" spans="1:14" s="64" customFormat="1" ht="15.75" customHeight="1" x14ac:dyDescent="0.25">
      <c r="A113" s="101">
        <f t="shared" si="0"/>
        <v>27</v>
      </c>
      <c r="B113" s="102"/>
      <c r="C113" s="62" t="s">
        <v>167</v>
      </c>
      <c r="D113" s="62">
        <f>(23.55)*10.764</f>
        <v>253.4922</v>
      </c>
      <c r="E113" s="62">
        <f>(2.9*2.75)*10.764</f>
        <v>85.842899999999986</v>
      </c>
      <c r="F113" s="62">
        <f t="shared" ref="F113:F116" si="3">D113*(($F$99)+1)+(IF(E113&lt;101,E113,IF(E113&lt;201,E113/2,IF(E113&lt;=301,E113/3,E113/4))))</f>
        <v>478.75581</v>
      </c>
      <c r="G113" s="110"/>
      <c r="H113" s="111"/>
      <c r="I113" s="35"/>
      <c r="L113" s="107"/>
      <c r="M113" s="107"/>
      <c r="N113" s="35"/>
    </row>
    <row r="114" spans="1:14" s="64" customFormat="1" ht="15.75" customHeight="1" x14ac:dyDescent="0.25">
      <c r="A114" s="101">
        <f t="shared" si="0"/>
        <v>28</v>
      </c>
      <c r="B114" s="102"/>
      <c r="C114" s="62" t="s">
        <v>167</v>
      </c>
      <c r="D114" s="62">
        <f>(15.65)*10.764</f>
        <v>168.45659999999998</v>
      </c>
      <c r="E114" s="62">
        <f>(2.1*2.5)*10.764</f>
        <v>56.510999999999996</v>
      </c>
      <c r="F114" s="62">
        <f t="shared" si="3"/>
        <v>317.61873000000003</v>
      </c>
      <c r="G114" s="110"/>
      <c r="H114" s="111"/>
      <c r="I114" s="35"/>
      <c r="L114" s="107"/>
      <c r="M114" s="107"/>
      <c r="N114" s="35"/>
    </row>
    <row r="115" spans="1:14" s="64" customFormat="1" ht="15.75" customHeight="1" x14ac:dyDescent="0.25">
      <c r="A115" s="101">
        <f t="shared" si="0"/>
        <v>29</v>
      </c>
      <c r="B115" s="102"/>
      <c r="C115" s="62" t="s">
        <v>167</v>
      </c>
      <c r="D115" s="62">
        <f>(20.39)*10.764</f>
        <v>219.47796</v>
      </c>
      <c r="E115" s="62">
        <f>(2.75*2.5)*10.764</f>
        <v>74.002499999999998</v>
      </c>
      <c r="F115" s="62">
        <f t="shared" si="3"/>
        <v>414.19333799999998</v>
      </c>
      <c r="G115" s="110"/>
      <c r="H115" s="111"/>
      <c r="I115" s="35"/>
      <c r="L115" s="107"/>
      <c r="M115" s="107"/>
      <c r="N115" s="35"/>
    </row>
    <row r="116" spans="1:14" s="64" customFormat="1" ht="15.75" customHeight="1" x14ac:dyDescent="0.25">
      <c r="A116" s="101">
        <f t="shared" si="0"/>
        <v>30</v>
      </c>
      <c r="B116" s="102"/>
      <c r="C116" s="62" t="s">
        <v>167</v>
      </c>
      <c r="D116" s="62">
        <f>(25.75)*10.764</f>
        <v>277.173</v>
      </c>
      <c r="E116" s="62">
        <f>(2.75*3.1)*10.764</f>
        <v>91.763099999999994</v>
      </c>
      <c r="F116" s="62">
        <f t="shared" si="3"/>
        <v>521.38125000000002</v>
      </c>
      <c r="G116" s="110"/>
      <c r="H116" s="111"/>
      <c r="I116" s="35"/>
      <c r="L116" s="107"/>
      <c r="M116" s="107"/>
      <c r="N116" s="35"/>
    </row>
    <row r="117" spans="1:14" s="64" customFormat="1" ht="15.75" customHeight="1" x14ac:dyDescent="0.25">
      <c r="A117" s="101">
        <f t="shared" si="0"/>
        <v>31</v>
      </c>
      <c r="B117" s="102"/>
      <c r="C117" s="62" t="s">
        <v>167</v>
      </c>
      <c r="D117" s="62">
        <f>(21.1)*10.764</f>
        <v>227.12039999999999</v>
      </c>
      <c r="E117" s="62">
        <f>(2.25*3.16)*10.764</f>
        <v>76.532039999999995</v>
      </c>
      <c r="F117" s="62">
        <f t="shared" ref="F117" si="4">D117*(($F$99)+1)+(IF(E117&lt;101,E117,IF(E117&lt;201,E117/2,IF(E117&lt;=301,E117/3,E117/4))))</f>
        <v>428.56865999999997</v>
      </c>
      <c r="G117" s="112"/>
      <c r="H117" s="113"/>
      <c r="I117" s="35"/>
      <c r="L117" s="107"/>
      <c r="M117" s="107"/>
      <c r="N117" s="35"/>
    </row>
    <row r="118" spans="1:14" ht="47.25" customHeight="1" x14ac:dyDescent="0.25">
      <c r="A118" s="67" t="s">
        <v>127</v>
      </c>
      <c r="B118" s="67" t="s">
        <v>128</v>
      </c>
      <c r="C118" s="66" t="s">
        <v>62</v>
      </c>
      <c r="D118" s="66" t="s">
        <v>63</v>
      </c>
      <c r="E118" s="68" t="s">
        <v>64</v>
      </c>
      <c r="F118" s="37" t="s">
        <v>208</v>
      </c>
      <c r="G118" s="120" t="s">
        <v>65</v>
      </c>
      <c r="H118" s="121"/>
      <c r="I118" s="35"/>
    </row>
    <row r="119" spans="1:14" s="2" customFormat="1" x14ac:dyDescent="0.25">
      <c r="A119" s="179" t="s">
        <v>169</v>
      </c>
      <c r="B119" s="179"/>
      <c r="C119" s="179"/>
      <c r="D119" s="179"/>
      <c r="E119" s="179"/>
      <c r="F119" s="179"/>
      <c r="G119" s="179"/>
      <c r="H119" s="179"/>
      <c r="I119" s="35"/>
      <c r="L119" s="107"/>
      <c r="M119" s="107"/>
    </row>
    <row r="120" spans="1:14" s="2" customFormat="1" ht="15.75" customHeight="1" x14ac:dyDescent="0.25">
      <c r="A120" s="114">
        <v>1</v>
      </c>
      <c r="B120" s="114"/>
      <c r="C120" s="14" t="s">
        <v>170</v>
      </c>
      <c r="D120" s="14">
        <f>(40.55+1.2*0.6)*10.764</f>
        <v>444.23027999999994</v>
      </c>
      <c r="E120" s="14">
        <v>0</v>
      </c>
      <c r="F120" s="65">
        <v>670</v>
      </c>
      <c r="G120" s="108" t="str">
        <f>A119</f>
        <v>1st Floor for Residential</v>
      </c>
      <c r="H120" s="109"/>
      <c r="I120" s="35"/>
      <c r="J120" s="80">
        <f>(F120-E120)/D120</f>
        <v>1.5082267692332907</v>
      </c>
      <c r="K120" s="2">
        <v>670</v>
      </c>
      <c r="L120" s="44"/>
      <c r="M120" s="44"/>
      <c r="N120" s="35"/>
    </row>
    <row r="121" spans="1:14" s="2" customFormat="1" ht="15.75" customHeight="1" x14ac:dyDescent="0.25">
      <c r="A121" s="114">
        <f t="shared" ref="A121:A130" si="5">A120+1</f>
        <v>2</v>
      </c>
      <c r="B121" s="114"/>
      <c r="C121" s="14" t="s">
        <v>171</v>
      </c>
      <c r="D121" s="14">
        <f>(60.33+1.2*0.6+0.6*1.2)*10.764</f>
        <v>664.89227999999991</v>
      </c>
      <c r="E121" s="45">
        <v>0</v>
      </c>
      <c r="F121" s="65">
        <v>995</v>
      </c>
      <c r="G121" s="110"/>
      <c r="H121" s="111"/>
      <c r="I121" s="35"/>
      <c r="J121" s="80">
        <f t="shared" ref="J121:J130" si="6">(F121-E121)/D121</f>
        <v>1.4964830092477539</v>
      </c>
      <c r="K121" s="2">
        <v>995</v>
      </c>
      <c r="L121" s="44"/>
      <c r="M121" s="44"/>
      <c r="N121" s="35"/>
    </row>
    <row r="122" spans="1:14" s="2" customFormat="1" ht="15.75" customHeight="1" x14ac:dyDescent="0.25">
      <c r="A122" s="114">
        <f t="shared" si="5"/>
        <v>3</v>
      </c>
      <c r="B122" s="114"/>
      <c r="C122" s="14" t="s">
        <v>171</v>
      </c>
      <c r="D122" s="62">
        <f>(60.33+1.2*0.6+0.6*1.2)*10.764</f>
        <v>664.89227999999991</v>
      </c>
      <c r="E122" s="45">
        <v>0</v>
      </c>
      <c r="F122" s="65">
        <v>995</v>
      </c>
      <c r="G122" s="110"/>
      <c r="H122" s="111"/>
      <c r="I122" s="35"/>
      <c r="J122" s="80">
        <f t="shared" si="6"/>
        <v>1.4964830092477539</v>
      </c>
      <c r="K122" s="2">
        <v>995</v>
      </c>
      <c r="L122" s="44"/>
      <c r="M122" s="44"/>
      <c r="N122" s="35"/>
    </row>
    <row r="123" spans="1:14" s="2" customFormat="1" ht="15.75" customHeight="1" x14ac:dyDescent="0.25">
      <c r="A123" s="114">
        <f t="shared" si="5"/>
        <v>4</v>
      </c>
      <c r="B123" s="114"/>
      <c r="C123" s="34" t="s">
        <v>170</v>
      </c>
      <c r="D123" s="34">
        <f>(40.9+0.6*1.2)*10.764</f>
        <v>447.99767999999995</v>
      </c>
      <c r="E123" s="45">
        <f>(1.55*2.75)*10.764</f>
        <v>45.881549999999997</v>
      </c>
      <c r="F123" s="65">
        <v>716</v>
      </c>
      <c r="G123" s="110"/>
      <c r="H123" s="111"/>
      <c r="I123" s="35"/>
      <c r="J123" s="80">
        <f t="shared" si="6"/>
        <v>1.495807857754978</v>
      </c>
      <c r="K123" s="2">
        <v>716</v>
      </c>
      <c r="L123" s="44"/>
      <c r="M123" s="44"/>
      <c r="N123" s="35"/>
    </row>
    <row r="124" spans="1:14" s="2" customFormat="1" ht="15.75" customHeight="1" x14ac:dyDescent="0.25">
      <c r="A124" s="114">
        <f t="shared" si="5"/>
        <v>5</v>
      </c>
      <c r="B124" s="114"/>
      <c r="C124" s="34" t="s">
        <v>170</v>
      </c>
      <c r="D124" s="34">
        <f>(42.85+0.6*1.35)*10.764</f>
        <v>469.95624000000004</v>
      </c>
      <c r="E124" s="45">
        <f>(1.55*2.75)*10.764</f>
        <v>45.881549999999997</v>
      </c>
      <c r="F124" s="65">
        <v>747</v>
      </c>
      <c r="G124" s="110"/>
      <c r="H124" s="111"/>
      <c r="I124" s="35"/>
      <c r="J124" s="80">
        <f t="shared" si="6"/>
        <v>1.4918802865560419</v>
      </c>
      <c r="K124" s="2">
        <v>747</v>
      </c>
      <c r="L124" s="44"/>
      <c r="M124" s="44"/>
      <c r="N124" s="35"/>
    </row>
    <row r="125" spans="1:14" s="2" customFormat="1" ht="15.75" customHeight="1" x14ac:dyDescent="0.25">
      <c r="A125" s="114">
        <f t="shared" si="5"/>
        <v>6</v>
      </c>
      <c r="B125" s="114"/>
      <c r="C125" s="34" t="s">
        <v>170</v>
      </c>
      <c r="D125" s="62">
        <f>(42.85+0.6*1.35)*10.764</f>
        <v>469.95624000000004</v>
      </c>
      <c r="E125" s="62">
        <f>(1.55*2.75)*10.764</f>
        <v>45.881549999999997</v>
      </c>
      <c r="F125" s="65">
        <v>716</v>
      </c>
      <c r="G125" s="110"/>
      <c r="H125" s="111"/>
      <c r="I125" s="35"/>
      <c r="J125" s="80">
        <f t="shared" si="6"/>
        <v>1.4259166981164033</v>
      </c>
      <c r="K125" s="2">
        <v>716</v>
      </c>
      <c r="L125" s="44"/>
      <c r="M125" s="44"/>
      <c r="N125" s="35"/>
    </row>
    <row r="126" spans="1:14" s="64" customFormat="1" ht="15.75" customHeight="1" x14ac:dyDescent="0.25">
      <c r="A126" s="114">
        <f t="shared" si="5"/>
        <v>7</v>
      </c>
      <c r="B126" s="114"/>
      <c r="C126" s="62" t="s">
        <v>170</v>
      </c>
      <c r="D126" s="62">
        <f>(40.9+0.6*1.2)*10.764</f>
        <v>447.99767999999995</v>
      </c>
      <c r="E126" s="62">
        <f>(1.55*2.75)*10.764</f>
        <v>45.881549999999997</v>
      </c>
      <c r="F126" s="65">
        <v>716</v>
      </c>
      <c r="G126" s="110"/>
      <c r="H126" s="111"/>
      <c r="I126" s="35"/>
      <c r="J126" s="80">
        <f t="shared" si="6"/>
        <v>1.495807857754978</v>
      </c>
      <c r="K126" s="64">
        <v>716</v>
      </c>
      <c r="N126" s="35"/>
    </row>
    <row r="127" spans="1:14" s="64" customFormat="1" ht="15.75" customHeight="1" x14ac:dyDescent="0.25">
      <c r="A127" s="114">
        <f t="shared" si="5"/>
        <v>8</v>
      </c>
      <c r="B127" s="114"/>
      <c r="C127" s="62" t="s">
        <v>171</v>
      </c>
      <c r="D127" s="62">
        <f>(60.33+0.6*(1.2+1.2))*10.764</f>
        <v>664.89227999999991</v>
      </c>
      <c r="E127" s="62">
        <f>(9.4*4)*10.764</f>
        <v>404.72640000000001</v>
      </c>
      <c r="F127" s="65">
        <f>D127*1.5+E127/3</f>
        <v>1132.2472199999997</v>
      </c>
      <c r="G127" s="110"/>
      <c r="H127" s="111"/>
      <c r="I127" s="35"/>
      <c r="J127" s="80">
        <f t="shared" si="6"/>
        <v>1.0941935135718523</v>
      </c>
      <c r="N127" s="35"/>
    </row>
    <row r="128" spans="1:14" s="64" customFormat="1" ht="15.75" customHeight="1" x14ac:dyDescent="0.25">
      <c r="A128" s="114">
        <f t="shared" si="5"/>
        <v>9</v>
      </c>
      <c r="B128" s="114"/>
      <c r="C128" s="62" t="s">
        <v>171</v>
      </c>
      <c r="D128" s="62">
        <f>(60.33+1.2*0.6+0.6*1.2)*10.764</f>
        <v>664.89227999999991</v>
      </c>
      <c r="E128" s="62">
        <v>0</v>
      </c>
      <c r="F128" s="65">
        <v>995</v>
      </c>
      <c r="G128" s="110"/>
      <c r="H128" s="111"/>
      <c r="I128" s="35"/>
      <c r="J128" s="80">
        <f t="shared" si="6"/>
        <v>1.4964830092477539</v>
      </c>
      <c r="N128" s="35"/>
    </row>
    <row r="129" spans="1:16" s="64" customFormat="1" ht="15.75" customHeight="1" x14ac:dyDescent="0.25">
      <c r="A129" s="114">
        <f t="shared" si="5"/>
        <v>10</v>
      </c>
      <c r="B129" s="114"/>
      <c r="C129" s="62" t="s">
        <v>170</v>
      </c>
      <c r="D129" s="62">
        <f>(39.71+0.6*1.2)*10.764</f>
        <v>435.18851999999998</v>
      </c>
      <c r="E129" s="62">
        <v>0</v>
      </c>
      <c r="F129" s="65">
        <v>670</v>
      </c>
      <c r="G129" s="110"/>
      <c r="H129" s="111"/>
      <c r="I129" s="35"/>
      <c r="J129" s="80">
        <f t="shared" si="6"/>
        <v>1.5395626704491194</v>
      </c>
      <c r="N129" s="35"/>
    </row>
    <row r="130" spans="1:16" s="64" customFormat="1" ht="15.75" customHeight="1" x14ac:dyDescent="0.25">
      <c r="A130" s="114">
        <f t="shared" si="5"/>
        <v>11</v>
      </c>
      <c r="B130" s="114"/>
      <c r="C130" s="62" t="s">
        <v>170</v>
      </c>
      <c r="D130" s="62">
        <f>(41.55+0.6*1.35)*10.764</f>
        <v>455.96303999999998</v>
      </c>
      <c r="E130" s="62">
        <v>0</v>
      </c>
      <c r="F130" s="65">
        <v>685</v>
      </c>
      <c r="G130" s="112"/>
      <c r="H130" s="113"/>
      <c r="I130" s="35"/>
      <c r="J130" s="80">
        <f t="shared" si="6"/>
        <v>1.5023147490200084</v>
      </c>
      <c r="K130" s="64">
        <v>685</v>
      </c>
      <c r="N130" s="35"/>
    </row>
    <row r="131" spans="1:16" s="2" customFormat="1" ht="15.75" customHeight="1" x14ac:dyDescent="0.25">
      <c r="A131" s="115" t="s">
        <v>172</v>
      </c>
      <c r="B131" s="116"/>
      <c r="C131" s="116"/>
      <c r="D131" s="116"/>
      <c r="E131" s="116"/>
      <c r="F131" s="116"/>
      <c r="G131" s="116"/>
      <c r="H131" s="117"/>
      <c r="I131" s="35"/>
      <c r="L131" s="44"/>
      <c r="M131" s="44"/>
      <c r="P131" s="36"/>
    </row>
    <row r="132" spans="1:16" s="2" customFormat="1" ht="15.75" customHeight="1" x14ac:dyDescent="0.25">
      <c r="A132" s="101">
        <v>1</v>
      </c>
      <c r="B132" s="102"/>
      <c r="C132" s="14" t="s">
        <v>170</v>
      </c>
      <c r="D132" s="14">
        <f>(40.55+0.6*1.2)*10.764</f>
        <v>444.23027999999994</v>
      </c>
      <c r="E132" s="45">
        <v>0</v>
      </c>
      <c r="F132" s="65">
        <v>670</v>
      </c>
      <c r="G132" s="108" t="str">
        <f>A131</f>
        <v>2nd to 7th &amp; 9th to 12th Floor</v>
      </c>
      <c r="H132" s="109"/>
      <c r="I132" s="35"/>
      <c r="J132" s="80">
        <f>F132/D132</f>
        <v>1.5082267692332907</v>
      </c>
      <c r="K132" s="2">
        <v>670</v>
      </c>
      <c r="L132" s="69"/>
      <c r="M132" s="44"/>
      <c r="N132" s="44"/>
      <c r="O132" s="57"/>
      <c r="P132" s="57"/>
    </row>
    <row r="133" spans="1:16" s="2" customFormat="1" ht="15.75" customHeight="1" x14ac:dyDescent="0.25">
      <c r="A133" s="101">
        <v>2</v>
      </c>
      <c r="B133" s="102"/>
      <c r="C133" s="14" t="s">
        <v>171</v>
      </c>
      <c r="D133" s="14">
        <f>(60.33+0.6*(1.2+1.2))*10.764</f>
        <v>664.89227999999991</v>
      </c>
      <c r="E133" s="45">
        <v>0</v>
      </c>
      <c r="F133" s="65">
        <v>995</v>
      </c>
      <c r="G133" s="110" t="str">
        <f t="shared" ref="G133:G142" si="7">G132</f>
        <v>2nd to 7th &amp; 9th to 12th Floor</v>
      </c>
      <c r="H133" s="111"/>
      <c r="I133" s="35"/>
      <c r="J133" s="80">
        <f t="shared" ref="J133:J142" si="8">F133/D133</f>
        <v>1.4964830092477539</v>
      </c>
      <c r="K133" s="2">
        <v>995</v>
      </c>
      <c r="L133" s="69"/>
      <c r="M133" s="44"/>
      <c r="N133" s="55"/>
    </row>
    <row r="134" spans="1:16" s="2" customFormat="1" ht="15.75" customHeight="1" x14ac:dyDescent="0.25">
      <c r="A134" s="101">
        <v>3</v>
      </c>
      <c r="B134" s="102"/>
      <c r="C134" s="14" t="s">
        <v>171</v>
      </c>
      <c r="D134" s="62">
        <f>(60.33+0.6*(1.2+1.2))*10.764</f>
        <v>664.89227999999991</v>
      </c>
      <c r="E134" s="45">
        <v>0</v>
      </c>
      <c r="F134" s="65">
        <v>995</v>
      </c>
      <c r="G134" s="110" t="str">
        <f t="shared" si="7"/>
        <v>2nd to 7th &amp; 9th to 12th Floor</v>
      </c>
      <c r="H134" s="111"/>
      <c r="I134" s="35"/>
      <c r="J134" s="80">
        <f t="shared" si="8"/>
        <v>1.4964830092477539</v>
      </c>
      <c r="K134" s="2">
        <v>995</v>
      </c>
      <c r="L134" s="69"/>
      <c r="M134" s="44"/>
      <c r="N134" s="55"/>
    </row>
    <row r="135" spans="1:16" s="2" customFormat="1" ht="15.75" customHeight="1" x14ac:dyDescent="0.25">
      <c r="A135" s="101">
        <v>4</v>
      </c>
      <c r="B135" s="102"/>
      <c r="C135" s="34" t="s">
        <v>170</v>
      </c>
      <c r="D135" s="62">
        <f>(40.55+0.6*1.2)*10.764</f>
        <v>444.23027999999994</v>
      </c>
      <c r="E135" s="45">
        <v>0</v>
      </c>
      <c r="F135" s="65">
        <v>675</v>
      </c>
      <c r="G135" s="110" t="str">
        <f t="shared" si="7"/>
        <v>2nd to 7th &amp; 9th to 12th Floor</v>
      </c>
      <c r="H135" s="111"/>
      <c r="I135" s="35"/>
      <c r="J135" s="80">
        <f t="shared" si="8"/>
        <v>1.5194821928842854</v>
      </c>
      <c r="K135" s="2">
        <v>675</v>
      </c>
      <c r="L135" s="69"/>
      <c r="M135" s="44"/>
      <c r="N135" s="55"/>
    </row>
    <row r="136" spans="1:16" s="2" customFormat="1" ht="15.75" customHeight="1" x14ac:dyDescent="0.25">
      <c r="A136" s="101">
        <v>5</v>
      </c>
      <c r="B136" s="102"/>
      <c r="C136" s="34" t="s">
        <v>170</v>
      </c>
      <c r="D136" s="34">
        <f>(42.85+1.35*0.6)*10.764</f>
        <v>469.95624000000004</v>
      </c>
      <c r="E136" s="45">
        <v>0</v>
      </c>
      <c r="F136" s="65">
        <v>707</v>
      </c>
      <c r="G136" s="110" t="str">
        <f t="shared" si="7"/>
        <v>2nd to 7th &amp; 9th to 12th Floor</v>
      </c>
      <c r="H136" s="111"/>
      <c r="I136" s="35"/>
      <c r="J136" s="80">
        <f t="shared" si="8"/>
        <v>1.5043953879620791</v>
      </c>
      <c r="K136" s="2">
        <v>707</v>
      </c>
      <c r="L136" s="69"/>
      <c r="M136" s="44"/>
      <c r="N136" s="55"/>
    </row>
    <row r="137" spans="1:16" s="38" customFormat="1" ht="15.75" customHeight="1" x14ac:dyDescent="0.25">
      <c r="A137" s="101">
        <v>6</v>
      </c>
      <c r="B137" s="102"/>
      <c r="C137" s="39" t="s">
        <v>170</v>
      </c>
      <c r="D137" s="62">
        <f>(42.85+1.35*0.6)*10.764</f>
        <v>469.95624000000004</v>
      </c>
      <c r="E137" s="45">
        <v>0</v>
      </c>
      <c r="F137" s="65">
        <v>675</v>
      </c>
      <c r="G137" s="110" t="str">
        <f t="shared" si="7"/>
        <v>2nd to 7th &amp; 9th to 12th Floor</v>
      </c>
      <c r="H137" s="111"/>
      <c r="I137" s="35"/>
      <c r="J137" s="80">
        <f t="shared" si="8"/>
        <v>1.4363039418308392</v>
      </c>
      <c r="K137" s="38">
        <v>675</v>
      </c>
      <c r="L137" s="69"/>
      <c r="M137" s="44"/>
      <c r="N137" s="55"/>
    </row>
    <row r="138" spans="1:16" s="64" customFormat="1" ht="15.75" customHeight="1" x14ac:dyDescent="0.25">
      <c r="A138" s="101">
        <v>7</v>
      </c>
      <c r="B138" s="102"/>
      <c r="C138" s="62" t="s">
        <v>170</v>
      </c>
      <c r="D138" s="62">
        <f>(40.9+0.6*1.2)*10.764</f>
        <v>447.99767999999995</v>
      </c>
      <c r="E138" s="62">
        <v>0</v>
      </c>
      <c r="F138" s="65">
        <v>675</v>
      </c>
      <c r="G138" s="110" t="str">
        <f t="shared" si="7"/>
        <v>2nd to 7th &amp; 9th to 12th Floor</v>
      </c>
      <c r="H138" s="111"/>
      <c r="I138" s="35"/>
      <c r="J138" s="80">
        <f t="shared" si="8"/>
        <v>1.5067042311469114</v>
      </c>
      <c r="K138" s="64">
        <v>675</v>
      </c>
      <c r="L138" s="69"/>
    </row>
    <row r="139" spans="1:16" s="64" customFormat="1" ht="15.75" customHeight="1" x14ac:dyDescent="0.25">
      <c r="A139" s="101">
        <v>8</v>
      </c>
      <c r="B139" s="102"/>
      <c r="C139" s="62" t="s">
        <v>171</v>
      </c>
      <c r="D139" s="62">
        <f>(60.33+0.6*(1.2+1.2))*10.764</f>
        <v>664.89227999999991</v>
      </c>
      <c r="E139" s="62">
        <v>0</v>
      </c>
      <c r="F139" s="65">
        <v>995</v>
      </c>
      <c r="G139" s="110" t="str">
        <f t="shared" si="7"/>
        <v>2nd to 7th &amp; 9th to 12th Floor</v>
      </c>
      <c r="H139" s="111"/>
      <c r="I139" s="35"/>
      <c r="J139" s="80">
        <f t="shared" si="8"/>
        <v>1.4964830092477539</v>
      </c>
      <c r="K139" s="64">
        <v>995</v>
      </c>
      <c r="L139" s="69"/>
    </row>
    <row r="140" spans="1:16" s="64" customFormat="1" ht="15.75" customHeight="1" x14ac:dyDescent="0.25">
      <c r="A140" s="101">
        <v>9</v>
      </c>
      <c r="B140" s="102"/>
      <c r="C140" s="62" t="s">
        <v>171</v>
      </c>
      <c r="D140" s="62">
        <f>(60.33+0.6*(1.2+1.2))*10.764</f>
        <v>664.89227999999991</v>
      </c>
      <c r="E140" s="62">
        <v>0</v>
      </c>
      <c r="F140" s="65">
        <v>995</v>
      </c>
      <c r="G140" s="110" t="str">
        <f t="shared" si="7"/>
        <v>2nd to 7th &amp; 9th to 12th Floor</v>
      </c>
      <c r="H140" s="111"/>
      <c r="I140" s="35"/>
      <c r="J140" s="80">
        <f t="shared" si="8"/>
        <v>1.4964830092477539</v>
      </c>
      <c r="K140" s="64">
        <v>995</v>
      </c>
      <c r="L140" s="69"/>
    </row>
    <row r="141" spans="1:16" s="64" customFormat="1" ht="15.75" customHeight="1" x14ac:dyDescent="0.25">
      <c r="A141" s="101">
        <v>10</v>
      </c>
      <c r="B141" s="102"/>
      <c r="C141" s="62" t="s">
        <v>170</v>
      </c>
      <c r="D141" s="62">
        <f>(39.71+0.6*1.2)*10.764</f>
        <v>435.18851999999998</v>
      </c>
      <c r="E141" s="62">
        <v>0</v>
      </c>
      <c r="F141" s="65">
        <v>670</v>
      </c>
      <c r="G141" s="110" t="str">
        <f t="shared" si="7"/>
        <v>2nd to 7th &amp; 9th to 12th Floor</v>
      </c>
      <c r="H141" s="111"/>
      <c r="I141" s="35"/>
      <c r="J141" s="80">
        <f t="shared" si="8"/>
        <v>1.5395626704491194</v>
      </c>
      <c r="K141" s="64">
        <v>670</v>
      </c>
      <c r="L141" s="69"/>
    </row>
    <row r="142" spans="1:16" s="64" customFormat="1" ht="15.75" customHeight="1" x14ac:dyDescent="0.25">
      <c r="A142" s="101">
        <v>11</v>
      </c>
      <c r="B142" s="102"/>
      <c r="C142" s="62" t="s">
        <v>170</v>
      </c>
      <c r="D142" s="62">
        <f>(41.55+1.35*0.6)*10.764</f>
        <v>455.96303999999998</v>
      </c>
      <c r="E142" s="62">
        <v>0</v>
      </c>
      <c r="F142" s="65">
        <v>685</v>
      </c>
      <c r="G142" s="112" t="str">
        <f t="shared" si="7"/>
        <v>2nd to 7th &amp; 9th to 12th Floor</v>
      </c>
      <c r="H142" s="113"/>
      <c r="I142" s="35"/>
      <c r="J142" s="80">
        <f t="shared" si="8"/>
        <v>1.5023147490200084</v>
      </c>
      <c r="K142" s="64">
        <v>685</v>
      </c>
      <c r="L142" s="69"/>
    </row>
    <row r="143" spans="1:16" s="64" customFormat="1" ht="15.75" customHeight="1" x14ac:dyDescent="0.25">
      <c r="A143" s="115" t="s">
        <v>173</v>
      </c>
      <c r="B143" s="116"/>
      <c r="C143" s="116"/>
      <c r="D143" s="116"/>
      <c r="E143" s="116"/>
      <c r="F143" s="116"/>
      <c r="G143" s="116"/>
      <c r="H143" s="117"/>
      <c r="I143" s="81"/>
      <c r="J143" s="82"/>
      <c r="K143" s="82"/>
      <c r="P143" s="36"/>
    </row>
    <row r="144" spans="1:16" s="64" customFormat="1" ht="15.75" customHeight="1" x14ac:dyDescent="0.25">
      <c r="A144" s="101">
        <v>1</v>
      </c>
      <c r="B144" s="102"/>
      <c r="C144" s="65" t="s">
        <v>170</v>
      </c>
      <c r="D144" s="65">
        <f>(40.55+0.6*1.2)*10.764</f>
        <v>444.23027999999994</v>
      </c>
      <c r="E144" s="65">
        <v>0</v>
      </c>
      <c r="F144" s="65">
        <v>670</v>
      </c>
      <c r="G144" s="108" t="str">
        <f>A143</f>
        <v>8th Floor (Part Refuge Area)</v>
      </c>
      <c r="H144" s="109"/>
      <c r="I144" s="202"/>
      <c r="J144" s="203"/>
      <c r="K144" s="203"/>
    </row>
    <row r="145" spans="1:15" s="64" customFormat="1" ht="15.75" customHeight="1" x14ac:dyDescent="0.25">
      <c r="A145" s="101">
        <v>2</v>
      </c>
      <c r="B145" s="102"/>
      <c r="C145" s="65" t="s">
        <v>171</v>
      </c>
      <c r="D145" s="65">
        <f>(60.33+0.6*(1.2+1.2))*10.764</f>
        <v>664.89227999999991</v>
      </c>
      <c r="E145" s="65">
        <v>0</v>
      </c>
      <c r="F145" s="65">
        <v>995</v>
      </c>
      <c r="G145" s="110" t="str">
        <f t="shared" ref="G145:G154" si="9">G144</f>
        <v>8th Floor (Part Refuge Area)</v>
      </c>
      <c r="H145" s="111"/>
      <c r="I145" s="81"/>
      <c r="J145" s="82"/>
      <c r="K145" s="82"/>
    </row>
    <row r="146" spans="1:15" s="64" customFormat="1" ht="15.75" customHeight="1" x14ac:dyDescent="0.25">
      <c r="A146" s="101">
        <v>3</v>
      </c>
      <c r="B146" s="102"/>
      <c r="C146" s="65" t="s">
        <v>171</v>
      </c>
      <c r="D146" s="65">
        <f>(60.33+0.6*(1.2+1.2))*10.764</f>
        <v>664.89227999999991</v>
      </c>
      <c r="E146" s="65">
        <v>0</v>
      </c>
      <c r="F146" s="65">
        <v>995</v>
      </c>
      <c r="G146" s="110" t="str">
        <f t="shared" si="9"/>
        <v>8th Floor (Part Refuge Area)</v>
      </c>
      <c r="H146" s="111"/>
      <c r="I146" s="81"/>
      <c r="J146" s="82"/>
      <c r="K146" s="82"/>
    </row>
    <row r="147" spans="1:15" s="64" customFormat="1" ht="15.75" customHeight="1" x14ac:dyDescent="0.25">
      <c r="A147" s="101">
        <v>4</v>
      </c>
      <c r="B147" s="102"/>
      <c r="C147" s="65" t="s">
        <v>170</v>
      </c>
      <c r="D147" s="65">
        <f>(40.55+0.6*1.2)*10.764</f>
        <v>444.23027999999994</v>
      </c>
      <c r="E147" s="65">
        <v>0</v>
      </c>
      <c r="F147" s="65">
        <v>675</v>
      </c>
      <c r="G147" s="110" t="str">
        <f t="shared" si="9"/>
        <v>8th Floor (Part Refuge Area)</v>
      </c>
      <c r="H147" s="111"/>
      <c r="I147" s="81"/>
      <c r="J147" s="82"/>
      <c r="K147" s="82"/>
    </row>
    <row r="148" spans="1:15" s="64" customFormat="1" ht="15.75" customHeight="1" x14ac:dyDescent="0.25">
      <c r="A148" s="101">
        <v>5</v>
      </c>
      <c r="B148" s="102"/>
      <c r="C148" s="65" t="s">
        <v>171</v>
      </c>
      <c r="D148" s="65">
        <v>675</v>
      </c>
      <c r="E148" s="65">
        <v>0</v>
      </c>
      <c r="F148" s="65">
        <v>1040</v>
      </c>
      <c r="G148" s="110" t="str">
        <f t="shared" si="9"/>
        <v>8th Floor (Part Refuge Area)</v>
      </c>
      <c r="H148" s="111"/>
      <c r="I148" s="81"/>
      <c r="J148" s="82"/>
      <c r="K148" s="82"/>
    </row>
    <row r="149" spans="1:15" s="64" customFormat="1" ht="15.75" customHeight="1" x14ac:dyDescent="0.25">
      <c r="A149" s="101">
        <v>6</v>
      </c>
      <c r="B149" s="102"/>
      <c r="C149" s="114" t="s">
        <v>174</v>
      </c>
      <c r="D149" s="114"/>
      <c r="E149" s="114"/>
      <c r="F149" s="114"/>
      <c r="G149" s="110" t="str">
        <f t="shared" si="9"/>
        <v>8th Floor (Part Refuge Area)</v>
      </c>
      <c r="H149" s="111"/>
      <c r="I149" s="81"/>
      <c r="J149" s="82"/>
      <c r="K149" s="82"/>
    </row>
    <row r="150" spans="1:15" s="64" customFormat="1" ht="15.75" customHeight="1" x14ac:dyDescent="0.25">
      <c r="A150" s="101">
        <v>7</v>
      </c>
      <c r="B150" s="102"/>
      <c r="C150" s="65" t="s">
        <v>170</v>
      </c>
      <c r="D150" s="65">
        <f>(40.9+0.6*1.2)*10.764</f>
        <v>447.99767999999995</v>
      </c>
      <c r="E150" s="65">
        <v>0</v>
      </c>
      <c r="F150" s="65">
        <v>675</v>
      </c>
      <c r="G150" s="110" t="str">
        <f t="shared" si="9"/>
        <v>8th Floor (Part Refuge Area)</v>
      </c>
      <c r="H150" s="111"/>
      <c r="I150" s="81"/>
      <c r="J150" s="82"/>
      <c r="K150" s="82"/>
    </row>
    <row r="151" spans="1:15" s="64" customFormat="1" ht="15.75" customHeight="1" x14ac:dyDescent="0.25">
      <c r="A151" s="101">
        <v>8</v>
      </c>
      <c r="B151" s="102"/>
      <c r="C151" s="65" t="s">
        <v>171</v>
      </c>
      <c r="D151" s="65">
        <f>(60.33+0.6*(1.2+1.2))*10.764</f>
        <v>664.89227999999991</v>
      </c>
      <c r="E151" s="65">
        <v>0</v>
      </c>
      <c r="F151" s="65">
        <v>995</v>
      </c>
      <c r="G151" s="110" t="str">
        <f t="shared" si="9"/>
        <v>8th Floor (Part Refuge Area)</v>
      </c>
      <c r="H151" s="111"/>
      <c r="I151" s="35"/>
      <c r="J151" s="64">
        <f>646*6160</f>
        <v>3979360</v>
      </c>
      <c r="K151" s="64">
        <f>J151/F151</f>
        <v>3999.356783919598</v>
      </c>
    </row>
    <row r="152" spans="1:15" s="64" customFormat="1" ht="15.75" customHeight="1" x14ac:dyDescent="0.25">
      <c r="A152" s="101">
        <v>9</v>
      </c>
      <c r="B152" s="102"/>
      <c r="C152" s="65" t="s">
        <v>171</v>
      </c>
      <c r="D152" s="65">
        <f>(60.33+0.6*(1.2+1.2))*10.764</f>
        <v>664.89227999999991</v>
      </c>
      <c r="E152" s="65">
        <v>0</v>
      </c>
      <c r="F152" s="65">
        <v>995</v>
      </c>
      <c r="G152" s="110" t="str">
        <f t="shared" si="9"/>
        <v>8th Floor (Part Refuge Area)</v>
      </c>
      <c r="H152" s="111"/>
      <c r="I152" s="35"/>
    </row>
    <row r="153" spans="1:15" s="64" customFormat="1" ht="15.75" customHeight="1" x14ac:dyDescent="0.25">
      <c r="A153" s="101">
        <v>10</v>
      </c>
      <c r="B153" s="102"/>
      <c r="C153" s="65" t="s">
        <v>170</v>
      </c>
      <c r="D153" s="65">
        <f>(39.71+0.6*1.2)*10.764</f>
        <v>435.18851999999998</v>
      </c>
      <c r="E153" s="65">
        <v>0</v>
      </c>
      <c r="F153" s="65">
        <v>670</v>
      </c>
      <c r="G153" s="110" t="str">
        <f t="shared" si="9"/>
        <v>8th Floor (Part Refuge Area)</v>
      </c>
      <c r="H153" s="111"/>
      <c r="I153" s="35"/>
    </row>
    <row r="154" spans="1:15" s="64" customFormat="1" ht="15.75" customHeight="1" x14ac:dyDescent="0.25">
      <c r="A154" s="101">
        <v>11</v>
      </c>
      <c r="B154" s="102"/>
      <c r="C154" s="65" t="s">
        <v>170</v>
      </c>
      <c r="D154" s="65">
        <f>(41.55+1.35*0.6)*10.764</f>
        <v>455.96303999999998</v>
      </c>
      <c r="E154" s="65">
        <v>0</v>
      </c>
      <c r="F154" s="65">
        <v>685</v>
      </c>
      <c r="G154" s="112" t="str">
        <f t="shared" si="9"/>
        <v>8th Floor (Part Refuge Area)</v>
      </c>
      <c r="H154" s="113"/>
      <c r="I154" s="35"/>
    </row>
    <row r="155" spans="1:15" s="1" customFormat="1" x14ac:dyDescent="0.25">
      <c r="A155" s="181" t="s">
        <v>73</v>
      </c>
      <c r="B155" s="181"/>
      <c r="C155" s="181"/>
      <c r="D155" s="181"/>
      <c r="E155" s="181"/>
      <c r="F155" s="181"/>
      <c r="G155" s="181"/>
      <c r="H155" s="181"/>
    </row>
    <row r="156" spans="1:15" s="1" customFormat="1" x14ac:dyDescent="0.25">
      <c r="A156" s="79" t="s">
        <v>161</v>
      </c>
      <c r="B156" s="86" t="s">
        <v>219</v>
      </c>
      <c r="C156" s="87"/>
      <c r="D156" s="87"/>
      <c r="E156" s="87"/>
      <c r="F156" s="87"/>
      <c r="G156" s="87"/>
      <c r="H156" s="88"/>
    </row>
    <row r="157" spans="1:15" s="1" customFormat="1" x14ac:dyDescent="0.25">
      <c r="A157" s="60" t="s">
        <v>161</v>
      </c>
      <c r="B157" s="86" t="str">
        <f>(IF(F118="Saleable area Loading :","We have considered Saleable area of Flats as per our Calculation.","We considered Saleable area of Flat as per Builder area Sheet."))</f>
        <v>We considered Saleable area of Flat as per Builder area Sheet.</v>
      </c>
      <c r="C157" s="87"/>
      <c r="D157" s="87"/>
      <c r="E157" s="87"/>
      <c r="F157" s="87"/>
      <c r="G157" s="87"/>
      <c r="H157" s="88"/>
    </row>
    <row r="158" spans="1:15" s="1" customFormat="1" x14ac:dyDescent="0.25">
      <c r="A158" s="60" t="s">
        <v>161</v>
      </c>
      <c r="B158" s="86" t="str">
        <f>(IF(F98="Saleable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" s="87"/>
      <c r="D158" s="87"/>
      <c r="E158" s="87"/>
      <c r="F158" s="87"/>
      <c r="G158" s="87"/>
      <c r="H158" s="88"/>
      <c r="I158" s="86" t="s">
        <v>205</v>
      </c>
      <c r="J158" s="87"/>
      <c r="K158" s="87"/>
      <c r="L158" s="87"/>
      <c r="M158" s="87"/>
      <c r="N158" s="87"/>
      <c r="O158" s="88"/>
    </row>
    <row r="159" spans="1:15" s="1" customFormat="1" x14ac:dyDescent="0.25">
      <c r="A159" s="60" t="s">
        <v>161</v>
      </c>
      <c r="B159" s="94" t="s">
        <v>131</v>
      </c>
      <c r="C159" s="95"/>
      <c r="D159" s="95"/>
      <c r="E159" s="95"/>
      <c r="F159" s="95"/>
      <c r="G159" s="95"/>
      <c r="H159" s="96"/>
    </row>
    <row r="160" spans="1:15" s="1" customFormat="1" x14ac:dyDescent="0.25">
      <c r="A160" s="60" t="s">
        <v>161</v>
      </c>
      <c r="B160" s="94" t="s">
        <v>204</v>
      </c>
      <c r="C160" s="95"/>
      <c r="D160" s="95"/>
      <c r="E160" s="95"/>
      <c r="F160" s="95"/>
      <c r="G160" s="95"/>
      <c r="H160" s="96"/>
    </row>
    <row r="161" spans="1:8" s="1" customFormat="1" x14ac:dyDescent="0.25">
      <c r="A161" s="60" t="s">
        <v>161</v>
      </c>
      <c r="B161" s="94" t="s">
        <v>160</v>
      </c>
      <c r="C161" s="95"/>
      <c r="D161" s="95"/>
      <c r="E161" s="95"/>
      <c r="F161" s="95"/>
      <c r="G161" s="95"/>
      <c r="H161" s="96"/>
    </row>
    <row r="162" spans="1:8" s="1" customFormat="1" x14ac:dyDescent="0.25">
      <c r="A162" s="60" t="s">
        <v>161</v>
      </c>
      <c r="B162" s="94" t="s">
        <v>132</v>
      </c>
      <c r="C162" s="95"/>
      <c r="D162" s="95"/>
      <c r="E162" s="95"/>
      <c r="F162" s="95"/>
      <c r="G162" s="95"/>
      <c r="H162" s="96"/>
    </row>
    <row r="163" spans="1:8" s="1" customFormat="1" ht="34.5" customHeight="1" x14ac:dyDescent="0.25">
      <c r="A163" s="61" t="s">
        <v>161</v>
      </c>
      <c r="B163" s="86" t="s">
        <v>165</v>
      </c>
      <c r="C163" s="87"/>
      <c r="D163" s="87"/>
      <c r="E163" s="87"/>
      <c r="F163" s="87"/>
      <c r="G163" s="87"/>
      <c r="H163" s="88"/>
    </row>
    <row r="164" spans="1:8" s="1" customFormat="1" x14ac:dyDescent="0.25">
      <c r="A164" s="60" t="s">
        <v>161</v>
      </c>
      <c r="B164" s="86" t="s">
        <v>133</v>
      </c>
      <c r="C164" s="87"/>
      <c r="D164" s="87"/>
      <c r="E164" s="87"/>
      <c r="F164" s="87"/>
      <c r="G164" s="87"/>
      <c r="H164" s="88"/>
    </row>
    <row r="165" spans="1:8" s="1" customFormat="1" ht="33" customHeight="1" x14ac:dyDescent="0.25">
      <c r="A165" s="60" t="s">
        <v>161</v>
      </c>
      <c r="B165" s="189" t="s">
        <v>220</v>
      </c>
      <c r="C165" s="190"/>
      <c r="D165" s="190"/>
      <c r="E165" s="190"/>
      <c r="F165" s="190"/>
      <c r="G165" s="190"/>
      <c r="H165" s="191"/>
    </row>
    <row r="166" spans="1:8" x14ac:dyDescent="0.25">
      <c r="A166" s="182" t="s">
        <v>66</v>
      </c>
      <c r="B166" s="182"/>
      <c r="C166" s="182"/>
      <c r="D166" s="182"/>
      <c r="E166" s="182"/>
      <c r="F166" s="182"/>
      <c r="G166" s="182"/>
      <c r="H166" s="182"/>
    </row>
    <row r="167" spans="1:8" x14ac:dyDescent="0.25">
      <c r="A167" s="145" t="s">
        <v>67</v>
      </c>
      <c r="B167" s="145"/>
      <c r="C167" s="145"/>
      <c r="D167" s="145"/>
      <c r="E167" s="145"/>
      <c r="F167" s="145"/>
      <c r="G167" s="145"/>
      <c r="H167" s="145"/>
    </row>
    <row r="168" spans="1:8" ht="15.75" customHeight="1" x14ac:dyDescent="0.25">
      <c r="A168" s="197" t="s">
        <v>68</v>
      </c>
      <c r="B168" s="197"/>
      <c r="C168" s="197"/>
      <c r="D168" s="197"/>
      <c r="E168" s="197"/>
      <c r="F168" s="197"/>
      <c r="G168" s="197"/>
      <c r="H168" s="197"/>
    </row>
    <row r="169" spans="1:8" x14ac:dyDescent="0.25">
      <c r="A169" s="145" t="s">
        <v>69</v>
      </c>
      <c r="B169" s="145"/>
      <c r="C169" s="145"/>
      <c r="D169" s="145"/>
      <c r="E169" s="145"/>
      <c r="F169" s="145"/>
      <c r="G169" s="145"/>
      <c r="H169" s="145"/>
    </row>
    <row r="170" spans="1:8" x14ac:dyDescent="0.25">
      <c r="A170" s="145" t="s">
        <v>70</v>
      </c>
      <c r="B170" s="145"/>
      <c r="C170" s="145"/>
      <c r="D170" s="145"/>
      <c r="E170" s="145"/>
      <c r="F170" s="145"/>
      <c r="G170" s="145"/>
      <c r="H170" s="145"/>
    </row>
    <row r="171" spans="1:8" x14ac:dyDescent="0.25">
      <c r="A171" s="145" t="s">
        <v>134</v>
      </c>
      <c r="B171" s="145"/>
      <c r="C171" s="145"/>
      <c r="D171" s="145"/>
      <c r="E171" s="145"/>
      <c r="F171" s="145"/>
      <c r="G171" s="145"/>
      <c r="H171" s="145"/>
    </row>
    <row r="172" spans="1:8" ht="35.25" customHeight="1" x14ac:dyDescent="0.25">
      <c r="A172" s="142" t="s">
        <v>135</v>
      </c>
      <c r="B172" s="142"/>
      <c r="C172" s="142"/>
      <c r="D172" s="142"/>
      <c r="E172" s="142"/>
      <c r="F172" s="142"/>
      <c r="G172" s="142"/>
      <c r="H172" s="142"/>
    </row>
    <row r="173" spans="1:8" x14ac:dyDescent="0.25">
      <c r="A173" s="177" t="s">
        <v>83</v>
      </c>
      <c r="B173" s="177"/>
      <c r="C173" s="177" t="s">
        <v>217</v>
      </c>
      <c r="D173" s="177"/>
      <c r="E173" s="177" t="s">
        <v>112</v>
      </c>
      <c r="F173" s="177"/>
      <c r="G173" s="177" t="s">
        <v>218</v>
      </c>
      <c r="H173" s="177"/>
    </row>
    <row r="174" spans="1:8" x14ac:dyDescent="0.25">
      <c r="A174" s="176" t="s">
        <v>85</v>
      </c>
      <c r="B174" s="176"/>
      <c r="C174" s="176"/>
      <c r="D174" s="176"/>
      <c r="E174" s="176"/>
      <c r="F174" s="176"/>
      <c r="G174" s="176"/>
      <c r="H174" s="176"/>
    </row>
    <row r="175" spans="1:8" x14ac:dyDescent="0.25">
      <c r="A175" s="176"/>
      <c r="B175" s="176"/>
      <c r="C175" s="176"/>
      <c r="D175" s="176"/>
      <c r="E175" s="176"/>
      <c r="F175" s="176"/>
      <c r="G175" s="176"/>
      <c r="H175" s="176"/>
    </row>
    <row r="176" spans="1:8" x14ac:dyDescent="0.25">
      <c r="A176" s="176"/>
      <c r="B176" s="176"/>
      <c r="C176" s="176"/>
      <c r="D176" s="176"/>
      <c r="E176" s="176"/>
      <c r="F176" s="176"/>
      <c r="G176" s="176"/>
      <c r="H176" s="176"/>
    </row>
    <row r="177" spans="1:8" x14ac:dyDescent="0.25">
      <c r="A177" s="176"/>
      <c r="B177" s="176"/>
      <c r="C177" s="176"/>
      <c r="D177" s="176"/>
      <c r="E177" s="176"/>
      <c r="F177" s="176"/>
      <c r="G177" s="176"/>
      <c r="H177" s="176"/>
    </row>
    <row r="178" spans="1:8" x14ac:dyDescent="0.25">
      <c r="A178" s="9" t="s">
        <v>71</v>
      </c>
      <c r="B178" s="10"/>
      <c r="C178" s="10"/>
      <c r="D178" s="9" t="str">
        <f>E8</f>
        <v>Raj Nirvana - Eden</v>
      </c>
      <c r="F178" s="10"/>
      <c r="G178" s="10"/>
      <c r="H178" s="10"/>
    </row>
    <row r="179" spans="1:8" x14ac:dyDescent="0.25">
      <c r="A179" s="10"/>
      <c r="B179" s="10"/>
      <c r="C179" s="10"/>
      <c r="D179" s="10"/>
      <c r="E179" s="10"/>
      <c r="F179" s="10"/>
      <c r="G179" s="10"/>
      <c r="H179" s="10"/>
    </row>
    <row r="180" spans="1:8" x14ac:dyDescent="0.25">
      <c r="A180" s="10"/>
      <c r="B180" s="10"/>
      <c r="C180" s="10"/>
      <c r="D180" s="10"/>
      <c r="E180" s="10"/>
      <c r="F180" s="10"/>
      <c r="G180" s="10"/>
      <c r="H180" s="10"/>
    </row>
    <row r="181" spans="1:8" ht="15" customHeight="1" x14ac:dyDescent="0.25"/>
    <row r="218" spans="1:1" x14ac:dyDescent="0.25">
      <c r="A218" s="12" t="s">
        <v>72</v>
      </c>
    </row>
  </sheetData>
  <mergeCells count="305">
    <mergeCell ref="I144:K144"/>
    <mergeCell ref="C49:H49"/>
    <mergeCell ref="A148:B148"/>
    <mergeCell ref="A149:B149"/>
    <mergeCell ref="A150:B150"/>
    <mergeCell ref="A151:B151"/>
    <mergeCell ref="A152:B152"/>
    <mergeCell ref="A143:H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G144:H154"/>
    <mergeCell ref="A153:B153"/>
    <mergeCell ref="A154:B154"/>
    <mergeCell ref="C149:F149"/>
    <mergeCell ref="A114:B114"/>
    <mergeCell ref="A61:C61"/>
    <mergeCell ref="D61:H61"/>
    <mergeCell ref="A115:B115"/>
    <mergeCell ref="L115:M115"/>
    <mergeCell ref="L116:M116"/>
    <mergeCell ref="A117:B117"/>
    <mergeCell ref="L117:M117"/>
    <mergeCell ref="A126:B126"/>
    <mergeCell ref="A127:B127"/>
    <mergeCell ref="L119:M119"/>
    <mergeCell ref="A121:B121"/>
    <mergeCell ref="A122:B122"/>
    <mergeCell ref="A123:B123"/>
    <mergeCell ref="E39:H39"/>
    <mergeCell ref="A39:D39"/>
    <mergeCell ref="A171:H171"/>
    <mergeCell ref="A125:B125"/>
    <mergeCell ref="A168:H168"/>
    <mergeCell ref="A120:B120"/>
    <mergeCell ref="A94:B94"/>
    <mergeCell ref="G118:H118"/>
    <mergeCell ref="A72:B72"/>
    <mergeCell ref="F78:H78"/>
    <mergeCell ref="A77:H77"/>
    <mergeCell ref="G92:H92"/>
    <mergeCell ref="A46:B46"/>
    <mergeCell ref="C46:E46"/>
    <mergeCell ref="G46:H46"/>
    <mergeCell ref="G48:H48"/>
    <mergeCell ref="D52:H52"/>
    <mergeCell ref="C48:E48"/>
    <mergeCell ref="A55:C55"/>
    <mergeCell ref="D55:H55"/>
    <mergeCell ref="A112:B112"/>
    <mergeCell ref="A116:B116"/>
    <mergeCell ref="A109:B109"/>
    <mergeCell ref="A110:B110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167:H167"/>
    <mergeCell ref="E94:F94"/>
    <mergeCell ref="E91:F91"/>
    <mergeCell ref="A96:H96"/>
    <mergeCell ref="A91:B91"/>
    <mergeCell ref="F84:H84"/>
    <mergeCell ref="C91:D91"/>
    <mergeCell ref="F87:H87"/>
    <mergeCell ref="F85:H85"/>
    <mergeCell ref="A133:B133"/>
    <mergeCell ref="A97:H97"/>
    <mergeCell ref="G91:H91"/>
    <mergeCell ref="A86:E86"/>
    <mergeCell ref="C92:D92"/>
    <mergeCell ref="E92:F92"/>
    <mergeCell ref="B98:B99"/>
    <mergeCell ref="A98:A99"/>
    <mergeCell ref="B164:H164"/>
    <mergeCell ref="B165:H165"/>
    <mergeCell ref="B158:H158"/>
    <mergeCell ref="C94:D94"/>
    <mergeCell ref="G94:H94"/>
    <mergeCell ref="A111:B111"/>
    <mergeCell ref="A113:B113"/>
    <mergeCell ref="A174:H177"/>
    <mergeCell ref="A173:B173"/>
    <mergeCell ref="E173:F173"/>
    <mergeCell ref="C173:D173"/>
    <mergeCell ref="G173:H173"/>
    <mergeCell ref="A90:H90"/>
    <mergeCell ref="A88:E88"/>
    <mergeCell ref="F88:H88"/>
    <mergeCell ref="A89:E89"/>
    <mergeCell ref="F89:H89"/>
    <mergeCell ref="A119:H119"/>
    <mergeCell ref="A95:B95"/>
    <mergeCell ref="A134:B134"/>
    <mergeCell ref="A92:B92"/>
    <mergeCell ref="A169:H169"/>
    <mergeCell ref="A93:H93"/>
    <mergeCell ref="A172:H172"/>
    <mergeCell ref="A170:H170"/>
    <mergeCell ref="A155:H155"/>
    <mergeCell ref="C98:C99"/>
    <mergeCell ref="A131:H131"/>
    <mergeCell ref="A106:B106"/>
    <mergeCell ref="B162:H162"/>
    <mergeCell ref="A166:H166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F83:H83"/>
    <mergeCell ref="A78:E78"/>
    <mergeCell ref="A100:H100"/>
    <mergeCell ref="E98:E99"/>
    <mergeCell ref="G98:H99"/>
    <mergeCell ref="F80:H80"/>
    <mergeCell ref="A80:E80"/>
    <mergeCell ref="A87:E87"/>
    <mergeCell ref="A82:E82"/>
    <mergeCell ref="F82:H82"/>
    <mergeCell ref="A83:E83"/>
    <mergeCell ref="A85:E85"/>
    <mergeCell ref="A84:E84"/>
    <mergeCell ref="A137:B137"/>
    <mergeCell ref="A136:B136"/>
    <mergeCell ref="A135:B135"/>
    <mergeCell ref="A132:B132"/>
    <mergeCell ref="A128:B128"/>
    <mergeCell ref="A129:B129"/>
    <mergeCell ref="A130:B130"/>
    <mergeCell ref="A124:B124"/>
    <mergeCell ref="G120:H130"/>
    <mergeCell ref="G132:H142"/>
    <mergeCell ref="E95:F95"/>
    <mergeCell ref="L107:M107"/>
    <mergeCell ref="L106:M106"/>
    <mergeCell ref="L105:M105"/>
    <mergeCell ref="L104:M104"/>
    <mergeCell ref="L103:M103"/>
    <mergeCell ref="L102:M102"/>
    <mergeCell ref="L101:M101"/>
    <mergeCell ref="G101:H117"/>
    <mergeCell ref="L108:M108"/>
    <mergeCell ref="L109:M109"/>
    <mergeCell ref="L110:M110"/>
    <mergeCell ref="L111:M111"/>
    <mergeCell ref="L112:M112"/>
    <mergeCell ref="L113:M113"/>
    <mergeCell ref="G95:H95"/>
    <mergeCell ref="L114:M114"/>
    <mergeCell ref="I158:O158"/>
    <mergeCell ref="B163:H163"/>
    <mergeCell ref="A45:B45"/>
    <mergeCell ref="C45:H45"/>
    <mergeCell ref="B161:H161"/>
    <mergeCell ref="F79:H79"/>
    <mergeCell ref="A79:E79"/>
    <mergeCell ref="D98:D99"/>
    <mergeCell ref="A81:E81"/>
    <mergeCell ref="A107:B107"/>
    <mergeCell ref="A101:B101"/>
    <mergeCell ref="A102:B102"/>
    <mergeCell ref="A103:B103"/>
    <mergeCell ref="A104:B104"/>
    <mergeCell ref="A105:B105"/>
    <mergeCell ref="B156:H156"/>
    <mergeCell ref="B157:H157"/>
    <mergeCell ref="B159:H159"/>
    <mergeCell ref="B160:H160"/>
    <mergeCell ref="A108:B108"/>
    <mergeCell ref="F81:H81"/>
    <mergeCell ref="F86:H86"/>
    <mergeCell ref="A74:B74"/>
    <mergeCell ref="C95:D9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6" max="16383" man="1"/>
    <brk id="121" max="7" man="1"/>
    <brk id="154" max="7" man="1"/>
    <brk id="177" max="16383" man="1"/>
    <brk id="21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C16" sqref="C16"/>
    </sheetView>
  </sheetViews>
  <sheetFormatPr defaultColWidth="8.7109375" defaultRowHeight="15" x14ac:dyDescent="0.25"/>
  <cols>
    <col min="1" max="1" width="8.710937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7109375" style="19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208" t="s">
        <v>113</v>
      </c>
      <c r="C3" s="208"/>
      <c r="D3" s="208"/>
      <c r="E3" s="208"/>
      <c r="F3" s="208"/>
      <c r="G3" s="208"/>
      <c r="H3" s="208"/>
    </row>
    <row r="4" spans="1:9" x14ac:dyDescent="0.25">
      <c r="A4" s="20"/>
      <c r="B4" s="21" t="s">
        <v>114</v>
      </c>
      <c r="C4" s="21" t="s">
        <v>115</v>
      </c>
      <c r="D4" s="21" t="s">
        <v>74</v>
      </c>
      <c r="E4" s="21" t="s">
        <v>116</v>
      </c>
      <c r="F4" s="21" t="s">
        <v>122</v>
      </c>
      <c r="G4" s="21" t="s">
        <v>123</v>
      </c>
      <c r="H4" s="21" t="s">
        <v>117</v>
      </c>
    </row>
    <row r="5" spans="1:9" ht="15" customHeight="1" x14ac:dyDescent="0.25">
      <c r="A5" s="20"/>
      <c r="B5" s="23" t="s">
        <v>118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25">
      <c r="A6" s="20"/>
      <c r="B6" s="23" t="s">
        <v>118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25">
      <c r="A7" s="20"/>
      <c r="B7" s="23" t="s">
        <v>118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118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118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119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25">
      <c r="A11" s="20"/>
      <c r="B11" s="23" t="s">
        <v>119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25">
      <c r="A12" s="20"/>
      <c r="B12" s="28" t="s">
        <v>120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25">
      <c r="A13" s="18"/>
      <c r="B13" s="28" t="s">
        <v>121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25">
      <c r="B14" s="18"/>
      <c r="C14" s="18"/>
      <c r="D14" s="18"/>
      <c r="E14" s="18"/>
    </row>
    <row r="15" spans="1:9" ht="15" customHeight="1" x14ac:dyDescent="0.25">
      <c r="B15" s="18"/>
      <c r="C15" s="18"/>
      <c r="D15" s="18"/>
      <c r="E15" s="18"/>
    </row>
    <row r="16" spans="1:9" ht="15" customHeight="1" x14ac:dyDescent="0.2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2025-09-10T08:52:06Z</cp:lastPrinted>
  <dcterms:created xsi:type="dcterms:W3CDTF">2019-07-16T09:29:46Z</dcterms:created>
  <dcterms:modified xsi:type="dcterms:W3CDTF">2025-09-10T08:53:16Z</dcterms:modified>
</cp:coreProperties>
</file>