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bookViews>
  <sheets>
    <sheet name="Report" sheetId="1" r:id="rId1"/>
    <sheet name="Flat detail" sheetId="3" r:id="rId2"/>
    <sheet name="Note" sheetId="4" r:id="rId3"/>
    <sheet name="valuation" sheetId="5" r:id="rId4"/>
  </sheets>
  <definedNames>
    <definedName name="_xlnm.Print_Area" localSheetId="0">Report!$A$1:$H$314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E3" i="1" l="1"/>
  <c r="D100" i="1" l="1"/>
  <c r="D99" i="1"/>
  <c r="J98" i="1"/>
  <c r="D98" i="1"/>
  <c r="J97" i="1"/>
  <c r="D97" i="1"/>
  <c r="J96" i="1"/>
  <c r="D96" i="1"/>
  <c r="J95" i="1"/>
  <c r="D95" i="1"/>
  <c r="D94" i="1"/>
  <c r="J93" i="1"/>
  <c r="J94" i="1" s="1"/>
  <c r="J99" i="1" s="1"/>
  <c r="J100" i="1" s="1"/>
  <c r="C92" i="1" s="1"/>
  <c r="E91" i="1" s="1"/>
  <c r="D93" i="1"/>
  <c r="J92" i="1"/>
  <c r="C91" i="1" s="1"/>
  <c r="D91" i="1" s="1"/>
  <c r="J91" i="1"/>
  <c r="J90" i="1"/>
  <c r="D86" i="1"/>
  <c r="D85" i="1"/>
  <c r="J84" i="1"/>
  <c r="D84" i="1"/>
  <c r="J83" i="1"/>
  <c r="D83" i="1"/>
  <c r="J82" i="1"/>
  <c r="D82" i="1"/>
  <c r="J81" i="1"/>
  <c r="D81" i="1"/>
  <c r="D80" i="1"/>
  <c r="J79" i="1"/>
  <c r="J80" i="1" s="1"/>
  <c r="J85" i="1" s="1"/>
  <c r="J86" i="1" s="1"/>
  <c r="C78" i="1" s="1"/>
  <c r="C79" i="1"/>
  <c r="D79" i="1" s="1"/>
  <c r="J78" i="1"/>
  <c r="C77" i="1" s="1"/>
  <c r="D77" i="1" s="1"/>
  <c r="J77" i="1"/>
  <c r="J76" i="1"/>
  <c r="J70" i="1"/>
  <c r="J69" i="1"/>
  <c r="J68" i="1"/>
  <c r="J67" i="1"/>
  <c r="G91" i="1" l="1"/>
  <c r="D92" i="1"/>
  <c r="I87" i="1"/>
  <c r="C89" i="1" s="1"/>
  <c r="D78" i="1"/>
  <c r="E77" i="1"/>
  <c r="I73" i="1" s="1"/>
  <c r="C75" i="1" s="1"/>
  <c r="G77" i="1"/>
  <c r="C65" i="1"/>
  <c r="D65" i="1" s="1"/>
  <c r="J63" i="1"/>
  <c r="J65" i="1"/>
  <c r="J66" i="1" s="1"/>
  <c r="J71" i="1" s="1"/>
  <c r="J72" i="1" s="1"/>
  <c r="C64" i="1" s="1"/>
  <c r="D69" i="1"/>
  <c r="D72" i="1"/>
  <c r="D70" i="1"/>
  <c r="D68" i="1"/>
  <c r="D66" i="1"/>
  <c r="J64" i="1"/>
  <c r="C63" i="1" s="1"/>
  <c r="J62" i="1"/>
  <c r="D71" i="1"/>
  <c r="D67" i="1"/>
  <c r="E63" i="1" l="1"/>
  <c r="D64" i="1"/>
  <c r="G63" i="1"/>
  <c r="D63" i="1"/>
  <c r="I59" i="1" l="1"/>
  <c r="C61" i="1" s="1"/>
  <c r="D51" i="1" l="1"/>
  <c r="I145" i="1"/>
  <c r="G166" i="1" l="1"/>
  <c r="D171" i="1"/>
  <c r="F171" i="1" s="1"/>
  <c r="D170" i="1"/>
  <c r="F170" i="1" s="1"/>
  <c r="D169" i="1"/>
  <c r="F169" i="1" s="1"/>
  <c r="D168" i="1"/>
  <c r="F168" i="1" s="1"/>
  <c r="D167" i="1"/>
  <c r="F167" i="1" s="1"/>
  <c r="D166" i="1"/>
  <c r="F166" i="1" s="1"/>
  <c r="G156" i="1"/>
  <c r="D162" i="1"/>
  <c r="F162" i="1" s="1"/>
  <c r="D161" i="1"/>
  <c r="F161" i="1" s="1"/>
  <c r="D160" i="1"/>
  <c r="F160" i="1" s="1"/>
  <c r="D159" i="1"/>
  <c r="F159" i="1" s="1"/>
  <c r="D158" i="1"/>
  <c r="F158" i="1" s="1"/>
  <c r="D157" i="1"/>
  <c r="F157" i="1" s="1"/>
  <c r="D156" i="1"/>
  <c r="F156" i="1" s="1"/>
  <c r="G147" i="1"/>
  <c r="D150" i="1"/>
  <c r="F150" i="1" s="1"/>
  <c r="D149" i="1"/>
  <c r="F149" i="1" s="1"/>
  <c r="D148" i="1"/>
  <c r="F148" i="1" s="1"/>
  <c r="D147" i="1"/>
  <c r="F147" i="1" s="1"/>
  <c r="D145" i="1"/>
  <c r="F145" i="1" s="1"/>
  <c r="D144" i="1"/>
  <c r="F144" i="1" s="1"/>
  <c r="D143" i="1"/>
  <c r="F143" i="1" s="1"/>
  <c r="I143" i="1" s="1"/>
  <c r="D142" i="1"/>
  <c r="F142" i="1" s="1"/>
  <c r="D141" i="1"/>
  <c r="F141" i="1" s="1"/>
  <c r="I141" i="1" s="1"/>
  <c r="D140" i="1"/>
  <c r="F140" i="1" s="1"/>
  <c r="I140" i="1" s="1"/>
  <c r="D138" i="1"/>
  <c r="F138" i="1" s="1"/>
  <c r="D137" i="1"/>
  <c r="F137" i="1" s="1"/>
  <c r="D136" i="1"/>
  <c r="F136" i="1" s="1"/>
  <c r="D135" i="1"/>
  <c r="F135" i="1" s="1"/>
  <c r="D134" i="1"/>
  <c r="F134" i="1" s="1"/>
  <c r="D133" i="1"/>
  <c r="F133" i="1" s="1"/>
  <c r="D132" i="1"/>
  <c r="F132" i="1" s="1"/>
  <c r="D131" i="1"/>
  <c r="F131" i="1" s="1"/>
  <c r="F122" i="1" l="1"/>
  <c r="F123" i="1"/>
  <c r="F118" i="1"/>
  <c r="F121" i="1"/>
  <c r="C121" i="1"/>
  <c r="C123" i="1"/>
  <c r="D122" i="1"/>
  <c r="D118" i="1"/>
  <c r="C122" i="1"/>
  <c r="C118" i="1"/>
  <c r="D121" i="1"/>
  <c r="D123" i="1"/>
  <c r="G6" i="5"/>
  <c r="G7" i="5"/>
  <c r="G5" i="5"/>
  <c r="F124" i="1" l="1"/>
  <c r="C124" i="1"/>
  <c r="D124" i="1"/>
  <c r="G12" i="5"/>
  <c r="E7" i="1" l="1"/>
  <c r="E40" i="1" l="1"/>
  <c r="D186" i="1" l="1"/>
  <c r="F115" i="1"/>
  <c r="G46" i="1"/>
  <c r="C46" i="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<sst xmlns="http://schemas.openxmlformats.org/spreadsheetml/2006/main" count="427" uniqueCount="274">
  <si>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</si>
  <si>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</si>
  <si>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</si>
  <si>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</si>
  <si>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</si>
  <si>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</si>
  <si>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</si>
  <si>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</si>
  <si>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</si>
  <si>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</si>
  <si>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</si>
  <si>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</si>
  <si>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</si>
  <si>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</si>
  <si>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</si>
  <si>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</si>
  <si>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</si>
  <si>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</si>
  <si>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</si>
  <si>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</si>
  <si>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</si>
  <si>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</si>
  <si>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</si>
  <si>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</si>
  <si>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</si>
  <si>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</si>
  <si>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</si>
  <si>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</si>
  <si>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</si>
  <si>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</si>
  <si>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</si>
  <si>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</si>
  <si>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</si>
  <si>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</si>
  <si>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</si>
  <si>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</si>
  <si>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</si>
  <si>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</si>
  <si>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</si>
  <si>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</si>
  <si>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</si>
  <si>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</si>
  <si>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</si>
  <si>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</si>
  <si>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</si>
  <si>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</si>
  <si>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</si>
  <si>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</si>
  <si>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</si>
  <si>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</si>
  <si>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</si>
  <si>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</si>
  <si>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</si>
  <si>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</si>
  <si>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</si>
  <si>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</si>
  <si>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</si>
  <si>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</si>
  <si>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</si>
  <si>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</si>
  <si>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</si>
  <si>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</si>
  <si>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</si>
  <si>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</si>
  <si>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</si>
  <si>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</si>
  <si>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</si>
  <si>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</si>
  <si>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</si>
  <si>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</si>
  <si>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</si>
  <si>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</si>
  <si>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</si>
  <si>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</si>
  <si>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</si>
  <si>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</si>
  <si>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</si>
  <si>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</si>
  <si>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</si>
  <si>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</si>
  <si>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</si>
  <si>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</si>
  <si>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</si>
  <si>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</si>
  <si>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</si>
  <si>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</si>
  <si>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</si>
  <si>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</si>
  <si>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</si>
  <si>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</si>
  <si>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</si>
  <si>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</si>
  <si>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</si>
  <si>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</si>
  <si>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</si>
  <si>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</si>
  <si>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</si>
  <si>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</si>
  <si>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</si>
  <si>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</si>
  <si>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</si>
  <si>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</si>
  <si>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</si>
  <si>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</si>
  <si>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</si>
  <si>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</si>
  <si>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</si>
  <si>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</si>
  <si>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</si>
  <si>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</si>
  <si>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</si>
  <si>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</si>
  <si>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</si>
  <si>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</si>
  <si>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</si>
  <si>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</si>
  <si>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</si>
  <si>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</si>
  <si>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</si>
  <si>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</si>
  <si>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</si>
  <si>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</si>
  <si>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</si>
  <si>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</si>
  <si>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</si>
  <si>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</si>
  <si>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</si>
  <si>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</si>
  <si>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</si>
  <si>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</si>
  <si>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</si>
  <si>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</si>
  <si>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</si>
  <si>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</si>
  <si>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</si>
  <si>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</si>
  <si>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</si>
  <si>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</si>
  <si>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Legal Services Charges</t>
  </si>
  <si>
    <t>Gas Connection Charges</t>
  </si>
  <si>
    <t>Water, Electricity, Drainages, Sewerage Connection</t>
  </si>
  <si>
    <t>Society Formation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</si>
  <si>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</si>
  <si>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</si>
  <si>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</si>
  <si>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</si>
  <si>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</si>
  <si>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</si>
  <si>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</si>
  <si>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</si>
  <si>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</si>
  <si>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</si>
  <si>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</si>
  <si>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</si>
  <si>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</si>
  <si>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</si>
  <si>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</si>
  <si>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Average</t>
  </si>
  <si>
    <t xml:space="preserve">Valuation Adopted </t>
  </si>
  <si>
    <t>Saleable Area</t>
  </si>
  <si>
    <t>Rate on Saleable</t>
  </si>
  <si>
    <t>Sai Rachana Apartment</t>
  </si>
  <si>
    <t>9930083662/9029999399</t>
  </si>
  <si>
    <t xml:space="preserve">P99000004057
</t>
  </si>
  <si>
    <t>Survey No</t>
  </si>
  <si>
    <t>Open Plot</t>
  </si>
  <si>
    <t xml:space="preserve"> Building</t>
  </si>
  <si>
    <t>Internal Road</t>
  </si>
  <si>
    <t>Padghe Road</t>
  </si>
  <si>
    <t>Palghar</t>
  </si>
  <si>
    <t>Thane</t>
  </si>
  <si>
    <t>Padgha</t>
  </si>
  <si>
    <t>Durgamata Mandir padghe</t>
  </si>
  <si>
    <t>2.1Km from Umroli Railway Station</t>
  </si>
  <si>
    <t>Middle Class</t>
  </si>
  <si>
    <t>Developing</t>
  </si>
  <si>
    <t>MAHSUL/KA-1/MEJ..1/B.SHE.P./S.R./C.R./351/2013</t>
  </si>
  <si>
    <t>MAHSULKAKSH.1TE.1ANAP/SR351/2013</t>
  </si>
  <si>
    <t>13/03/2014.</t>
  </si>
  <si>
    <t>Ground Floor for Commercial + Parking</t>
  </si>
  <si>
    <t>Shop</t>
  </si>
  <si>
    <t>Ground Floor</t>
  </si>
  <si>
    <t>1st &amp; 2nd Floor for Residential</t>
  </si>
  <si>
    <t>101, 201</t>
  </si>
  <si>
    <t>102, 202</t>
  </si>
  <si>
    <t>103, 203</t>
  </si>
  <si>
    <t>104, 204</t>
  </si>
  <si>
    <t>105, 205</t>
  </si>
  <si>
    <t>106, 206</t>
  </si>
  <si>
    <t>1BHK</t>
  </si>
  <si>
    <t>2BHK</t>
  </si>
  <si>
    <t>1st &amp; 2nd Floor</t>
  </si>
  <si>
    <t>Raised 2nd Floor (3rd Floor)</t>
  </si>
  <si>
    <t>Natural Terrace</t>
  </si>
  <si>
    <t>Ground Floor for Parking</t>
  </si>
  <si>
    <t>1st to 2nd &amp; Raised 2nd Floor (3rd Floor)</t>
  </si>
  <si>
    <t>Wing C (Type - A15)</t>
  </si>
  <si>
    <t xml:space="preserve">101, 201, 301 </t>
  </si>
  <si>
    <t>102, 202, 302</t>
  </si>
  <si>
    <t>103, 203, 303</t>
  </si>
  <si>
    <t>104, 204, 304</t>
  </si>
  <si>
    <t>105, 205, 305</t>
  </si>
  <si>
    <t>106, 206, 306</t>
  </si>
  <si>
    <t>1st, 2nd &amp; Raised 2nd Floor (3rd Floor)</t>
  </si>
  <si>
    <t>Wheather the construction is as per approved Building plan : Under Construction</t>
  </si>
  <si>
    <t>Approved Plans, CC, Sale Plans</t>
  </si>
  <si>
    <t>Wing A</t>
  </si>
  <si>
    <t>Wing B</t>
  </si>
  <si>
    <t xml:space="preserve">Wing C </t>
  </si>
  <si>
    <t>Veer 4 Apartment - 1.5KM</t>
  </si>
  <si>
    <t>Parasnath nagari  - 1.7km</t>
  </si>
  <si>
    <t>Shubham Garden  - 2.7Km</t>
  </si>
  <si>
    <t>Proptiger</t>
  </si>
  <si>
    <t>99acres</t>
  </si>
  <si>
    <t xml:space="preserve">Magic Brick </t>
  </si>
  <si>
    <t>Axis Garegaon</t>
  </si>
  <si>
    <t>M/s. Singh enterprises Builders &amp; developers</t>
  </si>
  <si>
    <t>Building No.3</t>
  </si>
  <si>
    <t>Flats - 55, Shops - 8</t>
  </si>
  <si>
    <t>NA order cum Commencement Certificate No.</t>
  </si>
  <si>
    <t xml:space="preserve">101 to 301 </t>
  </si>
  <si>
    <t>102 to 302</t>
  </si>
  <si>
    <t>103 to 303</t>
  </si>
  <si>
    <t>104 to 304</t>
  </si>
  <si>
    <t>105 to 305</t>
  </si>
  <si>
    <t>106 to 306</t>
  </si>
  <si>
    <t>107 to 307</t>
  </si>
  <si>
    <t>Flat/Shop No.
(Sale plan)</t>
  </si>
  <si>
    <r>
      <t xml:space="preserve">Flat/Shop No.
</t>
    </r>
    <r>
      <rPr>
        <b/>
        <sz val="11"/>
        <color indexed="8"/>
        <rFont val="Times New Roman"/>
        <family val="1"/>
      </rPr>
      <t>(Approved plan)</t>
    </r>
  </si>
  <si>
    <t>75000/-</t>
  </si>
  <si>
    <t>Valid Up to: Building No.3 = 
Type A10 - Wing A = Gr + 1st to Rasied 2nd Floor (3rd) Floor
Type F - Wing B = Gr + 1st to Rasied 2nd Floor (3rd) Floor
Type A15 - Wing C = Gr + 1st to Rasied 2nd Floor (3rd) Floor</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</si>
  <si>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</si>
  <si>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</si>
  <si>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</si>
  <si>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</si>
  <si>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</si>
  <si>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</si>
  <si>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</si>
  <si>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</si>
  <si>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</si>
  <si>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</si>
  <si>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</si>
  <si>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</si>
  <si>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</si>
  <si>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</si>
  <si>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</si>
  <si>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</si>
  <si>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</si>
  <si>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</si>
  <si>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Type A10 - Wing A = Gr + 1st to Rasied 2nd Floor (3rd) Floor</t>
  </si>
  <si>
    <t>Type F - Wing B = Gr + 1st to Rasied 2nd Floor (3rd) Floor</t>
  </si>
  <si>
    <t>Type A15 - Wing C = Gr + 1st to Rasied 2nd Floor (3rd) Floor</t>
  </si>
  <si>
    <t xml:space="preserve">Cement, Aggregate, Steel, etc </t>
  </si>
  <si>
    <t>Building No.3 = 
Type A10 - Wing A = Gr + 1st to Rasied 2nd Floor (3rd) Floor
Type F - Wing B = Gr + 1st to Rasied 2nd Floor (3rd) Floor
Type A15 - Wing C = Gr + 1st to Rasied 2nd Floor (3rd) Floor</t>
  </si>
  <si>
    <t>s</t>
  </si>
  <si>
    <t>150000/-</t>
  </si>
  <si>
    <t>60000/-</t>
  </si>
  <si>
    <t>Advance Maintenance Charges (2 yrs)</t>
  </si>
  <si>
    <t>50000/-</t>
  </si>
  <si>
    <t>35000/-</t>
  </si>
  <si>
    <t>Location Link</t>
  </si>
  <si>
    <t>https://goo.gl/maps/T4xRYxUqJzBBeqPx8?coh=178572&amp;entry=tt</t>
  </si>
  <si>
    <t>Office No. 1031, Wing J, Akshar Business Park, Plot No. 03 Sector 25, Near APMC Market,
Vashi, Navi Mumbai, Maharashtra 400703 TEL: 022-46090378/79/80                                                                                             E mail : vsjcapf@gmail.com. Web site : www.vsjadon.com</t>
  </si>
  <si>
    <t>Contact Details ( Name &amp; Contact No.)</t>
  </si>
  <si>
    <t>As per RERA - 31/12/2025</t>
  </si>
  <si>
    <t>Wing B (Type F)</t>
  </si>
  <si>
    <t>Wing A (Type A 10)</t>
  </si>
  <si>
    <t>Building No.3
Type A10 - Wing A
Type F - Wing B
Type A15 - Wing C</t>
  </si>
  <si>
    <t>Layout:</t>
  </si>
  <si>
    <t>10/03/2014.</t>
  </si>
  <si>
    <t>03 Buildings</t>
  </si>
  <si>
    <t>Harshad Pawade</t>
  </si>
  <si>
    <t>Pranita Mhatre</t>
  </si>
  <si>
    <t xml:space="preserve">1. Wing A = Some flats are occupied by tenants but work is same as last visit (16/05/2023). lift work pending 
Wing B = Work is same as last visit (16/05/2023). lift work pending.(Labour not found).
Wing  C = Work is same as last visit (05/02/2024).(Labour not found).
2. We considered  Saleable area  as per our calculation.
3. We considered Carpet area as per Approved Plan.
4. We considered Gross carpet area = Net carpet + Enclose balcony.
5. Recommended rate should be considered as all inclusive rate if other charges are not mentioned. (Excluding GST &amp; other government Taxes).
6. We have considered rate by verifying it from market inquire.
7. Car parking is subjected to authentic documentation.
8. Since the project has received first CC on 13/03/2014, but still project work is pending.
9. Lift work is pending in all wings. As per conversation with builder, he has applied for Further CC (i.e. for 4th Floor) after receiving further CC Lift work will be completed
10. Internal Visit was not allowed in this Project. Photoghraphs are taken externally.
11. As per observation and market feedback some flats have became NPA. Please check from your end before any disbursement.
7. On Site, we meet Mr. Chandan Gupta(9359844543).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</si>
</sst>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1" fillId="0" borderId="0"/>
    <xf numFmtId="0" fontId="22" fillId="0" borderId="0" applyNumberFormat="0" applyFill="0" applyBorder="0" applyAlignment="0" applyProtection="0"/>
  </cellStyleXfs>
  <cellXfs count="163">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top"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1" fontId="7"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0" fontId="8" fillId="0" borderId="12" xfId="1" applyFont="1" applyBorder="1" applyProtection="1">
      <protection hidden="1"/>
    </xf>
    <xf numFmtId="0" fontId="8" fillId="0" borderId="13" xfId="1" applyFont="1" applyBorder="1" applyProtection="1">
      <protection hidden="1"/>
    </xf>
    <xf numFmtId="0" fontId="8" fillId="0" borderId="13" xfId="1" applyFont="1" applyBorder="1"/>
    <xf numFmtId="9" fontId="18" fillId="0" borderId="0" xfId="0" applyNumberFormat="1" applyFont="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8" fillId="2" borderId="1" xfId="1" applyFont="1" applyFill="1" applyBorder="1" applyAlignment="1" applyProtection="1">
      <alignment horizontal="left" vertical="top"/>
      <protection locked="0"/>
    </xf>
    <xf numFmtId="0" fontId="8" fillId="2" borderId="1" xfId="1" applyFont="1" applyFill="1" applyBorder="1" applyAlignment="1" applyProtection="1">
      <alignment vertical="top"/>
      <protection locked="0"/>
    </xf>
    <xf numFmtId="0" fontId="11" fillId="2" borderId="1" xfId="1" applyFont="1" applyFill="1" applyBorder="1" applyAlignment="1" applyProtection="1">
      <alignment horizontal="left" vertical="top"/>
      <protection locked="0"/>
    </xf>
    <xf numFmtId="1" fontId="7" fillId="0" borderId="9" xfId="1" applyNumberFormat="1" applyFont="1" applyBorder="1" applyAlignment="1" applyProtection="1">
      <alignment horizontal="center" vertical="center" wrapText="1"/>
      <protection locked="0"/>
    </xf>
    <xf numFmtId="0" fontId="18" fillId="0" borderId="0" xfId="0" applyFont="1" applyProtection="1">
      <protection hidden="1"/>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1" fillId="0" borderId="1" xfId="5" applyFont="1" applyBorder="1" applyAlignment="1">
      <alignment horizontal="left" vertical="center" wrapText="1"/>
    </xf>
    <xf numFmtId="1" fontId="11" fillId="0" borderId="1" xfId="0" applyNumberFormat="1" applyFont="1" applyBorder="1" applyAlignment="1" applyProtection="1">
      <alignment horizontal="center" vertical="center"/>
      <protection locked="0"/>
    </xf>
    <xf numFmtId="0" fontId="13" fillId="0" borderId="1" xfId="1" applyFont="1" applyBorder="1" applyAlignment="1" applyProtection="1">
      <alignment horizontal="center" vertical="top"/>
      <protection locked="0"/>
    </xf>
    <xf numFmtId="0" fontId="8" fillId="0" borderId="11" xfId="1" applyFont="1" applyBorder="1" applyProtection="1">
      <protection hidden="1"/>
    </xf>
    <xf numFmtId="0" fontId="18" fillId="0" borderId="13" xfId="0" applyFont="1" applyBorder="1" applyProtection="1">
      <protection hidden="1"/>
    </xf>
    <xf numFmtId="1" fontId="0" fillId="0" borderId="13" xfId="0" applyNumberFormat="1" applyBorder="1"/>
    <xf numFmtId="1" fontId="0" fillId="0" borderId="13" xfId="0" applyNumberFormat="1" applyBorder="1" applyAlignment="1">
      <alignment horizontal="right"/>
    </xf>
    <xf numFmtId="0" fontId="18" fillId="0" borderId="14" xfId="0" applyFont="1" applyBorder="1" applyProtection="1">
      <protection hidden="1"/>
    </xf>
    <xf numFmtId="1" fontId="0" fillId="0" borderId="15" xfId="0" applyNumberFormat="1" applyBorder="1"/>
    <xf numFmtId="0" fontId="13" fillId="0" borderId="5"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9" fontId="13" fillId="2" borderId="1" xfId="1" applyNumberFormat="1" applyFont="1" applyFill="1" applyBorder="1" applyAlignment="1" applyProtection="1">
      <alignment horizontal="center" vertical="center" wrapText="1"/>
      <protection hidden="1"/>
    </xf>
    <xf numFmtId="1" fontId="13" fillId="0" borderId="1" xfId="1" applyNumberFormat="1" applyFont="1" applyBorder="1" applyAlignment="1" applyProtection="1">
      <alignment horizontal="center" wrapText="1"/>
      <protection locked="0"/>
    </xf>
    <xf numFmtId="0" fontId="13" fillId="0" borderId="4" xfId="1" applyFont="1" applyBorder="1" applyAlignment="1" applyProtection="1">
      <alignment horizontal="center" vertical="top"/>
      <protection locked="0"/>
    </xf>
    <xf numFmtId="0" fontId="13" fillId="0" borderId="7" xfId="1" applyFont="1" applyBorder="1" applyAlignment="1" applyProtection="1">
      <alignment horizontal="center" wrapText="1"/>
      <protection locked="0"/>
    </xf>
    <xf numFmtId="9" fontId="13" fillId="2" borderId="7" xfId="1" applyNumberFormat="1" applyFont="1" applyFill="1" applyBorder="1" applyAlignment="1" applyProtection="1">
      <alignment horizontal="center" vertical="center" wrapText="1"/>
      <protection hidden="1"/>
    </xf>
    <xf numFmtId="0" fontId="22" fillId="0" borderId="9" xfId="8" applyBorder="1" applyAlignment="1" applyProtection="1">
      <alignment horizontal="center"/>
      <protection locked="0"/>
    </xf>
    <xf numFmtId="0" fontId="8" fillId="0" borderId="16" xfId="1" applyFont="1" applyBorder="1" applyAlignment="1" applyProtection="1">
      <alignment horizontal="center"/>
      <protection locked="0"/>
    </xf>
    <xf numFmtId="0" fontId="8" fillId="0" borderId="10" xfId="1" applyFont="1" applyBorder="1" applyAlignment="1" applyProtection="1">
      <alignment horizontal="center"/>
      <protection locked="0"/>
    </xf>
    <xf numFmtId="1" fontId="9" fillId="0" borderId="1" xfId="0" applyNumberFormat="1" applyFont="1" applyBorder="1" applyAlignment="1" applyProtection="1">
      <alignment horizontal="center" vertical="top" wrapText="1"/>
      <protection locked="0"/>
    </xf>
    <xf numFmtId="1" fontId="7" fillId="0" borderId="17"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22"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9" fillId="0" borderId="16" xfId="1" applyNumberFormat="1" applyFont="1" applyBorder="1" applyAlignment="1" applyProtection="1">
      <alignment horizontal="center" vertical="center" wrapText="1"/>
      <protection locked="0"/>
    </xf>
    <xf numFmtId="1" fontId="9" fillId="0" borderId="10"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14" fillId="0" borderId="9" xfId="1" applyNumberFormat="1" applyFont="1" applyBorder="1" applyAlignment="1" applyProtection="1">
      <alignment horizontal="center" vertical="center" wrapText="1"/>
      <protection locked="0"/>
    </xf>
    <xf numFmtId="1" fontId="14" fillId="0" borderId="16" xfId="1" applyNumberFormat="1" applyFont="1" applyBorder="1" applyAlignment="1" applyProtection="1">
      <alignment horizontal="center" vertical="center" wrapText="1"/>
      <protection locked="0"/>
    </xf>
    <xf numFmtId="1" fontId="14" fillId="0" borderId="10"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1" fontId="9" fillId="0" borderId="1" xfId="0" applyNumberFormat="1" applyFont="1" applyBorder="1" applyAlignment="1" applyProtection="1">
      <alignment horizontal="left" vertical="top" wrapText="1"/>
      <protection locked="0"/>
    </xf>
    <xf numFmtId="1" fontId="7" fillId="0" borderId="9" xfId="1" applyNumberFormat="1" applyFont="1" applyBorder="1" applyAlignment="1" applyProtection="1">
      <alignment horizontal="center" vertical="center" wrapText="1"/>
      <protection locked="0"/>
    </xf>
    <xf numFmtId="1" fontId="7" fillId="0" borderId="10"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wrapText="1"/>
      <protection locked="0"/>
    </xf>
    <xf numFmtId="0" fontId="8" fillId="0" borderId="3"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3" fillId="2" borderId="9" xfId="1" applyFont="1" applyFill="1" applyBorder="1" applyAlignment="1" applyProtection="1">
      <alignment horizontal="left" vertical="top"/>
      <protection locked="0"/>
    </xf>
    <xf numFmtId="0" fontId="13" fillId="2" borderId="16" xfId="1" applyFont="1" applyFill="1" applyBorder="1" applyAlignment="1" applyProtection="1">
      <alignment horizontal="left" vertical="top"/>
      <protection locked="0"/>
    </xf>
    <xf numFmtId="0" fontId="13" fillId="2" borderId="10" xfId="1" applyFont="1" applyFill="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14" fillId="0" borderId="27" xfId="1" applyFont="1" applyBorder="1" applyAlignment="1" applyProtection="1">
      <alignment horizontal="left" vertical="top" wrapText="1"/>
      <protection locked="0"/>
    </xf>
    <xf numFmtId="0" fontId="14" fillId="0" borderId="28"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4" xfId="1" applyFont="1" applyBorder="1" applyAlignment="1" applyProtection="1">
      <alignment horizontal="left" vertical="top"/>
      <protection locked="0"/>
    </xf>
    <xf numFmtId="0" fontId="14" fillId="0" borderId="5" xfId="1" applyFont="1" applyBorder="1" applyAlignment="1" applyProtection="1">
      <alignment horizontal="left" vertical="top" wrapText="1"/>
      <protection locked="0"/>
    </xf>
    <xf numFmtId="0" fontId="13"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5"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9" fontId="13" fillId="2" borderId="7" xfId="1" applyNumberFormat="1" applyFont="1" applyFill="1" applyBorder="1" applyAlignment="1" applyProtection="1">
      <alignment horizontal="center" vertical="center" wrapText="1"/>
      <protection hidden="1"/>
    </xf>
    <xf numFmtId="9" fontId="13" fillId="2" borderId="5" xfId="1" applyNumberFormat="1" applyFont="1" applyFill="1" applyBorder="1" applyAlignment="1" applyProtection="1">
      <alignment horizontal="center" vertical="center" wrapText="1"/>
      <protection hidden="1"/>
    </xf>
    <xf numFmtId="9" fontId="13" fillId="2" borderId="8" xfId="1" applyNumberFormat="1" applyFont="1" applyFill="1" applyBorder="1" applyAlignment="1" applyProtection="1">
      <alignment horizontal="center" vertical="center" wrapText="1"/>
      <protection hidden="1"/>
    </xf>
    <xf numFmtId="0" fontId="13" fillId="0" borderId="4"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4" fontId="13"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1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0" fontId="13" fillId="0" borderId="1" xfId="1" applyFont="1" applyBorder="1" applyAlignment="1" applyProtection="1">
      <alignment horizontal="left"/>
      <protection locked="0"/>
    </xf>
    <xf numFmtId="2" fontId="7"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center" wrapText="1"/>
      <protection locked="0"/>
    </xf>
    <xf numFmtId="0" fontId="13" fillId="0" borderId="1" xfId="1" applyFont="1" applyBorder="1" applyAlignment="1" applyProtection="1">
      <alignment horizontal="center"/>
      <protection locked="0"/>
    </xf>
    <xf numFmtId="2" fontId="7" fillId="0" borderId="1"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13" fillId="2" borderId="1" xfId="1" applyFont="1" applyFill="1" applyBorder="1" applyAlignment="1" applyProtection="1">
      <alignment horizontal="left" vertical="top" wrapText="1"/>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1" fontId="7" fillId="0" borderId="23"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center"/>
      <protection locked="0"/>
    </xf>
    <xf numFmtId="0" fontId="11" fillId="0" borderId="9" xfId="1" applyFont="1" applyBorder="1" applyAlignment="1" applyProtection="1">
      <alignment horizontal="left" vertical="top" wrapText="1"/>
      <protection locked="0"/>
    </xf>
    <xf numFmtId="0" fontId="11" fillId="0" borderId="10"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0" fontId="11" fillId="2" borderId="1" xfId="1" applyFont="1" applyFill="1" applyBorder="1" applyAlignment="1" applyProtection="1">
      <alignment horizontal="left" vertical="top"/>
      <protection locked="0"/>
    </xf>
    <xf numFmtId="14" fontId="8" fillId="0" borderId="1" xfId="1" applyNumberFormat="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2" borderId="1" xfId="1" applyFont="1" applyFill="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13" fillId="0" borderId="6" xfId="1" applyFont="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protection locked="0"/>
    </xf>
    <xf numFmtId="0" fontId="7" fillId="0" borderId="1" xfId="1" applyFont="1" applyBorder="1" applyAlignment="1" applyProtection="1">
      <alignment horizontal="center" vertical="top"/>
      <protection locked="0"/>
    </xf>
    <xf numFmtId="164" fontId="7" fillId="0" borderId="1" xfId="1" applyNumberFormat="1" applyFont="1" applyBorder="1" applyAlignment="1" applyProtection="1">
      <alignment horizontal="left" vertical="top"/>
      <protection locked="0"/>
    </xf>
    <xf numFmtId="0" fontId="9" fillId="0" borderId="1" xfId="1" applyFont="1" applyBorder="1" applyAlignment="1" applyProtection="1">
      <alignment vertical="top"/>
      <protection locked="0"/>
    </xf>
    <xf numFmtId="0" fontId="13" fillId="2" borderId="9" xfId="1" applyFont="1" applyFill="1" applyBorder="1" applyAlignment="1" applyProtection="1">
      <alignment horizontal="left" vertical="top" wrapText="1"/>
      <protection locked="0"/>
    </xf>
    <xf numFmtId="0" fontId="13" fillId="2" borderId="16" xfId="1" applyFont="1" applyFill="1" applyBorder="1" applyAlignment="1" applyProtection="1">
      <alignment horizontal="left" vertical="top" wrapText="1"/>
      <protection locked="0"/>
    </xf>
    <xf numFmtId="0" fontId="13" fillId="2" borderId="10" xfId="1" applyFont="1" applyFill="1" applyBorder="1" applyAlignment="1" applyProtection="1">
      <alignment horizontal="left" vertical="top"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xf numFmtId="0" fontId="14" fillId="0" borderId="1" xfId="2" applyFont="1" applyBorder="1" applyAlignment="1" applyProtection="1">
      <alignment horizontal="left" vertical="top" wrapText="1"/>
      <protection locked="0"/>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275</xdr:row>
      <xdr:rowOff>16247</xdr:rowOff>
    </xdr:from>
    <xdr:to>
      <xdr:col>6</xdr:col>
      <xdr:colOff>609600</xdr:colOff>
      <xdr:row>289</xdr:row>
      <xdr:rowOff>72363</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00100" y="54365897"/>
          <a:ext cx="4695825" cy="2856466"/>
        </a:xfrm>
        <a:prstGeom prst="rect">
          <a:avLst/>
        </a:prstGeom>
        <a:ln>
          <a:solidFill>
            <a:schemeClr val="tx1"/>
          </a:solidFill>
        </a:ln>
      </xdr:spPr>
    </xdr:pic>
    <xdr:clientData/>
  </xdr:twoCellAnchor>
  <xdr:twoCellAnchor>
    <xdr:from>
      <xdr:col>8</xdr:col>
      <xdr:colOff>1046069</xdr:colOff>
      <xdr:row>187</xdr:row>
      <xdr:rowOff>15688</xdr:rowOff>
    </xdr:from>
    <xdr:to>
      <xdr:col>9</xdr:col>
      <xdr:colOff>281129</xdr:colOff>
      <xdr:row>188</xdr:row>
      <xdr:rowOff>80223</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8229040" y="46060659"/>
          <a:ext cx="602177" cy="26624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100" b="1" cap="none" spc="0">
              <a:ln w="0"/>
              <a:solidFill>
                <a:srgbClr val="C00000"/>
              </a:solidFill>
              <a:effectLst>
                <a:outerShdw blurRad="38100" dist="19050" dir="2700000" algn="tl" rotWithShape="0">
                  <a:schemeClr val="dk1">
                    <a:alpha val="40000"/>
                  </a:schemeClr>
                </a:outerShdw>
              </a:effectLst>
            </a:rPr>
            <a:t>Wing A</a:t>
          </a:r>
        </a:p>
      </xdr:txBody>
    </xdr:sp>
    <xdr:clientData/>
  </xdr:twoCellAnchor>
  <xdr:twoCellAnchor>
    <xdr:from>
      <xdr:col>11</xdr:col>
      <xdr:colOff>508187</xdr:colOff>
      <xdr:row>187</xdr:row>
      <xdr:rowOff>44263</xdr:rowOff>
    </xdr:from>
    <xdr:to>
      <xdr:col>12</xdr:col>
      <xdr:colOff>505246</xdr:colOff>
      <xdr:row>188</xdr:row>
      <xdr:rowOff>108798</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0324540" y="46089234"/>
          <a:ext cx="602177" cy="26624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100" b="1" cap="none" spc="0">
              <a:ln w="0"/>
              <a:solidFill>
                <a:srgbClr val="C00000"/>
              </a:solidFill>
              <a:effectLst>
                <a:outerShdw blurRad="38100" dist="19050" dir="2700000" algn="tl" rotWithShape="0">
                  <a:schemeClr val="dk1">
                    <a:alpha val="40000"/>
                  </a:schemeClr>
                </a:outerShdw>
              </a:effectLst>
            </a:rPr>
            <a:t>Wing B</a:t>
          </a:r>
        </a:p>
      </xdr:txBody>
    </xdr:sp>
    <xdr:clientData/>
  </xdr:twoCellAnchor>
  <xdr:twoCellAnchor>
    <xdr:from>
      <xdr:col>16</xdr:col>
      <xdr:colOff>0</xdr:colOff>
      <xdr:row>187</xdr:row>
      <xdr:rowOff>25213</xdr:rowOff>
    </xdr:from>
    <xdr:to>
      <xdr:col>16</xdr:col>
      <xdr:colOff>599936</xdr:colOff>
      <xdr:row>188</xdr:row>
      <xdr:rowOff>89748</xdr:rowOff>
    </xdr:to>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12841941" y="46070184"/>
          <a:ext cx="599936" cy="26624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100" b="1" cap="none" spc="0">
              <a:ln w="0"/>
              <a:solidFill>
                <a:srgbClr val="C00000"/>
              </a:solidFill>
              <a:effectLst>
                <a:outerShdw blurRad="38100" dist="19050" dir="2700000" algn="tl" rotWithShape="0">
                  <a:schemeClr val="dk1">
                    <a:alpha val="40000"/>
                  </a:schemeClr>
                </a:outerShdw>
              </a:effectLst>
            </a:rPr>
            <a:t>Wing C</a:t>
          </a:r>
        </a:p>
      </xdr:txBody>
    </xdr:sp>
    <xdr:clientData/>
  </xdr:twoCellAnchor>
  <xdr:twoCellAnchor>
    <xdr:from>
      <xdr:col>8</xdr:col>
      <xdr:colOff>1350869</xdr:colOff>
      <xdr:row>202</xdr:row>
      <xdr:rowOff>25213</xdr:rowOff>
    </xdr:from>
    <xdr:to>
      <xdr:col>9</xdr:col>
      <xdr:colOff>585929</xdr:colOff>
      <xdr:row>203</xdr:row>
      <xdr:rowOff>89748</xdr:rowOff>
    </xdr:to>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8533840" y="49095772"/>
          <a:ext cx="602177" cy="2662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100" b="1" cap="none" spc="0">
              <a:ln w="0"/>
              <a:solidFill>
                <a:srgbClr val="C00000"/>
              </a:solidFill>
              <a:effectLst>
                <a:outerShdw blurRad="38100" dist="19050" dir="2700000" algn="tl" rotWithShape="0">
                  <a:schemeClr val="dk1">
                    <a:alpha val="40000"/>
                  </a:schemeClr>
                </a:outerShdw>
              </a:effectLst>
            </a:rPr>
            <a:t>Wing C</a:t>
          </a:r>
        </a:p>
      </xdr:txBody>
    </xdr:sp>
    <xdr:clientData/>
  </xdr:twoCellAnchor>
  <xdr:twoCellAnchor>
    <xdr:from>
      <xdr:col>10</xdr:col>
      <xdr:colOff>252133</xdr:colOff>
      <xdr:row>202</xdr:row>
      <xdr:rowOff>139513</xdr:rowOff>
    </xdr:from>
    <xdr:to>
      <xdr:col>11</xdr:col>
      <xdr:colOff>247511</xdr:colOff>
      <xdr:row>204</xdr:row>
      <xdr:rowOff>4023</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9463368" y="49210072"/>
          <a:ext cx="600496" cy="26792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100" b="1" cap="none" spc="0">
              <a:ln w="0"/>
              <a:solidFill>
                <a:srgbClr val="C00000"/>
              </a:solidFill>
              <a:effectLst>
                <a:outerShdw blurRad="38100" dist="19050" dir="2700000" algn="tl" rotWithShape="0">
                  <a:schemeClr val="dk1">
                    <a:alpha val="40000"/>
                  </a:schemeClr>
                </a:outerShdw>
              </a:effectLst>
            </a:rPr>
            <a:t>Wing C</a:t>
          </a:r>
        </a:p>
      </xdr:txBody>
    </xdr:sp>
    <xdr:clientData/>
  </xdr:twoCellAnchor>
  <xdr:twoCellAnchor>
    <xdr:from>
      <xdr:col>14</xdr:col>
      <xdr:colOff>330574</xdr:colOff>
      <xdr:row>202</xdr:row>
      <xdr:rowOff>101413</xdr:rowOff>
    </xdr:from>
    <xdr:to>
      <xdr:col>15</xdr:col>
      <xdr:colOff>325391</xdr:colOff>
      <xdr:row>203</xdr:row>
      <xdr:rowOff>165948</xdr:rowOff>
    </xdr:to>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11962280" y="49171972"/>
          <a:ext cx="599935" cy="2662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100" b="1" cap="none" spc="0">
              <a:ln w="0"/>
              <a:solidFill>
                <a:srgbClr val="C00000"/>
              </a:solidFill>
              <a:effectLst>
                <a:outerShdw blurRad="38100" dist="19050" dir="2700000" algn="tl" rotWithShape="0">
                  <a:schemeClr val="dk1">
                    <a:alpha val="40000"/>
                  </a:schemeClr>
                </a:outerShdw>
              </a:effectLst>
            </a:rPr>
            <a:t>Wing A</a:t>
          </a:r>
        </a:p>
      </xdr:txBody>
    </xdr:sp>
    <xdr:clientData/>
  </xdr:twoCellAnchor>
  <xdr:twoCellAnchor editAs="oneCell">
    <xdr:from>
      <xdr:col>0</xdr:col>
      <xdr:colOff>495299</xdr:colOff>
      <xdr:row>241</xdr:row>
      <xdr:rowOff>161924</xdr:rowOff>
    </xdr:from>
    <xdr:to>
      <xdr:col>7</xdr:col>
      <xdr:colOff>855764</xdr:colOff>
      <xdr:row>265</xdr:row>
      <xdr:rowOff>41324</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a:stretch>
          <a:fillRect/>
        </a:stretch>
      </xdr:blipFill>
      <xdr:spPr>
        <a:xfrm>
          <a:off x="495299" y="56711849"/>
          <a:ext cx="6027840" cy="4680000"/>
        </a:xfrm>
        <a:prstGeom prst="rect">
          <a:avLst/>
        </a:prstGeom>
        <a:ln>
          <a:solidFill>
            <a:schemeClr val="tx1"/>
          </a:solidFill>
        </a:ln>
      </xdr:spPr>
    </xdr:pic>
    <xdr:clientData/>
  </xdr:twoCellAnchor>
  <xdr:twoCellAnchor editAs="oneCell">
    <xdr:from>
      <xdr:col>0</xdr:col>
      <xdr:colOff>304800</xdr:colOff>
      <xdr:row>290</xdr:row>
      <xdr:rowOff>76200</xdr:rowOff>
    </xdr:from>
    <xdr:to>
      <xdr:col>7</xdr:col>
      <xdr:colOff>624157</xdr:colOff>
      <xdr:row>312</xdr:row>
      <xdr:rowOff>144133</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304800" y="66427350"/>
          <a:ext cx="5986732" cy="4468483"/>
        </a:xfrm>
        <a:prstGeom prst="rect">
          <a:avLst/>
        </a:prstGeom>
        <a:ln>
          <a:solidFill>
            <a:schemeClr val="tx1"/>
          </a:solidFill>
        </a:ln>
      </xdr:spPr>
    </xdr:pic>
    <xdr:clientData/>
  </xdr:twoCellAnchor>
  <xdr:twoCellAnchor editAs="oneCell">
    <xdr:from>
      <xdr:col>15</xdr:col>
      <xdr:colOff>350744</xdr:colOff>
      <xdr:row>220</xdr:row>
      <xdr:rowOff>11846</xdr:rowOff>
    </xdr:from>
    <xdr:to>
      <xdr:col>18</xdr:col>
      <xdr:colOff>288471</xdr:colOff>
      <xdr:row>231</xdr:row>
      <xdr:rowOff>157279</xdr:rowOff>
    </xdr:to>
    <xdr:pic>
      <xdr:nvPicPr>
        <xdr:cNvPr id="20" name="Picture 19" descr="https://vsjcllp.vsjadon.com/upload/insp-210942-1525.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2571319" y="52675571"/>
          <a:ext cx="1766527" cy="234570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695326</xdr:colOff>
      <xdr:row>184</xdr:row>
      <xdr:rowOff>1500</xdr:rowOff>
    </xdr:from>
    <xdr:to>
      <xdr:col>18</xdr:col>
      <xdr:colOff>304800</xdr:colOff>
      <xdr:row>229</xdr:row>
      <xdr:rowOff>149610</xdr:rowOff>
    </xdr:to>
    <xdr:grpSp>
      <xdr:nvGrpSpPr>
        <xdr:cNvPr id="3" name="Group 2"/>
        <xdr:cNvGrpSpPr/>
      </xdr:nvGrpSpPr>
      <xdr:grpSpPr>
        <a:xfrm>
          <a:off x="7848601" y="44873775"/>
          <a:ext cx="6505574" cy="9149235"/>
          <a:chOff x="314326" y="45369075"/>
          <a:chExt cx="6505574" cy="9149235"/>
        </a:xfrm>
      </xdr:grpSpPr>
      <xdr:grpSp>
        <xdr:nvGrpSpPr>
          <xdr:cNvPr id="2" name="Group 1"/>
          <xdr:cNvGrpSpPr/>
        </xdr:nvGrpSpPr>
        <xdr:grpSpPr>
          <a:xfrm>
            <a:off x="314326" y="45369075"/>
            <a:ext cx="6505574" cy="9149235"/>
            <a:chOff x="314326" y="45369075"/>
            <a:chExt cx="6505574" cy="9149235"/>
          </a:xfrm>
        </xdr:grpSpPr>
        <xdr:pic>
          <xdr:nvPicPr>
            <xdr:cNvPr id="25" name="Picture 24" descr="https://vsjcllp.vsjadon.com/upload/insp-236316-1525.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1543051" y="52806861"/>
              <a:ext cx="3800474" cy="17114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36316-84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5209455" y="47748824"/>
              <a:ext cx="1486620" cy="2484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36316-849.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637830" y="47748824"/>
              <a:ext cx="1486620" cy="2484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6316-86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066205" y="47748824"/>
              <a:ext cx="1486620" cy="2484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36316-94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5485680" y="50320575"/>
              <a:ext cx="1334220" cy="23749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6316-88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025974" y="50321114"/>
              <a:ext cx="1384225" cy="23807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6316-88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89818" y="47739299"/>
              <a:ext cx="1486620" cy="2484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36316-925.jpg"/>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143000" y="45369075"/>
              <a:ext cx="4796535" cy="2284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6316-1022.jpg"/>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314326" y="50318399"/>
              <a:ext cx="3619500" cy="23926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3" name="TextBox 346">
            <a:extLst>
              <a:ext uri="{FF2B5EF4-FFF2-40B4-BE49-F238E27FC236}">
                <a16:creationId xmlns:a16="http://schemas.microsoft.com/office/drawing/2014/main" id="{77B69DFC-EE03-4BC2-9268-36741776EAF1}"/>
              </a:ext>
            </a:extLst>
          </xdr:cNvPr>
          <xdr:cNvSpPr txBox="1"/>
        </xdr:nvSpPr>
        <xdr:spPr>
          <a:xfrm>
            <a:off x="3752851" y="47750325"/>
            <a:ext cx="875561" cy="311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Wing C</a:t>
            </a:r>
            <a:endParaRPr lang="en-IN" sz="1400" b="1">
              <a:solidFill>
                <a:sysClr val="windowText" lastClr="000000"/>
              </a:solidFill>
            </a:endParaRPr>
          </a:p>
        </xdr:txBody>
      </xdr:sp>
      <xdr:sp macro="" textlink="">
        <xdr:nvSpPr>
          <xdr:cNvPr id="57" name="TextBox 346">
            <a:extLst>
              <a:ext uri="{FF2B5EF4-FFF2-40B4-BE49-F238E27FC236}">
                <a16:creationId xmlns:a16="http://schemas.microsoft.com/office/drawing/2014/main" id="{77B69DFC-EE03-4BC2-9268-36741776EAF1}"/>
              </a:ext>
            </a:extLst>
          </xdr:cNvPr>
          <xdr:cNvSpPr txBox="1"/>
        </xdr:nvSpPr>
        <xdr:spPr>
          <a:xfrm>
            <a:off x="2124076" y="47740800"/>
            <a:ext cx="875561" cy="311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Wing B</a:t>
            </a:r>
            <a:endParaRPr lang="en-IN" sz="1400" b="1">
              <a:solidFill>
                <a:sysClr val="windowText" lastClr="000000"/>
              </a:solidFill>
            </a:endParaRPr>
          </a:p>
        </xdr:txBody>
      </xdr:sp>
      <xdr:sp macro="" textlink="">
        <xdr:nvSpPr>
          <xdr:cNvPr id="58" name="TextBox 346">
            <a:extLst>
              <a:ext uri="{FF2B5EF4-FFF2-40B4-BE49-F238E27FC236}">
                <a16:creationId xmlns:a16="http://schemas.microsoft.com/office/drawing/2014/main" id="{77B69DFC-EE03-4BC2-9268-36741776EAF1}"/>
              </a:ext>
            </a:extLst>
          </xdr:cNvPr>
          <xdr:cNvSpPr txBox="1"/>
        </xdr:nvSpPr>
        <xdr:spPr>
          <a:xfrm>
            <a:off x="581026" y="47731275"/>
            <a:ext cx="875561" cy="311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Wing A</a:t>
            </a:r>
            <a:endParaRPr lang="en-IN" sz="1400" b="1">
              <a:solidFill>
                <a:sysClr val="windowText" lastClr="000000"/>
              </a:solidFill>
            </a:endParaRPr>
          </a:p>
        </xdr:txBody>
      </xdr:sp>
    </xdr:grpSp>
    <xdr:clientData/>
  </xdr:twoCellAnchor>
  <xdr:twoCellAnchor>
    <xdr:from>
      <xdr:col>0</xdr:col>
      <xdr:colOff>104775</xdr:colOff>
      <xdr:row>187</xdr:row>
      <xdr:rowOff>47625</xdr:rowOff>
    </xdr:from>
    <xdr:to>
      <xdr:col>7</xdr:col>
      <xdr:colOff>1228725</xdr:colOff>
      <xdr:row>231</xdr:row>
      <xdr:rowOff>76200</xdr:rowOff>
    </xdr:to>
    <xdr:grpSp>
      <xdr:nvGrpSpPr>
        <xdr:cNvPr id="59" name="Group 58"/>
        <xdr:cNvGrpSpPr/>
      </xdr:nvGrpSpPr>
      <xdr:grpSpPr>
        <a:xfrm>
          <a:off x="104775" y="45519975"/>
          <a:ext cx="6791325" cy="8829675"/>
          <a:chOff x="0" y="959349"/>
          <a:chExt cx="6392646" cy="8134514"/>
        </a:xfrm>
      </xdr:grpSpPr>
      <xdr:pic>
        <xdr:nvPicPr>
          <xdr:cNvPr id="60" name="Picture 59" descr="https://vsjcllp.vsjadon.com/upload/insp-246860-152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50246" y="7316875"/>
            <a:ext cx="1331353" cy="17769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6860-849.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757327" y="5512386"/>
            <a:ext cx="1265067" cy="16885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46860-877.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0" y="5512386"/>
            <a:ext cx="1265067" cy="16885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46860-940.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05136" y="960436"/>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4" name="Picture 63" descr="https://vsjcllp.vsjadon.com/upload/insp-246860-1022.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34638" y="959349"/>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6860-883.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34638" y="323641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46860-925.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07221" y="323641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46860-928.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403492" y="5512386"/>
            <a:ext cx="1265067" cy="16885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46860-1512.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143379" y="5512386"/>
            <a:ext cx="2249267" cy="16885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46860-880.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490915" y="7316875"/>
            <a:ext cx="2367123" cy="17769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403412</xdr:colOff>
      <xdr:row>14</xdr:row>
      <xdr:rowOff>100853</xdr:rowOff>
    </xdr:from>
    <xdr:to>
      <xdr:col>7</xdr:col>
      <xdr:colOff>355103</xdr:colOff>
      <xdr:row>37</xdr:row>
      <xdr:rowOff>39353</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118" y="2779059"/>
          <a:ext cx="7683750" cy="4320000"/>
        </a:xfrm>
        <a:prstGeom prst="rect">
          <a:avLst/>
        </a:prstGeom>
      </xdr:spPr>
    </xdr:pic>
    <xdr:clientData/>
  </xdr:twoCellAnchor>
  <xdr:twoCellAnchor editAs="oneCell">
    <xdr:from>
      <xdr:col>1</xdr:col>
      <xdr:colOff>11205</xdr:colOff>
      <xdr:row>36</xdr:row>
      <xdr:rowOff>179294</xdr:rowOff>
    </xdr:from>
    <xdr:to>
      <xdr:col>6</xdr:col>
      <xdr:colOff>1296396</xdr:colOff>
      <xdr:row>59</xdr:row>
      <xdr:rowOff>117794</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93911" y="7048500"/>
          <a:ext cx="7683750" cy="4320000"/>
        </a:xfrm>
        <a:prstGeom prst="rect">
          <a:avLst/>
        </a:prstGeom>
      </xdr:spPr>
    </xdr:pic>
    <xdr:clientData/>
  </xdr:twoCellAnchor>
  <xdr:twoCellAnchor editAs="oneCell">
    <xdr:from>
      <xdr:col>1</xdr:col>
      <xdr:colOff>0</xdr:colOff>
      <xdr:row>61</xdr:row>
      <xdr:rowOff>0</xdr:rowOff>
    </xdr:from>
    <xdr:to>
      <xdr:col>6</xdr:col>
      <xdr:colOff>1285185</xdr:colOff>
      <xdr:row>83</xdr:row>
      <xdr:rowOff>129000</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2706" y="11631706"/>
          <a:ext cx="7683744"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4xRYxUqJzBBeqPx8?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4"/>
  <sheetViews>
    <sheetView tabSelected="1" view="pageBreakPreview" zoomScaleNormal="100" zoomScaleSheetLayoutView="100" zoomScalePageLayoutView="85" workbookViewId="0">
      <selection activeCell="I7" sqref="I7"/>
    </sheetView>
  </sheetViews>
  <sheetFormatPr defaultColWidth="9.140625" defaultRowHeight="15.75" x14ac:dyDescent="0.25"/>
  <cols>
    <col min="1" max="1" width="11.42578125" style="19" customWidth="1"/>
    <col min="2" max="2" width="12.85546875" style="19" customWidth="1"/>
    <col min="3" max="3" width="12.7109375" style="19" customWidth="1"/>
    <col min="4" max="4" width="12.85546875" style="19" customWidth="1"/>
    <col min="5" max="7" width="11.7109375" style="19" customWidth="1"/>
    <col min="8" max="8" width="22.28515625" style="19"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8" ht="46.5" customHeight="1" x14ac:dyDescent="0.25">
      <c r="A1" s="122" t="s">
        <v>262</v>
      </c>
      <c r="B1" s="122"/>
      <c r="C1" s="122"/>
      <c r="D1" s="122"/>
      <c r="E1" s="122"/>
      <c r="F1" s="122"/>
      <c r="G1" s="122"/>
      <c r="H1" s="122"/>
    </row>
    <row r="2" spans="1:8" ht="16.5" customHeight="1" x14ac:dyDescent="0.25">
      <c r="A2" s="90" t="s">
        <v>0</v>
      </c>
      <c r="B2" s="90"/>
      <c r="C2" s="90"/>
      <c r="D2" s="90"/>
      <c r="E2" s="90"/>
      <c r="F2" s="90"/>
      <c r="G2" s="90"/>
      <c r="H2" s="90"/>
    </row>
    <row r="3" spans="1:8" x14ac:dyDescent="0.25">
      <c r="A3" s="85" t="s">
        <v>1</v>
      </c>
      <c r="B3" s="85"/>
      <c r="C3" s="85"/>
      <c r="D3" s="85"/>
      <c r="E3" s="123" t="str">
        <f ca="1">TEXT(TODAY(),"DD/MM/YYYY")</f>
        <v>11/09/2025</v>
      </c>
      <c r="F3" s="123"/>
      <c r="G3" s="123"/>
      <c r="H3" s="123"/>
    </row>
    <row r="4" spans="1:8" ht="15" customHeight="1" x14ac:dyDescent="0.25">
      <c r="A4" s="85" t="s">
        <v>2</v>
      </c>
      <c r="B4" s="85"/>
      <c r="C4" s="85"/>
      <c r="D4" s="85"/>
      <c r="E4" s="124" t="s">
        <v>215</v>
      </c>
      <c r="F4" s="124"/>
      <c r="G4" s="124"/>
      <c r="H4" s="124"/>
    </row>
    <row r="5" spans="1:8" x14ac:dyDescent="0.25">
      <c r="A5" s="85" t="s">
        <v>3</v>
      </c>
      <c r="B5" s="85"/>
      <c r="C5" s="85"/>
      <c r="D5" s="85"/>
      <c r="E5" s="121">
        <v>45908</v>
      </c>
      <c r="F5" s="121"/>
      <c r="G5" s="121"/>
      <c r="H5" s="121"/>
    </row>
    <row r="6" spans="1:8" ht="16.5" customHeight="1" x14ac:dyDescent="0.25">
      <c r="A6" s="85" t="s">
        <v>4</v>
      </c>
      <c r="B6" s="85"/>
      <c r="C6" s="85"/>
      <c r="D6" s="85"/>
      <c r="E6" s="117" t="s">
        <v>216</v>
      </c>
      <c r="F6" s="117"/>
      <c r="G6" s="117"/>
      <c r="H6" s="117"/>
    </row>
    <row r="7" spans="1:8" ht="15" customHeight="1" x14ac:dyDescent="0.25">
      <c r="A7" s="85" t="s">
        <v>5</v>
      </c>
      <c r="B7" s="85"/>
      <c r="C7" s="85"/>
      <c r="D7" s="85"/>
      <c r="E7" s="117" t="str">
        <f>E6</f>
        <v>M/s. Singh enterprises Builders &amp; developers</v>
      </c>
      <c r="F7" s="117"/>
      <c r="G7" s="117"/>
      <c r="H7" s="117"/>
    </row>
    <row r="8" spans="1:8" x14ac:dyDescent="0.25">
      <c r="A8" s="85" t="s">
        <v>6</v>
      </c>
      <c r="B8" s="85"/>
      <c r="C8" s="85"/>
      <c r="D8" s="85"/>
      <c r="E8" s="97" t="s">
        <v>161</v>
      </c>
      <c r="F8" s="97"/>
      <c r="G8" s="97"/>
      <c r="H8" s="97"/>
    </row>
    <row r="9" spans="1:8" x14ac:dyDescent="0.25">
      <c r="A9" s="85" t="s">
        <v>263</v>
      </c>
      <c r="B9" s="85"/>
      <c r="C9" s="85"/>
      <c r="D9" s="85"/>
      <c r="E9" s="116" t="s">
        <v>162</v>
      </c>
      <c r="F9" s="116"/>
      <c r="G9" s="116"/>
      <c r="H9" s="116"/>
    </row>
    <row r="10" spans="1:8" ht="66" customHeight="1" x14ac:dyDescent="0.25">
      <c r="A10" s="116" t="s">
        <v>7</v>
      </c>
      <c r="B10" s="116"/>
      <c r="C10" s="116"/>
      <c r="D10" s="116"/>
      <c r="E10" s="117" t="s">
        <v>267</v>
      </c>
      <c r="F10" s="116"/>
      <c r="G10" s="116"/>
      <c r="H10" s="116"/>
    </row>
    <row r="11" spans="1:8" x14ac:dyDescent="0.25">
      <c r="A11" s="85" t="s">
        <v>8</v>
      </c>
      <c r="B11" s="85"/>
      <c r="C11" s="85"/>
      <c r="D11" s="85"/>
      <c r="E11" s="117" t="s">
        <v>205</v>
      </c>
      <c r="F11" s="117"/>
      <c r="G11" s="117"/>
      <c r="H11" s="117"/>
    </row>
    <row r="12" spans="1:8" x14ac:dyDescent="0.25">
      <c r="A12" s="85" t="s">
        <v>9</v>
      </c>
      <c r="B12" s="85"/>
      <c r="C12" s="85"/>
      <c r="D12" s="85"/>
      <c r="E12" s="117" t="s">
        <v>163</v>
      </c>
      <c r="F12" s="116"/>
      <c r="G12" s="116"/>
      <c r="H12" s="116"/>
    </row>
    <row r="13" spans="1:8" x14ac:dyDescent="0.25">
      <c r="A13" s="86" t="s">
        <v>10</v>
      </c>
      <c r="B13" s="86"/>
      <c r="C13" s="86" t="str">
        <f>CONCATENATE((IF(OR(E8="",E8="NA"),"",E8)),", ",(IF(OR(A14="",A14="NA"),"",A14)),".",(IF(OR(C14="",C14="NA"),"",C14)),", ",(IF(OR(C15="",C15="NA"),"",C15)),", ",(IF(OR(G15="",G15="NA"),"",G15)),", ",(IF(OR(C16="",C16="NA"),"",C16)),", ",(IF(OR(C17="",C17="NA"),"",C17)),", ",(IF(OR(G16="",G16="NA"),"",G16)),".")</f>
        <v>Sai Rachana Apartment, Survey No.153, Padghe Road, Padgha, Palghar, Thane, Thane.</v>
      </c>
      <c r="D13" s="86"/>
      <c r="E13" s="86"/>
      <c r="F13" s="86"/>
      <c r="G13" s="86"/>
      <c r="H13" s="86"/>
    </row>
    <row r="14" spans="1:8" ht="15.75" customHeight="1" x14ac:dyDescent="0.25">
      <c r="A14" s="118" t="s">
        <v>164</v>
      </c>
      <c r="B14" s="118"/>
      <c r="C14" s="117">
        <v>153</v>
      </c>
      <c r="D14" s="117"/>
      <c r="E14" s="117"/>
      <c r="F14" s="117"/>
      <c r="G14" s="117"/>
      <c r="H14" s="117"/>
    </row>
    <row r="15" spans="1:8" ht="15.75" customHeight="1" x14ac:dyDescent="0.25">
      <c r="A15" s="86" t="s">
        <v>11</v>
      </c>
      <c r="B15" s="86"/>
      <c r="C15" s="116" t="s">
        <v>168</v>
      </c>
      <c r="D15" s="116"/>
      <c r="E15" s="86" t="s">
        <v>108</v>
      </c>
      <c r="F15" s="86"/>
      <c r="G15" s="117" t="s">
        <v>171</v>
      </c>
      <c r="H15" s="117"/>
    </row>
    <row r="16" spans="1:8" x14ac:dyDescent="0.25">
      <c r="A16" s="85" t="s">
        <v>13</v>
      </c>
      <c r="B16" s="85"/>
      <c r="C16" s="117" t="s">
        <v>169</v>
      </c>
      <c r="D16" s="117"/>
      <c r="E16" s="86" t="s">
        <v>12</v>
      </c>
      <c r="F16" s="86"/>
      <c r="G16" s="125" t="s">
        <v>170</v>
      </c>
      <c r="H16" s="125"/>
    </row>
    <row r="17" spans="1:8" x14ac:dyDescent="0.25">
      <c r="A17" s="85" t="s">
        <v>109</v>
      </c>
      <c r="B17" s="85"/>
      <c r="C17" s="117" t="s">
        <v>170</v>
      </c>
      <c r="D17" s="117"/>
      <c r="E17" s="86" t="s">
        <v>14</v>
      </c>
      <c r="F17" s="86"/>
      <c r="G17" s="117">
        <v>401404</v>
      </c>
      <c r="H17" s="117"/>
    </row>
    <row r="18" spans="1:8" ht="32.25" customHeight="1" x14ac:dyDescent="0.25">
      <c r="A18" s="85" t="s">
        <v>15</v>
      </c>
      <c r="B18" s="85"/>
      <c r="C18" s="119" t="s">
        <v>172</v>
      </c>
      <c r="D18" s="119"/>
      <c r="E18" s="118" t="s">
        <v>16</v>
      </c>
      <c r="F18" s="118"/>
      <c r="G18" s="118" t="s">
        <v>173</v>
      </c>
      <c r="H18" s="118"/>
    </row>
    <row r="19" spans="1:8" ht="15" customHeight="1" x14ac:dyDescent="0.25">
      <c r="A19" s="86" t="s">
        <v>114</v>
      </c>
      <c r="B19" s="86"/>
      <c r="C19" s="86"/>
      <c r="D19" s="86"/>
      <c r="E19" s="120" t="s">
        <v>17</v>
      </c>
      <c r="F19" s="120"/>
      <c r="G19" s="120"/>
      <c r="H19" s="120"/>
    </row>
    <row r="20" spans="1:8" ht="18.75" customHeight="1" x14ac:dyDescent="0.25">
      <c r="A20" s="86"/>
      <c r="B20" s="86"/>
      <c r="C20" s="86"/>
      <c r="D20" s="86"/>
      <c r="E20" s="120"/>
      <c r="F20" s="120"/>
      <c r="G20" s="120"/>
      <c r="H20" s="120"/>
    </row>
    <row r="21" spans="1:8" ht="15" customHeight="1" x14ac:dyDescent="0.25">
      <c r="A21" s="86" t="s">
        <v>18</v>
      </c>
      <c r="B21" s="86"/>
      <c r="C21" s="86"/>
      <c r="D21" s="86"/>
      <c r="E21" s="118" t="s">
        <v>19</v>
      </c>
      <c r="F21" s="118"/>
      <c r="G21" s="118"/>
      <c r="H21" s="118"/>
    </row>
    <row r="22" spans="1:8" ht="15" customHeight="1" x14ac:dyDescent="0.25">
      <c r="A22" s="85" t="s">
        <v>20</v>
      </c>
      <c r="B22" s="85"/>
      <c r="C22" s="85"/>
      <c r="D22" s="85"/>
      <c r="E22" s="118" t="s">
        <v>174</v>
      </c>
      <c r="F22" s="118"/>
      <c r="G22" s="118"/>
      <c r="H22" s="118"/>
    </row>
    <row r="23" spans="1:8" x14ac:dyDescent="0.25">
      <c r="A23" s="85" t="s">
        <v>21</v>
      </c>
      <c r="B23" s="85"/>
      <c r="C23" s="85"/>
      <c r="D23" s="85"/>
      <c r="E23" s="118" t="s">
        <v>22</v>
      </c>
      <c r="F23" s="118"/>
      <c r="G23" s="118"/>
      <c r="H23" s="118"/>
    </row>
    <row r="24" spans="1:8" x14ac:dyDescent="0.25">
      <c r="A24" s="85" t="s">
        <v>23</v>
      </c>
      <c r="B24" s="85"/>
      <c r="C24" s="85"/>
      <c r="D24" s="85"/>
      <c r="E24" s="118" t="s">
        <v>175</v>
      </c>
      <c r="F24" s="118"/>
      <c r="G24" s="118"/>
      <c r="H24" s="118"/>
    </row>
    <row r="25" spans="1:8" x14ac:dyDescent="0.25">
      <c r="A25" s="85" t="s">
        <v>24</v>
      </c>
      <c r="B25" s="85"/>
      <c r="C25" s="85"/>
      <c r="D25" s="85"/>
      <c r="E25" s="118" t="s">
        <v>25</v>
      </c>
      <c r="F25" s="118"/>
      <c r="G25" s="118"/>
      <c r="H25" s="118"/>
    </row>
    <row r="26" spans="1:8" x14ac:dyDescent="0.25">
      <c r="A26" s="85" t="s">
        <v>121</v>
      </c>
      <c r="B26" s="85"/>
      <c r="C26" s="85"/>
      <c r="D26" s="85"/>
      <c r="E26" s="118" t="s">
        <v>122</v>
      </c>
      <c r="F26" s="118"/>
      <c r="G26" s="118"/>
      <c r="H26" s="118"/>
    </row>
    <row r="27" spans="1:8" ht="15" customHeight="1" x14ac:dyDescent="0.25">
      <c r="A27" s="86" t="s">
        <v>36</v>
      </c>
      <c r="B27" s="86"/>
      <c r="C27" s="86"/>
      <c r="D27" s="86"/>
      <c r="E27" s="127" t="s">
        <v>118</v>
      </c>
      <c r="F27" s="127"/>
      <c r="G27" s="127"/>
      <c r="H27" s="127"/>
    </row>
    <row r="28" spans="1:8" x14ac:dyDescent="0.25">
      <c r="A28" s="86" t="s">
        <v>134</v>
      </c>
      <c r="B28" s="86"/>
      <c r="C28" s="86"/>
      <c r="D28" s="86"/>
      <c r="E28" s="86" t="s">
        <v>37</v>
      </c>
      <c r="F28" s="86"/>
      <c r="G28" s="86"/>
      <c r="H28" s="86"/>
    </row>
    <row r="29" spans="1:8" s="12" customFormat="1" x14ac:dyDescent="0.25">
      <c r="A29" s="139" t="s">
        <v>135</v>
      </c>
      <c r="B29" s="139"/>
      <c r="C29" s="130" t="s">
        <v>30</v>
      </c>
      <c r="D29" s="130"/>
      <c r="E29" s="130"/>
      <c r="F29" s="130" t="s">
        <v>32</v>
      </c>
      <c r="G29" s="130"/>
      <c r="H29" s="130"/>
    </row>
    <row r="30" spans="1:8" s="12" customFormat="1" x14ac:dyDescent="0.25">
      <c r="A30" s="128" t="s">
        <v>26</v>
      </c>
      <c r="B30" s="128" t="s">
        <v>31</v>
      </c>
      <c r="C30" s="114" t="s">
        <v>31</v>
      </c>
      <c r="D30" s="114"/>
      <c r="E30" s="114"/>
      <c r="F30" s="114" t="s">
        <v>165</v>
      </c>
      <c r="G30" s="114"/>
      <c r="H30" s="114"/>
    </row>
    <row r="31" spans="1:8" x14ac:dyDescent="0.25">
      <c r="A31" s="128" t="s">
        <v>27</v>
      </c>
      <c r="B31" s="128" t="s">
        <v>31</v>
      </c>
      <c r="C31" s="114" t="s">
        <v>31</v>
      </c>
      <c r="D31" s="114"/>
      <c r="E31" s="114"/>
      <c r="F31" s="114" t="s">
        <v>166</v>
      </c>
      <c r="G31" s="114"/>
      <c r="H31" s="114"/>
    </row>
    <row r="32" spans="1:8" s="12" customFormat="1" x14ac:dyDescent="0.25">
      <c r="A32" s="128" t="s">
        <v>29</v>
      </c>
      <c r="B32" s="128" t="s">
        <v>31</v>
      </c>
      <c r="C32" s="114" t="s">
        <v>31</v>
      </c>
      <c r="D32" s="114"/>
      <c r="E32" s="114"/>
      <c r="F32" s="114" t="s">
        <v>165</v>
      </c>
      <c r="G32" s="114"/>
      <c r="H32" s="114"/>
    </row>
    <row r="33" spans="1:8" x14ac:dyDescent="0.25">
      <c r="A33" s="128" t="s">
        <v>28</v>
      </c>
      <c r="B33" s="128" t="s">
        <v>31</v>
      </c>
      <c r="C33" s="114" t="s">
        <v>31</v>
      </c>
      <c r="D33" s="114"/>
      <c r="E33" s="114"/>
      <c r="F33" s="114" t="s">
        <v>167</v>
      </c>
      <c r="G33" s="114"/>
      <c r="H33" s="114"/>
    </row>
    <row r="34" spans="1:8" x14ac:dyDescent="0.25">
      <c r="A34" s="85" t="s">
        <v>33</v>
      </c>
      <c r="B34" s="85"/>
      <c r="C34" s="85"/>
      <c r="D34" s="85"/>
      <c r="E34" s="85"/>
      <c r="F34" s="85"/>
      <c r="G34" s="85"/>
      <c r="H34" s="85"/>
    </row>
    <row r="35" spans="1:8" ht="15.75" customHeight="1" x14ac:dyDescent="0.25">
      <c r="A35" s="90" t="s">
        <v>34</v>
      </c>
      <c r="B35" s="90"/>
      <c r="C35" s="152">
        <v>19.752027990999999</v>
      </c>
      <c r="D35" s="152"/>
      <c r="E35" s="90" t="s">
        <v>35</v>
      </c>
      <c r="F35" s="90"/>
      <c r="G35" s="153">
        <v>72.773820889999996</v>
      </c>
      <c r="H35" s="153"/>
    </row>
    <row r="36" spans="1:8" ht="15.75" customHeight="1" x14ac:dyDescent="0.25">
      <c r="A36" s="90" t="s">
        <v>260</v>
      </c>
      <c r="B36" s="90"/>
      <c r="C36" s="64" t="s">
        <v>261</v>
      </c>
      <c r="D36" s="65"/>
      <c r="E36" s="65"/>
      <c r="F36" s="65"/>
      <c r="G36" s="65"/>
      <c r="H36" s="66"/>
    </row>
    <row r="37" spans="1:8" x14ac:dyDescent="0.25">
      <c r="A37" s="93" t="s">
        <v>38</v>
      </c>
      <c r="B37" s="93"/>
      <c r="C37" s="93"/>
      <c r="D37" s="93"/>
      <c r="E37" s="93"/>
      <c r="F37" s="93"/>
      <c r="G37" s="93"/>
      <c r="H37" s="93"/>
    </row>
    <row r="38" spans="1:8" x14ac:dyDescent="0.25">
      <c r="A38" s="85" t="s">
        <v>39</v>
      </c>
      <c r="B38" s="85"/>
      <c r="C38" s="85"/>
      <c r="D38" s="85"/>
      <c r="E38" s="129">
        <v>8516</v>
      </c>
      <c r="F38" s="129"/>
      <c r="G38" s="129"/>
      <c r="H38" s="129"/>
    </row>
    <row r="39" spans="1:8" x14ac:dyDescent="0.25">
      <c r="A39" s="85" t="s">
        <v>40</v>
      </c>
      <c r="B39" s="85"/>
      <c r="C39" s="85"/>
      <c r="D39" s="85"/>
      <c r="E39" s="126">
        <v>0.75</v>
      </c>
      <c r="F39" s="126"/>
      <c r="G39" s="126"/>
      <c r="H39" s="126"/>
    </row>
    <row r="40" spans="1:8" x14ac:dyDescent="0.25">
      <c r="A40" s="85" t="s">
        <v>41</v>
      </c>
      <c r="B40" s="85"/>
      <c r="C40" s="85"/>
      <c r="D40" s="85"/>
      <c r="E40" s="154">
        <f>E42/E38-E39</f>
        <v>6.6932832315624857E-5</v>
      </c>
      <c r="F40" s="154"/>
      <c r="G40" s="154"/>
      <c r="H40" s="154"/>
    </row>
    <row r="41" spans="1:8" x14ac:dyDescent="0.25">
      <c r="A41" s="85" t="s">
        <v>42</v>
      </c>
      <c r="B41" s="85"/>
      <c r="C41" s="85"/>
      <c r="D41" s="85"/>
      <c r="E41" s="126">
        <f>E39+E40</f>
        <v>0.75006693283231562</v>
      </c>
      <c r="F41" s="126"/>
      <c r="G41" s="126"/>
      <c r="H41" s="126"/>
    </row>
    <row r="42" spans="1:8" x14ac:dyDescent="0.25">
      <c r="A42" s="85" t="s">
        <v>133</v>
      </c>
      <c r="B42" s="85"/>
      <c r="C42" s="85"/>
      <c r="D42" s="85"/>
      <c r="E42" s="126">
        <v>6387.57</v>
      </c>
      <c r="F42" s="126"/>
      <c r="G42" s="126"/>
      <c r="H42" s="126"/>
    </row>
    <row r="43" spans="1:8" x14ac:dyDescent="0.25">
      <c r="A43" s="116" t="s">
        <v>43</v>
      </c>
      <c r="B43" s="116"/>
      <c r="C43" s="116"/>
      <c r="D43" s="116"/>
      <c r="E43" s="120" t="s">
        <v>270</v>
      </c>
      <c r="F43" s="120"/>
      <c r="G43" s="120"/>
      <c r="H43" s="120"/>
    </row>
    <row r="44" spans="1:8" x14ac:dyDescent="0.25">
      <c r="A44" s="93" t="s">
        <v>44</v>
      </c>
      <c r="B44" s="93"/>
      <c r="C44" s="93"/>
      <c r="D44" s="93"/>
      <c r="E44" s="93"/>
      <c r="F44" s="93"/>
      <c r="G44" s="93"/>
      <c r="H44" s="93"/>
    </row>
    <row r="45" spans="1:8" ht="32.25" customHeight="1" x14ac:dyDescent="0.25">
      <c r="A45" s="86" t="s">
        <v>45</v>
      </c>
      <c r="B45" s="86"/>
      <c r="C45" s="146" t="s">
        <v>176</v>
      </c>
      <c r="D45" s="146"/>
      <c r="E45" s="146"/>
      <c r="F45" s="40" t="s">
        <v>46</v>
      </c>
      <c r="G45" s="145" t="s">
        <v>269</v>
      </c>
      <c r="H45" s="118"/>
    </row>
    <row r="46" spans="1:8" ht="31.5" customHeight="1" x14ac:dyDescent="0.25">
      <c r="A46" s="86" t="s">
        <v>47</v>
      </c>
      <c r="B46" s="86"/>
      <c r="C46" s="146" t="str">
        <f>C45</f>
        <v>MAHSUL/KA-1/MEJ..1/B.SHE.P./S.R./C.R./351/2013</v>
      </c>
      <c r="D46" s="146"/>
      <c r="E46" s="146"/>
      <c r="F46" s="40" t="s">
        <v>46</v>
      </c>
      <c r="G46" s="118" t="str">
        <f>G45</f>
        <v>10/03/2014.</v>
      </c>
      <c r="H46" s="118"/>
    </row>
    <row r="47" spans="1:8" s="11" customFormat="1" ht="35.25" customHeight="1" x14ac:dyDescent="0.25">
      <c r="A47" s="117" t="s">
        <v>219</v>
      </c>
      <c r="B47" s="117"/>
      <c r="C47" s="146" t="s">
        <v>177</v>
      </c>
      <c r="D47" s="147"/>
      <c r="E47" s="147"/>
      <c r="F47" s="41" t="s">
        <v>46</v>
      </c>
      <c r="G47" s="147" t="s">
        <v>178</v>
      </c>
      <c r="H47" s="147"/>
    </row>
    <row r="48" spans="1:8" s="11" customFormat="1" ht="67.5" customHeight="1" x14ac:dyDescent="0.25">
      <c r="A48" s="117"/>
      <c r="B48" s="117"/>
      <c r="C48" s="156" t="s">
        <v>230</v>
      </c>
      <c r="D48" s="157"/>
      <c r="E48" s="157"/>
      <c r="F48" s="157"/>
      <c r="G48" s="157"/>
      <c r="H48" s="158"/>
    </row>
    <row r="49" spans="1:12" x14ac:dyDescent="0.25">
      <c r="A49" s="142" t="s">
        <v>48</v>
      </c>
      <c r="B49" s="142"/>
      <c r="C49" s="143" t="s">
        <v>149</v>
      </c>
      <c r="D49" s="144"/>
      <c r="E49" s="144" t="s">
        <v>49</v>
      </c>
      <c r="F49" s="42" t="s">
        <v>46</v>
      </c>
      <c r="G49" s="140" t="s">
        <v>31</v>
      </c>
      <c r="H49" s="141"/>
    </row>
    <row r="50" spans="1:12" ht="18" customHeight="1" x14ac:dyDescent="0.25">
      <c r="A50" s="155" t="s">
        <v>51</v>
      </c>
      <c r="B50" s="155"/>
      <c r="C50" s="155"/>
      <c r="D50" s="155"/>
      <c r="E50" s="155"/>
      <c r="F50" s="155"/>
      <c r="G50" s="155"/>
      <c r="H50" s="155"/>
    </row>
    <row r="51" spans="1:12" x14ac:dyDescent="0.25">
      <c r="A51" s="86" t="s">
        <v>132</v>
      </c>
      <c r="B51" s="86"/>
      <c r="C51" s="86"/>
      <c r="D51" s="85">
        <f>769.95+981.68+883.51</f>
        <v>2635.1400000000003</v>
      </c>
      <c r="E51" s="85"/>
      <c r="F51" s="85"/>
      <c r="G51" s="85"/>
      <c r="H51" s="85"/>
    </row>
    <row r="52" spans="1:12" x14ac:dyDescent="0.25">
      <c r="A52" s="117" t="s">
        <v>52</v>
      </c>
      <c r="B52" s="116"/>
      <c r="C52" s="116"/>
      <c r="D52" s="120" t="s">
        <v>218</v>
      </c>
      <c r="E52" s="120"/>
      <c r="F52" s="120"/>
      <c r="G52" s="120"/>
      <c r="H52" s="120"/>
    </row>
    <row r="53" spans="1:12" ht="67.5" customHeight="1" x14ac:dyDescent="0.25">
      <c r="A53" s="117" t="s">
        <v>53</v>
      </c>
      <c r="B53" s="116"/>
      <c r="C53" s="116"/>
      <c r="D53" s="118" t="s">
        <v>253</v>
      </c>
      <c r="E53" s="120"/>
      <c r="F53" s="120"/>
      <c r="G53" s="120"/>
      <c r="H53" s="120"/>
    </row>
    <row r="54" spans="1:12" ht="69" customHeight="1" x14ac:dyDescent="0.25">
      <c r="A54" s="117" t="s">
        <v>130</v>
      </c>
      <c r="B54" s="116"/>
      <c r="C54" s="116"/>
      <c r="D54" s="118" t="s">
        <v>253</v>
      </c>
      <c r="E54" s="120"/>
      <c r="F54" s="120"/>
      <c r="G54" s="120"/>
      <c r="H54" s="120"/>
    </row>
    <row r="55" spans="1:12" ht="15.75" customHeight="1" x14ac:dyDescent="0.25">
      <c r="A55" s="85" t="s">
        <v>50</v>
      </c>
      <c r="B55" s="85"/>
      <c r="C55" s="85"/>
      <c r="D55" s="86" t="s">
        <v>264</v>
      </c>
      <c r="E55" s="86"/>
      <c r="F55" s="86"/>
      <c r="G55" s="86"/>
      <c r="H55" s="86"/>
    </row>
    <row r="56" spans="1:12" ht="15.75" customHeight="1" x14ac:dyDescent="0.25">
      <c r="A56" s="85" t="s">
        <v>127</v>
      </c>
      <c r="B56" s="85"/>
      <c r="C56" s="85"/>
      <c r="D56" s="86" t="s">
        <v>128</v>
      </c>
      <c r="E56" s="86"/>
      <c r="F56" s="86"/>
      <c r="G56" s="86"/>
      <c r="H56" s="86"/>
    </row>
    <row r="57" spans="1:12" ht="15.75" customHeight="1" x14ac:dyDescent="0.25">
      <c r="A57" s="85" t="s">
        <v>129</v>
      </c>
      <c r="B57" s="85"/>
      <c r="C57" s="85"/>
      <c r="D57" s="86" t="s">
        <v>25</v>
      </c>
      <c r="E57" s="86"/>
      <c r="F57" s="86"/>
      <c r="G57" s="86"/>
      <c r="H57" s="86"/>
      <c r="J57" s="21"/>
      <c r="K57" s="21"/>
    </row>
    <row r="58" spans="1:12" ht="15.75" customHeight="1" thickBot="1" x14ac:dyDescent="0.3">
      <c r="A58" s="148" t="s">
        <v>126</v>
      </c>
      <c r="B58" s="148"/>
      <c r="C58" s="148"/>
      <c r="D58" s="149" t="s">
        <v>252</v>
      </c>
      <c r="E58" s="149"/>
      <c r="F58" s="149"/>
      <c r="G58" s="149"/>
      <c r="H58" s="149"/>
      <c r="J58" s="21"/>
      <c r="K58" s="21"/>
    </row>
    <row r="59" spans="1:12" ht="15.75" customHeight="1" x14ac:dyDescent="0.25">
      <c r="A59" s="102" t="s">
        <v>231</v>
      </c>
      <c r="B59" s="103"/>
      <c r="C59" s="99" t="s">
        <v>249</v>
      </c>
      <c r="D59" s="100"/>
      <c r="E59" s="100"/>
      <c r="F59" s="100"/>
      <c r="G59" s="100"/>
      <c r="H59" s="101"/>
      <c r="I59" s="50" t="str">
        <f>(IF(E63&gt;99%,"All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Plinth, RCC, Brick, Plaster, Flooring, Painting work Completed. Finishing work is in process.</v>
      </c>
      <c r="J59" s="24"/>
      <c r="K59" s="50"/>
      <c r="L59" s="24"/>
    </row>
    <row r="60" spans="1:12" x14ac:dyDescent="0.25">
      <c r="A60" s="61" t="s">
        <v>105</v>
      </c>
      <c r="B60" s="49">
        <v>0</v>
      </c>
      <c r="C60" s="49" t="s">
        <v>107</v>
      </c>
      <c r="D60" s="49">
        <v>1</v>
      </c>
      <c r="E60" s="49" t="s">
        <v>106</v>
      </c>
      <c r="F60" s="49">
        <v>0</v>
      </c>
      <c r="G60" s="49" t="s">
        <v>120</v>
      </c>
      <c r="H60" s="56">
        <v>3</v>
      </c>
      <c r="I60" s="21"/>
      <c r="J60" s="25"/>
      <c r="K60" s="21"/>
      <c r="L60" s="25"/>
    </row>
    <row r="61" spans="1:12" ht="31.5" customHeight="1" x14ac:dyDescent="0.25">
      <c r="A61" s="104" t="s">
        <v>131</v>
      </c>
      <c r="B61" s="97"/>
      <c r="C61" s="98" t="str">
        <f>I59</f>
        <v>Plinth, RCC, Brick, Plaster, Flooring, Painting work Completed. Finishing work is in process.</v>
      </c>
      <c r="D61" s="98"/>
      <c r="E61" s="98"/>
      <c r="F61" s="98"/>
      <c r="G61" s="98"/>
      <c r="H61" s="105"/>
      <c r="I61" s="21" t="s">
        <v>148</v>
      </c>
      <c r="J61" s="25"/>
      <c r="K61" s="21"/>
      <c r="L61" s="25"/>
    </row>
    <row r="62" spans="1:12" x14ac:dyDescent="0.25">
      <c r="A62" s="106" t="s">
        <v>54</v>
      </c>
      <c r="B62" s="107"/>
      <c r="C62" s="57" t="s">
        <v>232</v>
      </c>
      <c r="D62" s="57" t="s">
        <v>123</v>
      </c>
      <c r="E62" s="107" t="s">
        <v>125</v>
      </c>
      <c r="F62" s="107"/>
      <c r="G62" s="107" t="s">
        <v>124</v>
      </c>
      <c r="H62" s="108"/>
      <c r="I62" s="44" t="s">
        <v>233</v>
      </c>
      <c r="J62" s="26">
        <f>H60*25%</f>
        <v>0.75</v>
      </c>
      <c r="K62" s="44"/>
      <c r="L62" s="26"/>
    </row>
    <row r="63" spans="1:12" x14ac:dyDescent="0.25">
      <c r="A63" s="106" t="s">
        <v>234</v>
      </c>
      <c r="B63" s="107"/>
      <c r="C63" s="58">
        <f>J64</f>
        <v>3</v>
      </c>
      <c r="D63" s="59">
        <f>((100/H60)*C63)/100</f>
        <v>1</v>
      </c>
      <c r="E63" s="109">
        <f>(((C64/H60*10)+(40/(D60+F60+H60)*C65)+(7.5/(H60)*C66)+(7.5/(H60)*C67)+(10/H60*C68)+(10/H60*C69)+(5/H60*C70)+(5/H60*C71)+(5/H60*C72))/100)</f>
        <v>0.94166666666666676</v>
      </c>
      <c r="F63" s="109"/>
      <c r="G63" s="109">
        <f>((((C63/H60)*20)+((C64/H60)*25)+(30/(H60+F60+D60)*C65)+(5/H60*C66)+(5/H60*C67)+(5/H60*C68)+(5/H60*C69)+(0/H60*C70)+(0/H60*C71)+(5/H60*C72))/100)</f>
        <v>0.96666666666666667</v>
      </c>
      <c r="H63" s="111"/>
      <c r="I63" s="44" t="s">
        <v>142</v>
      </c>
      <c r="J63" s="51">
        <f>H60*50%</f>
        <v>1.5</v>
      </c>
      <c r="K63" s="44"/>
      <c r="L63" s="51"/>
    </row>
    <row r="64" spans="1:12" x14ac:dyDescent="0.25">
      <c r="A64" s="106" t="s">
        <v>55</v>
      </c>
      <c r="B64" s="107"/>
      <c r="C64" s="60">
        <f>J72</f>
        <v>3</v>
      </c>
      <c r="D64" s="59">
        <f>((100/H60)*C64)/100</f>
        <v>1</v>
      </c>
      <c r="E64" s="109"/>
      <c r="F64" s="109"/>
      <c r="G64" s="109"/>
      <c r="H64" s="111"/>
      <c r="I64" s="44" t="s">
        <v>143</v>
      </c>
      <c r="J64" s="51">
        <f>H60</f>
        <v>3</v>
      </c>
      <c r="K64" s="44"/>
      <c r="L64" s="51"/>
    </row>
    <row r="65" spans="1:12" ht="15.75" customHeight="1" x14ac:dyDescent="0.25">
      <c r="A65" s="113" t="s">
        <v>235</v>
      </c>
      <c r="B65" s="114"/>
      <c r="C65" s="60">
        <f>D60+H60</f>
        <v>4</v>
      </c>
      <c r="D65" s="59">
        <f>((100/(D60+F60+H60))*C65)/100</f>
        <v>1</v>
      </c>
      <c r="E65" s="109"/>
      <c r="F65" s="109"/>
      <c r="G65" s="109"/>
      <c r="H65" s="111"/>
      <c r="I65" s="44" t="s">
        <v>144</v>
      </c>
      <c r="J65" s="52">
        <f>(IF(B60&gt;1,(H60/(B60+2)),H60/4))</f>
        <v>0.75</v>
      </c>
      <c r="K65" s="44"/>
      <c r="L65" s="52"/>
    </row>
    <row r="66" spans="1:12" ht="15.75" customHeight="1" x14ac:dyDescent="0.25">
      <c r="A66" s="106" t="s">
        <v>236</v>
      </c>
      <c r="B66" s="107" t="s">
        <v>237</v>
      </c>
      <c r="C66" s="58">
        <v>3</v>
      </c>
      <c r="D66" s="59">
        <f>((100/H60)*C66)/100</f>
        <v>1</v>
      </c>
      <c r="E66" s="109"/>
      <c r="F66" s="109"/>
      <c r="G66" s="109"/>
      <c r="H66" s="111"/>
      <c r="I66" s="44" t="s">
        <v>145</v>
      </c>
      <c r="J66" s="52">
        <f>(IF(B60&gt;1,(H60/(B60+2)+J65),H60/4+J65))</f>
        <v>1.5</v>
      </c>
      <c r="K66" s="44"/>
      <c r="L66" s="52"/>
    </row>
    <row r="67" spans="1:12" ht="15.75" customHeight="1" x14ac:dyDescent="0.25">
      <c r="A67" s="106" t="s">
        <v>238</v>
      </c>
      <c r="B67" s="107" t="s">
        <v>237</v>
      </c>
      <c r="C67" s="58">
        <v>3</v>
      </c>
      <c r="D67" s="59">
        <f>((100/H60)*C67)/100</f>
        <v>1</v>
      </c>
      <c r="E67" s="109"/>
      <c r="F67" s="109"/>
      <c r="G67" s="109"/>
      <c r="H67" s="111"/>
      <c r="I67" s="44" t="s">
        <v>239</v>
      </c>
      <c r="J67" s="52">
        <f>(IF(B60&gt;1,(H60/(B60+2)+J66),0))</f>
        <v>0</v>
      </c>
      <c r="K67" s="44"/>
      <c r="L67" s="52"/>
    </row>
    <row r="68" spans="1:12" ht="15.75" customHeight="1" x14ac:dyDescent="0.25">
      <c r="A68" s="106" t="s">
        <v>240</v>
      </c>
      <c r="B68" s="107" t="s">
        <v>241</v>
      </c>
      <c r="C68" s="58">
        <v>3</v>
      </c>
      <c r="D68" s="59">
        <f>((100/(H60))*C68)/100</f>
        <v>1</v>
      </c>
      <c r="E68" s="109"/>
      <c r="F68" s="109"/>
      <c r="G68" s="109"/>
      <c r="H68" s="111"/>
      <c r="I68" s="44" t="s">
        <v>242</v>
      </c>
      <c r="J68" s="52">
        <f>(IF(B60&gt;2,(H60/(B60+2)+J67),0))</f>
        <v>0</v>
      </c>
      <c r="K68" s="44"/>
      <c r="L68" s="52"/>
    </row>
    <row r="69" spans="1:12" ht="15.75" customHeight="1" x14ac:dyDescent="0.25">
      <c r="A69" s="106" t="s">
        <v>243</v>
      </c>
      <c r="B69" s="107" t="s">
        <v>243</v>
      </c>
      <c r="C69" s="60">
        <v>3</v>
      </c>
      <c r="D69" s="59">
        <f>((100/H60)*C69)/100</f>
        <v>1</v>
      </c>
      <c r="E69" s="109"/>
      <c r="F69" s="109"/>
      <c r="G69" s="109"/>
      <c r="H69" s="111"/>
      <c r="I69" s="44" t="s">
        <v>244</v>
      </c>
      <c r="J69" s="53">
        <f>(IF(B60&gt;3,(H60/(B60+2)+J68),0))</f>
        <v>0</v>
      </c>
      <c r="K69" s="44"/>
      <c r="L69" s="53"/>
    </row>
    <row r="70" spans="1:12" ht="15.75" customHeight="1" x14ac:dyDescent="0.25">
      <c r="A70" s="106" t="s">
        <v>245</v>
      </c>
      <c r="B70" s="107"/>
      <c r="C70" s="60">
        <v>3</v>
      </c>
      <c r="D70" s="59">
        <f>((100/H60)*C70)/100</f>
        <v>1</v>
      </c>
      <c r="E70" s="109"/>
      <c r="F70" s="109"/>
      <c r="G70" s="109"/>
      <c r="H70" s="111"/>
      <c r="I70" s="44" t="s">
        <v>246</v>
      </c>
      <c r="J70" s="52">
        <f>(IF(B60&gt;4,(H60/(B60+2)+J69),0))</f>
        <v>0</v>
      </c>
      <c r="K70" s="44"/>
      <c r="L70" s="52"/>
    </row>
    <row r="71" spans="1:12" ht="15" customHeight="1" x14ac:dyDescent="0.25">
      <c r="A71" s="106" t="s">
        <v>247</v>
      </c>
      <c r="B71" s="107" t="s">
        <v>247</v>
      </c>
      <c r="C71" s="58">
        <v>1.5</v>
      </c>
      <c r="D71" s="59">
        <f>((100/(H60))*C71)/100</f>
        <v>0.5</v>
      </c>
      <c r="E71" s="109"/>
      <c r="F71" s="109"/>
      <c r="G71" s="109"/>
      <c r="H71" s="111"/>
      <c r="I71" s="44" t="s">
        <v>146</v>
      </c>
      <c r="J71" s="52">
        <f>(IF(B60=1,(H60/(B60+3)+J66),IF(B60=0,(H60/4+J66),IF(B60&gt;1,0))))</f>
        <v>2.25</v>
      </c>
      <c r="K71" s="44"/>
      <c r="L71" s="52"/>
    </row>
    <row r="72" spans="1:12" ht="16.5" thickBot="1" x14ac:dyDescent="0.3">
      <c r="A72" s="150" t="s">
        <v>248</v>
      </c>
      <c r="B72" s="151"/>
      <c r="C72" s="62">
        <v>1</v>
      </c>
      <c r="D72" s="63">
        <f>((100/(H60))*C72)/100</f>
        <v>0.33333333333333337</v>
      </c>
      <c r="E72" s="110"/>
      <c r="F72" s="110"/>
      <c r="G72" s="110"/>
      <c r="H72" s="112"/>
      <c r="I72" s="54" t="s">
        <v>147</v>
      </c>
      <c r="J72" s="55">
        <f>(IF(B60&gt;1.5,(H60/(B60+2)+J66+MAX(0,J67-J66)+MAX(0,J68-J67)+MAX(0,J69-J68)+MAX(0,J70-J69)+MAX(0,J71-J70)),IF(B60=1,(H60/(B60+3)+J71),IF(B60=0,H60/4+J71))))</f>
        <v>3</v>
      </c>
      <c r="K72" s="54"/>
      <c r="L72" s="55"/>
    </row>
    <row r="73" spans="1:12" ht="15.75" customHeight="1" x14ac:dyDescent="0.25">
      <c r="A73" s="102" t="s">
        <v>231</v>
      </c>
      <c r="B73" s="103"/>
      <c r="C73" s="99" t="s">
        <v>250</v>
      </c>
      <c r="D73" s="100"/>
      <c r="E73" s="100"/>
      <c r="F73" s="100"/>
      <c r="G73" s="100"/>
      <c r="H73" s="101"/>
      <c r="I73" s="50" t="str">
        <f>(IF(E77&gt;99%,"All work completed. Please provide OC.",IF(E77&gt;89.8%,"Plinth, RCC, Brick, Plaster, Flooring, Painting work Completed. Finishing work is in process.",IF(E77&lt;94%,(IF(C77=0,"Work not yet Started.",IF(D77=25%,"Piling work in process",IF(D77=50%,"Excavation work in process",IF(D77=100%,"Excavation work Completed. ","0")))&amp;(IF(C78=0%,"",IF(C78=J79,"Footing work is process",IF(C78=J80,"Footing work Completed",IF(C78=J81,"1st Basement Completed",IF(C78=J82,"1st &amp; 2nd Basement Completed",IF(C78=J83,"1st to 3rd Basement Completed",IF(C78=J84,"1st to 4th Basement Completed",IF(C78=J85,"Plinth work is process",IF(C78=J86,"Plinth work completed","0")))))))))))&amp;(IF(C79=(D74+F74+H74),", RCC Slab",IF(C79&gt;0,", RCC upto "&amp;C79&amp;" Slab",""))&amp;(IF(C80=H74,", Brickwork",IF(C80&gt;0,", Brickwork upto "&amp;C80&amp;" Floor",""))&amp;(IF(C81=H74,", Internal Plaster",IF(C81&gt;0,", Internal Plaster upto "&amp;C81&amp;" Floor",""))&amp;(IF(C82=H74,", External Plaster",IF(C82&gt;0,", External Plaster upto "&amp;C82&amp;" Floor",""))&amp;(IF(C83=H74,", Flooring",IF(C83&gt;0,", Flooring upto "&amp;C83&amp;" Floor",""))&amp;(IF(C84=H74,", Painting",IF(C84&gt;0,", Painting upto "&amp;C84&amp;" Floor",""))&amp;(IF(C85&gt;0,", Finishing upto "&amp;C85&amp;" Floor","")&amp;(IF(C79&gt;0.5," Completed",""))))))))))))))</f>
        <v>Plinth, RCC, Brick, Plaster, Flooring, Painting work Completed. Finishing work is in process.</v>
      </c>
      <c r="J73" s="24"/>
      <c r="K73" s="50"/>
      <c r="L73" s="24"/>
    </row>
    <row r="74" spans="1:12" x14ac:dyDescent="0.25">
      <c r="A74" s="61" t="s">
        <v>105</v>
      </c>
      <c r="B74" s="49">
        <v>0</v>
      </c>
      <c r="C74" s="49" t="s">
        <v>107</v>
      </c>
      <c r="D74" s="49">
        <v>1</v>
      </c>
      <c r="E74" s="49" t="s">
        <v>106</v>
      </c>
      <c r="F74" s="49">
        <v>0</v>
      </c>
      <c r="G74" s="49" t="s">
        <v>120</v>
      </c>
      <c r="H74" s="56">
        <v>3</v>
      </c>
      <c r="I74" s="21"/>
      <c r="J74" s="25"/>
      <c r="K74" s="21"/>
      <c r="L74" s="25"/>
    </row>
    <row r="75" spans="1:12" ht="32.25" customHeight="1" x14ac:dyDescent="0.25">
      <c r="A75" s="104" t="s">
        <v>131</v>
      </c>
      <c r="B75" s="97"/>
      <c r="C75" s="98" t="str">
        <f>I73</f>
        <v>Plinth, RCC, Brick, Plaster, Flooring, Painting work Completed. Finishing work is in process.</v>
      </c>
      <c r="D75" s="98"/>
      <c r="E75" s="98"/>
      <c r="F75" s="98"/>
      <c r="G75" s="98"/>
      <c r="H75" s="105"/>
      <c r="I75" s="21" t="s">
        <v>148</v>
      </c>
      <c r="J75" s="25"/>
      <c r="K75" s="21"/>
      <c r="L75" s="25"/>
    </row>
    <row r="76" spans="1:12" ht="30.75" customHeight="1" x14ac:dyDescent="0.25">
      <c r="A76" s="106" t="s">
        <v>54</v>
      </c>
      <c r="B76" s="107"/>
      <c r="C76" s="57" t="s">
        <v>232</v>
      </c>
      <c r="D76" s="57" t="s">
        <v>123</v>
      </c>
      <c r="E76" s="107" t="s">
        <v>125</v>
      </c>
      <c r="F76" s="107"/>
      <c r="G76" s="107" t="s">
        <v>124</v>
      </c>
      <c r="H76" s="108"/>
      <c r="I76" s="44" t="s">
        <v>233</v>
      </c>
      <c r="J76" s="26">
        <f>H74*25%</f>
        <v>0.75</v>
      </c>
      <c r="K76" s="44"/>
      <c r="L76" s="26"/>
    </row>
    <row r="77" spans="1:12" x14ac:dyDescent="0.25">
      <c r="A77" s="106" t="s">
        <v>234</v>
      </c>
      <c r="B77" s="107"/>
      <c r="C77" s="58">
        <f>J78</f>
        <v>3</v>
      </c>
      <c r="D77" s="59">
        <f>((100/H74)*C77)/100</f>
        <v>1</v>
      </c>
      <c r="E77" s="109">
        <f>(((C78/H74*10)+(40/(D74+F74+H74)*C79)+(7.5/(H74)*C80)+(7.5/(H74)*C81)+(10/H74*C82)+(10/H74*C83)+(5/H74*C84)+(5/H74*C85)+(5/H74*C86))/100)</f>
        <v>0.92500000000000004</v>
      </c>
      <c r="F77" s="109"/>
      <c r="G77" s="109">
        <f>((((C77/H74)*20)+((C78/H74)*25)+(30/(H74+F74+D74)*C79)+(5/H74*C80)+(5/H74*C81)+(5/H74*C82)+(5/H74*C83)+(0/H74*C84)+(0/H74*C85)+(5/H74*C86))/100)</f>
        <v>0.95</v>
      </c>
      <c r="H77" s="111"/>
      <c r="I77" s="44" t="s">
        <v>142</v>
      </c>
      <c r="J77" s="51">
        <f>H74*50%</f>
        <v>1.5</v>
      </c>
      <c r="K77" s="44"/>
      <c r="L77" s="51"/>
    </row>
    <row r="78" spans="1:12" x14ac:dyDescent="0.25">
      <c r="A78" s="106" t="s">
        <v>55</v>
      </c>
      <c r="B78" s="107"/>
      <c r="C78" s="60">
        <f>J86</f>
        <v>3</v>
      </c>
      <c r="D78" s="59">
        <f>((100/H74)*C78)/100</f>
        <v>1</v>
      </c>
      <c r="E78" s="109"/>
      <c r="F78" s="109"/>
      <c r="G78" s="109"/>
      <c r="H78" s="111"/>
      <c r="I78" s="44" t="s">
        <v>143</v>
      </c>
      <c r="J78" s="51">
        <f>H74</f>
        <v>3</v>
      </c>
      <c r="K78" s="44"/>
      <c r="L78" s="51"/>
    </row>
    <row r="79" spans="1:12" ht="15.75" customHeight="1" x14ac:dyDescent="0.25">
      <c r="A79" s="113" t="s">
        <v>235</v>
      </c>
      <c r="B79" s="114"/>
      <c r="C79" s="60">
        <f>D74+H74</f>
        <v>4</v>
      </c>
      <c r="D79" s="59">
        <f>((100/(D74+F74+H74))*C79)/100</f>
        <v>1</v>
      </c>
      <c r="E79" s="109"/>
      <c r="F79" s="109"/>
      <c r="G79" s="109"/>
      <c r="H79" s="111"/>
      <c r="I79" s="44" t="s">
        <v>144</v>
      </c>
      <c r="J79" s="52">
        <f>(IF(B74&gt;1,(H74/(B74+2)),H74/4))</f>
        <v>0.75</v>
      </c>
      <c r="K79" s="44"/>
      <c r="L79" s="52"/>
    </row>
    <row r="80" spans="1:12" ht="15.75" customHeight="1" x14ac:dyDescent="0.25">
      <c r="A80" s="106" t="s">
        <v>236</v>
      </c>
      <c r="B80" s="107" t="s">
        <v>237</v>
      </c>
      <c r="C80" s="58">
        <v>3</v>
      </c>
      <c r="D80" s="59">
        <f>((100/H74)*C80)/100</f>
        <v>1</v>
      </c>
      <c r="E80" s="109"/>
      <c r="F80" s="109"/>
      <c r="G80" s="109"/>
      <c r="H80" s="111"/>
      <c r="I80" s="44" t="s">
        <v>145</v>
      </c>
      <c r="J80" s="52">
        <f>(IF(B74&gt;1,(H74/(B74+2)+J79),H74/4+J79))</f>
        <v>1.5</v>
      </c>
      <c r="K80" s="44"/>
      <c r="L80" s="52"/>
    </row>
    <row r="81" spans="1:12" ht="15.75" customHeight="1" x14ac:dyDescent="0.25">
      <c r="A81" s="106" t="s">
        <v>238</v>
      </c>
      <c r="B81" s="107" t="s">
        <v>237</v>
      </c>
      <c r="C81" s="58">
        <v>3</v>
      </c>
      <c r="D81" s="59">
        <f>((100/H74)*C81)/100</f>
        <v>1</v>
      </c>
      <c r="E81" s="109"/>
      <c r="F81" s="109"/>
      <c r="G81" s="109"/>
      <c r="H81" s="111"/>
      <c r="I81" s="44" t="s">
        <v>239</v>
      </c>
      <c r="J81" s="52">
        <f>(IF(B74&gt;1,(H74/(B74+2)+J80),0))</f>
        <v>0</v>
      </c>
      <c r="K81" s="44"/>
      <c r="L81" s="52"/>
    </row>
    <row r="82" spans="1:12" ht="15.75" customHeight="1" x14ac:dyDescent="0.25">
      <c r="A82" s="106" t="s">
        <v>240</v>
      </c>
      <c r="B82" s="107" t="s">
        <v>241</v>
      </c>
      <c r="C82" s="58">
        <v>3</v>
      </c>
      <c r="D82" s="59">
        <f>((100/(H74))*C82)/100</f>
        <v>1</v>
      </c>
      <c r="E82" s="109"/>
      <c r="F82" s="109"/>
      <c r="G82" s="109"/>
      <c r="H82" s="111"/>
      <c r="I82" s="44" t="s">
        <v>242</v>
      </c>
      <c r="J82" s="52">
        <f>(IF(B74&gt;2,(H74/(B74+2)+J81),0))</f>
        <v>0</v>
      </c>
      <c r="K82" s="44"/>
      <c r="L82" s="52"/>
    </row>
    <row r="83" spans="1:12" ht="15.75" customHeight="1" x14ac:dyDescent="0.25">
      <c r="A83" s="106" t="s">
        <v>243</v>
      </c>
      <c r="B83" s="107" t="s">
        <v>243</v>
      </c>
      <c r="C83" s="60">
        <v>3</v>
      </c>
      <c r="D83" s="59">
        <f>((100/H74)*C83)/100</f>
        <v>1</v>
      </c>
      <c r="E83" s="109"/>
      <c r="F83" s="109"/>
      <c r="G83" s="109"/>
      <c r="H83" s="111"/>
      <c r="I83" s="44" t="s">
        <v>244</v>
      </c>
      <c r="J83" s="53">
        <f>(IF(B74&gt;3,(H74/(B74+2)+J82),0))</f>
        <v>0</v>
      </c>
      <c r="K83" s="44"/>
      <c r="L83" s="53"/>
    </row>
    <row r="84" spans="1:12" ht="15.75" customHeight="1" x14ac:dyDescent="0.25">
      <c r="A84" s="106" t="s">
        <v>245</v>
      </c>
      <c r="B84" s="107"/>
      <c r="C84" s="60">
        <v>3</v>
      </c>
      <c r="D84" s="59">
        <f>((100/H74)*C84)/100</f>
        <v>1</v>
      </c>
      <c r="E84" s="109"/>
      <c r="F84" s="109"/>
      <c r="G84" s="109"/>
      <c r="H84" s="111"/>
      <c r="I84" s="44" t="s">
        <v>246</v>
      </c>
      <c r="J84" s="52">
        <f>(IF(B74&gt;4,(H74/(B74+2)+J83),0))</f>
        <v>0</v>
      </c>
      <c r="K84" s="44"/>
      <c r="L84" s="52"/>
    </row>
    <row r="85" spans="1:12" ht="15" customHeight="1" x14ac:dyDescent="0.25">
      <c r="A85" s="106" t="s">
        <v>247</v>
      </c>
      <c r="B85" s="107" t="s">
        <v>247</v>
      </c>
      <c r="C85" s="58">
        <v>1.5</v>
      </c>
      <c r="D85" s="59">
        <f>((100/(H74))*C85)/100</f>
        <v>0.5</v>
      </c>
      <c r="E85" s="109"/>
      <c r="F85" s="109"/>
      <c r="G85" s="109"/>
      <c r="H85" s="111"/>
      <c r="I85" s="44" t="s">
        <v>146</v>
      </c>
      <c r="J85" s="52">
        <f>(IF(B74=1,(H74/(B74+3)+J80),IF(B74=0,(H74/4+J80),IF(B74&gt;1,0))))</f>
        <v>2.25</v>
      </c>
      <c r="K85" s="44"/>
      <c r="L85" s="52"/>
    </row>
    <row r="86" spans="1:12" ht="16.5" thickBot="1" x14ac:dyDescent="0.3">
      <c r="A86" s="150" t="s">
        <v>248</v>
      </c>
      <c r="B86" s="151"/>
      <c r="C86" s="62">
        <v>0</v>
      </c>
      <c r="D86" s="63">
        <f>((100/(H74))*C86)/100</f>
        <v>0</v>
      </c>
      <c r="E86" s="110"/>
      <c r="F86" s="110"/>
      <c r="G86" s="110"/>
      <c r="H86" s="112"/>
      <c r="I86" s="54" t="s">
        <v>147</v>
      </c>
      <c r="J86" s="55">
        <f>(IF(B74&gt;1.5,(H74/(B74+2)+J80+MAX(0,J81-J80)+MAX(0,J82-J81)+MAX(0,J83-J82)+MAX(0,J84-J83)+MAX(0,J85-J84)),IF(B74=1,(H74/(B74+3)+J85),IF(B74=0,H74/4+J85))))</f>
        <v>3</v>
      </c>
      <c r="K86" s="54"/>
      <c r="L86" s="55"/>
    </row>
    <row r="87" spans="1:12" ht="15.75" customHeight="1" x14ac:dyDescent="0.25">
      <c r="A87" s="102" t="s">
        <v>231</v>
      </c>
      <c r="B87" s="103"/>
      <c r="C87" s="99" t="s">
        <v>251</v>
      </c>
      <c r="D87" s="100"/>
      <c r="E87" s="100"/>
      <c r="F87" s="100"/>
      <c r="G87" s="100"/>
      <c r="H87" s="101"/>
      <c r="I87" s="50" t="str">
        <f>(IF(E91&gt;99%,"All work completed. Please provide OC.",IF(E91&gt;89.8%,"Plinth, RCC, Brick, Plaster, Flooring, Painting work Completed. Finishing work is in process.",IF(E91&lt;94%,(IF(C91=0,"Work not yet Started.",IF(D91=25%,"Piling work in process",IF(D91=50%,"Excavation work in process",IF(D91=100%,"Excavation work Completed. ","0")))&amp;(IF(C92=0%,"",IF(C92=J93,"Footing work is process",IF(C92=J94,"Footing work Completed",IF(C92=J95,"1st Basement Completed",IF(C92=J96,"1st &amp; 2nd Basement Completed",IF(C92=J97,"1st to 3rd Basement Completed",IF(C92=J98,"1st to 4th Basement Completed",IF(C92=J99,"Plinth work is process",IF(C92=J100,"Plinth work completed","0")))))))))))&amp;(IF(C93=(D88+F88+H88),", RCC Slab",IF(C93&gt;0,", RCC upto "&amp;C93&amp;" Slab",""))&amp;(IF(C94=H88,", Brickwork",IF(C94&gt;0,", Brickwork upto "&amp;C94&amp;" Floor",""))&amp;(IF(C95=H88,", Internal Plaster",IF(C95&gt;0,", Internal Plaster upto "&amp;C95&amp;" Floor",""))&amp;(IF(C96=H88,", External Plaster",IF(C96&gt;0,", External Plaster upto "&amp;C96&amp;" Floor",""))&amp;(IF(C97=H88,", Flooring",IF(C97&gt;0,", Flooring upto "&amp;C97&amp;" Floor",""))&amp;(IF(C98=H88,", Painting",IF(C98&gt;0,", Painting upto "&amp;C98&amp;" Floor",""))&amp;(IF(C99&gt;0,", Finishing upto "&amp;C99&amp;" Floor","")&amp;(IF(C93&gt;0.5," Completed",""))))))))))))))</f>
        <v>Excavation work Completed. Plinth work completed, RCC Slab, Brickwork, Internal Plaster, External Plaster, Flooring upto 2 Floor, Painting upto 1 Floor Completed</v>
      </c>
      <c r="J87" s="24"/>
      <c r="K87" s="50"/>
      <c r="L87" s="24"/>
    </row>
    <row r="88" spans="1:12" x14ac:dyDescent="0.25">
      <c r="A88" s="61" t="s">
        <v>105</v>
      </c>
      <c r="B88" s="49">
        <v>0</v>
      </c>
      <c r="C88" s="49" t="s">
        <v>107</v>
      </c>
      <c r="D88" s="49">
        <v>1</v>
      </c>
      <c r="E88" s="49" t="s">
        <v>106</v>
      </c>
      <c r="F88" s="49">
        <v>0</v>
      </c>
      <c r="G88" s="49" t="s">
        <v>120</v>
      </c>
      <c r="H88" s="56">
        <v>3</v>
      </c>
      <c r="I88" s="21"/>
      <c r="J88" s="25"/>
      <c r="K88" s="21"/>
      <c r="L88" s="25"/>
    </row>
    <row r="89" spans="1:12" ht="33" customHeight="1" x14ac:dyDescent="0.25">
      <c r="A89" s="104" t="s">
        <v>131</v>
      </c>
      <c r="B89" s="97"/>
      <c r="C89" s="98" t="str">
        <f>I87</f>
        <v>Excavation work Completed. Plinth work completed, RCC Slab, Brickwork, Internal Plaster, External Plaster, Flooring upto 2 Floor, Painting upto 1 Floor Completed</v>
      </c>
      <c r="D89" s="98"/>
      <c r="E89" s="98"/>
      <c r="F89" s="98"/>
      <c r="G89" s="98"/>
      <c r="H89" s="105"/>
      <c r="I89" s="21" t="s">
        <v>148</v>
      </c>
      <c r="J89" s="25"/>
      <c r="K89" s="21"/>
      <c r="L89" s="25"/>
    </row>
    <row r="90" spans="1:12" x14ac:dyDescent="0.25">
      <c r="A90" s="106" t="s">
        <v>54</v>
      </c>
      <c r="B90" s="107"/>
      <c r="C90" s="57" t="s">
        <v>232</v>
      </c>
      <c r="D90" s="57" t="s">
        <v>123</v>
      </c>
      <c r="E90" s="107" t="s">
        <v>125</v>
      </c>
      <c r="F90" s="107"/>
      <c r="G90" s="107" t="s">
        <v>124</v>
      </c>
      <c r="H90" s="108"/>
      <c r="I90" s="44" t="s">
        <v>233</v>
      </c>
      <c r="J90" s="26">
        <f>H88*25%</f>
        <v>0.75</v>
      </c>
      <c r="K90" s="44"/>
      <c r="L90" s="26"/>
    </row>
    <row r="91" spans="1:12" x14ac:dyDescent="0.25">
      <c r="A91" s="106" t="s">
        <v>234</v>
      </c>
      <c r="B91" s="107"/>
      <c r="C91" s="58">
        <f>J92</f>
        <v>3</v>
      </c>
      <c r="D91" s="59">
        <f>((100/H88)*C91)/100</f>
        <v>1</v>
      </c>
      <c r="E91" s="109">
        <f>(((C92/H88*10)+(40/(D88+F88+H88)*C93)+(7.5/(H88)*C94)+(7.5/(H88)*C95)+(10/H88*C96)+(10/H88*C97)+(5/H88*C98)+(5/H88*C99)+(5/H88*C100))/100)</f>
        <v>0.83333333333333348</v>
      </c>
      <c r="F91" s="109"/>
      <c r="G91" s="109">
        <f>((((C91/H88)*20)+((C92/H88)*25)+(30/(H88+F88+D88)*C93)+(5/H88*C94)+(5/H88*C95)+(5/H88*C96)+(5/H88*C97)+(0/H88*C98)+(0/H88*C99)+(5/H88*C100))/100)</f>
        <v>0.93333333333333324</v>
      </c>
      <c r="H91" s="111"/>
      <c r="I91" s="44" t="s">
        <v>142</v>
      </c>
      <c r="J91" s="51">
        <f>H88*50%</f>
        <v>1.5</v>
      </c>
      <c r="K91" s="44"/>
      <c r="L91" s="51"/>
    </row>
    <row r="92" spans="1:12" x14ac:dyDescent="0.25">
      <c r="A92" s="106" t="s">
        <v>55</v>
      </c>
      <c r="B92" s="107"/>
      <c r="C92" s="60">
        <f>J100</f>
        <v>3</v>
      </c>
      <c r="D92" s="59">
        <f>((100/H88)*C92)/100</f>
        <v>1</v>
      </c>
      <c r="E92" s="109"/>
      <c r="F92" s="109"/>
      <c r="G92" s="109"/>
      <c r="H92" s="111"/>
      <c r="I92" s="44" t="s">
        <v>143</v>
      </c>
      <c r="J92" s="51">
        <f>H88</f>
        <v>3</v>
      </c>
      <c r="K92" s="44"/>
      <c r="L92" s="51"/>
    </row>
    <row r="93" spans="1:12" ht="15.75" customHeight="1" x14ac:dyDescent="0.25">
      <c r="A93" s="113" t="s">
        <v>235</v>
      </c>
      <c r="B93" s="114"/>
      <c r="C93" s="60">
        <v>4</v>
      </c>
      <c r="D93" s="59">
        <f>((100/(D88+F88+H88))*C93)/100</f>
        <v>1</v>
      </c>
      <c r="E93" s="109"/>
      <c r="F93" s="109"/>
      <c r="G93" s="109"/>
      <c r="H93" s="111"/>
      <c r="I93" s="44" t="s">
        <v>144</v>
      </c>
      <c r="J93" s="52">
        <f>(IF(B88&gt;1,(H88/(B88+2)),H88/4))</f>
        <v>0.75</v>
      </c>
      <c r="K93" s="44"/>
      <c r="L93" s="52"/>
    </row>
    <row r="94" spans="1:12" ht="15.75" customHeight="1" x14ac:dyDescent="0.25">
      <c r="A94" s="106" t="s">
        <v>236</v>
      </c>
      <c r="B94" s="107" t="s">
        <v>237</v>
      </c>
      <c r="C94" s="58">
        <v>3</v>
      </c>
      <c r="D94" s="59">
        <f>((100/H88)*C94)/100</f>
        <v>1</v>
      </c>
      <c r="E94" s="109"/>
      <c r="F94" s="109"/>
      <c r="G94" s="109"/>
      <c r="H94" s="111"/>
      <c r="I94" s="44" t="s">
        <v>145</v>
      </c>
      <c r="J94" s="52">
        <f>(IF(B88&gt;1,(H88/(B88+2)+J93),H88/4+J93))</f>
        <v>1.5</v>
      </c>
      <c r="K94" s="44"/>
      <c r="L94" s="52"/>
    </row>
    <row r="95" spans="1:12" ht="15.75" customHeight="1" x14ac:dyDescent="0.25">
      <c r="A95" s="106" t="s">
        <v>238</v>
      </c>
      <c r="B95" s="107" t="s">
        <v>237</v>
      </c>
      <c r="C95" s="58">
        <v>3</v>
      </c>
      <c r="D95" s="59">
        <f>((100/H88)*C95)/100</f>
        <v>1</v>
      </c>
      <c r="E95" s="109"/>
      <c r="F95" s="109"/>
      <c r="G95" s="109"/>
      <c r="H95" s="111"/>
      <c r="I95" s="44" t="s">
        <v>239</v>
      </c>
      <c r="J95" s="52">
        <f>(IF(B88&gt;1,(H88/(B88+2)+J94),0))</f>
        <v>0</v>
      </c>
      <c r="K95" s="44"/>
      <c r="L95" s="52"/>
    </row>
    <row r="96" spans="1:12" ht="15.75" customHeight="1" x14ac:dyDescent="0.25">
      <c r="A96" s="106" t="s">
        <v>240</v>
      </c>
      <c r="B96" s="107" t="s">
        <v>241</v>
      </c>
      <c r="C96" s="58">
        <v>3</v>
      </c>
      <c r="D96" s="59">
        <f>((100/(H88))*C96)/100</f>
        <v>1</v>
      </c>
      <c r="E96" s="109"/>
      <c r="F96" s="109"/>
      <c r="G96" s="109"/>
      <c r="H96" s="111"/>
      <c r="I96" s="44" t="s">
        <v>242</v>
      </c>
      <c r="J96" s="52">
        <f>(IF(B88&gt;2,(H88/(B88+2)+J95),0))</f>
        <v>0</v>
      </c>
      <c r="K96" s="44"/>
      <c r="L96" s="52"/>
    </row>
    <row r="97" spans="1:12" ht="15.75" customHeight="1" x14ac:dyDescent="0.25">
      <c r="A97" s="106" t="s">
        <v>243</v>
      </c>
      <c r="B97" s="107" t="s">
        <v>243</v>
      </c>
      <c r="C97" s="58">
        <v>2</v>
      </c>
      <c r="D97" s="59">
        <f>((100/H88)*C97)/100</f>
        <v>0.66666666666666674</v>
      </c>
      <c r="E97" s="109"/>
      <c r="F97" s="109"/>
      <c r="G97" s="109"/>
      <c r="H97" s="111"/>
      <c r="I97" s="44" t="s">
        <v>244</v>
      </c>
      <c r="J97" s="53">
        <f>(IF(B88&gt;3,(H88/(B88+2)+J96),0))</f>
        <v>0</v>
      </c>
      <c r="K97" s="44"/>
      <c r="L97" s="53"/>
    </row>
    <row r="98" spans="1:12" ht="15.75" customHeight="1" x14ac:dyDescent="0.25">
      <c r="A98" s="106" t="s">
        <v>245</v>
      </c>
      <c r="B98" s="107"/>
      <c r="C98" s="58">
        <v>1</v>
      </c>
      <c r="D98" s="59">
        <f>((100/H88)*C98)/100</f>
        <v>0.33333333333333337</v>
      </c>
      <c r="E98" s="109"/>
      <c r="F98" s="109"/>
      <c r="G98" s="109"/>
      <c r="H98" s="111"/>
      <c r="I98" s="44" t="s">
        <v>246</v>
      </c>
      <c r="J98" s="52">
        <f>(IF(B88&gt;4,(H88/(B88+2)+J97),0))</f>
        <v>0</v>
      </c>
      <c r="K98" s="44"/>
      <c r="L98" s="52"/>
    </row>
    <row r="99" spans="1:12" ht="15" customHeight="1" x14ac:dyDescent="0.25">
      <c r="A99" s="106" t="s">
        <v>247</v>
      </c>
      <c r="B99" s="107" t="s">
        <v>247</v>
      </c>
      <c r="C99" s="58">
        <v>0</v>
      </c>
      <c r="D99" s="59">
        <f>((100/(H88))*C99)/100</f>
        <v>0</v>
      </c>
      <c r="E99" s="109"/>
      <c r="F99" s="109"/>
      <c r="G99" s="109"/>
      <c r="H99" s="111"/>
      <c r="I99" s="44" t="s">
        <v>146</v>
      </c>
      <c r="J99" s="52">
        <f>(IF(B88=1,(H88/(B88+3)+J94),IF(B88=0,(H88/4+J94),IF(B88&gt;1,0))))</f>
        <v>2.25</v>
      </c>
      <c r="K99" s="44"/>
      <c r="L99" s="52"/>
    </row>
    <row r="100" spans="1:12" ht="16.5" thickBot="1" x14ac:dyDescent="0.3">
      <c r="A100" s="150" t="s">
        <v>248</v>
      </c>
      <c r="B100" s="151"/>
      <c r="C100" s="62">
        <v>0</v>
      </c>
      <c r="D100" s="63">
        <f>((100/(H88))*C100)/100</f>
        <v>0</v>
      </c>
      <c r="E100" s="110"/>
      <c r="F100" s="110"/>
      <c r="G100" s="110"/>
      <c r="H100" s="112"/>
      <c r="I100" s="54" t="s">
        <v>147</v>
      </c>
      <c r="J100" s="55">
        <f>(IF(B88&gt;1.5,(H88/(B88+2)+J94+MAX(0,J95-J94)+MAX(0,J96-J95)+MAX(0,J97-J96)+MAX(0,J98-J97)+MAX(0,J99-J98)),IF(B88=1,(H88/(B88+3)+J99),IF(B88=0,H88/4+J99))))</f>
        <v>3</v>
      </c>
      <c r="K100" s="54"/>
      <c r="L100" s="55"/>
    </row>
    <row r="101" spans="1:12" x14ac:dyDescent="0.25">
      <c r="A101" s="92" t="s">
        <v>204</v>
      </c>
      <c r="B101" s="92"/>
      <c r="C101" s="92"/>
      <c r="D101" s="92"/>
      <c r="E101" s="92"/>
      <c r="F101" s="92"/>
      <c r="G101" s="92"/>
      <c r="H101" s="92"/>
      <c r="I101" s="44"/>
      <c r="J101" s="27"/>
      <c r="K101" s="27"/>
    </row>
    <row r="102" spans="1:12" x14ac:dyDescent="0.25">
      <c r="A102" s="85" t="s">
        <v>56</v>
      </c>
      <c r="B102" s="85"/>
      <c r="C102" s="85"/>
      <c r="D102" s="85"/>
      <c r="E102" s="85"/>
      <c r="F102" s="85"/>
      <c r="G102" s="85"/>
      <c r="H102" s="85"/>
      <c r="I102" s="44"/>
      <c r="J102" s="27"/>
      <c r="K102" s="27"/>
    </row>
    <row r="103" spans="1:12" x14ac:dyDescent="0.25">
      <c r="A103" s="97" t="s">
        <v>110</v>
      </c>
      <c r="B103" s="97"/>
      <c r="C103" s="98" t="s">
        <v>111</v>
      </c>
      <c r="D103" s="98"/>
      <c r="E103" s="98"/>
      <c r="F103" s="98"/>
      <c r="G103" s="98"/>
      <c r="H103" s="98"/>
    </row>
    <row r="104" spans="1:12" x14ac:dyDescent="0.25">
      <c r="A104" s="93" t="s">
        <v>57</v>
      </c>
      <c r="B104" s="93"/>
      <c r="C104" s="93"/>
      <c r="D104" s="93"/>
      <c r="E104" s="93"/>
      <c r="F104" s="93"/>
      <c r="G104" s="93"/>
      <c r="H104" s="93"/>
    </row>
    <row r="105" spans="1:12" ht="15" customHeight="1" x14ac:dyDescent="0.25">
      <c r="A105" s="85" t="s">
        <v>112</v>
      </c>
      <c r="B105" s="85"/>
      <c r="C105" s="85"/>
      <c r="D105" s="85"/>
      <c r="E105" s="85"/>
      <c r="F105" s="94">
        <v>3500</v>
      </c>
      <c r="G105" s="95"/>
      <c r="H105" s="96"/>
    </row>
    <row r="106" spans="1:12" x14ac:dyDescent="0.25">
      <c r="A106" s="85" t="s">
        <v>119</v>
      </c>
      <c r="B106" s="85"/>
      <c r="C106" s="85"/>
      <c r="D106" s="85"/>
      <c r="E106" s="85"/>
      <c r="F106" s="115">
        <v>5000</v>
      </c>
      <c r="G106" s="115"/>
      <c r="H106" s="115"/>
    </row>
    <row r="107" spans="1:12" x14ac:dyDescent="0.25">
      <c r="A107" s="85" t="s">
        <v>136</v>
      </c>
      <c r="B107" s="85"/>
      <c r="C107" s="85"/>
      <c r="D107" s="85"/>
      <c r="E107" s="85"/>
      <c r="F107" s="115" t="s">
        <v>255</v>
      </c>
      <c r="G107" s="115"/>
      <c r="H107" s="115"/>
    </row>
    <row r="108" spans="1:12" s="13" customFormat="1" hidden="1" x14ac:dyDescent="0.25">
      <c r="A108" s="85" t="s">
        <v>137</v>
      </c>
      <c r="B108" s="85"/>
      <c r="C108" s="85"/>
      <c r="D108" s="85"/>
      <c r="E108" s="85"/>
      <c r="F108" s="115" t="s">
        <v>31</v>
      </c>
      <c r="G108" s="115"/>
      <c r="H108" s="115"/>
    </row>
    <row r="109" spans="1:12" s="13" customFormat="1" hidden="1" x14ac:dyDescent="0.25">
      <c r="A109" s="85" t="s">
        <v>138</v>
      </c>
      <c r="B109" s="85"/>
      <c r="C109" s="85"/>
      <c r="D109" s="85"/>
      <c r="E109" s="85"/>
      <c r="F109" s="115" t="s">
        <v>31</v>
      </c>
      <c r="G109" s="115"/>
      <c r="H109" s="115"/>
    </row>
    <row r="110" spans="1:12" s="13" customFormat="1" hidden="1" x14ac:dyDescent="0.25">
      <c r="A110" s="85" t="s">
        <v>139</v>
      </c>
      <c r="B110" s="85"/>
      <c r="C110" s="85"/>
      <c r="D110" s="85"/>
      <c r="E110" s="85"/>
      <c r="F110" s="115" t="s">
        <v>31</v>
      </c>
      <c r="G110" s="115"/>
      <c r="H110" s="115"/>
    </row>
    <row r="111" spans="1:12" s="13" customFormat="1" x14ac:dyDescent="0.25">
      <c r="A111" s="85" t="s">
        <v>140</v>
      </c>
      <c r="B111" s="85"/>
      <c r="C111" s="85"/>
      <c r="D111" s="85"/>
      <c r="E111" s="85"/>
      <c r="F111" s="115" t="s">
        <v>259</v>
      </c>
      <c r="G111" s="115"/>
      <c r="H111" s="115"/>
    </row>
    <row r="112" spans="1:12" s="13" customFormat="1" x14ac:dyDescent="0.25">
      <c r="A112" s="85" t="s">
        <v>141</v>
      </c>
      <c r="B112" s="85"/>
      <c r="C112" s="85"/>
      <c r="D112" s="85"/>
      <c r="E112" s="85"/>
      <c r="F112" s="115" t="s">
        <v>258</v>
      </c>
      <c r="G112" s="115"/>
      <c r="H112" s="115"/>
    </row>
    <row r="113" spans="1:8" s="13" customFormat="1" x14ac:dyDescent="0.25">
      <c r="A113" s="85" t="s">
        <v>257</v>
      </c>
      <c r="B113" s="85"/>
      <c r="C113" s="85"/>
      <c r="D113" s="85"/>
      <c r="E113" s="85"/>
      <c r="F113" s="115" t="s">
        <v>256</v>
      </c>
      <c r="G113" s="115"/>
      <c r="H113" s="115"/>
    </row>
    <row r="114" spans="1:8" s="13" customFormat="1" x14ac:dyDescent="0.25">
      <c r="A114" s="85" t="s">
        <v>58</v>
      </c>
      <c r="B114" s="85"/>
      <c r="C114" s="85"/>
      <c r="D114" s="85"/>
      <c r="E114" s="85"/>
      <c r="F114" s="133" t="s">
        <v>229</v>
      </c>
      <c r="G114" s="133"/>
      <c r="H114" s="133"/>
    </row>
    <row r="115" spans="1:8" s="13" customFormat="1" x14ac:dyDescent="0.25">
      <c r="A115" s="93" t="s">
        <v>59</v>
      </c>
      <c r="B115" s="93"/>
      <c r="C115" s="93"/>
      <c r="D115" s="93"/>
      <c r="E115" s="93"/>
      <c r="F115" s="115">
        <f>F105*0.8</f>
        <v>2800</v>
      </c>
      <c r="G115" s="115"/>
      <c r="H115" s="115"/>
    </row>
    <row r="116" spans="1:8" x14ac:dyDescent="0.25">
      <c r="A116" s="91" t="s">
        <v>113</v>
      </c>
      <c r="B116" s="91"/>
      <c r="C116" s="91"/>
      <c r="D116" s="91"/>
      <c r="E116" s="91"/>
      <c r="F116" s="91"/>
      <c r="G116" s="91"/>
      <c r="H116" s="91"/>
    </row>
    <row r="117" spans="1:8" s="9" customFormat="1" x14ac:dyDescent="0.25">
      <c r="A117" s="67" t="s">
        <v>60</v>
      </c>
      <c r="B117" s="67"/>
      <c r="C117" s="14" t="s">
        <v>116</v>
      </c>
      <c r="D117" s="135" t="s">
        <v>61</v>
      </c>
      <c r="E117" s="135"/>
      <c r="F117" s="67" t="s">
        <v>62</v>
      </c>
      <c r="G117" s="67"/>
      <c r="H117" s="67"/>
    </row>
    <row r="118" spans="1:8" s="1" customFormat="1" ht="15.75" customHeight="1" x14ac:dyDescent="0.25">
      <c r="A118" s="79" t="s">
        <v>206</v>
      </c>
      <c r="B118" s="79"/>
      <c r="C118" s="15">
        <f>COUNT(D131:D138)</f>
        <v>8</v>
      </c>
      <c r="D118" s="80">
        <f>SUM(D131:D138)</f>
        <v>1007.29512</v>
      </c>
      <c r="E118" s="80"/>
      <c r="F118" s="74">
        <f>SUM(F131:F138)</f>
        <v>1510.9426800000001</v>
      </c>
      <c r="G118" s="74"/>
      <c r="H118" s="74"/>
    </row>
    <row r="119" spans="1:8" s="1" customFormat="1" ht="15.75" customHeight="1" x14ac:dyDescent="0.25">
      <c r="A119" s="91" t="s">
        <v>104</v>
      </c>
      <c r="B119" s="91"/>
      <c r="C119" s="91"/>
      <c r="D119" s="91"/>
      <c r="E119" s="91"/>
      <c r="F119" s="91"/>
      <c r="G119" s="91"/>
      <c r="H119" s="91"/>
    </row>
    <row r="120" spans="1:8" s="1" customFormat="1" x14ac:dyDescent="0.25">
      <c r="A120" s="67" t="s">
        <v>60</v>
      </c>
      <c r="B120" s="67"/>
      <c r="C120" s="14" t="s">
        <v>116</v>
      </c>
      <c r="D120" s="135" t="s">
        <v>61</v>
      </c>
      <c r="E120" s="135"/>
      <c r="F120" s="67" t="s">
        <v>62</v>
      </c>
      <c r="G120" s="67"/>
      <c r="H120" s="67"/>
    </row>
    <row r="121" spans="1:8" s="1" customFormat="1" x14ac:dyDescent="0.25">
      <c r="A121" s="79" t="s">
        <v>206</v>
      </c>
      <c r="B121" s="79"/>
      <c r="C121" s="15">
        <f xml:space="preserve"> COUNT(D140:D145)*2+COUNT(D147:D150)</f>
        <v>16</v>
      </c>
      <c r="D121" s="80">
        <f xml:space="preserve"> SUM(D140:D145)*2+SUM(D147:D150)</f>
        <v>6413.5141199999998</v>
      </c>
      <c r="E121" s="80"/>
      <c r="F121" s="74">
        <f>SUM(F140:F145)*2+SUM(F147:F150)</f>
        <v>9299.5954740000016</v>
      </c>
      <c r="G121" s="74"/>
      <c r="H121" s="74"/>
    </row>
    <row r="122" spans="1:8" s="1" customFormat="1" x14ac:dyDescent="0.25">
      <c r="A122" s="79" t="s">
        <v>207</v>
      </c>
      <c r="B122" s="79"/>
      <c r="C122" s="15">
        <f>COUNT(D156:D162)*3</f>
        <v>21</v>
      </c>
      <c r="D122" s="80">
        <f>SUM(D156:D162)*3</f>
        <v>8048.1351600000007</v>
      </c>
      <c r="E122" s="80"/>
      <c r="F122" s="74">
        <f>SUM(F156:F162)*3</f>
        <v>11669.795982</v>
      </c>
      <c r="G122" s="74"/>
      <c r="H122" s="74"/>
    </row>
    <row r="123" spans="1:8" s="1" customFormat="1" x14ac:dyDescent="0.25">
      <c r="A123" s="79" t="s">
        <v>208</v>
      </c>
      <c r="B123" s="79"/>
      <c r="C123" s="15">
        <f>COUNT(D166:D171)*3</f>
        <v>18</v>
      </c>
      <c r="D123" s="80">
        <f>SUM(D166:D171)*3</f>
        <v>6318.8985599999996</v>
      </c>
      <c r="E123" s="80"/>
      <c r="F123" s="74">
        <f>SUM(F166:F171)*3</f>
        <v>9162.4029120000014</v>
      </c>
      <c r="G123" s="74"/>
      <c r="H123" s="74"/>
    </row>
    <row r="124" spans="1:8" s="1" customFormat="1" x14ac:dyDescent="0.25">
      <c r="A124" s="91" t="s">
        <v>64</v>
      </c>
      <c r="B124" s="91"/>
      <c r="C124" s="48">
        <f>SUM(C121:C123)</f>
        <v>55</v>
      </c>
      <c r="D124" s="134">
        <f>SUM(D121:E123)</f>
        <v>20780.547839999999</v>
      </c>
      <c r="E124" s="134"/>
      <c r="F124" s="67">
        <f>SUM(F121:H123)</f>
        <v>30131.794368000003</v>
      </c>
      <c r="G124" s="67"/>
      <c r="H124" s="67"/>
    </row>
    <row r="125" spans="1:8" s="1" customFormat="1" x14ac:dyDescent="0.25">
      <c r="A125" s="90" t="s">
        <v>65</v>
      </c>
      <c r="B125" s="90"/>
      <c r="C125" s="90"/>
      <c r="D125" s="90"/>
      <c r="E125" s="90"/>
      <c r="F125" s="90"/>
      <c r="G125" s="90"/>
      <c r="H125" s="90"/>
    </row>
    <row r="126" spans="1:8" s="1" customFormat="1" x14ac:dyDescent="0.25">
      <c r="A126" s="90" t="s">
        <v>66</v>
      </c>
      <c r="B126" s="90"/>
      <c r="C126" s="90"/>
      <c r="D126" s="90"/>
      <c r="E126" s="90"/>
      <c r="F126" s="90"/>
      <c r="G126" s="90"/>
      <c r="H126" s="90"/>
    </row>
    <row r="127" spans="1:8" s="9" customFormat="1" ht="67.5" customHeight="1" x14ac:dyDescent="0.25">
      <c r="A127" s="23" t="s">
        <v>228</v>
      </c>
      <c r="B127" s="23" t="s">
        <v>227</v>
      </c>
      <c r="C127" s="23" t="s">
        <v>67</v>
      </c>
      <c r="D127" s="23" t="s">
        <v>68</v>
      </c>
      <c r="E127" s="16" t="s">
        <v>69</v>
      </c>
      <c r="F127" s="23" t="s">
        <v>70</v>
      </c>
      <c r="G127" s="136" t="s">
        <v>71</v>
      </c>
      <c r="H127" s="136"/>
    </row>
    <row r="128" spans="1:8" x14ac:dyDescent="0.25">
      <c r="A128" s="81" t="s">
        <v>217</v>
      </c>
      <c r="B128" s="82"/>
      <c r="C128" s="82"/>
      <c r="D128" s="82"/>
      <c r="E128" s="82"/>
      <c r="F128" s="82"/>
      <c r="G128" s="82"/>
      <c r="H128" s="83"/>
    </row>
    <row r="129" spans="1:9" x14ac:dyDescent="0.25">
      <c r="A129" s="76" t="s">
        <v>266</v>
      </c>
      <c r="B129" s="77"/>
      <c r="C129" s="77"/>
      <c r="D129" s="77"/>
      <c r="E129" s="77"/>
      <c r="F129" s="77"/>
      <c r="G129" s="77"/>
      <c r="H129" s="78"/>
    </row>
    <row r="130" spans="1:9" ht="15.75" customHeight="1" x14ac:dyDescent="0.25">
      <c r="A130" s="76" t="s">
        <v>179</v>
      </c>
      <c r="B130" s="77"/>
      <c r="C130" s="77"/>
      <c r="D130" s="77"/>
      <c r="E130" s="77"/>
      <c r="F130" s="77"/>
      <c r="G130" s="77"/>
      <c r="H130" s="78"/>
    </row>
    <row r="131" spans="1:9" s="2" customFormat="1" ht="15.75" customHeight="1" x14ac:dyDescent="0.25">
      <c r="A131" s="75">
        <v>1</v>
      </c>
      <c r="B131" s="75"/>
      <c r="C131" s="22" t="s">
        <v>180</v>
      </c>
      <c r="D131" s="22">
        <f>10.37*10.764</f>
        <v>111.62267999999999</v>
      </c>
      <c r="E131" s="22">
        <v>0</v>
      </c>
      <c r="F131" s="22">
        <f>D131*1.5+E131</f>
        <v>167.43401999999998</v>
      </c>
      <c r="G131" s="68" t="s">
        <v>181</v>
      </c>
      <c r="H131" s="69"/>
    </row>
    <row r="132" spans="1:9" s="2" customFormat="1" x14ac:dyDescent="0.25">
      <c r="A132" s="75">
        <v>2</v>
      </c>
      <c r="B132" s="75"/>
      <c r="C132" s="22" t="s">
        <v>180</v>
      </c>
      <c r="D132" s="22">
        <f>13.54*10.764</f>
        <v>145.74455999999998</v>
      </c>
      <c r="E132" s="22">
        <v>0</v>
      </c>
      <c r="F132" s="22">
        <f t="shared" ref="F132:F138" si="0">D132*1.5+E132</f>
        <v>218.61683999999997</v>
      </c>
      <c r="G132" s="70"/>
      <c r="H132" s="71"/>
    </row>
    <row r="133" spans="1:9" s="2" customFormat="1" x14ac:dyDescent="0.25">
      <c r="A133" s="75">
        <v>3</v>
      </c>
      <c r="B133" s="75"/>
      <c r="C133" s="22" t="s">
        <v>180</v>
      </c>
      <c r="D133" s="22">
        <f>9.98*10.764</f>
        <v>107.42471999999999</v>
      </c>
      <c r="E133" s="22">
        <v>0</v>
      </c>
      <c r="F133" s="22">
        <f t="shared" si="0"/>
        <v>161.13708</v>
      </c>
      <c r="G133" s="70"/>
      <c r="H133" s="71"/>
    </row>
    <row r="134" spans="1:9" s="2" customFormat="1" x14ac:dyDescent="0.25">
      <c r="A134" s="75">
        <v>4</v>
      </c>
      <c r="B134" s="75"/>
      <c r="C134" s="22" t="s">
        <v>180</v>
      </c>
      <c r="D134" s="22">
        <f>13.06*10.764</f>
        <v>140.57784000000001</v>
      </c>
      <c r="E134" s="22">
        <v>0</v>
      </c>
      <c r="F134" s="22">
        <f t="shared" si="0"/>
        <v>210.86676</v>
      </c>
      <c r="G134" s="70"/>
      <c r="H134" s="71"/>
    </row>
    <row r="135" spans="1:9" s="2" customFormat="1" x14ac:dyDescent="0.25">
      <c r="A135" s="75">
        <v>5</v>
      </c>
      <c r="B135" s="75"/>
      <c r="C135" s="22" t="s">
        <v>180</v>
      </c>
      <c r="D135" s="22">
        <f>12.51*10.764</f>
        <v>134.65763999999999</v>
      </c>
      <c r="E135" s="22">
        <v>0</v>
      </c>
      <c r="F135" s="22">
        <f t="shared" si="0"/>
        <v>201.98645999999997</v>
      </c>
      <c r="G135" s="70"/>
      <c r="H135" s="71"/>
    </row>
    <row r="136" spans="1:9" s="2" customFormat="1" x14ac:dyDescent="0.25">
      <c r="A136" s="75">
        <v>6</v>
      </c>
      <c r="B136" s="75"/>
      <c r="C136" s="22" t="s">
        <v>180</v>
      </c>
      <c r="D136" s="22">
        <f>9.78*10.764</f>
        <v>105.27191999999998</v>
      </c>
      <c r="E136" s="22">
        <v>0</v>
      </c>
      <c r="F136" s="22">
        <f t="shared" si="0"/>
        <v>157.90787999999998</v>
      </c>
      <c r="G136" s="70"/>
      <c r="H136" s="71"/>
    </row>
    <row r="137" spans="1:9" s="2" customFormat="1" x14ac:dyDescent="0.25">
      <c r="A137" s="75">
        <v>7</v>
      </c>
      <c r="B137" s="75"/>
      <c r="C137" s="22" t="s">
        <v>180</v>
      </c>
      <c r="D137" s="22">
        <f>11.83*10.764</f>
        <v>127.33811999999999</v>
      </c>
      <c r="E137" s="22">
        <v>0</v>
      </c>
      <c r="F137" s="22">
        <f t="shared" si="0"/>
        <v>191.00717999999998</v>
      </c>
      <c r="G137" s="70"/>
      <c r="H137" s="71"/>
    </row>
    <row r="138" spans="1:9" s="2" customFormat="1" x14ac:dyDescent="0.25">
      <c r="A138" s="75">
        <v>8</v>
      </c>
      <c r="B138" s="75"/>
      <c r="C138" s="22" t="s">
        <v>180</v>
      </c>
      <c r="D138" s="22">
        <f>12.51*10.764</f>
        <v>134.65763999999999</v>
      </c>
      <c r="E138" s="22">
        <v>0</v>
      </c>
      <c r="F138" s="22">
        <f t="shared" si="0"/>
        <v>201.98645999999997</v>
      </c>
      <c r="G138" s="72"/>
      <c r="H138" s="73"/>
    </row>
    <row r="139" spans="1:9" s="2" customFormat="1" x14ac:dyDescent="0.25">
      <c r="A139" s="76" t="s">
        <v>182</v>
      </c>
      <c r="B139" s="77"/>
      <c r="C139" s="77"/>
      <c r="D139" s="77"/>
      <c r="E139" s="77"/>
      <c r="F139" s="77"/>
      <c r="G139" s="77"/>
      <c r="H139" s="78"/>
    </row>
    <row r="140" spans="1:9" s="2" customFormat="1" x14ac:dyDescent="0.25">
      <c r="A140" s="75" t="s">
        <v>183</v>
      </c>
      <c r="B140" s="75"/>
      <c r="C140" s="22" t="s">
        <v>189</v>
      </c>
      <c r="D140" s="22">
        <f>31.79*10.764</f>
        <v>342.18755999999996</v>
      </c>
      <c r="E140" s="22">
        <v>0</v>
      </c>
      <c r="F140" s="22">
        <f>D140*1.45+E140</f>
        <v>496.17196199999995</v>
      </c>
      <c r="G140" s="68" t="s">
        <v>191</v>
      </c>
      <c r="H140" s="69"/>
      <c r="I140" s="2">
        <f>1529000/F140</f>
        <v>3081.5929095163183</v>
      </c>
    </row>
    <row r="141" spans="1:9" s="2" customFormat="1" x14ac:dyDescent="0.25">
      <c r="A141" s="75" t="s">
        <v>184</v>
      </c>
      <c r="B141" s="75"/>
      <c r="C141" s="22" t="s">
        <v>189</v>
      </c>
      <c r="D141" s="22">
        <f>32.95*10.764</f>
        <v>354.67380000000003</v>
      </c>
      <c r="E141" s="22">
        <v>0</v>
      </c>
      <c r="F141" s="22">
        <f t="shared" ref="F141:F150" si="1">D141*1.45+E141</f>
        <v>514.27701000000002</v>
      </c>
      <c r="G141" s="70"/>
      <c r="H141" s="71"/>
      <c r="I141" s="2">
        <f>1529000/F141</f>
        <v>2973.105875372496</v>
      </c>
    </row>
    <row r="142" spans="1:9" s="2" customFormat="1" x14ac:dyDescent="0.25">
      <c r="A142" s="75" t="s">
        <v>185</v>
      </c>
      <c r="B142" s="75"/>
      <c r="C142" s="22" t="s">
        <v>189</v>
      </c>
      <c r="D142" s="22">
        <f>32.95*10.764</f>
        <v>354.67380000000003</v>
      </c>
      <c r="E142" s="22">
        <v>0</v>
      </c>
      <c r="F142" s="22">
        <f t="shared" si="1"/>
        <v>514.27701000000002</v>
      </c>
      <c r="G142" s="70"/>
      <c r="H142" s="71"/>
    </row>
    <row r="143" spans="1:9" s="2" customFormat="1" x14ac:dyDescent="0.25">
      <c r="A143" s="75" t="s">
        <v>186</v>
      </c>
      <c r="B143" s="75"/>
      <c r="C143" s="22" t="s">
        <v>190</v>
      </c>
      <c r="D143" s="22">
        <f>47.86*10.764</f>
        <v>515.16503999999998</v>
      </c>
      <c r="E143" s="22">
        <v>0</v>
      </c>
      <c r="F143" s="22">
        <f t="shared" si="1"/>
        <v>746.98930799999994</v>
      </c>
      <c r="G143" s="70"/>
      <c r="H143" s="71"/>
      <c r="I143" s="2">
        <f>2075000/F143</f>
        <v>2777.8175373830118</v>
      </c>
    </row>
    <row r="144" spans="1:9" s="2" customFormat="1" x14ac:dyDescent="0.25">
      <c r="A144" s="75" t="s">
        <v>187</v>
      </c>
      <c r="B144" s="75"/>
      <c r="C144" s="22" t="s">
        <v>190</v>
      </c>
      <c r="D144" s="22">
        <f>47.86*10.764</f>
        <v>515.16503999999998</v>
      </c>
      <c r="E144" s="22">
        <v>0</v>
      </c>
      <c r="F144" s="22">
        <f t="shared" si="1"/>
        <v>746.98930799999994</v>
      </c>
      <c r="G144" s="70"/>
      <c r="H144" s="71"/>
    </row>
    <row r="145" spans="1:9" s="2" customFormat="1" x14ac:dyDescent="0.25">
      <c r="A145" s="75" t="s">
        <v>188</v>
      </c>
      <c r="B145" s="75"/>
      <c r="C145" s="22" t="s">
        <v>189</v>
      </c>
      <c r="D145" s="22">
        <f>31.73*10.764</f>
        <v>341.54172</v>
      </c>
      <c r="E145" s="22">
        <v>0</v>
      </c>
      <c r="F145" s="22">
        <f t="shared" si="1"/>
        <v>495.23549399999996</v>
      </c>
      <c r="G145" s="72"/>
      <c r="H145" s="73"/>
      <c r="I145" s="2">
        <f>((3.5*2.75+3.05*2.1+2.75*2.9+1.2*1.85+1.2*1.85)+(1.35*0.4+0.9*2.75))*10.764</f>
        <v>338.63544000000002</v>
      </c>
    </row>
    <row r="146" spans="1:9" s="2" customFormat="1" x14ac:dyDescent="0.25">
      <c r="A146" s="76" t="s">
        <v>192</v>
      </c>
      <c r="B146" s="77"/>
      <c r="C146" s="77"/>
      <c r="D146" s="77"/>
      <c r="E146" s="77"/>
      <c r="F146" s="77"/>
      <c r="G146" s="77"/>
      <c r="H146" s="78"/>
    </row>
    <row r="147" spans="1:9" s="2" customFormat="1" x14ac:dyDescent="0.25">
      <c r="A147" s="75">
        <v>301</v>
      </c>
      <c r="B147" s="75"/>
      <c r="C147" s="22" t="s">
        <v>189</v>
      </c>
      <c r="D147" s="22">
        <f>31.79*10.764</f>
        <v>342.18755999999996</v>
      </c>
      <c r="E147" s="22">
        <v>0</v>
      </c>
      <c r="F147" s="22">
        <f t="shared" si="1"/>
        <v>496.17196199999995</v>
      </c>
      <c r="G147" s="68" t="str">
        <f>A146</f>
        <v>Raised 2nd Floor (3rd Floor)</v>
      </c>
      <c r="H147" s="69"/>
    </row>
    <row r="148" spans="1:9" s="2" customFormat="1" x14ac:dyDescent="0.25">
      <c r="A148" s="75">
        <v>302</v>
      </c>
      <c r="B148" s="75"/>
      <c r="C148" s="22" t="s">
        <v>189</v>
      </c>
      <c r="D148" s="22">
        <f>32.95*10.764</f>
        <v>354.67380000000003</v>
      </c>
      <c r="E148" s="22">
        <v>0</v>
      </c>
      <c r="F148" s="22">
        <f t="shared" si="1"/>
        <v>514.27701000000002</v>
      </c>
      <c r="G148" s="70"/>
      <c r="H148" s="71"/>
    </row>
    <row r="149" spans="1:9" s="2" customFormat="1" x14ac:dyDescent="0.25">
      <c r="A149" s="75">
        <v>303</v>
      </c>
      <c r="B149" s="75"/>
      <c r="C149" s="22" t="s">
        <v>189</v>
      </c>
      <c r="D149" s="22">
        <f>32.95*10.764</f>
        <v>354.67380000000003</v>
      </c>
      <c r="E149" s="22">
        <v>0</v>
      </c>
      <c r="F149" s="22">
        <f t="shared" si="1"/>
        <v>514.27701000000002</v>
      </c>
      <c r="G149" s="70"/>
      <c r="H149" s="71"/>
    </row>
    <row r="150" spans="1:9" s="2" customFormat="1" x14ac:dyDescent="0.25">
      <c r="A150" s="75">
        <v>304</v>
      </c>
      <c r="B150" s="75"/>
      <c r="C150" s="22" t="s">
        <v>190</v>
      </c>
      <c r="D150" s="22">
        <f>47.86*10.764</f>
        <v>515.16503999999998</v>
      </c>
      <c r="E150" s="22">
        <v>0</v>
      </c>
      <c r="F150" s="22">
        <f t="shared" si="1"/>
        <v>746.98930799999994</v>
      </c>
      <c r="G150" s="70"/>
      <c r="H150" s="71"/>
    </row>
    <row r="151" spans="1:9" s="2" customFormat="1" x14ac:dyDescent="0.25">
      <c r="A151" s="75">
        <v>305</v>
      </c>
      <c r="B151" s="75"/>
      <c r="C151" s="68" t="s">
        <v>193</v>
      </c>
      <c r="D151" s="137"/>
      <c r="E151" s="137"/>
      <c r="F151" s="69"/>
      <c r="G151" s="70"/>
      <c r="H151" s="71"/>
    </row>
    <row r="152" spans="1:9" s="2" customFormat="1" x14ac:dyDescent="0.25">
      <c r="A152" s="75">
        <v>306</v>
      </c>
      <c r="B152" s="75"/>
      <c r="C152" s="72"/>
      <c r="D152" s="138"/>
      <c r="E152" s="138"/>
      <c r="F152" s="73"/>
      <c r="G152" s="72"/>
      <c r="H152" s="73"/>
    </row>
    <row r="153" spans="1:9" s="2" customFormat="1" x14ac:dyDescent="0.25">
      <c r="A153" s="76" t="s">
        <v>265</v>
      </c>
      <c r="B153" s="77"/>
      <c r="C153" s="77"/>
      <c r="D153" s="77"/>
      <c r="E153" s="77"/>
      <c r="F153" s="77"/>
      <c r="G153" s="77"/>
      <c r="H153" s="78"/>
    </row>
    <row r="154" spans="1:9" s="2" customFormat="1" x14ac:dyDescent="0.25">
      <c r="A154" s="76" t="s">
        <v>194</v>
      </c>
      <c r="B154" s="77"/>
      <c r="C154" s="77"/>
      <c r="D154" s="77"/>
      <c r="E154" s="77"/>
      <c r="F154" s="77"/>
      <c r="G154" s="77"/>
      <c r="H154" s="78"/>
    </row>
    <row r="155" spans="1:9" s="2" customFormat="1" x14ac:dyDescent="0.25">
      <c r="A155" s="76" t="s">
        <v>195</v>
      </c>
      <c r="B155" s="77"/>
      <c r="C155" s="77"/>
      <c r="D155" s="77"/>
      <c r="E155" s="77"/>
      <c r="F155" s="77"/>
      <c r="G155" s="77"/>
      <c r="H155" s="78"/>
    </row>
    <row r="156" spans="1:9" s="2" customFormat="1" ht="15.75" customHeight="1" x14ac:dyDescent="0.25">
      <c r="A156" s="43">
        <v>1</v>
      </c>
      <c r="B156" s="43" t="s">
        <v>226</v>
      </c>
      <c r="C156" s="22" t="s">
        <v>189</v>
      </c>
      <c r="D156" s="22">
        <f>34.42*10.764</f>
        <v>370.49687999999998</v>
      </c>
      <c r="E156" s="22">
        <v>0</v>
      </c>
      <c r="F156" s="22">
        <f t="shared" ref="F156:F162" si="2">D156*1.45+E156</f>
        <v>537.22047599999996</v>
      </c>
      <c r="G156" s="68" t="str">
        <f>A155</f>
        <v>1st to 2nd &amp; Raised 2nd Floor (3rd Floor)</v>
      </c>
      <c r="H156" s="69"/>
    </row>
    <row r="157" spans="1:9" s="2" customFormat="1" ht="15.75" customHeight="1" x14ac:dyDescent="0.25">
      <c r="A157" s="43">
        <v>2</v>
      </c>
      <c r="B157" s="43" t="s">
        <v>225</v>
      </c>
      <c r="C157" s="22" t="s">
        <v>189</v>
      </c>
      <c r="D157" s="22">
        <f>32.95*10.764</f>
        <v>354.67380000000003</v>
      </c>
      <c r="E157" s="22">
        <v>0</v>
      </c>
      <c r="F157" s="22">
        <f t="shared" si="2"/>
        <v>514.27701000000002</v>
      </c>
      <c r="G157" s="70"/>
      <c r="H157" s="71"/>
    </row>
    <row r="158" spans="1:9" s="2" customFormat="1" ht="15.75" customHeight="1" x14ac:dyDescent="0.25">
      <c r="A158" s="43">
        <v>3</v>
      </c>
      <c r="B158" s="43" t="s">
        <v>224</v>
      </c>
      <c r="C158" s="22" t="s">
        <v>189</v>
      </c>
      <c r="D158" s="22">
        <f>32.95*10.764</f>
        <v>354.67380000000003</v>
      </c>
      <c r="E158" s="22">
        <v>0</v>
      </c>
      <c r="F158" s="22">
        <f t="shared" si="2"/>
        <v>514.27701000000002</v>
      </c>
      <c r="G158" s="70"/>
      <c r="H158" s="71"/>
    </row>
    <row r="159" spans="1:9" s="2" customFormat="1" ht="15.75" customHeight="1" x14ac:dyDescent="0.25">
      <c r="A159" s="43">
        <v>4</v>
      </c>
      <c r="B159" s="43" t="s">
        <v>223</v>
      </c>
      <c r="C159" s="22" t="s">
        <v>189</v>
      </c>
      <c r="D159" s="22">
        <f>32.95*10.764</f>
        <v>354.67380000000003</v>
      </c>
      <c r="E159" s="22">
        <v>0</v>
      </c>
      <c r="F159" s="22">
        <f t="shared" si="2"/>
        <v>514.27701000000002</v>
      </c>
      <c r="G159" s="70"/>
      <c r="H159" s="71"/>
    </row>
    <row r="160" spans="1:9" s="2" customFormat="1" ht="15.75" customHeight="1" x14ac:dyDescent="0.25">
      <c r="A160" s="43">
        <v>5</v>
      </c>
      <c r="B160" s="43" t="s">
        <v>222</v>
      </c>
      <c r="C160" s="22" t="s">
        <v>189</v>
      </c>
      <c r="D160" s="22">
        <f>32.95*10.764</f>
        <v>354.67380000000003</v>
      </c>
      <c r="E160" s="22">
        <v>0</v>
      </c>
      <c r="F160" s="22">
        <f t="shared" si="2"/>
        <v>514.27701000000002</v>
      </c>
      <c r="G160" s="70"/>
      <c r="H160" s="71"/>
    </row>
    <row r="161" spans="1:15" s="2" customFormat="1" ht="15.75" customHeight="1" x14ac:dyDescent="0.25">
      <c r="A161" s="43">
        <v>6</v>
      </c>
      <c r="B161" s="43" t="s">
        <v>221</v>
      </c>
      <c r="C161" s="22" t="s">
        <v>190</v>
      </c>
      <c r="D161" s="22">
        <f>47.86*10.764</f>
        <v>515.16503999999998</v>
      </c>
      <c r="E161" s="22">
        <v>0</v>
      </c>
      <c r="F161" s="22">
        <f t="shared" si="2"/>
        <v>746.98930799999994</v>
      </c>
      <c r="G161" s="70"/>
      <c r="H161" s="71"/>
    </row>
    <row r="162" spans="1:15" s="2" customFormat="1" ht="15.75" customHeight="1" x14ac:dyDescent="0.25">
      <c r="A162" s="43">
        <v>7</v>
      </c>
      <c r="B162" s="43" t="s">
        <v>220</v>
      </c>
      <c r="C162" s="22" t="s">
        <v>189</v>
      </c>
      <c r="D162" s="22">
        <f>35.15*10.764</f>
        <v>378.35459999999995</v>
      </c>
      <c r="E162" s="22">
        <v>0</v>
      </c>
      <c r="F162" s="22">
        <f t="shared" si="2"/>
        <v>548.61416999999994</v>
      </c>
      <c r="G162" s="72"/>
      <c r="H162" s="73"/>
    </row>
    <row r="163" spans="1:15" s="2" customFormat="1" x14ac:dyDescent="0.25">
      <c r="A163" s="76" t="s">
        <v>196</v>
      </c>
      <c r="B163" s="77"/>
      <c r="C163" s="77"/>
      <c r="D163" s="77"/>
      <c r="E163" s="77"/>
      <c r="F163" s="77"/>
      <c r="G163" s="77"/>
      <c r="H163" s="78"/>
    </row>
    <row r="164" spans="1:15" s="2" customFormat="1" ht="15.75" customHeight="1" x14ac:dyDescent="0.25">
      <c r="A164" s="76" t="s">
        <v>194</v>
      </c>
      <c r="B164" s="77"/>
      <c r="C164" s="77"/>
      <c r="D164" s="77"/>
      <c r="E164" s="77"/>
      <c r="F164" s="77"/>
      <c r="G164" s="77"/>
      <c r="H164" s="78"/>
    </row>
    <row r="165" spans="1:15" s="2" customFormat="1" x14ac:dyDescent="0.25">
      <c r="A165" s="76" t="s">
        <v>203</v>
      </c>
      <c r="B165" s="77"/>
      <c r="C165" s="77"/>
      <c r="D165" s="77"/>
      <c r="E165" s="77"/>
      <c r="F165" s="77"/>
      <c r="G165" s="77"/>
      <c r="H165" s="78"/>
    </row>
    <row r="166" spans="1:15" s="2" customFormat="1" x14ac:dyDescent="0.25">
      <c r="A166" s="88" t="s">
        <v>197</v>
      </c>
      <c r="B166" s="89"/>
      <c r="C166" s="22" t="s">
        <v>189</v>
      </c>
      <c r="D166" s="22">
        <f>31.97*10.764</f>
        <v>344.12507999999997</v>
      </c>
      <c r="E166" s="22">
        <v>0</v>
      </c>
      <c r="F166" s="22">
        <f t="shared" ref="F166:F171" si="3">D166*1.45+E166</f>
        <v>498.98136599999992</v>
      </c>
      <c r="G166" s="68" t="str">
        <f>A165</f>
        <v>1st, 2nd &amp; Raised 2nd Floor (3rd Floor)</v>
      </c>
      <c r="H166" s="69"/>
    </row>
    <row r="167" spans="1:15" s="2" customFormat="1" x14ac:dyDescent="0.25">
      <c r="A167" s="88" t="s">
        <v>198</v>
      </c>
      <c r="B167" s="89"/>
      <c r="C167" s="22" t="s">
        <v>189</v>
      </c>
      <c r="D167" s="22">
        <f>32.95*10.764</f>
        <v>354.67380000000003</v>
      </c>
      <c r="E167" s="22">
        <v>0</v>
      </c>
      <c r="F167" s="22">
        <f t="shared" si="3"/>
        <v>514.27701000000002</v>
      </c>
      <c r="G167" s="70"/>
      <c r="H167" s="71"/>
    </row>
    <row r="168" spans="1:15" s="2" customFormat="1" x14ac:dyDescent="0.25">
      <c r="A168" s="88" t="s">
        <v>199</v>
      </c>
      <c r="B168" s="89"/>
      <c r="C168" s="22" t="s">
        <v>189</v>
      </c>
      <c r="D168" s="22">
        <f>32.95*10.764</f>
        <v>354.67380000000003</v>
      </c>
      <c r="E168" s="22">
        <v>0</v>
      </c>
      <c r="F168" s="22">
        <f t="shared" si="3"/>
        <v>514.27701000000002</v>
      </c>
      <c r="G168" s="70"/>
      <c r="H168" s="71"/>
    </row>
    <row r="169" spans="1:15" s="2" customFormat="1" x14ac:dyDescent="0.25">
      <c r="A169" s="88" t="s">
        <v>200</v>
      </c>
      <c r="B169" s="89"/>
      <c r="C169" s="22" t="s">
        <v>189</v>
      </c>
      <c r="D169" s="22">
        <f>32.95*10.764</f>
        <v>354.67380000000003</v>
      </c>
      <c r="E169" s="22">
        <v>0</v>
      </c>
      <c r="F169" s="22">
        <f t="shared" si="3"/>
        <v>514.27701000000002</v>
      </c>
      <c r="G169" s="70"/>
      <c r="H169" s="71"/>
    </row>
    <row r="170" spans="1:15" s="2" customFormat="1" x14ac:dyDescent="0.25">
      <c r="A170" s="88" t="s">
        <v>201</v>
      </c>
      <c r="B170" s="89"/>
      <c r="C170" s="22" t="s">
        <v>189</v>
      </c>
      <c r="D170" s="22">
        <f>32.95*10.764</f>
        <v>354.67380000000003</v>
      </c>
      <c r="E170" s="22">
        <v>0</v>
      </c>
      <c r="F170" s="22">
        <f t="shared" si="3"/>
        <v>514.27701000000002</v>
      </c>
      <c r="G170" s="70"/>
      <c r="H170" s="71"/>
    </row>
    <row r="171" spans="1:15" s="2" customFormat="1" x14ac:dyDescent="0.25">
      <c r="A171" s="88" t="s">
        <v>202</v>
      </c>
      <c r="B171" s="89"/>
      <c r="C171" s="22" t="s">
        <v>189</v>
      </c>
      <c r="D171" s="22">
        <f>31.91*10.764</f>
        <v>343.47924</v>
      </c>
      <c r="E171" s="22">
        <v>0</v>
      </c>
      <c r="F171" s="22">
        <f t="shared" si="3"/>
        <v>498.04489799999999</v>
      </c>
      <c r="G171" s="72"/>
      <c r="H171" s="73"/>
    </row>
    <row r="172" spans="1:15" s="2" customFormat="1" x14ac:dyDescent="0.25">
      <c r="A172" s="87" t="s">
        <v>81</v>
      </c>
      <c r="B172" s="87"/>
      <c r="C172" s="87"/>
      <c r="D172" s="87"/>
      <c r="E172" s="87"/>
      <c r="F172" s="87"/>
      <c r="G172" s="87"/>
      <c r="H172" s="87"/>
    </row>
    <row r="173" spans="1:15" s="2" customFormat="1" ht="252.75" customHeight="1" x14ac:dyDescent="0.25">
      <c r="A173" s="162" t="s">
        <v>273</v>
      </c>
      <c r="B173" s="162"/>
      <c r="C173" s="162"/>
      <c r="D173" s="162"/>
      <c r="E173" s="162"/>
      <c r="F173" s="162"/>
      <c r="G173" s="162"/>
      <c r="H173" s="162"/>
      <c r="O173" s="2" t="s">
        <v>254</v>
      </c>
    </row>
    <row r="174" spans="1:15" s="1" customFormat="1" x14ac:dyDescent="0.25">
      <c r="A174" s="84" t="s">
        <v>72</v>
      </c>
      <c r="B174" s="84"/>
      <c r="C174" s="84"/>
      <c r="D174" s="84"/>
      <c r="E174" s="84"/>
      <c r="F174" s="84"/>
      <c r="G174" s="84"/>
      <c r="H174" s="84"/>
    </row>
    <row r="175" spans="1:15" s="10" customFormat="1" ht="18" customHeight="1" x14ac:dyDescent="0.25">
      <c r="A175" s="85" t="s">
        <v>73</v>
      </c>
      <c r="B175" s="85"/>
      <c r="C175" s="85"/>
      <c r="D175" s="85"/>
      <c r="E175" s="85"/>
      <c r="F175" s="85"/>
      <c r="G175" s="85"/>
      <c r="H175" s="85"/>
    </row>
    <row r="176" spans="1:15" x14ac:dyDescent="0.25">
      <c r="A176" s="84" t="s">
        <v>74</v>
      </c>
      <c r="B176" s="84"/>
      <c r="C176" s="84"/>
      <c r="D176" s="84"/>
      <c r="E176" s="84"/>
      <c r="F176" s="84"/>
      <c r="G176" s="84"/>
      <c r="H176" s="84"/>
    </row>
    <row r="177" spans="1:8" x14ac:dyDescent="0.25">
      <c r="A177" s="85" t="s">
        <v>75</v>
      </c>
      <c r="B177" s="85"/>
      <c r="C177" s="85"/>
      <c r="D177" s="85"/>
      <c r="E177" s="85"/>
      <c r="F177" s="85"/>
      <c r="G177" s="85"/>
      <c r="H177" s="85"/>
    </row>
    <row r="178" spans="1:8" ht="15.75" customHeight="1" x14ac:dyDescent="0.25">
      <c r="A178" s="85" t="s">
        <v>76</v>
      </c>
      <c r="B178" s="85"/>
      <c r="C178" s="85"/>
      <c r="D178" s="85"/>
      <c r="E178" s="85"/>
      <c r="F178" s="85"/>
      <c r="G178" s="85"/>
      <c r="H178" s="85"/>
    </row>
    <row r="179" spans="1:8" x14ac:dyDescent="0.25">
      <c r="A179" s="85" t="s">
        <v>77</v>
      </c>
      <c r="B179" s="85"/>
      <c r="C179" s="85"/>
      <c r="D179" s="85"/>
      <c r="E179" s="85"/>
      <c r="F179" s="85"/>
      <c r="G179" s="85"/>
      <c r="H179" s="85"/>
    </row>
    <row r="180" spans="1:8" x14ac:dyDescent="0.25">
      <c r="A180" s="86" t="s">
        <v>78</v>
      </c>
      <c r="B180" s="86"/>
      <c r="C180" s="86"/>
      <c r="D180" s="86"/>
      <c r="E180" s="86"/>
      <c r="F180" s="86"/>
      <c r="G180" s="86"/>
      <c r="H180" s="86"/>
    </row>
    <row r="181" spans="1:8" x14ac:dyDescent="0.25">
      <c r="A181" s="132" t="s">
        <v>115</v>
      </c>
      <c r="B181" s="132"/>
      <c r="C181" s="132" t="s">
        <v>271</v>
      </c>
      <c r="D181" s="132"/>
      <c r="E181" s="132" t="s">
        <v>150</v>
      </c>
      <c r="F181" s="132"/>
      <c r="G181" s="132" t="s">
        <v>272</v>
      </c>
      <c r="H181" s="132"/>
    </row>
    <row r="182" spans="1:8" ht="35.25" customHeight="1" x14ac:dyDescent="0.25">
      <c r="A182" s="131" t="s">
        <v>117</v>
      </c>
      <c r="B182" s="131"/>
      <c r="C182" s="131"/>
      <c r="D182" s="131"/>
      <c r="E182" s="131"/>
      <c r="F182" s="131"/>
      <c r="G182" s="131"/>
      <c r="H182" s="131"/>
    </row>
    <row r="183" spans="1:8" x14ac:dyDescent="0.25">
      <c r="A183" s="131"/>
      <c r="B183" s="131"/>
      <c r="C183" s="131"/>
      <c r="D183" s="131"/>
      <c r="E183" s="131"/>
      <c r="F183" s="131"/>
      <c r="G183" s="131"/>
      <c r="H183" s="131"/>
    </row>
    <row r="184" spans="1:8" x14ac:dyDescent="0.25">
      <c r="A184" s="131"/>
      <c r="B184" s="131"/>
      <c r="C184" s="131"/>
      <c r="D184" s="131"/>
      <c r="E184" s="131"/>
      <c r="F184" s="131"/>
      <c r="G184" s="131"/>
      <c r="H184" s="131"/>
    </row>
    <row r="185" spans="1:8" x14ac:dyDescent="0.25">
      <c r="A185" s="131"/>
      <c r="B185" s="131"/>
      <c r="C185" s="131"/>
      <c r="D185" s="131"/>
      <c r="E185" s="131"/>
      <c r="F185" s="131"/>
      <c r="G185" s="131"/>
      <c r="H185" s="131"/>
    </row>
    <row r="186" spans="1:8" x14ac:dyDescent="0.25">
      <c r="A186" s="17" t="s">
        <v>79</v>
      </c>
      <c r="B186" s="18"/>
      <c r="C186" s="18"/>
      <c r="D186" s="17" t="str">
        <f>E8</f>
        <v>Sai Rachana Apartment</v>
      </c>
      <c r="F186" s="18"/>
    </row>
    <row r="233" hidden="1" x14ac:dyDescent="0.25"/>
    <row r="234" hidden="1" x14ac:dyDescent="0.25"/>
    <row r="235" hidden="1" x14ac:dyDescent="0.25"/>
    <row r="236" hidden="1" x14ac:dyDescent="0.25"/>
    <row r="237" hidden="1" x14ac:dyDescent="0.25"/>
    <row r="238" hidden="1" x14ac:dyDescent="0.25"/>
    <row r="241" spans="1:1" x14ac:dyDescent="0.25">
      <c r="A241" s="20" t="s">
        <v>268</v>
      </c>
    </row>
    <row r="274" spans="1:1" x14ac:dyDescent="0.25">
      <c r="A274" s="20" t="s">
        <v>80</v>
      </c>
    </row>
  </sheetData>
  <mergeCells count="293">
    <mergeCell ref="A89:B89"/>
    <mergeCell ref="C89:H89"/>
    <mergeCell ref="A90:B90"/>
    <mergeCell ref="E90:F90"/>
    <mergeCell ref="G90:H90"/>
    <mergeCell ref="A91:B91"/>
    <mergeCell ref="E91:F100"/>
    <mergeCell ref="G91:H100"/>
    <mergeCell ref="A92:B92"/>
    <mergeCell ref="A93:B93"/>
    <mergeCell ref="A94:B94"/>
    <mergeCell ref="A95:B95"/>
    <mergeCell ref="A96:B96"/>
    <mergeCell ref="A97:B97"/>
    <mergeCell ref="A98:B98"/>
    <mergeCell ref="A99:B99"/>
    <mergeCell ref="A100:B100"/>
    <mergeCell ref="F118:H118"/>
    <mergeCell ref="A64:B64"/>
    <mergeCell ref="A65:B65"/>
    <mergeCell ref="A66:B66"/>
    <mergeCell ref="F121:H121"/>
    <mergeCell ref="A113:E113"/>
    <mergeCell ref="F113:H113"/>
    <mergeCell ref="A68:B68"/>
    <mergeCell ref="A111:E111"/>
    <mergeCell ref="F111:H111"/>
    <mergeCell ref="A112:E112"/>
    <mergeCell ref="F112:H112"/>
    <mergeCell ref="A108:E108"/>
    <mergeCell ref="F108:H108"/>
    <mergeCell ref="A109:E109"/>
    <mergeCell ref="F109:H109"/>
    <mergeCell ref="A110:E110"/>
    <mergeCell ref="F110:H110"/>
    <mergeCell ref="A83:B83"/>
    <mergeCell ref="A84:B84"/>
    <mergeCell ref="A85:B85"/>
    <mergeCell ref="A86:B86"/>
    <mergeCell ref="A87:B87"/>
    <mergeCell ref="C87:H87"/>
    <mergeCell ref="E42:H42"/>
    <mergeCell ref="A50:H50"/>
    <mergeCell ref="A51:C51"/>
    <mergeCell ref="A45:B45"/>
    <mergeCell ref="C45:E45"/>
    <mergeCell ref="C48:H48"/>
    <mergeCell ref="A36:B36"/>
    <mergeCell ref="G166:H171"/>
    <mergeCell ref="A153:H153"/>
    <mergeCell ref="A154:H154"/>
    <mergeCell ref="A155:H155"/>
    <mergeCell ref="G156:H162"/>
    <mergeCell ref="A163:H163"/>
    <mergeCell ref="A164:H164"/>
    <mergeCell ref="A165:H165"/>
    <mergeCell ref="A169:B169"/>
    <mergeCell ref="A170:B170"/>
    <mergeCell ref="A171:B171"/>
    <mergeCell ref="A150:B150"/>
    <mergeCell ref="A151:B151"/>
    <mergeCell ref="A166:B166"/>
    <mergeCell ref="A107:E107"/>
    <mergeCell ref="F107:H107"/>
    <mergeCell ref="D118:E118"/>
    <mergeCell ref="G63:H72"/>
    <mergeCell ref="A58:C58"/>
    <mergeCell ref="D58:H58"/>
    <mergeCell ref="C61:H61"/>
    <mergeCell ref="A62:B62"/>
    <mergeCell ref="A59:B59"/>
    <mergeCell ref="A72:B72"/>
    <mergeCell ref="A63:B63"/>
    <mergeCell ref="A35:B35"/>
    <mergeCell ref="E35:F35"/>
    <mergeCell ref="C35:D35"/>
    <mergeCell ref="G35:H35"/>
    <mergeCell ref="A47:B48"/>
    <mergeCell ref="G47:H47"/>
    <mergeCell ref="D53:H53"/>
    <mergeCell ref="A53:C53"/>
    <mergeCell ref="A54:C54"/>
    <mergeCell ref="D54:H54"/>
    <mergeCell ref="A52:C52"/>
    <mergeCell ref="D52:H52"/>
    <mergeCell ref="D51:H51"/>
    <mergeCell ref="A40:D40"/>
    <mergeCell ref="E40:H40"/>
    <mergeCell ref="E41:H41"/>
    <mergeCell ref="A29:B29"/>
    <mergeCell ref="E62:F62"/>
    <mergeCell ref="E63:F72"/>
    <mergeCell ref="F30:H30"/>
    <mergeCell ref="F31:H31"/>
    <mergeCell ref="G49:H49"/>
    <mergeCell ref="A49:B49"/>
    <mergeCell ref="C49:E49"/>
    <mergeCell ref="A55:C55"/>
    <mergeCell ref="A56:C56"/>
    <mergeCell ref="D55:H55"/>
    <mergeCell ref="D56:H56"/>
    <mergeCell ref="G45:H45"/>
    <mergeCell ref="G46:H46"/>
    <mergeCell ref="A46:B46"/>
    <mergeCell ref="C46:E46"/>
    <mergeCell ref="C47:E47"/>
    <mergeCell ref="G62:H62"/>
    <mergeCell ref="E43:H43"/>
    <mergeCell ref="A41:D41"/>
    <mergeCell ref="A42:D42"/>
    <mergeCell ref="A43:D43"/>
    <mergeCell ref="A44:H44"/>
    <mergeCell ref="A61:B61"/>
    <mergeCell ref="A182:H185"/>
    <mergeCell ref="A181:B181"/>
    <mergeCell ref="E181:F181"/>
    <mergeCell ref="C181:D181"/>
    <mergeCell ref="G181:H181"/>
    <mergeCell ref="A116:H116"/>
    <mergeCell ref="A114:E114"/>
    <mergeCell ref="F114:H114"/>
    <mergeCell ref="A115:E115"/>
    <mergeCell ref="F115:H115"/>
    <mergeCell ref="D124:E124"/>
    <mergeCell ref="F124:H124"/>
    <mergeCell ref="A129:H129"/>
    <mergeCell ref="A124:B124"/>
    <mergeCell ref="A140:B140"/>
    <mergeCell ref="A141:B141"/>
    <mergeCell ref="A125:H125"/>
    <mergeCell ref="A120:B120"/>
    <mergeCell ref="D120:E120"/>
    <mergeCell ref="G127:H127"/>
    <mergeCell ref="D117:E117"/>
    <mergeCell ref="F117:H117"/>
    <mergeCell ref="A118:B118"/>
    <mergeCell ref="C151:F152"/>
    <mergeCell ref="A26:D26"/>
    <mergeCell ref="E26:H26"/>
    <mergeCell ref="A39:D39"/>
    <mergeCell ref="E39:H39"/>
    <mergeCell ref="A27:D27"/>
    <mergeCell ref="E27:H27"/>
    <mergeCell ref="A34:H34"/>
    <mergeCell ref="A33:B33"/>
    <mergeCell ref="A28:D28"/>
    <mergeCell ref="E28:H28"/>
    <mergeCell ref="A37:H37"/>
    <mergeCell ref="A38:D38"/>
    <mergeCell ref="E38:H38"/>
    <mergeCell ref="C29:E29"/>
    <mergeCell ref="F32:H32"/>
    <mergeCell ref="F33:H33"/>
    <mergeCell ref="F29:H29"/>
    <mergeCell ref="A30:B30"/>
    <mergeCell ref="C30:E30"/>
    <mergeCell ref="A31:B31"/>
    <mergeCell ref="C31:E31"/>
    <mergeCell ref="A32:B32"/>
    <mergeCell ref="C32:E32"/>
    <mergeCell ref="C33:E33"/>
    <mergeCell ref="E16:F16"/>
    <mergeCell ref="A1:H1"/>
    <mergeCell ref="A2:H2"/>
    <mergeCell ref="A3:D3"/>
    <mergeCell ref="E3:H3"/>
    <mergeCell ref="A4:D4"/>
    <mergeCell ref="A8:D8"/>
    <mergeCell ref="E8:H8"/>
    <mergeCell ref="A9:D9"/>
    <mergeCell ref="E9:H9"/>
    <mergeCell ref="E4:H4"/>
    <mergeCell ref="G16:H16"/>
    <mergeCell ref="E18:F18"/>
    <mergeCell ref="G18:H18"/>
    <mergeCell ref="A19:D20"/>
    <mergeCell ref="E19:H20"/>
    <mergeCell ref="A21:D21"/>
    <mergeCell ref="E21:H21"/>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6:B16"/>
    <mergeCell ref="C16:D16"/>
    <mergeCell ref="A82:B82"/>
    <mergeCell ref="F106:H106"/>
    <mergeCell ref="A106:E106"/>
    <mergeCell ref="A69:B69"/>
    <mergeCell ref="A70:B70"/>
    <mergeCell ref="A71:B71"/>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A119:H119"/>
    <mergeCell ref="A101:H101"/>
    <mergeCell ref="A104:H104"/>
    <mergeCell ref="A105:E105"/>
    <mergeCell ref="F105:H105"/>
    <mergeCell ref="A102:H102"/>
    <mergeCell ref="A103:B103"/>
    <mergeCell ref="C103:H103"/>
    <mergeCell ref="C59:H59"/>
    <mergeCell ref="A73:B73"/>
    <mergeCell ref="C73:H73"/>
    <mergeCell ref="A75:B75"/>
    <mergeCell ref="C75:H75"/>
    <mergeCell ref="A76:B76"/>
    <mergeCell ref="E76:F76"/>
    <mergeCell ref="G76:H76"/>
    <mergeCell ref="A77:B77"/>
    <mergeCell ref="E77:F86"/>
    <mergeCell ref="G77:H86"/>
    <mergeCell ref="A67:B67"/>
    <mergeCell ref="A78:B78"/>
    <mergeCell ref="A79:B79"/>
    <mergeCell ref="A80:B80"/>
    <mergeCell ref="A81:B81"/>
    <mergeCell ref="A149:B149"/>
    <mergeCell ref="A117:B117"/>
    <mergeCell ref="A176:H176"/>
    <mergeCell ref="A177:H177"/>
    <mergeCell ref="A178:H178"/>
    <mergeCell ref="A179:H179"/>
    <mergeCell ref="A180:H180"/>
    <mergeCell ref="A57:C57"/>
    <mergeCell ref="D57:H57"/>
    <mergeCell ref="A172:H172"/>
    <mergeCell ref="A173:H173"/>
    <mergeCell ref="A174:H174"/>
    <mergeCell ref="A175:H175"/>
    <mergeCell ref="A167:B167"/>
    <mergeCell ref="A168:B168"/>
    <mergeCell ref="A126:H126"/>
    <mergeCell ref="A131:B131"/>
    <mergeCell ref="A132:B132"/>
    <mergeCell ref="A133:B133"/>
    <mergeCell ref="A134:B134"/>
    <mergeCell ref="A135:B135"/>
    <mergeCell ref="A136:B136"/>
    <mergeCell ref="A137:B137"/>
    <mergeCell ref="A138:B138"/>
    <mergeCell ref="C36:H36"/>
    <mergeCell ref="F120:H120"/>
    <mergeCell ref="G147:H152"/>
    <mergeCell ref="F123:H123"/>
    <mergeCell ref="A145:B145"/>
    <mergeCell ref="A142:B142"/>
    <mergeCell ref="A143:B143"/>
    <mergeCell ref="A144:B144"/>
    <mergeCell ref="A139:H139"/>
    <mergeCell ref="G140:H145"/>
    <mergeCell ref="A146:H146"/>
    <mergeCell ref="A123:B123"/>
    <mergeCell ref="D123:E123"/>
    <mergeCell ref="A130:H130"/>
    <mergeCell ref="G131:H138"/>
    <mergeCell ref="A121:B121"/>
    <mergeCell ref="D121:E121"/>
    <mergeCell ref="A122:B122"/>
    <mergeCell ref="D122:E122"/>
    <mergeCell ref="F122:H122"/>
    <mergeCell ref="A128:H128"/>
    <mergeCell ref="A147:B147"/>
    <mergeCell ref="A152:B152"/>
    <mergeCell ref="A148:B148"/>
  </mergeCells>
  <hyperlinks>
    <hyperlink ref="C36" r:id="rId1"/>
  </hyperlinks>
  <printOptions horizontalCentered="1"/>
  <pageMargins left="0.39370078740157483" right="0.39370078740157483" top="0.78740157480314965" bottom="0.78740157480314965" header="0.19685039370078741" footer="0.19685039370078741"/>
  <pageSetup paperSize="9" scale="88" fitToHeight="0" orientation="portrait" r:id="rId2"/>
  <headerFooter>
    <oddHeader>&amp;C&amp;G</oddHeader>
    <oddFooter>&amp;L&amp;"Times New Roman,Bold"&amp;12Ref No: &amp;F&amp;C&amp;G&amp;R&amp;"Times New Roman,Bold"&amp;12                                                              &amp;P</oddFooter>
  </headerFooter>
  <rowBreaks count="6" manualBreakCount="6">
    <brk id="36" max="16383" man="1"/>
    <brk id="72" max="7" man="1"/>
    <brk id="162" max="16383" man="1"/>
    <brk id="185" max="16383" man="1"/>
    <brk id="239" max="16383" man="1"/>
    <brk id="27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5" x14ac:dyDescent="0.25"/>
  <cols>
    <col min="2" max="2" width="12.28515625" customWidth="1"/>
  </cols>
  <sheetData>
    <row r="2" spans="1:12" x14ac:dyDescent="0.25">
      <c r="B2" s="3" t="s">
        <v>82</v>
      </c>
      <c r="C2" s="159"/>
      <c r="D2" s="159"/>
    </row>
    <row r="3" spans="1:12" x14ac:dyDescent="0.25">
      <c r="D3" s="4"/>
      <c r="E3" s="4"/>
      <c r="F3" s="4"/>
      <c r="G3" s="4"/>
      <c r="H3" s="4"/>
      <c r="I3" s="4"/>
    </row>
    <row r="4" spans="1:12" x14ac:dyDescent="0.25">
      <c r="A4" s="3" t="s">
        <v>83</v>
      </c>
      <c r="B4" s="5" t="s">
        <v>84</v>
      </c>
      <c r="C4" s="160" t="s">
        <v>85</v>
      </c>
      <c r="D4" s="160"/>
      <c r="E4" s="160"/>
      <c r="F4" s="6"/>
      <c r="G4" s="160" t="s">
        <v>86</v>
      </c>
      <c r="H4" s="160"/>
      <c r="I4" s="160"/>
      <c r="J4" s="160" t="s">
        <v>87</v>
      </c>
      <c r="K4" s="160"/>
      <c r="L4" s="160"/>
    </row>
    <row r="5" spans="1:12" x14ac:dyDescent="0.25">
      <c r="A5" s="3">
        <v>202</v>
      </c>
      <c r="B5" s="5"/>
      <c r="C5" s="5" t="s">
        <v>88</v>
      </c>
      <c r="D5" s="5" t="s">
        <v>89</v>
      </c>
      <c r="E5" s="5" t="s">
        <v>63</v>
      </c>
      <c r="F5" s="5"/>
      <c r="G5" s="5" t="s">
        <v>88</v>
      </c>
      <c r="H5" s="5" t="s">
        <v>89</v>
      </c>
      <c r="I5" s="5" t="s">
        <v>63</v>
      </c>
      <c r="J5" s="5" t="s">
        <v>88</v>
      </c>
      <c r="K5" s="5" t="s">
        <v>89</v>
      </c>
      <c r="L5" s="5" t="s">
        <v>63</v>
      </c>
    </row>
    <row r="6" spans="1:12" x14ac:dyDescent="0.25">
      <c r="B6" s="7" t="s">
        <v>90</v>
      </c>
      <c r="C6" s="7">
        <v>4.5</v>
      </c>
      <c r="D6" s="7">
        <v>2.9</v>
      </c>
      <c r="E6" s="7">
        <f>C6*D6</f>
        <v>13.049999999999999</v>
      </c>
      <c r="F6" s="7" t="s">
        <v>91</v>
      </c>
      <c r="G6" s="7"/>
      <c r="H6" s="7"/>
      <c r="I6" s="7">
        <f>G6*H6</f>
        <v>0</v>
      </c>
      <c r="J6" s="7"/>
      <c r="K6" s="7"/>
      <c r="L6" s="7">
        <f>J6*K6</f>
        <v>0</v>
      </c>
    </row>
    <row r="7" spans="1:12" x14ac:dyDescent="0.25">
      <c r="B7" s="7"/>
      <c r="C7" s="7"/>
      <c r="D7" s="7"/>
      <c r="E7" s="7">
        <f t="shared" ref="E7:E33" si="0">C7*D7</f>
        <v>0</v>
      </c>
      <c r="F7" s="7" t="s">
        <v>92</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93</v>
      </c>
      <c r="C9" s="7">
        <v>1.88</v>
      </c>
      <c r="D9" s="7">
        <v>2.13</v>
      </c>
      <c r="E9" s="7">
        <f t="shared" si="0"/>
        <v>4.0043999999999995</v>
      </c>
      <c r="F9" s="7" t="s">
        <v>91</v>
      </c>
      <c r="G9" s="7"/>
      <c r="H9" s="7"/>
      <c r="I9" s="7">
        <f t="shared" si="1"/>
        <v>0</v>
      </c>
      <c r="J9" s="7"/>
      <c r="K9" s="7"/>
      <c r="L9" s="7">
        <f t="shared" si="2"/>
        <v>0</v>
      </c>
    </row>
    <row r="10" spans="1:12" x14ac:dyDescent="0.25">
      <c r="B10" s="7"/>
      <c r="C10" s="7"/>
      <c r="D10" s="7"/>
      <c r="E10" s="7">
        <f t="shared" si="0"/>
        <v>0</v>
      </c>
      <c r="F10" s="7" t="s">
        <v>92</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94</v>
      </c>
      <c r="C13" s="7"/>
      <c r="D13" s="7"/>
      <c r="E13" s="7">
        <f t="shared" si="0"/>
        <v>0</v>
      </c>
      <c r="F13" s="7" t="s">
        <v>91</v>
      </c>
      <c r="G13" s="7"/>
      <c r="H13" s="7"/>
      <c r="I13" s="7">
        <f t="shared" si="1"/>
        <v>0</v>
      </c>
      <c r="J13" s="7"/>
      <c r="K13" s="7"/>
      <c r="L13" s="7">
        <f t="shared" si="2"/>
        <v>0</v>
      </c>
    </row>
    <row r="14" spans="1:12" x14ac:dyDescent="0.25">
      <c r="B14" s="7"/>
      <c r="C14" s="7"/>
      <c r="D14" s="7"/>
      <c r="E14" s="7">
        <f t="shared" si="0"/>
        <v>0</v>
      </c>
      <c r="F14" s="7" t="s">
        <v>92</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95</v>
      </c>
      <c r="C17" s="7"/>
      <c r="D17" s="7"/>
      <c r="E17" s="7">
        <f t="shared" si="0"/>
        <v>0</v>
      </c>
      <c r="F17" s="7" t="s">
        <v>91</v>
      </c>
      <c r="G17" s="7"/>
      <c r="H17" s="7"/>
      <c r="I17" s="7">
        <f t="shared" si="1"/>
        <v>0</v>
      </c>
      <c r="J17" s="7"/>
      <c r="K17" s="7"/>
      <c r="L17" s="7">
        <f t="shared" si="2"/>
        <v>0</v>
      </c>
    </row>
    <row r="18" spans="2:12" x14ac:dyDescent="0.25">
      <c r="B18" s="7"/>
      <c r="C18" s="7"/>
      <c r="D18" s="7"/>
      <c r="E18" s="7">
        <f t="shared" si="0"/>
        <v>0</v>
      </c>
      <c r="F18" s="7" t="s">
        <v>92</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95</v>
      </c>
      <c r="C20" s="7"/>
      <c r="D20" s="7"/>
      <c r="E20" s="7">
        <f t="shared" si="0"/>
        <v>0</v>
      </c>
      <c r="F20" s="7" t="s">
        <v>91</v>
      </c>
      <c r="G20" s="7"/>
      <c r="H20" s="7"/>
      <c r="I20" s="7">
        <f t="shared" si="1"/>
        <v>0</v>
      </c>
      <c r="J20" s="7"/>
      <c r="K20" s="7"/>
      <c r="L20" s="7">
        <f t="shared" si="2"/>
        <v>0</v>
      </c>
    </row>
    <row r="21" spans="2:12" x14ac:dyDescent="0.25">
      <c r="B21" s="7"/>
      <c r="C21" s="7"/>
      <c r="D21" s="7"/>
      <c r="E21" s="7">
        <f t="shared" si="0"/>
        <v>0</v>
      </c>
      <c r="F21" s="7" t="s">
        <v>92</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96</v>
      </c>
      <c r="C23" s="7">
        <v>1.9</v>
      </c>
      <c r="D23" s="7">
        <v>1.07</v>
      </c>
      <c r="E23" s="7">
        <f t="shared" si="0"/>
        <v>2.0329999999999999</v>
      </c>
      <c r="F23" s="7" t="s">
        <v>97</v>
      </c>
      <c r="G23" s="7"/>
      <c r="H23" s="7"/>
      <c r="I23" s="7">
        <f t="shared" si="1"/>
        <v>0</v>
      </c>
      <c r="J23" s="7"/>
      <c r="K23" s="7"/>
      <c r="L23" s="7">
        <f t="shared" si="2"/>
        <v>0</v>
      </c>
    </row>
    <row r="24" spans="2:12" x14ac:dyDescent="0.25">
      <c r="B24" s="7" t="s">
        <v>98</v>
      </c>
      <c r="C24" s="7"/>
      <c r="D24" s="7"/>
      <c r="E24" s="7">
        <f t="shared" si="0"/>
        <v>0</v>
      </c>
      <c r="F24" s="7" t="s">
        <v>97</v>
      </c>
      <c r="G24" s="7"/>
      <c r="H24" s="7"/>
      <c r="I24" s="7">
        <f t="shared" si="1"/>
        <v>0</v>
      </c>
      <c r="J24" s="7"/>
      <c r="K24" s="7"/>
      <c r="L24" s="7">
        <f t="shared" si="2"/>
        <v>0</v>
      </c>
    </row>
    <row r="25" spans="2:12" x14ac:dyDescent="0.25">
      <c r="B25" s="7" t="s">
        <v>99</v>
      </c>
      <c r="C25" s="7"/>
      <c r="D25" s="7"/>
      <c r="E25" s="7">
        <f t="shared" si="0"/>
        <v>0</v>
      </c>
      <c r="F25" s="7" t="s">
        <v>97</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100</v>
      </c>
      <c r="C27" s="7"/>
      <c r="D27" s="7"/>
      <c r="E27" s="7">
        <f t="shared" si="0"/>
        <v>0</v>
      </c>
      <c r="F27" s="7"/>
      <c r="G27" s="7"/>
      <c r="H27" s="7"/>
      <c r="I27" s="7">
        <f t="shared" si="1"/>
        <v>0</v>
      </c>
      <c r="J27" s="7"/>
      <c r="K27" s="7"/>
      <c r="L27" s="7">
        <f t="shared" si="2"/>
        <v>0</v>
      </c>
    </row>
    <row r="28" spans="2:12" x14ac:dyDescent="0.25">
      <c r="B28" s="7" t="s">
        <v>101</v>
      </c>
      <c r="C28" s="7"/>
      <c r="D28" s="7"/>
      <c r="E28" s="7">
        <f t="shared" si="0"/>
        <v>0</v>
      </c>
      <c r="F28" s="7"/>
      <c r="G28" s="7"/>
      <c r="H28" s="7"/>
      <c r="I28" s="7">
        <f t="shared" si="1"/>
        <v>0</v>
      </c>
      <c r="J28" s="7"/>
      <c r="K28" s="7"/>
      <c r="L28" s="7">
        <f t="shared" si="2"/>
        <v>0</v>
      </c>
    </row>
    <row r="29" spans="2:12" x14ac:dyDescent="0.25">
      <c r="B29" s="7" t="s">
        <v>102</v>
      </c>
      <c r="C29" s="7"/>
      <c r="D29" s="7"/>
      <c r="E29" s="7">
        <f t="shared" si="0"/>
        <v>0</v>
      </c>
      <c r="F29" s="7"/>
      <c r="G29" s="7"/>
      <c r="H29" s="7"/>
      <c r="I29" s="7">
        <f t="shared" si="1"/>
        <v>0</v>
      </c>
      <c r="J29" s="7"/>
      <c r="K29" s="7"/>
      <c r="L29" s="7">
        <f t="shared" si="2"/>
        <v>0</v>
      </c>
    </row>
    <row r="30" spans="2:12" x14ac:dyDescent="0.25">
      <c r="B30" s="7" t="s">
        <v>103</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64</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B1" zoomScale="85" zoomScaleNormal="85" workbookViewId="0">
      <selection activeCell="C8" sqref="C8"/>
    </sheetView>
  </sheetViews>
  <sheetFormatPr defaultColWidth="8.7109375" defaultRowHeight="15" x14ac:dyDescent="0.25"/>
  <cols>
    <col min="1" max="1" width="8.7109375" style="28"/>
    <col min="2" max="2" width="22.140625" style="28" customWidth="1"/>
    <col min="3" max="3" width="37" style="28" customWidth="1"/>
    <col min="4" max="5" width="11.42578125" style="28" customWidth="1"/>
    <col min="6" max="6" width="14" style="28" customWidth="1"/>
    <col min="7" max="7" width="20" style="28" customWidth="1"/>
    <col min="8" max="8" width="16.42578125" style="28" customWidth="1"/>
    <col min="9" max="16384" width="8.7109375" style="28"/>
  </cols>
  <sheetData>
    <row r="1" spans="1:9" ht="15" customHeight="1" x14ac:dyDescent="0.25"/>
    <row r="2" spans="1:9" ht="15" customHeight="1" x14ac:dyDescent="0.25">
      <c r="A2" s="29"/>
      <c r="B2" s="29"/>
      <c r="C2" s="29"/>
      <c r="D2" s="29"/>
      <c r="E2" s="29"/>
      <c r="F2" s="29"/>
      <c r="G2" s="29"/>
      <c r="H2" s="29"/>
    </row>
    <row r="3" spans="1:9" ht="15.75" customHeight="1" x14ac:dyDescent="0.25">
      <c r="A3" s="29"/>
      <c r="B3" s="161" t="s">
        <v>151</v>
      </c>
      <c r="C3" s="161"/>
      <c r="D3" s="161"/>
      <c r="E3" s="161"/>
      <c r="F3" s="161"/>
      <c r="G3" s="161"/>
      <c r="H3" s="161"/>
    </row>
    <row r="4" spans="1:9" x14ac:dyDescent="0.25">
      <c r="A4" s="29"/>
      <c r="B4" s="30" t="s">
        <v>152</v>
      </c>
      <c r="C4" s="30" t="s">
        <v>153</v>
      </c>
      <c r="D4" s="30" t="s">
        <v>83</v>
      </c>
      <c r="E4" s="30" t="s">
        <v>154</v>
      </c>
      <c r="F4" s="30" t="s">
        <v>159</v>
      </c>
      <c r="G4" s="30" t="s">
        <v>160</v>
      </c>
      <c r="H4" s="30" t="s">
        <v>155</v>
      </c>
    </row>
    <row r="5" spans="1:9" ht="15" customHeight="1" x14ac:dyDescent="0.25">
      <c r="A5" s="29"/>
      <c r="B5" s="32" t="s">
        <v>156</v>
      </c>
      <c r="C5" s="45" t="s">
        <v>210</v>
      </c>
      <c r="D5" s="46" t="s">
        <v>189</v>
      </c>
      <c r="E5" s="32">
        <v>378</v>
      </c>
      <c r="F5" s="34">
        <v>549</v>
      </c>
      <c r="G5" s="34">
        <f>H5/F5</f>
        <v>2914.3897996357014</v>
      </c>
      <c r="H5" s="35">
        <v>1600000</v>
      </c>
    </row>
    <row r="6" spans="1:9" x14ac:dyDescent="0.25">
      <c r="A6" s="29"/>
      <c r="B6" s="46" t="s">
        <v>212</v>
      </c>
      <c r="C6" s="47" t="s">
        <v>209</v>
      </c>
      <c r="D6" s="46" t="s">
        <v>189</v>
      </c>
      <c r="E6" s="32">
        <v>342</v>
      </c>
      <c r="F6" s="34">
        <v>495</v>
      </c>
      <c r="G6" s="34">
        <f t="shared" ref="G6:G7" si="0">H6/F6</f>
        <v>3195.9595959595958</v>
      </c>
      <c r="H6" s="35">
        <v>1582000</v>
      </c>
    </row>
    <row r="7" spans="1:9" ht="15" customHeight="1" x14ac:dyDescent="0.25">
      <c r="A7" s="29"/>
      <c r="B7" s="46" t="s">
        <v>213</v>
      </c>
      <c r="C7" s="45" t="s">
        <v>211</v>
      </c>
      <c r="D7" s="46" t="s">
        <v>190</v>
      </c>
      <c r="E7" s="32">
        <v>515</v>
      </c>
      <c r="F7" s="34">
        <v>747</v>
      </c>
      <c r="G7" s="34">
        <f t="shared" si="0"/>
        <v>3346.7202141900939</v>
      </c>
      <c r="H7" s="35">
        <v>2500000</v>
      </c>
    </row>
    <row r="8" spans="1:9" x14ac:dyDescent="0.25">
      <c r="A8" s="29"/>
      <c r="B8" s="46" t="s">
        <v>214</v>
      </c>
      <c r="C8" s="47"/>
      <c r="D8" s="32"/>
      <c r="E8" s="32"/>
      <c r="F8" s="34"/>
      <c r="G8" s="34"/>
      <c r="H8" s="35"/>
    </row>
    <row r="9" spans="1:9" ht="15" customHeight="1" x14ac:dyDescent="0.25">
      <c r="A9" s="29"/>
      <c r="B9" s="32"/>
      <c r="C9" s="36"/>
      <c r="D9" s="32"/>
      <c r="E9" s="32"/>
      <c r="F9" s="34"/>
      <c r="G9" s="34"/>
      <c r="H9" s="35"/>
    </row>
    <row r="10" spans="1:9" ht="15" customHeight="1" x14ac:dyDescent="0.25">
      <c r="A10" s="29"/>
      <c r="B10" s="32"/>
      <c r="C10" s="33"/>
      <c r="D10" s="32"/>
      <c r="E10" s="32"/>
      <c r="F10" s="34"/>
      <c r="G10" s="34"/>
      <c r="H10" s="35"/>
    </row>
    <row r="11" spans="1:9" ht="15" customHeight="1" x14ac:dyDescent="0.25">
      <c r="A11" s="29"/>
      <c r="B11" s="32"/>
      <c r="C11" s="33"/>
      <c r="D11" s="32"/>
      <c r="E11" s="32"/>
      <c r="F11" s="34"/>
      <c r="G11" s="34"/>
      <c r="H11" s="35"/>
    </row>
    <row r="12" spans="1:9" ht="15" customHeight="1" x14ac:dyDescent="0.25">
      <c r="A12" s="29"/>
      <c r="B12" s="37" t="s">
        <v>157</v>
      </c>
      <c r="C12" s="32"/>
      <c r="D12" s="32"/>
      <c r="E12" s="32"/>
      <c r="F12" s="32"/>
      <c r="G12" s="38">
        <f>AVERAGE(G5:G11)</f>
        <v>3152.3565365951304</v>
      </c>
      <c r="H12" s="32"/>
    </row>
    <row r="13" spans="1:9" ht="15" customHeight="1" x14ac:dyDescent="0.25">
      <c r="B13" s="37" t="s">
        <v>158</v>
      </c>
      <c r="C13" s="32"/>
      <c r="D13" s="32"/>
      <c r="E13" s="32"/>
      <c r="F13" s="39"/>
      <c r="G13" s="37">
        <v>32000</v>
      </c>
      <c r="H13" s="37"/>
      <c r="I13" s="31"/>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2025-09-11T09:12:12Z</cp:lastPrinted>
  <dcterms:created xsi:type="dcterms:W3CDTF">2019-07-16T09:29:46Z</dcterms:created>
  <dcterms:modified xsi:type="dcterms:W3CDTF">2025-09-11T09:16:26Z</dcterms:modified>
</cp:coreProperties>
</file>