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3.09\"/>
    </mc:Choice>
  </mc:AlternateContent>
  <xr:revisionPtr revIDLastSave="0" documentId="13_ncr:1_{F7F1CA53-A596-4C17-B52D-A716D63CC94E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5" l="1"/>
  <c r="G11" i="5" s="1"/>
  <c r="F10" i="5"/>
  <c r="G10" i="5" s="1"/>
  <c r="F9" i="5"/>
  <c r="G9" i="5" s="1"/>
  <c r="F8" i="5"/>
  <c r="G8" i="5" s="1"/>
  <c r="G7" i="5"/>
  <c r="F7" i="5"/>
  <c r="G6" i="5"/>
  <c r="F6" i="5"/>
  <c r="G5" i="5"/>
  <c r="G12" i="5" s="1"/>
  <c r="F5" i="5"/>
  <c r="D213" i="1"/>
  <c r="B191" i="1"/>
  <c r="B190" i="1"/>
  <c r="E187" i="1"/>
  <c r="F187" i="1" s="1"/>
  <c r="D187" i="1"/>
  <c r="E186" i="1"/>
  <c r="F186" i="1" s="1"/>
  <c r="K186" i="1" s="1"/>
  <c r="D186" i="1"/>
  <c r="I185" i="1"/>
  <c r="F185" i="1"/>
  <c r="K185" i="1" s="1"/>
  <c r="E185" i="1"/>
  <c r="D185" i="1"/>
  <c r="I184" i="1"/>
  <c r="E184" i="1"/>
  <c r="F184" i="1" s="1"/>
  <c r="K184" i="1" s="1"/>
  <c r="D184" i="1"/>
  <c r="D183" i="1"/>
  <c r="F183" i="1" s="1"/>
  <c r="E182" i="1"/>
  <c r="F182" i="1" s="1"/>
  <c r="K182" i="1" s="1"/>
  <c r="D182" i="1"/>
  <c r="J181" i="1"/>
  <c r="I181" i="1"/>
  <c r="E181" i="1"/>
  <c r="F181" i="1" s="1"/>
  <c r="K181" i="1" s="1"/>
  <c r="D181" i="1"/>
  <c r="I180" i="1"/>
  <c r="G180" i="1"/>
  <c r="D180" i="1"/>
  <c r="F180" i="1" s="1"/>
  <c r="K180" i="1" s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G171" i="1"/>
  <c r="D171" i="1"/>
  <c r="F171" i="1" s="1"/>
  <c r="F169" i="1"/>
  <c r="D169" i="1"/>
  <c r="F168" i="1"/>
  <c r="D168" i="1"/>
  <c r="F167" i="1"/>
  <c r="D167" i="1"/>
  <c r="D166" i="1"/>
  <c r="F166" i="1" s="1"/>
  <c r="F165" i="1"/>
  <c r="D165" i="1"/>
  <c r="F164" i="1"/>
  <c r="D164" i="1"/>
  <c r="F163" i="1"/>
  <c r="D163" i="1"/>
  <c r="G162" i="1"/>
  <c r="D162" i="1"/>
  <c r="F162" i="1" s="1"/>
  <c r="D160" i="1"/>
  <c r="F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G153" i="1"/>
  <c r="F153" i="1"/>
  <c r="D153" i="1"/>
  <c r="F151" i="1"/>
  <c r="D151" i="1"/>
  <c r="F150" i="1"/>
  <c r="D150" i="1"/>
  <c r="D149" i="1"/>
  <c r="F149" i="1" s="1"/>
  <c r="F148" i="1"/>
  <c r="D148" i="1"/>
  <c r="F147" i="1"/>
  <c r="D147" i="1"/>
  <c r="F146" i="1"/>
  <c r="D146" i="1"/>
  <c r="D145" i="1"/>
  <c r="F145" i="1" s="1"/>
  <c r="G144" i="1"/>
  <c r="D144" i="1"/>
  <c r="F144" i="1" s="1"/>
  <c r="D142" i="1"/>
  <c r="F142" i="1" s="1"/>
  <c r="D141" i="1"/>
  <c r="F141" i="1" s="1"/>
  <c r="D140" i="1"/>
  <c r="F140" i="1" s="1"/>
  <c r="F139" i="1"/>
  <c r="D139" i="1"/>
  <c r="D138" i="1"/>
  <c r="F138" i="1" s="1"/>
  <c r="F137" i="1"/>
  <c r="D137" i="1"/>
  <c r="A137" i="1"/>
  <c r="A138" i="1" s="1"/>
  <c r="A139" i="1" s="1"/>
  <c r="A140" i="1" s="1"/>
  <c r="A141" i="1" s="1"/>
  <c r="A142" i="1" s="1"/>
  <c r="J136" i="1"/>
  <c r="I136" i="1"/>
  <c r="D136" i="1"/>
  <c r="F136" i="1" s="1"/>
  <c r="A136" i="1"/>
  <c r="I135" i="1"/>
  <c r="G135" i="1"/>
  <c r="F135" i="1"/>
  <c r="D135" i="1"/>
  <c r="D133" i="1"/>
  <c r="F133" i="1" s="1"/>
  <c r="F132" i="1"/>
  <c r="D132" i="1"/>
  <c r="F131" i="1"/>
  <c r="D131" i="1"/>
  <c r="J130" i="1"/>
  <c r="D130" i="1"/>
  <c r="F130" i="1" s="1"/>
  <c r="D129" i="1"/>
  <c r="F129" i="1" s="1"/>
  <c r="D128" i="1"/>
  <c r="F128" i="1" s="1"/>
  <c r="D127" i="1"/>
  <c r="F127" i="1" s="1"/>
  <c r="G126" i="1"/>
  <c r="D126" i="1"/>
  <c r="F126" i="1" s="1"/>
  <c r="D124" i="1"/>
  <c r="F124" i="1" s="1"/>
  <c r="K124" i="1" s="1"/>
  <c r="D123" i="1"/>
  <c r="F123" i="1" s="1"/>
  <c r="K123" i="1" s="1"/>
  <c r="D122" i="1"/>
  <c r="F122" i="1" s="1"/>
  <c r="K122" i="1" s="1"/>
  <c r="D121" i="1"/>
  <c r="F121" i="1" s="1"/>
  <c r="K121" i="1" s="1"/>
  <c r="D120" i="1"/>
  <c r="F120" i="1" s="1"/>
  <c r="K120" i="1" s="1"/>
  <c r="D119" i="1"/>
  <c r="F119" i="1" s="1"/>
  <c r="K119" i="1" s="1"/>
  <c r="A119" i="1"/>
  <c r="A120" i="1" s="1"/>
  <c r="A121" i="1" s="1"/>
  <c r="A122" i="1" s="1"/>
  <c r="A123" i="1" s="1"/>
  <c r="A124" i="1" s="1"/>
  <c r="J118" i="1"/>
  <c r="I118" i="1"/>
  <c r="D118" i="1"/>
  <c r="F118" i="1" s="1"/>
  <c r="K118" i="1" s="1"/>
  <c r="A118" i="1"/>
  <c r="I117" i="1"/>
  <c r="G117" i="1"/>
  <c r="D117" i="1"/>
  <c r="F117" i="1" s="1"/>
  <c r="F111" i="1"/>
  <c r="J111" i="1" s="1"/>
  <c r="E111" i="1"/>
  <c r="D111" i="1"/>
  <c r="E110" i="1"/>
  <c r="F110" i="1" s="1"/>
  <c r="J110" i="1" s="1"/>
  <c r="D110" i="1"/>
  <c r="E109" i="1"/>
  <c r="D109" i="1"/>
  <c r="E95" i="1" s="1"/>
  <c r="E108" i="1"/>
  <c r="F108" i="1" s="1"/>
  <c r="J108" i="1" s="1"/>
  <c r="D108" i="1"/>
  <c r="F107" i="1"/>
  <c r="J107" i="1" s="1"/>
  <c r="E107" i="1"/>
  <c r="D107" i="1"/>
  <c r="E106" i="1"/>
  <c r="D106" i="1"/>
  <c r="C95" i="1" s="1"/>
  <c r="A106" i="1"/>
  <c r="A107" i="1" s="1"/>
  <c r="A108" i="1" s="1"/>
  <c r="A109" i="1" s="1"/>
  <c r="A110" i="1" s="1"/>
  <c r="A111" i="1" s="1"/>
  <c r="I105" i="1"/>
  <c r="E105" i="1"/>
  <c r="F105" i="1" s="1"/>
  <c r="J105" i="1" s="1"/>
  <c r="D105" i="1"/>
  <c r="A105" i="1"/>
  <c r="K104" i="1"/>
  <c r="I104" i="1"/>
  <c r="G104" i="1"/>
  <c r="E104" i="1"/>
  <c r="F104" i="1" s="1"/>
  <c r="D104" i="1"/>
  <c r="C98" i="1"/>
  <c r="F92" i="1"/>
  <c r="J76" i="1"/>
  <c r="J75" i="1"/>
  <c r="J74" i="1"/>
  <c r="J73" i="1"/>
  <c r="C65" i="1"/>
  <c r="D59" i="1"/>
  <c r="D54" i="1"/>
  <c r="G50" i="1"/>
  <c r="G49" i="1"/>
  <c r="C49" i="1"/>
  <c r="C50" i="1" s="1"/>
  <c r="E43" i="1"/>
  <c r="E42" i="1"/>
  <c r="E29" i="1"/>
  <c r="E26" i="1"/>
  <c r="E24" i="1"/>
  <c r="C14" i="1"/>
  <c r="E7" i="1"/>
  <c r="E3" i="1"/>
  <c r="H66" i="1"/>
  <c r="L187" i="1" l="1"/>
  <c r="K187" i="1"/>
  <c r="K117" i="1"/>
  <c r="G98" i="1"/>
  <c r="J104" i="1"/>
  <c r="L183" i="1"/>
  <c r="K183" i="1"/>
  <c r="E98" i="1"/>
  <c r="F109" i="1"/>
  <c r="J109" i="1" s="1"/>
  <c r="F106" i="1"/>
  <c r="J106" i="1" s="1"/>
  <c r="D77" i="1"/>
  <c r="D73" i="1"/>
  <c r="J69" i="1"/>
  <c r="J70" i="1"/>
  <c r="C69" i="1" s="1"/>
  <c r="D76" i="1"/>
  <c r="D72" i="1"/>
  <c r="J68" i="1"/>
  <c r="J71" i="1"/>
  <c r="J72" i="1" s="1"/>
  <c r="J77" i="1" s="1"/>
  <c r="J78" i="1" s="1"/>
  <c r="C70" i="1" s="1"/>
  <c r="D75" i="1"/>
  <c r="D71" i="1"/>
  <c r="J65" i="1"/>
  <c r="J67" i="1" s="1"/>
  <c r="D78" i="1"/>
  <c r="D74" i="1"/>
  <c r="G95" i="1" l="1"/>
  <c r="E69" i="1"/>
  <c r="D70" i="1"/>
  <c r="G69" i="1"/>
  <c r="D63" i="1" s="1"/>
  <c r="D69" i="1"/>
  <c r="J66" i="1" s="1"/>
  <c r="I66" i="1" l="1"/>
  <c r="I67" i="1" s="1"/>
  <c r="F64" i="1"/>
  <c r="D64" i="1"/>
  <c r="I65" i="1" l="1"/>
  <c r="C67" i="1" s="1"/>
</calcChain>
</file>

<file path=xl/sharedStrings.xml><?xml version="1.0" encoding="utf-8"?>
<sst xmlns="http://schemas.openxmlformats.org/spreadsheetml/2006/main" count="342" uniqueCount="230">
  <si>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E mail : vsjcapf@gmail.com. Web site : www.vsjadon.com
</t>
  </si>
  <si>
    <t xml:space="preserve">Valuation Report </t>
  </si>
  <si>
    <t>Date:</t>
  </si>
  <si>
    <t>CPC Name:</t>
  </si>
  <si>
    <t>Axis Sanpada</t>
  </si>
  <si>
    <t>Date Of Property Visit</t>
  </si>
  <si>
    <t>Name of the builder group</t>
  </si>
  <si>
    <t>Rio Infratech</t>
  </si>
  <si>
    <t>Name of the builder company</t>
  </si>
  <si>
    <t>Name of the Project</t>
  </si>
  <si>
    <t>Rio Heights</t>
  </si>
  <si>
    <t>Provided Contact Details ( Name &amp; Contact No.)</t>
  </si>
  <si>
    <t>Mr.Arif Patel 9821636789</t>
  </si>
  <si>
    <t>Site Person - Contact Details ( Name &amp; Contact No.)</t>
  </si>
  <si>
    <t>Mr. Farhaz 9821636789</t>
  </si>
  <si>
    <t>Name / No of the Building</t>
  </si>
  <si>
    <t>1Building</t>
  </si>
  <si>
    <t>Docouments Provided</t>
  </si>
  <si>
    <t>Approved Plans, CC, Sale Plans, Cost Sheet</t>
  </si>
  <si>
    <t>RERA No.</t>
  </si>
  <si>
    <t>P52000023504</t>
  </si>
  <si>
    <t xml:space="preserve">Project location details       </t>
  </si>
  <si>
    <t>Plot No</t>
  </si>
  <si>
    <t>9, Sector - 07</t>
  </si>
  <si>
    <t>Locality</t>
  </si>
  <si>
    <t>Petali</t>
  </si>
  <si>
    <t>Road</t>
  </si>
  <si>
    <t>Internal Road</t>
  </si>
  <si>
    <t>Locality/Village</t>
  </si>
  <si>
    <t>Taloja(New)</t>
  </si>
  <si>
    <t>City</t>
  </si>
  <si>
    <t>Taloja Panchnand</t>
  </si>
  <si>
    <t>District</t>
  </si>
  <si>
    <t>Raigad</t>
  </si>
  <si>
    <t>Taluka</t>
  </si>
  <si>
    <t>Panvel</t>
  </si>
  <si>
    <t>Pin Code</t>
  </si>
  <si>
    <t>Nearby Landmark</t>
  </si>
  <si>
    <t>Sai Riverdale</t>
  </si>
  <si>
    <t xml:space="preserve">Distance from city centre: </t>
  </si>
  <si>
    <t>2.1KM from Taloja Panchnand Railway Station</t>
  </si>
  <si>
    <t>Accessibility to the Project from the City: (Proximity to civic amenities like school, hospital, market, etc.)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</si>
  <si>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</si>
  <si>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</si>
  <si>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</si>
  <si>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</si>
  <si>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</si>
  <si>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</si>
  <si>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</si>
  <si>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</si>
  <si>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</si>
  <si>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Type of Structure</t>
  </si>
  <si>
    <t>RCC Frame Structure</t>
  </si>
  <si>
    <t xml:space="preserve">Approved usage of the Property:                                                                                                                                             </t>
  </si>
  <si>
    <t>Restrictive Covenants in regard to Land Use</t>
  </si>
  <si>
    <t>No</t>
  </si>
  <si>
    <t>Boundries</t>
  </si>
  <si>
    <t>As per deed</t>
  </si>
  <si>
    <t>At site</t>
  </si>
  <si>
    <t>East</t>
  </si>
  <si>
    <t>NA</t>
  </si>
  <si>
    <t>LK Damayanti Residency</t>
  </si>
  <si>
    <t>West</t>
  </si>
  <si>
    <t>North</t>
  </si>
  <si>
    <t>Open Plot</t>
  </si>
  <si>
    <t>South</t>
  </si>
  <si>
    <t>Does the boundaries at site match, as mentioned in the Docoumentation: NA</t>
  </si>
  <si>
    <t>Latitude,Longitude</t>
  </si>
  <si>
    <t>19.078688,73.096943</t>
  </si>
  <si>
    <t>Location Link</t>
  </si>
  <si>
    <t>https://goo.gl/maps/mZs9DaQJRbuU7pqQ6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</si>
  <si>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</si>
  <si>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</si>
  <si>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</si>
  <si>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</si>
  <si>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</si>
  <si>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</si>
  <si>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Total number of Buildings</t>
  </si>
  <si>
    <t>01 Building</t>
  </si>
  <si>
    <t xml:space="preserve">Approval Detail : Plan approval </t>
  </si>
  <si>
    <t>Name of Municipal Corporation/Authority</t>
  </si>
  <si>
    <t>City And Industrial Development Corporation Of Maharashtra (CIDCO)</t>
  </si>
  <si>
    <t xml:space="preserve">Layout Approval No     </t>
  </si>
  <si>
    <t>CIDCO/BP-17171/TPO(NM &amp; K)/2019/
6078</t>
  </si>
  <si>
    <t>Dated</t>
  </si>
  <si>
    <t xml:space="preserve">Approved Floor plan No.  </t>
  </si>
  <si>
    <t xml:space="preserve">Commencement-CC No
Valid Up to: </t>
  </si>
  <si>
    <t>G + 1st to 15th Floor</t>
  </si>
  <si>
    <t xml:space="preserve">O. Certificate No.: </t>
  </si>
  <si>
    <t>NA
Approved upto : NA</t>
  </si>
  <si>
    <t>Building wise Construction details</t>
  </si>
  <si>
    <t>Approved area of building (Sq.Mt)</t>
  </si>
  <si>
    <t>Approved no of units</t>
  </si>
  <si>
    <t>Flats - 112, Shops - 08</t>
  </si>
  <si>
    <t>Approved no of Floors</t>
  </si>
  <si>
    <t>G + 1P + 2nd to 15th Floor</t>
  </si>
  <si>
    <t>Proposed no of Floors</t>
  </si>
  <si>
    <t>Expected Completion</t>
  </si>
  <si>
    <t>Projected life of the structure</t>
  </si>
  <si>
    <t xml:space="preserve">Quality of construction: </t>
  </si>
  <si>
    <r>
      <rPr>
        <sz val="12"/>
        <color indexed="8"/>
        <rFont val="Times New Roman"/>
        <family val="1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</si>
  <si>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Fitness Center, Swimming Pool, Garden</t>
  </si>
  <si>
    <t xml:space="preserve">Violations Observed if any : </t>
  </si>
  <si>
    <t xml:space="preserve">Material laying at Site: </t>
  </si>
  <si>
    <t xml:space="preserve">Wheather the construction is as per approved Building plan : 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</si>
  <si>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</si>
  <si>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</si>
  <si>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</si>
  <si>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</si>
  <si>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</si>
  <si>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</si>
  <si>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</si>
  <si>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</si>
  <si>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</si>
  <si>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</si>
  <si>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</si>
  <si>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</si>
  <si>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</si>
  <si>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</si>
  <si>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</si>
  <si>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</si>
  <si>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</si>
  <si>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</si>
  <si>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</si>
  <si>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</si>
  <si>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</si>
  <si>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</si>
  <si>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</si>
  <si>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</si>
  <si>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</si>
  <si>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</si>
  <si>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</si>
  <si>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</si>
  <si>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</si>
  <si>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</si>
  <si>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</si>
  <si>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</si>
  <si>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</si>
  <si>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</si>
  <si>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Recommended Rates of the Property : </t>
  </si>
  <si>
    <t>On Saleable Area</t>
  </si>
  <si>
    <t>Recommended rate of the Flat Per Sq. Ft.</t>
  </si>
  <si>
    <t>Recommended rate of the Shop Per Sq. Ft.</t>
  </si>
  <si>
    <t>Recommended rate of the Office Per Sq. Ft.</t>
  </si>
  <si>
    <t>Floor Rise Rate</t>
  </si>
  <si>
    <t>Development + Society Formation + Amenities Charges</t>
  </si>
  <si>
    <t>Charges</t>
  </si>
  <si>
    <t>smith pal</t>
  </si>
  <si>
    <t>costsheet</t>
  </si>
  <si>
    <t>Club Charges</t>
  </si>
  <si>
    <t>Legal Charges</t>
  </si>
  <si>
    <t>Gas Connection Charges</t>
  </si>
  <si>
    <t>Water, Electricity, Drainages, Sewerage Connection</t>
  </si>
  <si>
    <t>Society Formation Charges</t>
  </si>
  <si>
    <t>Document Charges</t>
  </si>
  <si>
    <t xml:space="preserve">Recommended rate of Parking </t>
  </si>
  <si>
    <t>Distressed valuation of the Property</t>
  </si>
  <si>
    <t>Commercial Area Details :</t>
  </si>
  <si>
    <t>Building &amp; Wing</t>
  </si>
  <si>
    <t>No. of Units</t>
  </si>
  <si>
    <t>Total Carpet Area</t>
  </si>
  <si>
    <t>Total Saleable Area</t>
  </si>
  <si>
    <t>Shop</t>
  </si>
  <si>
    <t>Residential Area Details :</t>
  </si>
  <si>
    <t>Flats</t>
  </si>
  <si>
    <t>Building details Floor Wise</t>
  </si>
  <si>
    <t xml:space="preserve">Details of Flats in Building   </t>
  </si>
  <si>
    <r>
      <rPr>
        <b/>
        <sz val="12"/>
        <color indexed="8"/>
        <rFont val="Times New Roman"/>
        <family val="1"/>
      </rP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</si>
  <si>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
(Sale Plan)</t>
  </si>
  <si>
    <t>Description</t>
  </si>
  <si>
    <t>Gross Carpet area</t>
  </si>
  <si>
    <t>Attached Loft area</t>
  </si>
  <si>
    <t>Saleable area Loading :</t>
  </si>
  <si>
    <t>Floor</t>
  </si>
  <si>
    <t>Ground Floor For Society Office, Fire Control Room, Meter Room, Fitness Center, UG Tank, Commercial &amp; Parking</t>
  </si>
  <si>
    <r>
      <rPr>
        <b/>
        <sz val="12"/>
        <color indexed="8"/>
        <rFont val="Times New Roman"/>
        <family val="1"/>
      </rP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</si>
  <si>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</si>
  <si>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Attached Terrace area</t>
  </si>
  <si>
    <t>1st Podium Floor For Amenities &amp; Parking</t>
  </si>
  <si>
    <t>2nd, 4th &amp; 6th Floor For Residential</t>
  </si>
  <si>
    <t>1BHK</t>
  </si>
  <si>
    <t>2BHK</t>
  </si>
  <si>
    <t>3rd &amp; 5th Floor</t>
  </si>
  <si>
    <t>8th &amp; 10th Floor (Part Refuge Area)</t>
  </si>
  <si>
    <t>7th, 9th &amp; 11th Floor</t>
  </si>
  <si>
    <t>12th Floor (Part Refuge Area)</t>
  </si>
  <si>
    <t>13th Floor</t>
  </si>
  <si>
    <t>14th Floor (Part Refuge Area)</t>
  </si>
  <si>
    <t>15th Floor</t>
  </si>
  <si>
    <t>1RK</t>
  </si>
  <si>
    <t xml:space="preserve">Remarks:  </t>
  </si>
  <si>
    <t>*</t>
  </si>
  <si>
    <t>We considered Carpet area as per Approved Plan.</t>
  </si>
  <si>
    <t>We considered Gross carpet area = Net carpet + Enclose balcony + Chajja Area.</t>
  </si>
  <si>
    <t>We have considered proposed No. of Floor for Stage Calculation.</t>
  </si>
  <si>
    <t>We have considered rate by verifying it from market inquire.</t>
  </si>
  <si>
    <t>Recommended rate should be considered as all inclusive rate if other charges are not mentioned. (Excluding GST &amp; other government Taxes)</t>
  </si>
  <si>
    <t xml:space="preserve">Car parking is subjected to authentic documentation. </t>
  </si>
  <si>
    <t>The project received its first CC on 22/11/2019, but construction work is not yet completed.</t>
  </si>
  <si>
    <t>The cidco pond is approximately 100 metres on the west side of the project.</t>
  </si>
  <si>
    <t>The taloja river is approximately 100 metres on the south side of the project.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</si>
  <si>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</si>
  <si>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</si>
  <si>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</si>
  <si>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</si>
  <si>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</si>
  <si>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</si>
  <si>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</si>
  <si>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</si>
  <si>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Report By :</t>
  </si>
  <si>
    <t>Authorized Signatory
Name &amp; Seal of the agency</t>
  </si>
  <si>
    <t xml:space="preserve">PHOTOGRAPHS OF PROPERTY : 
</t>
  </si>
  <si>
    <t>Layout :</t>
  </si>
  <si>
    <t>Google Map :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</si>
  <si>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</si>
  <si>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</si>
  <si>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</si>
  <si>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</si>
  <si>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</si>
  <si>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</si>
  <si>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</si>
  <si>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</si>
  <si>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 Brick</t>
  </si>
  <si>
    <t>99 Acres</t>
  </si>
  <si>
    <t>Average</t>
  </si>
  <si>
    <t xml:space="preserve">Valuation Adopted </t>
  </si>
  <si>
    <t>As per RERA - 30/12/2025</t>
  </si>
  <si>
    <t>Pranita Mhatre</t>
  </si>
  <si>
    <t>Mayur Ranvare</t>
  </si>
  <si>
    <t>Finishing work is in process. (Internal visit was not allowed.)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</si>
</sst>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(* #,##0.00_);_(* \(#,##0.00\);_(* &quot;-&quot;??_);_(@_)"/>
    <numFmt numFmtId="166" formatCode="_(* #,##0_);_(* \(#,##0\);_(* &quot;-&quot;??_);_(@_)"/>
    <numFmt numFmtId="167" formatCode="0.0"/>
    <numFmt numFmtId="168" formatCode="_ * #,##0_ ;_ * \-#,##0_ ;_ * &quot;-&quot;??_ ;_ @_ "/>
  </numFmts>
  <fonts count="26">
    <font>
      <sz val="11"/>
      <color rgb="FF000000"/>
      <name val="Calibri"/>
      <charset val="13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</font>
    <font>
      <sz val="24"/>
      <color rgb="FF202124"/>
      <name val="Arial"/>
      <family val="2"/>
    </font>
    <font>
      <sz val="10"/>
      <color theme="1"/>
      <name val="Times New Roman"/>
      <family val="1"/>
    </font>
    <font>
      <b/>
      <sz val="11"/>
      <color indexed="8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1">
    <xf numFmtId="0" fontId="0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3" fillId="0" borderId="0"/>
    <xf numFmtId="0" fontId="2" fillId="0" borderId="0"/>
  </cellStyleXfs>
  <cellXfs count="179">
    <xf numFmtId="0" fontId="0" fillId="0" borderId="0" xfId="0"/>
    <xf numFmtId="0" fontId="1" fillId="0" borderId="0" xfId="6"/>
    <xf numFmtId="0" fontId="2" fillId="0" borderId="0" xfId="10"/>
    <xf numFmtId="0" fontId="3" fillId="0" borderId="1" xfId="10" applyFont="1" applyBorder="1" applyAlignment="1">
      <alignment horizontal="center" vertical="top" wrapText="1"/>
    </xf>
    <xf numFmtId="0" fontId="2" fillId="0" borderId="1" xfId="10" applyBorder="1" applyAlignment="1">
      <alignment horizontal="center" vertical="center"/>
    </xf>
    <xf numFmtId="0" fontId="2" fillId="0" borderId="1" xfId="10" applyBorder="1" applyAlignment="1">
      <alignment horizontal="left" vertical="center"/>
    </xf>
    <xf numFmtId="1" fontId="2" fillId="0" borderId="1" xfId="10" applyNumberFormat="1" applyBorder="1" applyAlignment="1">
      <alignment horizontal="center" vertical="center"/>
    </xf>
    <xf numFmtId="166" fontId="2" fillId="0" borderId="1" xfId="4" applyNumberFormat="1" applyFont="1" applyBorder="1" applyAlignment="1">
      <alignment horizontal="right" vertical="center"/>
    </xf>
    <xf numFmtId="0" fontId="2" fillId="0" borderId="1" xfId="10" applyBorder="1" applyAlignment="1">
      <alignment horizontal="left" vertical="center" wrapText="1"/>
    </xf>
    <xf numFmtId="0" fontId="3" fillId="0" borderId="1" xfId="10" applyFont="1" applyBorder="1" applyAlignment="1">
      <alignment horizontal="center" vertical="center"/>
    </xf>
    <xf numFmtId="1" fontId="4" fillId="0" borderId="1" xfId="10" applyNumberFormat="1" applyFont="1" applyBorder="1" applyAlignment="1">
      <alignment horizontal="center" vertical="center"/>
    </xf>
    <xf numFmtId="0" fontId="1" fillId="0" borderId="1" xfId="6" applyBorder="1" applyAlignment="1">
      <alignment horizontal="center" vertical="center"/>
    </xf>
    <xf numFmtId="0" fontId="5" fillId="0" borderId="0" xfId="6" applyFont="1"/>
    <xf numFmtId="0" fontId="6" fillId="0" borderId="0" xfId="8" applyFont="1"/>
    <xf numFmtId="0" fontId="7" fillId="0" borderId="0" xfId="8" applyFont="1"/>
    <xf numFmtId="0" fontId="8" fillId="0" borderId="0" xfId="8" applyFont="1"/>
    <xf numFmtId="0" fontId="9" fillId="0" borderId="0" xfId="5" applyFont="1"/>
    <xf numFmtId="0" fontId="10" fillId="0" borderId="0" xfId="0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Protection="1">
      <protection locked="0"/>
    </xf>
    <xf numFmtId="0" fontId="10" fillId="0" borderId="0" xfId="8" applyFont="1"/>
    <xf numFmtId="0" fontId="7" fillId="0" borderId="1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0" fontId="16" fillId="0" borderId="0" xfId="0" applyFont="1" applyAlignment="1">
      <alignment horizontal="left" vertical="center" wrapText="1"/>
    </xf>
    <xf numFmtId="1" fontId="10" fillId="0" borderId="0" xfId="8" applyNumberFormat="1" applyFont="1"/>
    <xf numFmtId="14" fontId="10" fillId="0" borderId="0" xfId="8" applyNumberFormat="1" applyFont="1"/>
    <xf numFmtId="0" fontId="10" fillId="0" borderId="0" xfId="8" applyFont="1" applyProtection="1">
      <protection hidden="1"/>
    </xf>
    <xf numFmtId="0" fontId="17" fillId="0" borderId="0" xfId="8" applyFont="1"/>
    <xf numFmtId="0" fontId="7" fillId="0" borderId="17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horizontal="center" vertical="top"/>
      <protection locked="0"/>
    </xf>
    <xf numFmtId="0" fontId="7" fillId="0" borderId="18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9" fontId="10" fillId="0" borderId="1" xfId="2" applyFont="1" applyFill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9" fontId="10" fillId="0" borderId="24" xfId="2" applyFont="1" applyFill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9" fontId="12" fillId="0" borderId="11" xfId="2" applyFont="1" applyFill="1" applyBorder="1" applyAlignment="1" applyProtection="1">
      <alignment horizontal="center" vertical="top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0" fillId="0" borderId="1" xfId="8" applyNumberFormat="1" applyFont="1" applyBorder="1" applyAlignment="1">
      <alignment horizontal="center" vertical="center"/>
    </xf>
    <xf numFmtId="0" fontId="19" fillId="2" borderId="28" xfId="0" applyFont="1" applyFill="1" applyBorder="1"/>
    <xf numFmtId="0" fontId="20" fillId="0" borderId="29" xfId="0" applyFont="1" applyBorder="1"/>
    <xf numFmtId="0" fontId="20" fillId="0" borderId="1" xfId="0" applyFont="1" applyBorder="1"/>
    <xf numFmtId="0" fontId="20" fillId="0" borderId="18" xfId="0" applyFont="1" applyBorder="1"/>
    <xf numFmtId="0" fontId="21" fillId="0" borderId="0" xfId="0" applyFont="1" applyProtection="1">
      <protection hidden="1"/>
    </xf>
    <xf numFmtId="0" fontId="10" fillId="0" borderId="22" xfId="8" applyFont="1" applyBorder="1"/>
    <xf numFmtId="0" fontId="21" fillId="0" borderId="22" xfId="0" applyFont="1" applyBorder="1" applyProtection="1">
      <protection hidden="1"/>
    </xf>
    <xf numFmtId="1" fontId="0" fillId="0" borderId="22" xfId="0" applyNumberFormat="1" applyBorder="1"/>
    <xf numFmtId="1" fontId="0" fillId="0" borderId="22" xfId="0" applyNumberFormat="1" applyBorder="1" applyAlignment="1">
      <alignment horizontal="right"/>
    </xf>
    <xf numFmtId="0" fontId="21" fillId="0" borderId="30" xfId="0" applyFont="1" applyBorder="1" applyProtection="1">
      <protection hidden="1"/>
    </xf>
    <xf numFmtId="1" fontId="0" fillId="0" borderId="27" xfId="0" applyNumberFormat="1" applyBorder="1"/>
    <xf numFmtId="0" fontId="8" fillId="2" borderId="0" xfId="8" applyFont="1" applyFill="1"/>
    <xf numFmtId="14" fontId="8" fillId="2" borderId="0" xfId="8" applyNumberFormat="1" applyFont="1" applyFill="1"/>
    <xf numFmtId="1" fontId="10" fillId="0" borderId="0" xfId="8" applyNumberFormat="1" applyFont="1" applyAlignment="1">
      <alignment horizontal="center" vertical="center"/>
    </xf>
    <xf numFmtId="2" fontId="10" fillId="0" borderId="0" xfId="8" applyNumberFormat="1" applyFont="1" applyAlignment="1">
      <alignment horizontal="center" vertical="center"/>
    </xf>
    <xf numFmtId="0" fontId="12" fillId="0" borderId="0" xfId="8" applyFont="1" applyAlignment="1" applyProtection="1">
      <alignment vertical="top"/>
      <protection locked="0"/>
    </xf>
    <xf numFmtId="0" fontId="12" fillId="0" borderId="0" xfId="8" applyFont="1" applyAlignment="1" applyProtection="1">
      <alignment vertical="top" wrapText="1"/>
      <protection locked="0"/>
    </xf>
    <xf numFmtId="0" fontId="14" fillId="0" borderId="0" xfId="8" applyFont="1" applyProtection="1">
      <protection locked="0"/>
    </xf>
    <xf numFmtId="0" fontId="11" fillId="0" borderId="1" xfId="8" applyFont="1" applyBorder="1" applyAlignment="1" applyProtection="1">
      <alignment horizontal="center" vertical="top" wrapText="1"/>
      <protection locked="0"/>
    </xf>
    <xf numFmtId="0" fontId="12" fillId="0" borderId="1" xfId="8" applyFont="1" applyBorder="1" applyAlignment="1" applyProtection="1">
      <alignment horizontal="center" vertical="top"/>
      <protection locked="0"/>
    </xf>
    <xf numFmtId="0" fontId="7" fillId="0" borderId="1" xfId="8" applyFont="1" applyBorder="1" applyAlignment="1" applyProtection="1">
      <alignment horizontal="left" vertical="top"/>
      <protection locked="0"/>
    </xf>
    <xf numFmtId="14" fontId="7" fillId="0" borderId="1" xfId="8" applyNumberFormat="1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/>
      <protection locked="0"/>
    </xf>
    <xf numFmtId="0" fontId="9" fillId="0" borderId="1" xfId="8" applyFont="1" applyBorder="1" applyAlignment="1" applyProtection="1">
      <alignment horizontal="left" vertical="top"/>
      <protection locked="0"/>
    </xf>
    <xf numFmtId="0" fontId="7" fillId="0" borderId="1" xfId="8" applyFont="1" applyBorder="1" applyAlignment="1" applyProtection="1">
      <alignment horizontal="left" vertical="top" wrapText="1"/>
      <protection locked="0"/>
    </xf>
    <xf numFmtId="0" fontId="9" fillId="0" borderId="1" xfId="8" applyFont="1" applyBorder="1" applyAlignment="1" applyProtection="1">
      <alignment horizontal="left" vertical="top" wrapText="1"/>
      <protection locked="0"/>
    </xf>
    <xf numFmtId="0" fontId="7" fillId="0" borderId="1" xfId="8" applyFont="1" applyBorder="1" applyAlignment="1" applyProtection="1">
      <alignment horizontal="left"/>
      <protection locked="0"/>
    </xf>
    <xf numFmtId="0" fontId="13" fillId="0" borderId="1" xfId="8" applyFont="1" applyBorder="1" applyAlignment="1" applyProtection="1">
      <alignment horizontal="center"/>
      <protection locked="0"/>
    </xf>
    <xf numFmtId="0" fontId="13" fillId="0" borderId="1" xfId="8" applyFont="1" applyBorder="1" applyAlignment="1" applyProtection="1">
      <alignment horizontal="center" vertical="top"/>
      <protection locked="0"/>
    </xf>
    <xf numFmtId="0" fontId="7" fillId="0" borderId="1" xfId="8" applyFont="1" applyBorder="1" applyAlignment="1" applyProtection="1">
      <alignment horizontal="center"/>
      <protection locked="0"/>
    </xf>
    <xf numFmtId="0" fontId="7" fillId="0" borderId="1" xfId="8" applyFont="1" applyBorder="1" applyAlignment="1" applyProtection="1">
      <alignment horizontal="center" vertical="top"/>
      <protection locked="0"/>
    </xf>
    <xf numFmtId="0" fontId="14" fillId="0" borderId="2" xfId="8" applyFont="1" applyBorder="1" applyAlignment="1" applyProtection="1">
      <alignment horizontal="left"/>
      <protection locked="0"/>
    </xf>
    <xf numFmtId="0" fontId="14" fillId="0" borderId="3" xfId="8" applyFont="1" applyBorder="1" applyAlignment="1" applyProtection="1">
      <alignment horizontal="left"/>
      <protection locked="0"/>
    </xf>
    <xf numFmtId="0" fontId="14" fillId="0" borderId="4" xfId="8" applyFont="1" applyBorder="1" applyAlignment="1" applyProtection="1">
      <alignment horizontal="left"/>
      <protection locked="0"/>
    </xf>
    <xf numFmtId="0" fontId="15" fillId="0" borderId="1" xfId="3" applyFill="1" applyBorder="1" applyAlignment="1" applyProtection="1">
      <alignment horizontal="left" vertical="top" wrapText="1"/>
      <protection locked="0"/>
    </xf>
    <xf numFmtId="0" fontId="12" fillId="0" borderId="1" xfId="8" applyFont="1" applyBorder="1" applyAlignment="1" applyProtection="1">
      <alignment horizontal="left" vertical="top"/>
      <protection locked="0"/>
    </xf>
    <xf numFmtId="2" fontId="9" fillId="0" borderId="1" xfId="8" applyNumberFormat="1" applyFont="1" applyBorder="1" applyAlignment="1" applyProtection="1">
      <alignment horizontal="left" vertical="top" wrapText="1"/>
      <protection locked="0"/>
    </xf>
    <xf numFmtId="167" fontId="9" fillId="0" borderId="1" xfId="8" applyNumberFormat="1" applyFont="1" applyBorder="1" applyAlignment="1" applyProtection="1">
      <alignment horizontal="left" vertical="top"/>
      <protection locked="0"/>
    </xf>
    <xf numFmtId="2" fontId="9" fillId="0" borderId="1" xfId="8" applyNumberFormat="1" applyFont="1" applyBorder="1" applyAlignment="1" applyProtection="1">
      <alignment horizontal="left" vertical="top"/>
      <protection locked="0"/>
    </xf>
    <xf numFmtId="0" fontId="9" fillId="0" borderId="2" xfId="8" applyFont="1" applyBorder="1" applyAlignment="1" applyProtection="1">
      <alignment horizontal="left" vertical="top" wrapText="1"/>
      <protection locked="0"/>
    </xf>
    <xf numFmtId="0" fontId="9" fillId="0" borderId="4" xfId="8" applyFont="1" applyBorder="1" applyAlignment="1" applyProtection="1">
      <alignment horizontal="left" vertical="top" wrapText="1"/>
      <protection locked="0"/>
    </xf>
    <xf numFmtId="0" fontId="13" fillId="0" borderId="2" xfId="8" applyFont="1" applyBorder="1" applyAlignment="1" applyProtection="1">
      <alignment horizontal="left" vertical="top"/>
      <protection locked="0"/>
    </xf>
    <xf numFmtId="0" fontId="13" fillId="0" borderId="3" xfId="8" applyFont="1" applyBorder="1" applyAlignment="1" applyProtection="1">
      <alignment horizontal="left" vertical="top"/>
      <protection locked="0"/>
    </xf>
    <xf numFmtId="0" fontId="13" fillId="0" borderId="4" xfId="8" applyFont="1" applyBorder="1" applyAlignment="1" applyProtection="1">
      <alignment horizontal="left" vertical="top"/>
      <protection locked="0"/>
    </xf>
    <xf numFmtId="0" fontId="9" fillId="0" borderId="3" xfId="8" applyFont="1" applyBorder="1" applyAlignment="1" applyProtection="1">
      <alignment horizontal="left" vertical="top" wrapText="1"/>
      <protection locked="0"/>
    </xf>
    <xf numFmtId="14" fontId="9" fillId="0" borderId="2" xfId="8" applyNumberFormat="1" applyFont="1" applyBorder="1" applyAlignment="1" applyProtection="1">
      <alignment horizontal="left" vertical="top" wrapText="1"/>
      <protection locked="0"/>
    </xf>
    <xf numFmtId="14" fontId="9" fillId="0" borderId="4" xfId="8" applyNumberFormat="1" applyFont="1" applyBorder="1" applyAlignment="1" applyProtection="1">
      <alignment horizontal="left" vertical="top" wrapText="1"/>
      <protection locked="0"/>
    </xf>
    <xf numFmtId="0" fontId="9" fillId="0" borderId="5" xfId="8" applyFont="1" applyBorder="1" applyAlignment="1" applyProtection="1">
      <alignment horizontal="left" vertical="top" wrapText="1"/>
      <protection locked="0"/>
    </xf>
    <xf numFmtId="0" fontId="9" fillId="0" borderId="6" xfId="8" applyFont="1" applyBorder="1" applyAlignment="1" applyProtection="1">
      <alignment horizontal="left" vertical="top" wrapText="1"/>
      <protection locked="0"/>
    </xf>
    <xf numFmtId="0" fontId="9" fillId="0" borderId="7" xfId="8" applyFont="1" applyBorder="1" applyAlignment="1" applyProtection="1">
      <alignment horizontal="left" vertical="top" wrapText="1"/>
      <protection locked="0"/>
    </xf>
    <xf numFmtId="0" fontId="9" fillId="0" borderId="8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 wrapText="1"/>
      <protection locked="0"/>
    </xf>
    <xf numFmtId="0" fontId="12" fillId="0" borderId="4" xfId="8" applyFont="1" applyBorder="1" applyAlignment="1" applyProtection="1">
      <alignment horizontal="left" vertical="top" wrapText="1"/>
      <protection locked="0"/>
    </xf>
    <xf numFmtId="0" fontId="12" fillId="0" borderId="3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/>
      <protection locked="0"/>
    </xf>
    <xf numFmtId="0" fontId="12" fillId="0" borderId="4" xfId="8" applyFont="1" applyBorder="1" applyAlignment="1" applyProtection="1">
      <alignment horizontal="left" vertical="top"/>
      <protection locked="0"/>
    </xf>
    <xf numFmtId="0" fontId="12" fillId="0" borderId="1" xfId="8" applyFont="1" applyBorder="1" applyAlignment="1" applyProtection="1">
      <alignment vertical="top"/>
      <protection locked="0"/>
    </xf>
    <xf numFmtId="0" fontId="7" fillId="0" borderId="5" xfId="8" applyFont="1" applyBorder="1" applyAlignment="1" applyProtection="1">
      <alignment horizontal="left" vertical="top" wrapText="1"/>
      <protection locked="0"/>
    </xf>
    <xf numFmtId="0" fontId="7" fillId="0" borderId="9" xfId="8" applyFont="1" applyBorder="1" applyAlignment="1" applyProtection="1">
      <alignment horizontal="left" vertical="top" wrapText="1"/>
      <protection locked="0"/>
    </xf>
    <xf numFmtId="0" fontId="7" fillId="0" borderId="6" xfId="8" applyFont="1" applyBorder="1" applyAlignment="1" applyProtection="1">
      <alignment horizontal="left" vertical="top" wrapText="1"/>
      <protection locked="0"/>
    </xf>
    <xf numFmtId="0" fontId="7" fillId="0" borderId="10" xfId="8" applyFont="1" applyBorder="1" applyAlignment="1" applyProtection="1">
      <alignment horizontal="left" vertical="top" wrapText="1"/>
      <protection locked="0"/>
    </xf>
    <xf numFmtId="0" fontId="7" fillId="0" borderId="10" xfId="8" applyFont="1" applyBorder="1" applyAlignment="1" applyProtection="1">
      <alignment horizontal="left" vertical="top"/>
      <protection locked="0"/>
    </xf>
    <xf numFmtId="0" fontId="7" fillId="0" borderId="2" xfId="8" applyFont="1" applyBorder="1" applyAlignment="1" applyProtection="1">
      <alignment horizontal="left" vertical="top"/>
      <protection locked="0"/>
    </xf>
    <xf numFmtId="0" fontId="7" fillId="0" borderId="3" xfId="8" applyFont="1" applyBorder="1" applyAlignment="1" applyProtection="1">
      <alignment horizontal="left" vertical="top"/>
      <protection locked="0"/>
    </xf>
    <xf numFmtId="0" fontId="7" fillId="0" borderId="4" xfId="8" applyFont="1" applyBorder="1" applyAlignment="1" applyProtection="1">
      <alignment horizontal="left" vertical="top"/>
      <protection locked="0"/>
    </xf>
    <xf numFmtId="0" fontId="9" fillId="0" borderId="11" xfId="8" applyFont="1" applyBorder="1" applyAlignment="1" applyProtection="1">
      <alignment horizontal="left" vertical="top" wrapText="1"/>
      <protection locked="0"/>
    </xf>
    <xf numFmtId="1" fontId="9" fillId="0" borderId="1" xfId="8" applyNumberFormat="1" applyFont="1" applyBorder="1" applyAlignment="1" applyProtection="1">
      <alignment horizontal="left" vertical="top" wrapText="1"/>
      <protection locked="0"/>
    </xf>
    <xf numFmtId="0" fontId="9" fillId="0" borderId="10" xfId="8" applyFont="1" applyBorder="1" applyAlignment="1" applyProtection="1">
      <alignment horizontal="left" vertical="top"/>
      <protection locked="0"/>
    </xf>
    <xf numFmtId="0" fontId="9" fillId="0" borderId="10" xfId="8" applyFont="1" applyBorder="1" applyAlignment="1" applyProtection="1">
      <alignment horizontal="left" vertical="top" wrapText="1"/>
      <protection locked="0"/>
    </xf>
    <xf numFmtId="0" fontId="12" fillId="0" borderId="12" xfId="8" applyFont="1" applyBorder="1" applyAlignment="1" applyProtection="1">
      <alignment horizontal="left" vertical="top" wrapText="1"/>
      <protection locked="0"/>
    </xf>
    <xf numFmtId="0" fontId="12" fillId="0" borderId="13" xfId="8" applyFont="1" applyBorder="1" applyAlignment="1" applyProtection="1">
      <alignment horizontal="left" vertical="top" wrapText="1"/>
      <protection locked="0"/>
    </xf>
    <xf numFmtId="0" fontId="12" fillId="0" borderId="14" xfId="8" applyFont="1" applyBorder="1" applyAlignment="1" applyProtection="1">
      <alignment horizontal="left" vertical="top" wrapText="1"/>
      <protection locked="0"/>
    </xf>
    <xf numFmtId="0" fontId="12" fillId="0" borderId="15" xfId="8" applyFont="1" applyBorder="1" applyAlignment="1" applyProtection="1">
      <alignment horizontal="left" vertical="top" wrapText="1"/>
      <protection locked="0"/>
    </xf>
    <xf numFmtId="0" fontId="12" fillId="0" borderId="16" xfId="8" applyFont="1" applyBorder="1" applyAlignment="1" applyProtection="1">
      <alignment horizontal="left" vertical="top" wrapText="1"/>
      <protection locked="0"/>
    </xf>
    <xf numFmtId="0" fontId="13" fillId="0" borderId="17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 wrapText="1"/>
      <protection locked="0"/>
    </xf>
    <xf numFmtId="0" fontId="13" fillId="0" borderId="18" xfId="8" applyFont="1" applyBorder="1" applyAlignment="1" applyProtection="1">
      <alignment horizontal="left" vertical="top" wrapText="1"/>
      <protection locked="0"/>
    </xf>
    <xf numFmtId="0" fontId="10" fillId="0" borderId="17" xfId="8" applyFont="1" applyBorder="1" applyAlignment="1" applyProtection="1">
      <alignment horizontal="center" vertical="top" wrapText="1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0" fontId="10" fillId="0" borderId="18" xfId="8" applyFont="1" applyBorder="1" applyAlignment="1" applyProtection="1">
      <alignment horizontal="center" vertical="top" wrapText="1"/>
      <protection locked="0"/>
    </xf>
    <xf numFmtId="0" fontId="10" fillId="0" borderId="23" xfId="8" applyFont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0" fontId="12" fillId="0" borderId="11" xfId="8" applyFont="1" applyBorder="1" applyAlignment="1" applyProtection="1">
      <alignment horizontal="left" vertical="top"/>
      <protection locked="0"/>
    </xf>
    <xf numFmtId="0" fontId="12" fillId="0" borderId="11" xfId="8" applyFont="1" applyBorder="1" applyAlignment="1" applyProtection="1">
      <alignment horizontal="center" vertical="top"/>
      <protection locked="0"/>
    </xf>
    <xf numFmtId="168" fontId="7" fillId="0" borderId="1" xfId="1" applyNumberFormat="1" applyFont="1" applyFill="1" applyBorder="1" applyAlignment="1" applyProtection="1">
      <alignment horizontal="left" vertical="top"/>
      <protection locked="0"/>
    </xf>
    <xf numFmtId="9" fontId="10" fillId="0" borderId="5" xfId="2" applyFont="1" applyFill="1" applyBorder="1" applyAlignment="1" applyProtection="1">
      <alignment horizontal="center" vertical="center" wrapText="1"/>
      <protection locked="0"/>
    </xf>
    <xf numFmtId="9" fontId="10" fillId="0" borderId="6" xfId="2" applyFont="1" applyFill="1" applyBorder="1" applyAlignment="1" applyProtection="1">
      <alignment horizontal="center" vertical="center" wrapText="1"/>
      <protection locked="0"/>
    </xf>
    <xf numFmtId="9" fontId="10" fillId="0" borderId="20" xfId="2" applyFont="1" applyFill="1" applyBorder="1" applyAlignment="1" applyProtection="1">
      <alignment horizontal="center" vertical="center" wrapText="1"/>
      <protection locked="0"/>
    </xf>
    <xf numFmtId="9" fontId="10" fillId="0" borderId="21" xfId="2" applyFont="1" applyFill="1" applyBorder="1" applyAlignment="1" applyProtection="1">
      <alignment horizontal="center" vertical="center" wrapText="1"/>
      <protection locked="0"/>
    </xf>
    <xf numFmtId="9" fontId="10" fillId="0" borderId="25" xfId="2" applyFont="1" applyFill="1" applyBorder="1" applyAlignment="1" applyProtection="1">
      <alignment horizontal="center" vertical="center" wrapText="1"/>
      <protection locked="0"/>
    </xf>
    <xf numFmtId="9" fontId="10" fillId="0" borderId="26" xfId="2" applyFont="1" applyFill="1" applyBorder="1" applyAlignment="1" applyProtection="1">
      <alignment horizontal="center" vertical="center" wrapText="1"/>
      <protection locked="0"/>
    </xf>
    <xf numFmtId="9" fontId="10" fillId="0" borderId="19" xfId="2" applyFont="1" applyFill="1" applyBorder="1" applyAlignment="1" applyProtection="1">
      <alignment horizontal="center" vertical="center" wrapText="1"/>
      <protection locked="0"/>
    </xf>
    <xf numFmtId="9" fontId="10" fillId="0" borderId="22" xfId="2" applyFont="1" applyFill="1" applyBorder="1" applyAlignment="1" applyProtection="1">
      <alignment horizontal="center" vertical="center" wrapText="1"/>
      <protection locked="0"/>
    </xf>
    <xf numFmtId="9" fontId="10" fillId="0" borderId="27" xfId="2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2" fillId="0" borderId="2" xfId="8" applyNumberFormat="1" applyFont="1" applyBorder="1" applyAlignment="1" applyProtection="1">
      <alignment horizontal="center" vertical="center" wrapText="1"/>
      <protection locked="0"/>
    </xf>
    <xf numFmtId="1" fontId="12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4" xfId="8" applyNumberFormat="1" applyFont="1" applyBorder="1" applyAlignment="1" applyProtection="1">
      <alignment horizontal="center" vertical="center" wrapText="1"/>
      <protection locked="0"/>
    </xf>
    <xf numFmtId="1" fontId="9" fillId="0" borderId="2" xfId="8" applyNumberFormat="1" applyFont="1" applyBorder="1" applyAlignment="1" applyProtection="1">
      <alignment horizontal="center" vertical="center" wrapText="1"/>
      <protection locked="0"/>
    </xf>
    <xf numFmtId="1" fontId="9" fillId="0" borderId="4" xfId="8" applyNumberFormat="1" applyFont="1" applyBorder="1" applyAlignment="1" applyProtection="1">
      <alignment horizontal="center" vertical="center" wrapText="1"/>
      <protection locked="0"/>
    </xf>
    <xf numFmtId="0" fontId="10" fillId="0" borderId="0" xfId="8" applyFont="1" applyAlignment="1">
      <alignment horizontal="center" vertical="center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1" fontId="12" fillId="0" borderId="11" xfId="8" applyNumberFormat="1" applyFont="1" applyBorder="1" applyAlignment="1" applyProtection="1">
      <alignment horizontal="center" vertical="top" wrapText="1"/>
      <protection locked="0"/>
    </xf>
    <xf numFmtId="1" fontId="18" fillId="0" borderId="10" xfId="8" applyNumberFormat="1" applyFont="1" applyBorder="1" applyAlignment="1" applyProtection="1">
      <alignment horizontal="center" vertical="top" wrapText="1"/>
      <protection locked="0"/>
    </xf>
    <xf numFmtId="1" fontId="18" fillId="0" borderId="11" xfId="8" applyNumberFormat="1" applyFont="1" applyBorder="1" applyAlignment="1" applyProtection="1">
      <alignment horizontal="center" vertical="top" wrapText="1"/>
      <protection locked="0"/>
    </xf>
    <xf numFmtId="1" fontId="9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1" xfId="8" applyNumberFormat="1" applyFont="1" applyBorder="1" applyAlignment="1" applyProtection="1">
      <alignment horizontal="center" vertical="center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2" fillId="0" borderId="5" xfId="8" applyNumberFormat="1" applyFont="1" applyBorder="1" applyAlignment="1" applyProtection="1">
      <alignment horizontal="center" vertical="top" wrapText="1"/>
      <protection locked="0"/>
    </xf>
    <xf numFmtId="1" fontId="12" fillId="0" borderId="7" xfId="8" applyNumberFormat="1" applyFont="1" applyBorder="1" applyAlignment="1" applyProtection="1">
      <alignment horizontal="center" vertical="top" wrapText="1"/>
      <protection locked="0"/>
    </xf>
    <xf numFmtId="1" fontId="12" fillId="0" borderId="6" xfId="8" applyNumberFormat="1" applyFont="1" applyBorder="1" applyAlignment="1" applyProtection="1">
      <alignment horizontal="center" vertical="top" wrapText="1"/>
      <protection locked="0"/>
    </xf>
    <xf numFmtId="1" fontId="12" fillId="0" borderId="8" xfId="8" applyNumberFormat="1" applyFont="1" applyBorder="1" applyAlignment="1" applyProtection="1">
      <alignment horizontal="center" vertical="top" wrapText="1"/>
      <protection locked="0"/>
    </xf>
    <xf numFmtId="1" fontId="9" fillId="0" borderId="5" xfId="8" applyNumberFormat="1" applyFont="1" applyBorder="1" applyAlignment="1" applyProtection="1">
      <alignment horizontal="center" vertical="center" wrapText="1"/>
      <protection locked="0"/>
    </xf>
    <xf numFmtId="1" fontId="9" fillId="0" borderId="6" xfId="8" applyNumberFormat="1" applyFont="1" applyBorder="1" applyAlignment="1" applyProtection="1">
      <alignment horizontal="center" vertical="center" wrapText="1"/>
      <protection locked="0"/>
    </xf>
    <xf numFmtId="1" fontId="9" fillId="0" borderId="20" xfId="8" applyNumberFormat="1" applyFont="1" applyBorder="1" applyAlignment="1" applyProtection="1">
      <alignment horizontal="center" vertical="center" wrapText="1"/>
      <protection locked="0"/>
    </xf>
    <xf numFmtId="1" fontId="9" fillId="0" borderId="21" xfId="8" applyNumberFormat="1" applyFont="1" applyBorder="1" applyAlignment="1" applyProtection="1">
      <alignment horizontal="center" vertical="center" wrapText="1"/>
      <protection locked="0"/>
    </xf>
    <xf numFmtId="1" fontId="9" fillId="0" borderId="7" xfId="8" applyNumberFormat="1" applyFont="1" applyBorder="1" applyAlignment="1" applyProtection="1">
      <alignment horizontal="center" vertical="center" wrapText="1"/>
      <protection locked="0"/>
    </xf>
    <xf numFmtId="1" fontId="9" fillId="0" borderId="8" xfId="8" applyNumberFormat="1" applyFont="1" applyBorder="1" applyAlignment="1" applyProtection="1">
      <alignment horizontal="center" vertical="center" wrapText="1"/>
      <protection locked="0"/>
    </xf>
    <xf numFmtId="1" fontId="9" fillId="0" borderId="0" xfId="8" applyNumberFormat="1" applyFont="1" applyAlignment="1" applyProtection="1">
      <alignment horizontal="center" vertical="center" wrapText="1"/>
      <protection locked="0"/>
    </xf>
    <xf numFmtId="1" fontId="12" fillId="0" borderId="2" xfId="0" applyNumberFormat="1" applyFont="1" applyBorder="1" applyAlignment="1" applyProtection="1">
      <alignment vertical="top" wrapText="1"/>
      <protection locked="0"/>
    </xf>
    <xf numFmtId="1" fontId="12" fillId="0" borderId="3" xfId="0" applyNumberFormat="1" applyFont="1" applyBorder="1" applyAlignment="1" applyProtection="1">
      <alignment vertical="top" wrapText="1"/>
      <protection locked="0"/>
    </xf>
    <xf numFmtId="1" fontId="12" fillId="0" borderId="4" xfId="0" applyNumberFormat="1" applyFont="1" applyBorder="1" applyAlignment="1" applyProtection="1">
      <alignment vertical="top" wrapText="1"/>
      <protection locked="0"/>
    </xf>
    <xf numFmtId="1" fontId="12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2" xfId="0" applyNumberFormat="1" applyFont="1" applyBorder="1" applyAlignment="1" applyProtection="1">
      <alignment vertical="top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0" fontId="9" fillId="0" borderId="1" xfId="8" applyFont="1" applyBorder="1" applyAlignment="1" applyProtection="1">
      <alignment vertical="top"/>
      <protection locked="0"/>
    </xf>
    <xf numFmtId="0" fontId="22" fillId="0" borderId="1" xfId="8" applyFont="1" applyBorder="1" applyAlignment="1" applyProtection="1">
      <alignment horizontal="center" vertical="top" wrapText="1"/>
      <protection locked="0"/>
    </xf>
    <xf numFmtId="0" fontId="3" fillId="0" borderId="1" xfId="10" applyFont="1" applyBorder="1" applyAlignment="1">
      <alignment horizontal="left"/>
    </xf>
  </cellXfs>
  <cellStyles count="11">
    <cellStyle name="Comma" xfId="1" builtinId="3"/>
    <cellStyle name="Comma 2" xfId="4" xr:uid="{00000000-0005-0000-0000-000001000000}"/>
    <cellStyle name="Excel Built-in Normal" xfId="5" xr:uid="{00000000-0005-0000-0000-000002000000}"/>
    <cellStyle name="Excel Built-in Normal 2" xfId="6" xr:uid="{00000000-0005-0000-0000-000003000000}"/>
    <cellStyle name="Hyperlink" xfId="3" builtinId="8"/>
    <cellStyle name="Normal" xfId="0" builtinId="0"/>
    <cellStyle name="Normal 2" xfId="7" xr:uid="{00000000-0005-0000-0000-000006000000}"/>
    <cellStyle name="Normal 3" xfId="8" xr:uid="{00000000-0005-0000-0000-000007000000}"/>
    <cellStyle name="Normal 3 3" xfId="9" xr:uid="{00000000-0005-0000-0000-000008000000}"/>
    <cellStyle name="Normal 4" xfId="10" xr:uid="{00000000-0005-0000-0000-000009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339585</xdr:colOff>
      <xdr:row>313</xdr:row>
      <xdr:rowOff>31753</xdr:rowOff>
    </xdr:from>
    <xdr:to>
      <xdr:col>6</xdr:col>
      <xdr:colOff>444543</xdr:colOff>
      <xdr:row>327</xdr:row>
      <xdr:rowOff>128797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101090" y="65262125"/>
          <a:ext cx="4258310" cy="289687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339585</xdr:colOff>
      <xdr:row>297</xdr:row>
      <xdr:rowOff>132524</xdr:rowOff>
    </xdr:from>
    <xdr:to>
      <xdr:col>6</xdr:col>
      <xdr:colOff>433634</xdr:colOff>
      <xdr:row>312</xdr:row>
      <xdr:rowOff>30785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101090" y="62162055"/>
          <a:ext cx="4246880" cy="28987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648643</xdr:colOff>
      <xdr:row>319</xdr:row>
      <xdr:rowOff>26812</xdr:rowOff>
    </xdr:from>
    <xdr:to>
      <xdr:col>3</xdr:col>
      <xdr:colOff>898892</xdr:colOff>
      <xdr:row>320</xdr:row>
      <xdr:rowOff>102254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20349871">
          <a:off x="3058160" y="66457195"/>
          <a:ext cx="250190" cy="27559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2</xdr:col>
      <xdr:colOff>173935</xdr:colOff>
      <xdr:row>256</xdr:row>
      <xdr:rowOff>24848</xdr:rowOff>
    </xdr:from>
    <xdr:to>
      <xdr:col>5</xdr:col>
      <xdr:colOff>486326</xdr:colOff>
      <xdr:row>283</xdr:row>
      <xdr:rowOff>104582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 rot="5400000">
          <a:off x="437515" y="55151655"/>
          <a:ext cx="5480685" cy="288417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2</xdr:col>
      <xdr:colOff>371475</xdr:colOff>
      <xdr:row>314</xdr:row>
      <xdr:rowOff>95250</xdr:rowOff>
    </xdr:from>
    <xdr:to>
      <xdr:col>3</xdr:col>
      <xdr:colOff>228600</xdr:colOff>
      <xdr:row>320</xdr:row>
      <xdr:rowOff>133350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20415246">
          <a:off x="1933575" y="65525650"/>
          <a:ext cx="704850" cy="123825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800100</xdr:colOff>
      <xdr:row>313</xdr:row>
      <xdr:rowOff>19050</xdr:rowOff>
    </xdr:from>
    <xdr:to>
      <xdr:col>6</xdr:col>
      <xdr:colOff>219075</xdr:colOff>
      <xdr:row>327</xdr:row>
      <xdr:rowOff>133350</xdr:rowOff>
    </xdr:to>
    <xdr:sp macro="" textlink="">
      <xdr:nvSpPr>
        <xdr:cNvPr id="7" name="Freefor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362200" y="65249425"/>
          <a:ext cx="2771775" cy="2914650"/>
        </a:xfrm>
        <a:custGeom>
          <a:avLst/>
          <a:gdLst>
            <a:gd name="connsiteX0" fmla="*/ 2647950 w 3019425"/>
            <a:gd name="connsiteY0" fmla="*/ 0 h 2914650"/>
            <a:gd name="connsiteX1" fmla="*/ 2657475 w 3019425"/>
            <a:gd name="connsiteY1" fmla="*/ 514350 h 2914650"/>
            <a:gd name="connsiteX2" fmla="*/ 2571750 w 3019425"/>
            <a:gd name="connsiteY2" fmla="*/ 1152525 h 2914650"/>
            <a:gd name="connsiteX3" fmla="*/ 2057400 w 3019425"/>
            <a:gd name="connsiteY3" fmla="*/ 1419225 h 2914650"/>
            <a:gd name="connsiteX4" fmla="*/ 1819275 w 3019425"/>
            <a:gd name="connsiteY4" fmla="*/ 1428750 h 2914650"/>
            <a:gd name="connsiteX5" fmla="*/ 647700 w 3019425"/>
            <a:gd name="connsiteY5" fmla="*/ 2466975 h 2914650"/>
            <a:gd name="connsiteX6" fmla="*/ 0 w 3019425"/>
            <a:gd name="connsiteY6" fmla="*/ 2914650 h 2914650"/>
            <a:gd name="connsiteX7" fmla="*/ 1257300 w 3019425"/>
            <a:gd name="connsiteY7" fmla="*/ 2895600 h 2914650"/>
            <a:gd name="connsiteX8" fmla="*/ 1466850 w 3019425"/>
            <a:gd name="connsiteY8" fmla="*/ 2486025 h 2914650"/>
            <a:gd name="connsiteX9" fmla="*/ 2238375 w 3019425"/>
            <a:gd name="connsiteY9" fmla="*/ 1714500 h 2914650"/>
            <a:gd name="connsiteX10" fmla="*/ 2800350 w 3019425"/>
            <a:gd name="connsiteY10" fmla="*/ 1314450 h 2914650"/>
            <a:gd name="connsiteX11" fmla="*/ 2981325 w 3019425"/>
            <a:gd name="connsiteY11" fmla="*/ 1181100 h 2914650"/>
            <a:gd name="connsiteX12" fmla="*/ 3019425 w 3019425"/>
            <a:gd name="connsiteY12" fmla="*/ 952500 h 2914650"/>
            <a:gd name="connsiteX13" fmla="*/ 3000375 w 3019425"/>
            <a:gd name="connsiteY13" fmla="*/ 790575 h 2914650"/>
            <a:gd name="connsiteX14" fmla="*/ 2952750 w 3019425"/>
            <a:gd name="connsiteY14" fmla="*/ 333375 h 2914650"/>
            <a:gd name="connsiteX15" fmla="*/ 2819400 w 3019425"/>
            <a:gd name="connsiteY15" fmla="*/ 9525 h 2914650"/>
            <a:gd name="connsiteX16" fmla="*/ 2647950 w 3019425"/>
            <a:gd name="connsiteY16" fmla="*/ 0 h 291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019425" h="2914650">
              <a:moveTo>
                <a:pt x="2647950" y="0"/>
              </a:moveTo>
              <a:lnTo>
                <a:pt x="2657475" y="514350"/>
              </a:lnTo>
              <a:lnTo>
                <a:pt x="2571750" y="1152525"/>
              </a:lnTo>
              <a:lnTo>
                <a:pt x="2057400" y="1419225"/>
              </a:lnTo>
              <a:lnTo>
                <a:pt x="1819275" y="1428750"/>
              </a:lnTo>
              <a:lnTo>
                <a:pt x="647700" y="2466975"/>
              </a:lnTo>
              <a:lnTo>
                <a:pt x="0" y="2914650"/>
              </a:lnTo>
              <a:lnTo>
                <a:pt x="1257300" y="2895600"/>
              </a:lnTo>
              <a:lnTo>
                <a:pt x="1466850" y="2486025"/>
              </a:lnTo>
              <a:lnTo>
                <a:pt x="2238375" y="1714500"/>
              </a:lnTo>
              <a:lnTo>
                <a:pt x="2800350" y="1314450"/>
              </a:lnTo>
              <a:lnTo>
                <a:pt x="2981325" y="1181100"/>
              </a:lnTo>
              <a:lnTo>
                <a:pt x="3019425" y="952500"/>
              </a:lnTo>
              <a:lnTo>
                <a:pt x="3000375" y="790575"/>
              </a:lnTo>
              <a:lnTo>
                <a:pt x="2952750" y="333375"/>
              </a:lnTo>
              <a:lnTo>
                <a:pt x="2819400" y="9525"/>
              </a:lnTo>
              <a:lnTo>
                <a:pt x="2647950" y="0"/>
              </a:lnTo>
              <a:close/>
            </a:path>
          </a:pathLst>
        </a:cu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790575</xdr:colOff>
      <xdr:row>317</xdr:row>
      <xdr:rowOff>0</xdr:rowOff>
    </xdr:from>
    <xdr:to>
      <xdr:col>5</xdr:col>
      <xdr:colOff>704850</xdr:colOff>
      <xdr:row>326</xdr:row>
      <xdr:rowOff>57150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18745047">
          <a:off x="3557270" y="66606420"/>
          <a:ext cx="1857375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FFFF00"/>
              </a:solidFill>
            </a:rPr>
            <a:t>Taloja River</a:t>
          </a:r>
        </a:p>
      </xdr:txBody>
    </xdr:sp>
    <xdr:clientData/>
  </xdr:twoCellAnchor>
  <xdr:twoCellAnchor>
    <xdr:from>
      <xdr:col>8</xdr:col>
      <xdr:colOff>297553</xdr:colOff>
      <xdr:row>211</xdr:row>
      <xdr:rowOff>24244</xdr:rowOff>
    </xdr:from>
    <xdr:to>
      <xdr:col>15</xdr:col>
      <xdr:colOff>789792</xdr:colOff>
      <xdr:row>244</xdr:row>
      <xdr:rowOff>28866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6805033" y="43907824"/>
          <a:ext cx="6275819" cy="6534962"/>
          <a:chOff x="95398" y="45603946"/>
          <a:chExt cx="6135073" cy="6649710"/>
        </a:xfrm>
      </xdr:grpSpPr>
      <xdr:pic>
        <xdr:nvPicPr>
          <xdr:cNvPr id="18" name="Picture 17" descr="https://vsjcllp.vsjadon.com/upload/insp-236409-1525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62256" y="49758503"/>
            <a:ext cx="1855304" cy="249515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6409-843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398" y="45603946"/>
            <a:ext cx="3006655" cy="406301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409-849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01780" y="49748953"/>
            <a:ext cx="1833122" cy="24951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409-851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09366" y="45608526"/>
            <a:ext cx="3021105" cy="406301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6409-874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25100" y="49758503"/>
            <a:ext cx="1846430" cy="24951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289560</xdr:colOff>
      <xdr:row>213</xdr:row>
      <xdr:rowOff>137160</xdr:rowOff>
    </xdr:from>
    <xdr:to>
      <xdr:col>7</xdr:col>
      <xdr:colOff>243840</xdr:colOff>
      <xdr:row>252</xdr:row>
      <xdr:rowOff>60960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99AC52B-D012-8C0B-ECB6-D0542F22CA44}"/>
            </a:ext>
          </a:extLst>
        </xdr:cNvPr>
        <xdr:cNvGrpSpPr/>
      </xdr:nvGrpSpPr>
      <xdr:grpSpPr>
        <a:xfrm>
          <a:off x="289560" y="44416980"/>
          <a:ext cx="5798820" cy="7642860"/>
          <a:chOff x="858205" y="216671"/>
          <a:chExt cx="5143093" cy="657738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AC54A38-6145-DF2B-D246-57B2D46051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76220" y="4634051"/>
            <a:ext cx="1625078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4066B03-C795-071D-7A3B-03643733F9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8205" y="4634051"/>
            <a:ext cx="1625078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F78424-1528-986C-5694-87E045C7EF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194" y="216671"/>
            <a:ext cx="1564625" cy="20796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A5F7276-A4F6-14AE-9850-C5DC630946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13345" y="4634051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86BB384F-E734-12F1-7BE5-DE654DF778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1650" y="216671"/>
            <a:ext cx="3212635" cy="42701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506914C5-DDAC-9224-E872-555E82006F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194" y="2407151"/>
            <a:ext cx="1564625" cy="20796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Zs9DaQJRbuU7pqQ6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96"/>
  <sheetViews>
    <sheetView tabSelected="1" view="pageBreakPreview" topLeftCell="A180" zoomScaleNormal="100" zoomScaleSheetLayoutView="100" zoomScalePageLayoutView="70" workbookViewId="0">
      <selection activeCell="I190" sqref="I190"/>
    </sheetView>
  </sheetViews>
  <sheetFormatPr defaultColWidth="9.109375" defaultRowHeight="15.6"/>
  <cols>
    <col min="1" max="1" width="11.44140625" style="19" customWidth="1"/>
    <col min="2" max="2" width="12" style="19" customWidth="1"/>
    <col min="3" max="3" width="12.6640625" style="19" customWidth="1"/>
    <col min="4" max="4" width="14.109375" style="19" customWidth="1"/>
    <col min="5" max="7" width="11.6640625" style="19" customWidth="1"/>
    <col min="8" max="8" width="9.6640625" style="19" customWidth="1"/>
    <col min="9" max="9" width="17.44140625" style="20" customWidth="1"/>
    <col min="10" max="10" width="11.44140625" style="20" customWidth="1"/>
    <col min="11" max="12" width="10.5546875" style="20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9" ht="46.5" customHeight="1">
      <c r="A1" s="59" t="s">
        <v>0</v>
      </c>
      <c r="B1" s="59"/>
      <c r="C1" s="59"/>
      <c r="D1" s="59"/>
      <c r="E1" s="59"/>
      <c r="F1" s="59"/>
      <c r="G1" s="59"/>
      <c r="H1" s="59"/>
    </row>
    <row r="2" spans="1:9" ht="16.5" customHeight="1">
      <c r="A2" s="60" t="s">
        <v>1</v>
      </c>
      <c r="B2" s="60"/>
      <c r="C2" s="60"/>
      <c r="D2" s="60"/>
      <c r="E2" s="60"/>
      <c r="F2" s="60"/>
      <c r="G2" s="60"/>
      <c r="H2" s="60"/>
    </row>
    <row r="3" spans="1:9">
      <c r="A3" s="61" t="s">
        <v>2</v>
      </c>
      <c r="B3" s="61"/>
      <c r="C3" s="61"/>
      <c r="D3" s="61"/>
      <c r="E3" s="61" t="str">
        <f ca="1">TEXT(TODAY(),"DD/MM/YYYY")</f>
        <v>13/09/2025</v>
      </c>
      <c r="F3" s="61"/>
      <c r="G3" s="61"/>
      <c r="H3" s="61"/>
    </row>
    <row r="4" spans="1:9">
      <c r="A4" s="61" t="s">
        <v>3</v>
      </c>
      <c r="B4" s="61"/>
      <c r="C4" s="61"/>
      <c r="D4" s="61"/>
      <c r="E4" s="61" t="s">
        <v>4</v>
      </c>
      <c r="F4" s="61"/>
      <c r="G4" s="61"/>
      <c r="H4" s="61"/>
    </row>
    <row r="5" spans="1:9">
      <c r="A5" s="61" t="s">
        <v>5</v>
      </c>
      <c r="B5" s="61"/>
      <c r="C5" s="61"/>
      <c r="D5" s="61"/>
      <c r="E5" s="62">
        <v>45908</v>
      </c>
      <c r="F5" s="61"/>
      <c r="G5" s="61"/>
      <c r="H5" s="61"/>
    </row>
    <row r="6" spans="1:9" ht="16.5" customHeight="1">
      <c r="A6" s="61" t="s">
        <v>6</v>
      </c>
      <c r="B6" s="61"/>
      <c r="C6" s="61"/>
      <c r="D6" s="61"/>
      <c r="E6" s="61" t="s">
        <v>7</v>
      </c>
      <c r="F6" s="61"/>
      <c r="G6" s="61"/>
      <c r="H6" s="61"/>
    </row>
    <row r="7" spans="1:9" ht="15" customHeight="1">
      <c r="A7" s="61" t="s">
        <v>8</v>
      </c>
      <c r="B7" s="61"/>
      <c r="C7" s="61"/>
      <c r="D7" s="61"/>
      <c r="E7" s="61" t="str">
        <f>E6</f>
        <v>Rio Infratech</v>
      </c>
      <c r="F7" s="61"/>
      <c r="G7" s="61"/>
      <c r="H7" s="61"/>
    </row>
    <row r="8" spans="1:9">
      <c r="A8" s="61" t="s">
        <v>9</v>
      </c>
      <c r="B8" s="61"/>
      <c r="C8" s="61"/>
      <c r="D8" s="61"/>
      <c r="E8" s="63" t="s">
        <v>10</v>
      </c>
      <c r="F8" s="63"/>
      <c r="G8" s="63"/>
      <c r="H8" s="63"/>
    </row>
    <row r="9" spans="1:9">
      <c r="A9" s="61" t="s">
        <v>11</v>
      </c>
      <c r="B9" s="61"/>
      <c r="C9" s="61"/>
      <c r="D9" s="61"/>
      <c r="E9" s="61" t="s">
        <v>12</v>
      </c>
      <c r="F9" s="61"/>
      <c r="G9" s="61"/>
      <c r="H9" s="61"/>
    </row>
    <row r="10" spans="1:9">
      <c r="A10" s="61" t="s">
        <v>13</v>
      </c>
      <c r="B10" s="61"/>
      <c r="C10" s="61"/>
      <c r="D10" s="61"/>
      <c r="E10" s="61" t="s">
        <v>14</v>
      </c>
      <c r="F10" s="61"/>
      <c r="G10" s="61"/>
      <c r="H10" s="61"/>
    </row>
    <row r="11" spans="1:9">
      <c r="A11" s="61" t="s">
        <v>15</v>
      </c>
      <c r="B11" s="61"/>
      <c r="C11" s="61"/>
      <c r="D11" s="61"/>
      <c r="E11" s="61" t="s">
        <v>16</v>
      </c>
      <c r="F11" s="61"/>
      <c r="G11" s="61"/>
      <c r="H11" s="61"/>
    </row>
    <row r="12" spans="1:9">
      <c r="A12" s="64" t="s">
        <v>17</v>
      </c>
      <c r="B12" s="64"/>
      <c r="C12" s="64"/>
      <c r="D12" s="64"/>
      <c r="E12" s="65" t="s">
        <v>18</v>
      </c>
      <c r="F12" s="65"/>
      <c r="G12" s="65"/>
      <c r="H12" s="65"/>
    </row>
    <row r="13" spans="1:9">
      <c r="A13" s="64" t="s">
        <v>19</v>
      </c>
      <c r="B13" s="64"/>
      <c r="C13" s="64"/>
      <c r="D13" s="64"/>
      <c r="E13" s="65" t="s">
        <v>20</v>
      </c>
      <c r="F13" s="61"/>
      <c r="G13" s="61"/>
      <c r="H13" s="61"/>
    </row>
    <row r="14" spans="1:9" ht="36" customHeight="1">
      <c r="A14" s="66" t="s">
        <v>21</v>
      </c>
      <c r="B14" s="66"/>
      <c r="C14" s="66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Rio Heights, Plot No.9, Sector - 07, near Sai Riverdale, Internal Road, Petali, Taloja(New), Taloja Panchnand, Panvel, Raigad - 410208.</v>
      </c>
      <c r="D14" s="66"/>
      <c r="E14" s="66"/>
      <c r="F14" s="66"/>
      <c r="G14" s="66"/>
      <c r="H14" s="66"/>
      <c r="I14" s="24"/>
    </row>
    <row r="15" spans="1:9">
      <c r="A15" s="65" t="s">
        <v>22</v>
      </c>
      <c r="B15" s="65"/>
      <c r="C15" s="65" t="s">
        <v>23</v>
      </c>
      <c r="D15" s="65"/>
      <c r="E15" s="65"/>
      <c r="F15" s="65"/>
      <c r="G15" s="65"/>
      <c r="H15" s="65"/>
    </row>
    <row r="16" spans="1:9" ht="15.75" customHeight="1">
      <c r="A16" s="65" t="s">
        <v>24</v>
      </c>
      <c r="B16" s="65"/>
      <c r="C16" s="65" t="s">
        <v>25</v>
      </c>
      <c r="D16" s="65"/>
      <c r="E16" s="65"/>
      <c r="F16" s="65"/>
      <c r="G16" s="65"/>
      <c r="H16" s="65"/>
    </row>
    <row r="17" spans="1:8" ht="15.75" customHeight="1">
      <c r="A17" s="66" t="s">
        <v>26</v>
      </c>
      <c r="B17" s="66"/>
      <c r="C17" s="61" t="s">
        <v>27</v>
      </c>
      <c r="D17" s="61"/>
      <c r="E17" s="66" t="s">
        <v>28</v>
      </c>
      <c r="F17" s="66"/>
      <c r="G17" s="65" t="s">
        <v>29</v>
      </c>
      <c r="H17" s="65"/>
    </row>
    <row r="18" spans="1:8">
      <c r="A18" s="64" t="s">
        <v>30</v>
      </c>
      <c r="B18" s="64"/>
      <c r="C18" s="65" t="s">
        <v>31</v>
      </c>
      <c r="D18" s="65"/>
      <c r="E18" s="66" t="s">
        <v>32</v>
      </c>
      <c r="F18" s="66"/>
      <c r="G18" s="67" t="s">
        <v>33</v>
      </c>
      <c r="H18" s="67"/>
    </row>
    <row r="19" spans="1:8">
      <c r="A19" s="64" t="s">
        <v>34</v>
      </c>
      <c r="B19" s="64"/>
      <c r="C19" s="65" t="s">
        <v>35</v>
      </c>
      <c r="D19" s="65"/>
      <c r="E19" s="66" t="s">
        <v>36</v>
      </c>
      <c r="F19" s="66"/>
      <c r="G19" s="65">
        <v>410208</v>
      </c>
      <c r="H19" s="65"/>
    </row>
    <row r="20" spans="1:8" ht="48" customHeight="1">
      <c r="A20" s="64" t="s">
        <v>37</v>
      </c>
      <c r="B20" s="64"/>
      <c r="C20" s="65" t="s">
        <v>38</v>
      </c>
      <c r="D20" s="65"/>
      <c r="E20" s="66" t="s">
        <v>39</v>
      </c>
      <c r="F20" s="66"/>
      <c r="G20" s="65" t="s">
        <v>40</v>
      </c>
      <c r="H20" s="65"/>
    </row>
    <row r="21" spans="1:8" ht="15" customHeight="1">
      <c r="A21" s="66" t="s">
        <v>41</v>
      </c>
      <c r="B21" s="66"/>
      <c r="C21" s="66"/>
      <c r="D21" s="66"/>
      <c r="E21" s="61" t="s">
        <v>42</v>
      </c>
      <c r="F21" s="61"/>
      <c r="G21" s="61"/>
      <c r="H21" s="61"/>
    </row>
    <row r="22" spans="1:8" ht="18.75" customHeight="1">
      <c r="A22" s="66"/>
      <c r="B22" s="66"/>
      <c r="C22" s="66"/>
      <c r="D22" s="66"/>
      <c r="E22" s="61"/>
      <c r="F22" s="61"/>
      <c r="G22" s="61"/>
      <c r="H22" s="61"/>
    </row>
    <row r="23" spans="1:8" ht="15" customHeight="1">
      <c r="A23" s="66" t="s">
        <v>43</v>
      </c>
      <c r="B23" s="66"/>
      <c r="C23" s="66"/>
      <c r="D23" s="66"/>
      <c r="E23" s="65" t="s">
        <v>44</v>
      </c>
      <c r="F23" s="65"/>
      <c r="G23" s="65"/>
      <c r="H23" s="65"/>
    </row>
    <row r="24" spans="1:8" ht="15" customHeight="1">
      <c r="A24" s="64" t="s">
        <v>45</v>
      </c>
      <c r="B24" s="64"/>
      <c r="C24" s="64"/>
      <c r="D24" s="64"/>
      <c r="E24" s="65" t="str">
        <f>IF(AND(G18="Mumbai"),"Upper Class","Middle Class")</f>
        <v>Middle Class</v>
      </c>
      <c r="F24" s="65"/>
      <c r="G24" s="65"/>
      <c r="H24" s="65"/>
    </row>
    <row r="25" spans="1:8">
      <c r="A25" s="64" t="s">
        <v>46</v>
      </c>
      <c r="B25" s="64"/>
      <c r="C25" s="64"/>
      <c r="D25" s="64"/>
      <c r="E25" s="65" t="s">
        <v>47</v>
      </c>
      <c r="F25" s="65"/>
      <c r="G25" s="65"/>
      <c r="H25" s="65"/>
    </row>
    <row r="26" spans="1:8" ht="15.75" customHeight="1">
      <c r="A26" s="64" t="s">
        <v>48</v>
      </c>
      <c r="B26" s="64"/>
      <c r="C26" s="64"/>
      <c r="D26" s="64"/>
      <c r="E26" s="65" t="str">
        <f>IF(AND(G18="Mumbai"),"Developed","Developing")</f>
        <v>Developing</v>
      </c>
      <c r="F26" s="65"/>
      <c r="G26" s="65"/>
      <c r="H26" s="65"/>
    </row>
    <row r="27" spans="1:8">
      <c r="A27" s="64" t="s">
        <v>49</v>
      </c>
      <c r="B27" s="64"/>
      <c r="C27" s="64"/>
      <c r="D27" s="64"/>
      <c r="E27" s="65" t="s">
        <v>50</v>
      </c>
      <c r="F27" s="65"/>
      <c r="G27" s="65"/>
      <c r="H27" s="65"/>
    </row>
    <row r="28" spans="1:8" ht="15.75" customHeight="1">
      <c r="A28" s="64" t="s">
        <v>51</v>
      </c>
      <c r="B28" s="64"/>
      <c r="C28" s="64"/>
      <c r="D28" s="64"/>
      <c r="E28" s="65" t="s">
        <v>52</v>
      </c>
      <c r="F28" s="65"/>
      <c r="G28" s="65"/>
      <c r="H28" s="65"/>
    </row>
    <row r="29" spans="1:8" ht="15" customHeight="1">
      <c r="A29" s="64" t="s">
        <v>53</v>
      </c>
      <c r="B29" s="64"/>
      <c r="C29" s="64"/>
      <c r="D29" s="64"/>
      <c r="E29" s="65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65"/>
      <c r="G29" s="65"/>
      <c r="H29" s="65"/>
    </row>
    <row r="30" spans="1:8" ht="15.75" customHeight="1">
      <c r="A30" s="64" t="s">
        <v>54</v>
      </c>
      <c r="B30" s="64"/>
      <c r="C30" s="64"/>
      <c r="D30" s="64"/>
      <c r="E30" s="65" t="s">
        <v>55</v>
      </c>
      <c r="F30" s="65"/>
      <c r="G30" s="65"/>
      <c r="H30" s="65"/>
    </row>
    <row r="31" spans="1:8" s="13" customFormat="1">
      <c r="A31" s="68" t="s">
        <v>56</v>
      </c>
      <c r="B31" s="68"/>
      <c r="C31" s="69" t="s">
        <v>57</v>
      </c>
      <c r="D31" s="69"/>
      <c r="E31" s="69"/>
      <c r="F31" s="69" t="s">
        <v>58</v>
      </c>
      <c r="G31" s="69"/>
      <c r="H31" s="69"/>
    </row>
    <row r="32" spans="1:8" s="13" customFormat="1">
      <c r="A32" s="70" t="s">
        <v>59</v>
      </c>
      <c r="B32" s="70" t="s">
        <v>60</v>
      </c>
      <c r="C32" s="71" t="s">
        <v>60</v>
      </c>
      <c r="D32" s="71"/>
      <c r="E32" s="71"/>
      <c r="F32" s="71" t="s">
        <v>61</v>
      </c>
      <c r="G32" s="71"/>
      <c r="H32" s="71"/>
    </row>
    <row r="33" spans="1:8">
      <c r="A33" s="70" t="s">
        <v>62</v>
      </c>
      <c r="B33" s="70" t="s">
        <v>60</v>
      </c>
      <c r="C33" s="71" t="s">
        <v>60</v>
      </c>
      <c r="D33" s="71"/>
      <c r="E33" s="71"/>
      <c r="F33" s="71" t="s">
        <v>27</v>
      </c>
      <c r="G33" s="71"/>
      <c r="H33" s="71"/>
    </row>
    <row r="34" spans="1:8" s="13" customFormat="1">
      <c r="A34" s="70" t="s">
        <v>63</v>
      </c>
      <c r="B34" s="70" t="s">
        <v>60</v>
      </c>
      <c r="C34" s="71" t="s">
        <v>60</v>
      </c>
      <c r="D34" s="71"/>
      <c r="E34" s="71"/>
      <c r="F34" s="71" t="s">
        <v>64</v>
      </c>
      <c r="G34" s="71"/>
      <c r="H34" s="71"/>
    </row>
    <row r="35" spans="1:8">
      <c r="A35" s="70" t="s">
        <v>65</v>
      </c>
      <c r="B35" s="70" t="s">
        <v>60</v>
      </c>
      <c r="C35" s="71" t="s">
        <v>60</v>
      </c>
      <c r="D35" s="71"/>
      <c r="E35" s="71"/>
      <c r="F35" s="71" t="s">
        <v>27</v>
      </c>
      <c r="G35" s="71"/>
      <c r="H35" s="71"/>
    </row>
    <row r="36" spans="1:8">
      <c r="A36" s="64" t="s">
        <v>66</v>
      </c>
      <c r="B36" s="64"/>
      <c r="C36" s="64"/>
      <c r="D36" s="64"/>
      <c r="E36" s="64"/>
      <c r="F36" s="64"/>
      <c r="G36" s="64"/>
      <c r="H36" s="64"/>
    </row>
    <row r="37" spans="1:8" ht="15.75" customHeight="1">
      <c r="A37" s="64" t="s">
        <v>67</v>
      </c>
      <c r="B37" s="64"/>
      <c r="C37" s="72" t="s">
        <v>68</v>
      </c>
      <c r="D37" s="73"/>
      <c r="E37" s="73"/>
      <c r="F37" s="73"/>
      <c r="G37" s="73"/>
      <c r="H37" s="74"/>
    </row>
    <row r="38" spans="1:8">
      <c r="A38" s="64" t="s">
        <v>69</v>
      </c>
      <c r="B38" s="64"/>
      <c r="C38" s="75" t="s">
        <v>70</v>
      </c>
      <c r="D38" s="65"/>
      <c r="E38" s="65"/>
      <c r="F38" s="65"/>
      <c r="G38" s="65"/>
      <c r="H38" s="65"/>
    </row>
    <row r="39" spans="1:8">
      <c r="A39" s="76" t="s">
        <v>71</v>
      </c>
      <c r="B39" s="76"/>
      <c r="C39" s="76"/>
      <c r="D39" s="76"/>
      <c r="E39" s="76"/>
      <c r="F39" s="76"/>
      <c r="G39" s="76"/>
      <c r="H39" s="76"/>
    </row>
    <row r="40" spans="1:8">
      <c r="A40" s="64" t="s">
        <v>72</v>
      </c>
      <c r="B40" s="64"/>
      <c r="C40" s="64"/>
      <c r="D40" s="64"/>
      <c r="E40" s="77">
        <v>2699.9</v>
      </c>
      <c r="F40" s="77"/>
      <c r="G40" s="77"/>
      <c r="H40" s="77"/>
    </row>
    <row r="41" spans="1:8">
      <c r="A41" s="64" t="s">
        <v>73</v>
      </c>
      <c r="B41" s="64"/>
      <c r="C41" s="64"/>
      <c r="D41" s="64"/>
      <c r="E41" s="78">
        <v>1.5</v>
      </c>
      <c r="F41" s="78"/>
      <c r="G41" s="78"/>
      <c r="H41" s="78"/>
    </row>
    <row r="42" spans="1:8">
      <c r="A42" s="64" t="s">
        <v>74</v>
      </c>
      <c r="B42" s="64"/>
      <c r="C42" s="64"/>
      <c r="D42" s="64"/>
      <c r="E42" s="78">
        <f>E44/E40-E41</f>
        <v>-2.6000962998631305E-3</v>
      </c>
      <c r="F42" s="78"/>
      <c r="G42" s="78"/>
      <c r="H42" s="78"/>
    </row>
    <row r="43" spans="1:8">
      <c r="A43" s="64" t="s">
        <v>75</v>
      </c>
      <c r="B43" s="64"/>
      <c r="C43" s="64"/>
      <c r="D43" s="64"/>
      <c r="E43" s="78">
        <f>E41+E42</f>
        <v>1.4973999037001369</v>
      </c>
      <c r="F43" s="78"/>
      <c r="G43" s="78"/>
      <c r="H43" s="78"/>
    </row>
    <row r="44" spans="1:8">
      <c r="A44" s="64" t="s">
        <v>76</v>
      </c>
      <c r="B44" s="64"/>
      <c r="C44" s="64"/>
      <c r="D44" s="64"/>
      <c r="E44" s="79">
        <v>4042.83</v>
      </c>
      <c r="F44" s="79"/>
      <c r="G44" s="79"/>
      <c r="H44" s="79"/>
    </row>
    <row r="45" spans="1:8">
      <c r="A45" s="61" t="s">
        <v>77</v>
      </c>
      <c r="B45" s="61"/>
      <c r="C45" s="61"/>
      <c r="D45" s="61"/>
      <c r="E45" s="61" t="s">
        <v>78</v>
      </c>
      <c r="F45" s="61"/>
      <c r="G45" s="61"/>
      <c r="H45" s="61"/>
    </row>
    <row r="46" spans="1:8">
      <c r="A46" s="76" t="s">
        <v>79</v>
      </c>
      <c r="B46" s="76"/>
      <c r="C46" s="76"/>
      <c r="D46" s="76"/>
      <c r="E46" s="76"/>
      <c r="F46" s="76"/>
      <c r="G46" s="76"/>
      <c r="H46" s="76"/>
    </row>
    <row r="47" spans="1:8" ht="33.75" customHeight="1">
      <c r="A47" s="80" t="s">
        <v>80</v>
      </c>
      <c r="B47" s="81"/>
      <c r="C47" s="82" t="s">
        <v>81</v>
      </c>
      <c r="D47" s="83"/>
      <c r="E47" s="83"/>
      <c r="F47" s="83"/>
      <c r="G47" s="83"/>
      <c r="H47" s="84"/>
    </row>
    <row r="48" spans="1:8" ht="34.5" customHeight="1">
      <c r="A48" s="80" t="s">
        <v>82</v>
      </c>
      <c r="B48" s="81"/>
      <c r="C48" s="80" t="s">
        <v>83</v>
      </c>
      <c r="D48" s="85"/>
      <c r="E48" s="81"/>
      <c r="F48" s="22" t="s">
        <v>84</v>
      </c>
      <c r="G48" s="86">
        <v>43791</v>
      </c>
      <c r="H48" s="81"/>
    </row>
    <row r="49" spans="1:14" ht="32.25" customHeight="1">
      <c r="A49" s="80" t="s">
        <v>85</v>
      </c>
      <c r="B49" s="81"/>
      <c r="C49" s="80" t="str">
        <f>C48</f>
        <v>CIDCO/BP-17171/TPO(NM &amp; K)/2019/
6078</v>
      </c>
      <c r="D49" s="85"/>
      <c r="E49" s="81"/>
      <c r="F49" s="22" t="s">
        <v>84</v>
      </c>
      <c r="G49" s="86">
        <f>G48</f>
        <v>43791</v>
      </c>
      <c r="H49" s="87"/>
    </row>
    <row r="50" spans="1:14" s="14" customFormat="1" ht="32.25" customHeight="1">
      <c r="A50" s="88" t="s">
        <v>86</v>
      </c>
      <c r="B50" s="89"/>
      <c r="C50" s="80" t="str">
        <f>C49</f>
        <v>CIDCO/BP-17171/TPO(NM &amp; K)/2019/
6078</v>
      </c>
      <c r="D50" s="85"/>
      <c r="E50" s="81"/>
      <c r="F50" s="22" t="s">
        <v>84</v>
      </c>
      <c r="G50" s="86">
        <f>G49</f>
        <v>43791</v>
      </c>
      <c r="H50" s="87"/>
    </row>
    <row r="51" spans="1:14" s="14" customFormat="1">
      <c r="A51" s="90"/>
      <c r="B51" s="91"/>
      <c r="C51" s="80" t="s">
        <v>87</v>
      </c>
      <c r="D51" s="85"/>
      <c r="E51" s="85"/>
      <c r="F51" s="85"/>
      <c r="G51" s="85"/>
      <c r="H51" s="81"/>
    </row>
    <row r="52" spans="1:14">
      <c r="A52" s="92" t="s">
        <v>88</v>
      </c>
      <c r="B52" s="93"/>
      <c r="C52" s="92" t="s">
        <v>89</v>
      </c>
      <c r="D52" s="94"/>
      <c r="E52" s="93"/>
      <c r="F52" s="23" t="s">
        <v>84</v>
      </c>
      <c r="G52" s="95" t="s">
        <v>60</v>
      </c>
      <c r="H52" s="96"/>
    </row>
    <row r="53" spans="1:14">
      <c r="A53" s="97" t="s">
        <v>90</v>
      </c>
      <c r="B53" s="97"/>
      <c r="C53" s="97"/>
      <c r="D53" s="97"/>
      <c r="E53" s="97"/>
      <c r="F53" s="97"/>
      <c r="G53" s="97"/>
      <c r="H53" s="97"/>
    </row>
    <row r="54" spans="1:14">
      <c r="A54" s="66" t="s">
        <v>91</v>
      </c>
      <c r="B54" s="66"/>
      <c r="C54" s="66"/>
      <c r="D54" s="64">
        <f>E44</f>
        <v>4042.83</v>
      </c>
      <c r="E54" s="64"/>
      <c r="F54" s="64"/>
      <c r="G54" s="64"/>
      <c r="H54" s="64"/>
    </row>
    <row r="55" spans="1:14">
      <c r="A55" s="65" t="s">
        <v>92</v>
      </c>
      <c r="B55" s="61"/>
      <c r="C55" s="61"/>
      <c r="D55" s="61" t="s">
        <v>93</v>
      </c>
      <c r="E55" s="61"/>
      <c r="F55" s="61"/>
      <c r="G55" s="61"/>
      <c r="H55" s="61"/>
      <c r="I55" s="25"/>
    </row>
    <row r="56" spans="1:14">
      <c r="A56" s="98" t="s">
        <v>94</v>
      </c>
      <c r="B56" s="99"/>
      <c r="C56" s="100"/>
      <c r="D56" s="101" t="s">
        <v>95</v>
      </c>
      <c r="E56" s="102"/>
      <c r="F56" s="102"/>
      <c r="G56" s="102"/>
      <c r="H56" s="102"/>
    </row>
    <row r="57" spans="1:14" ht="15.75" customHeight="1">
      <c r="A57" s="98" t="s">
        <v>96</v>
      </c>
      <c r="B57" s="99"/>
      <c r="C57" s="99"/>
      <c r="D57" s="103" t="s">
        <v>95</v>
      </c>
      <c r="E57" s="104"/>
      <c r="F57" s="104"/>
      <c r="G57" s="104"/>
      <c r="H57" s="105"/>
    </row>
    <row r="58" spans="1:14" ht="15.75" customHeight="1">
      <c r="A58" s="64" t="s">
        <v>97</v>
      </c>
      <c r="B58" s="64"/>
      <c r="C58" s="64"/>
      <c r="D58" s="106" t="s">
        <v>226</v>
      </c>
      <c r="E58" s="106"/>
      <c r="F58" s="106"/>
      <c r="G58" s="106"/>
      <c r="H58" s="106"/>
      <c r="J58" s="26"/>
      <c r="K58" s="25"/>
      <c r="N58" s="25"/>
    </row>
    <row r="59" spans="1:14" ht="15.75" customHeight="1">
      <c r="A59" s="64" t="s">
        <v>98</v>
      </c>
      <c r="B59" s="64"/>
      <c r="C59" s="64"/>
      <c r="D59" s="107" t="str">
        <f>(IF(G52="NA","60 Years After Completion",IF(G52&lt;&gt;"NA",""&amp;60-ROUNDDOWN((E3-G52)/360,0)&amp;" Years"," ")))</f>
        <v>60 Years After Completion</v>
      </c>
      <c r="E59" s="107"/>
      <c r="F59" s="107"/>
      <c r="G59" s="107"/>
      <c r="H59" s="107"/>
      <c r="N59" s="25"/>
    </row>
    <row r="60" spans="1:14" ht="15.75" customHeight="1">
      <c r="A60" s="64" t="s">
        <v>99</v>
      </c>
      <c r="B60" s="64"/>
      <c r="C60" s="64"/>
      <c r="D60" s="66" t="s">
        <v>50</v>
      </c>
      <c r="E60" s="66"/>
      <c r="F60" s="66"/>
      <c r="G60" s="66"/>
      <c r="H60" s="66"/>
      <c r="J60" s="27"/>
      <c r="K60" s="27"/>
    </row>
    <row r="61" spans="1:14">
      <c r="A61" s="64" t="s">
        <v>100</v>
      </c>
      <c r="B61" s="64"/>
      <c r="C61" s="64"/>
      <c r="D61" s="65" t="s">
        <v>101</v>
      </c>
      <c r="E61" s="66"/>
      <c r="F61" s="66"/>
      <c r="G61" s="66"/>
      <c r="H61" s="66"/>
    </row>
    <row r="62" spans="1:14">
      <c r="A62" s="66" t="s">
        <v>102</v>
      </c>
      <c r="B62" s="66"/>
      <c r="C62" s="66"/>
      <c r="D62" s="66" t="s">
        <v>60</v>
      </c>
      <c r="E62" s="66"/>
      <c r="F62" s="66"/>
      <c r="G62" s="66"/>
      <c r="H62" s="66"/>
      <c r="I62" s="28"/>
      <c r="J62" s="28"/>
      <c r="K62" s="28"/>
      <c r="L62" s="28"/>
      <c r="M62" s="28"/>
      <c r="N62" s="28"/>
    </row>
    <row r="63" spans="1:14" ht="15.75" customHeight="1">
      <c r="A63" s="108" t="s">
        <v>103</v>
      </c>
      <c r="B63" s="108"/>
      <c r="C63" s="108"/>
      <c r="D63" s="101" t="str">
        <f ca="1">(IF(G69&gt;95%,"Nothing",IF(G69&gt;0%,"Cement, Aggregate, Steel, etc",IF(G69=0%,"Work not yet Started"))))</f>
        <v>Cement, Aggregate, Steel, etc</v>
      </c>
      <c r="E63" s="101"/>
      <c r="F63" s="101"/>
      <c r="G63" s="101"/>
      <c r="H63" s="101"/>
      <c r="J63" s="27"/>
    </row>
    <row r="64" spans="1:14" ht="33.75" customHeight="1">
      <c r="A64" s="109" t="s">
        <v>104</v>
      </c>
      <c r="B64" s="109"/>
      <c r="C64" s="109"/>
      <c r="D64" s="101" t="str">
        <f ca="1">(IF(D63="Nothing","Yes",IF(D63="Cement, Aggregate, Steel, etc","Under Construction",IF(D63="Work not yet Started","Work not yet Started"))))</f>
        <v>Under Construction</v>
      </c>
      <c r="E64" s="101"/>
      <c r="F64" s="101" t="str">
        <f ca="1">(IF(D63="Nothing","Yes",IF(D63="Cement, Aggregate, Steel, etc","Under Construction",IF(D63="Work not yet Started","Work not yet Started"))))</f>
        <v>Under Construction</v>
      </c>
      <c r="G64" s="101"/>
      <c r="H64" s="101"/>
    </row>
    <row r="65" spans="1:10" ht="15.75" customHeight="1">
      <c r="A65" s="110" t="s">
        <v>105</v>
      </c>
      <c r="B65" s="111"/>
      <c r="C65" s="112" t="str">
        <f>D57</f>
        <v>G + 1P + 2nd to 15th Floor</v>
      </c>
      <c r="D65" s="113"/>
      <c r="E65" s="113"/>
      <c r="F65" s="113"/>
      <c r="G65" s="113"/>
      <c r="H65" s="114"/>
      <c r="I65" s="41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Plaster, Flooring, Painting Completed, Finishing upto 13 Floor Completed</v>
      </c>
      <c r="J65" s="4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Finishing upto 13 Floor</v>
      </c>
    </row>
    <row r="66" spans="1:10">
      <c r="A66" s="29" t="s">
        <v>106</v>
      </c>
      <c r="B66" s="21">
        <v>0</v>
      </c>
      <c r="C66" s="21" t="s">
        <v>107</v>
      </c>
      <c r="D66" s="21">
        <v>1</v>
      </c>
      <c r="E66" s="21" t="s">
        <v>108</v>
      </c>
      <c r="F66" s="21">
        <v>0</v>
      </c>
      <c r="G66" s="30" t="s">
        <v>109</v>
      </c>
      <c r="H66" s="31">
        <f ca="1">--TRIM(RIGHT(SUBSTITUTE(LEFT(C65,_xlfn.AGGREGATE(16,6,FIND({0,1,2,3,4,5,6,7,8,9},C65,ROW(INDIRECT("1:"&amp;LEN(C65)))),1))," ",REPT(" ",LEN(C65))),LEN(C65)))</f>
        <v>15</v>
      </c>
      <c r="I66" s="4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Plaster, Flooring, Painting</v>
      </c>
      <c r="J66" s="4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6.6" customHeight="1">
      <c r="A67" s="115" t="s">
        <v>110</v>
      </c>
      <c r="B67" s="63"/>
      <c r="C67" s="116" t="str">
        <f ca="1">I65</f>
        <v>Excavation, Plinth, RCC Slab, Brickwork, Internal Plaster, External Plaster, Flooring, Painting Completed, Finishing upto 13 Floor Completed</v>
      </c>
      <c r="D67" s="116"/>
      <c r="E67" s="116"/>
      <c r="F67" s="116"/>
      <c r="G67" s="116"/>
      <c r="H67" s="117"/>
      <c r="I67" s="43" t="str">
        <f ca="1">IF(I66&lt;&gt;""," Completed","")</f>
        <v xml:space="preserve"> Completed</v>
      </c>
      <c r="J67" s="44" t="str">
        <f ca="1">IF(J65&lt;&gt;"","Completed","")</f>
        <v>Completed</v>
      </c>
    </row>
    <row r="68" spans="1:10" ht="15.75" customHeight="1">
      <c r="A68" s="118" t="s">
        <v>111</v>
      </c>
      <c r="B68" s="119"/>
      <c r="C68" s="32" t="s">
        <v>112</v>
      </c>
      <c r="D68" s="32" t="s">
        <v>113</v>
      </c>
      <c r="E68" s="119" t="s">
        <v>114</v>
      </c>
      <c r="F68" s="119"/>
      <c r="G68" s="119" t="s">
        <v>115</v>
      </c>
      <c r="H68" s="120"/>
      <c r="I68" s="45" t="s">
        <v>116</v>
      </c>
      <c r="J68" s="46">
        <f ca="1">H66*25%</f>
        <v>3.75</v>
      </c>
    </row>
    <row r="69" spans="1:10">
      <c r="A69" s="118" t="s">
        <v>117</v>
      </c>
      <c r="B69" s="119"/>
      <c r="C69" s="32">
        <f ca="1">J70</f>
        <v>15</v>
      </c>
      <c r="D69" s="33">
        <f ca="1">((100/H66)*C69)/100</f>
        <v>1</v>
      </c>
      <c r="E69" s="126">
        <f ca="1">(((C70/H66*10)+(40/(D66+F66+H66)*C71)+(7.5/(H66)*C72)+(7.5/(H66)*C73)+(10/H66*C74)+(10/H66*C75)+(5/H66*C76)+(5/H66*C77)+(5/H66*C78))/100)</f>
        <v>0.94333333333333325</v>
      </c>
      <c r="F69" s="127"/>
      <c r="G69" s="126">
        <f ca="1">((((C69/H66)*20)+((C70/H66)*25)+(30/(H66+F66+D66)*C71)+(5/H66*C72)+(5/H66*C73)+(5/H66*C74)+(5/H66*C75)+(0/H66*C76)+(0/H66*C77)+(5/H66*C78))/100)</f>
        <v>0.95</v>
      </c>
      <c r="H69" s="132"/>
      <c r="I69" s="45" t="s">
        <v>118</v>
      </c>
      <c r="J69" s="47">
        <f ca="1">H66*50%</f>
        <v>7.5</v>
      </c>
    </row>
    <row r="70" spans="1:10">
      <c r="A70" s="118" t="s">
        <v>119</v>
      </c>
      <c r="B70" s="119"/>
      <c r="C70" s="32">
        <f ca="1">J78</f>
        <v>15</v>
      </c>
      <c r="D70" s="33">
        <f ca="1">((100/H66)*C70)/100</f>
        <v>1</v>
      </c>
      <c r="E70" s="128"/>
      <c r="F70" s="129"/>
      <c r="G70" s="128"/>
      <c r="H70" s="133"/>
      <c r="I70" s="45" t="s">
        <v>120</v>
      </c>
      <c r="J70" s="47">
        <f ca="1">H66</f>
        <v>15</v>
      </c>
    </row>
    <row r="71" spans="1:10" ht="15.75" customHeight="1">
      <c r="A71" s="118" t="s">
        <v>121</v>
      </c>
      <c r="B71" s="119"/>
      <c r="C71" s="32">
        <v>16</v>
      </c>
      <c r="D71" s="33">
        <f ca="1">((100/(D66+F66+H66))*C71)/100</f>
        <v>1</v>
      </c>
      <c r="E71" s="128"/>
      <c r="F71" s="129"/>
      <c r="G71" s="128"/>
      <c r="H71" s="133"/>
      <c r="I71" s="45" t="s">
        <v>122</v>
      </c>
      <c r="J71" s="48">
        <f ca="1">(IF(B66&gt;1,(H66/(B66+2)),H66/4))</f>
        <v>3.75</v>
      </c>
    </row>
    <row r="72" spans="1:10" ht="15.75" customHeight="1">
      <c r="A72" s="118" t="s">
        <v>123</v>
      </c>
      <c r="B72" s="119" t="s">
        <v>124</v>
      </c>
      <c r="C72" s="32">
        <v>15</v>
      </c>
      <c r="D72" s="33">
        <f ca="1">((100/H66)*C72)/100</f>
        <v>1</v>
      </c>
      <c r="E72" s="128"/>
      <c r="F72" s="129"/>
      <c r="G72" s="128"/>
      <c r="H72" s="133"/>
      <c r="I72" s="45" t="s">
        <v>125</v>
      </c>
      <c r="J72" s="48">
        <f ca="1">(IF(B66&gt;1,(H66/(B66+2)+J71),H66/4+J71))</f>
        <v>7.5</v>
      </c>
    </row>
    <row r="73" spans="1:10" ht="15.75" customHeight="1">
      <c r="A73" s="118" t="s">
        <v>126</v>
      </c>
      <c r="B73" s="119" t="s">
        <v>124</v>
      </c>
      <c r="C73" s="32">
        <v>15</v>
      </c>
      <c r="D73" s="33">
        <f ca="1">((100/H66)*C73)/100</f>
        <v>1</v>
      </c>
      <c r="E73" s="128"/>
      <c r="F73" s="129"/>
      <c r="G73" s="128"/>
      <c r="H73" s="133"/>
      <c r="I73" s="45" t="s">
        <v>127</v>
      </c>
      <c r="J73" s="48">
        <f>(IF(B66&gt;1,(H66/(B66+2)+J72),0))</f>
        <v>0</v>
      </c>
    </row>
    <row r="74" spans="1:10" ht="15" customHeight="1">
      <c r="A74" s="118" t="s">
        <v>128</v>
      </c>
      <c r="B74" s="119" t="s">
        <v>129</v>
      </c>
      <c r="C74" s="32">
        <v>15</v>
      </c>
      <c r="D74" s="33">
        <f ca="1">((100/(H66))*C74)/100</f>
        <v>1</v>
      </c>
      <c r="E74" s="128"/>
      <c r="F74" s="129"/>
      <c r="G74" s="128"/>
      <c r="H74" s="133"/>
      <c r="I74" s="45" t="s">
        <v>130</v>
      </c>
      <c r="J74" s="48">
        <f>(IF(B66&gt;2,(H66/(B66+2)+J73),0))</f>
        <v>0</v>
      </c>
    </row>
    <row r="75" spans="1:10" ht="15.75" customHeight="1">
      <c r="A75" s="118" t="s">
        <v>131</v>
      </c>
      <c r="B75" s="119" t="s">
        <v>131</v>
      </c>
      <c r="C75" s="32">
        <v>15</v>
      </c>
      <c r="D75" s="33">
        <f ca="1">((100/H66)*C75)/100</f>
        <v>1</v>
      </c>
      <c r="E75" s="128"/>
      <c r="F75" s="129"/>
      <c r="G75" s="128"/>
      <c r="H75" s="133"/>
      <c r="I75" s="45" t="s">
        <v>132</v>
      </c>
      <c r="J75" s="49">
        <f>(IF(B66&gt;3,(H66/(B66+2)+J74),0))</f>
        <v>0</v>
      </c>
    </row>
    <row r="76" spans="1:10" ht="15.75" customHeight="1">
      <c r="A76" s="118" t="s">
        <v>133</v>
      </c>
      <c r="B76" s="119"/>
      <c r="C76" s="32">
        <v>15</v>
      </c>
      <c r="D76" s="33">
        <f ca="1">((100/H66)*C76)/100</f>
        <v>1</v>
      </c>
      <c r="E76" s="128"/>
      <c r="F76" s="129"/>
      <c r="G76" s="128"/>
      <c r="H76" s="133"/>
      <c r="I76" s="45" t="s">
        <v>134</v>
      </c>
      <c r="J76" s="48">
        <f>(IF(B66&gt;4,(H66/(B66+2)+J75),0))</f>
        <v>0</v>
      </c>
    </row>
    <row r="77" spans="1:10" ht="15.75" customHeight="1">
      <c r="A77" s="118" t="s">
        <v>135</v>
      </c>
      <c r="B77" s="119" t="s">
        <v>135</v>
      </c>
      <c r="C77" s="32">
        <v>13</v>
      </c>
      <c r="D77" s="33">
        <f ca="1">((100/(H66))*C77)/100</f>
        <v>0.8666666666666667</v>
      </c>
      <c r="E77" s="128"/>
      <c r="F77" s="129"/>
      <c r="G77" s="128"/>
      <c r="H77" s="133"/>
      <c r="I77" s="45" t="s">
        <v>136</v>
      </c>
      <c r="J77" s="48">
        <f ca="1">(IF(B66=1,(H66/(B66+3)+J72),IF(B66=0,(H66/4+J72),IF(B66&gt;1,0))))</f>
        <v>11.25</v>
      </c>
    </row>
    <row r="78" spans="1:10">
      <c r="A78" s="121" t="s">
        <v>137</v>
      </c>
      <c r="B78" s="122"/>
      <c r="C78" s="34">
        <v>0</v>
      </c>
      <c r="D78" s="35">
        <f ca="1">((100/(H66))*C78)/100</f>
        <v>0</v>
      </c>
      <c r="E78" s="130"/>
      <c r="F78" s="131"/>
      <c r="G78" s="130"/>
      <c r="H78" s="134"/>
      <c r="I78" s="50" t="s">
        <v>138</v>
      </c>
      <c r="J78" s="51">
        <f ca="1">(IF(B66&gt;1.5,(H66/(B66+2)+J72+MAX(0,J73-J72)+MAX(0,J74-J73)+MAX(0,J75-J74)+MAX(0,J76-J75)+MAX(0,J77-J76)),IF(B66=1,(H66/(B66+3)+J77),IF(B66=0,H66/4+J77))))</f>
        <v>15</v>
      </c>
    </row>
    <row r="79" spans="1:10">
      <c r="A79" s="123" t="s">
        <v>139</v>
      </c>
      <c r="B79" s="123"/>
      <c r="C79" s="123"/>
      <c r="D79" s="123"/>
      <c r="E79" s="123"/>
      <c r="F79" s="124" t="s">
        <v>140</v>
      </c>
      <c r="G79" s="124"/>
      <c r="H79" s="124"/>
    </row>
    <row r="80" spans="1:10">
      <c r="A80" s="64" t="s">
        <v>141</v>
      </c>
      <c r="B80" s="64"/>
      <c r="C80" s="64"/>
      <c r="D80" s="64"/>
      <c r="E80" s="64"/>
      <c r="F80" s="125">
        <v>6000</v>
      </c>
      <c r="G80" s="125"/>
      <c r="H80" s="125"/>
    </row>
    <row r="81" spans="1:13">
      <c r="A81" s="64" t="s">
        <v>142</v>
      </c>
      <c r="B81" s="64"/>
      <c r="C81" s="64"/>
      <c r="D81" s="64"/>
      <c r="E81" s="64"/>
      <c r="F81" s="125">
        <v>9500</v>
      </c>
      <c r="G81" s="125"/>
      <c r="H81" s="125"/>
    </row>
    <row r="82" spans="1:13" hidden="1">
      <c r="A82" s="64" t="s">
        <v>143</v>
      </c>
      <c r="B82" s="64"/>
      <c r="C82" s="64"/>
      <c r="D82" s="64"/>
      <c r="E82" s="64"/>
      <c r="F82" s="125"/>
      <c r="G82" s="125"/>
      <c r="H82" s="125"/>
    </row>
    <row r="83" spans="1:13" s="15" customFormat="1" hidden="1">
      <c r="A83" s="64" t="s">
        <v>144</v>
      </c>
      <c r="B83" s="64"/>
      <c r="C83" s="64"/>
      <c r="D83" s="64"/>
      <c r="E83" s="64"/>
      <c r="F83" s="125"/>
      <c r="G83" s="125"/>
      <c r="H83" s="125"/>
    </row>
    <row r="84" spans="1:13" s="15" customFormat="1">
      <c r="A84" s="64" t="s">
        <v>145</v>
      </c>
      <c r="B84" s="64"/>
      <c r="C84" s="64"/>
      <c r="D84" s="64"/>
      <c r="E84" s="64"/>
      <c r="F84" s="125">
        <v>300000</v>
      </c>
      <c r="G84" s="125"/>
      <c r="H84" s="125"/>
      <c r="J84" s="52" t="s">
        <v>146</v>
      </c>
      <c r="K84" s="53">
        <v>45006</v>
      </c>
      <c r="L84" s="52" t="s">
        <v>147</v>
      </c>
      <c r="M84" s="52" t="s">
        <v>148</v>
      </c>
    </row>
    <row r="85" spans="1:13" s="15" customFormat="1" hidden="1">
      <c r="A85" s="64" t="s">
        <v>149</v>
      </c>
      <c r="B85" s="64"/>
      <c r="C85" s="64"/>
      <c r="D85" s="64"/>
      <c r="E85" s="64"/>
      <c r="F85" s="125"/>
      <c r="G85" s="125"/>
      <c r="H85" s="125"/>
    </row>
    <row r="86" spans="1:13" s="15" customFormat="1" hidden="1">
      <c r="A86" s="64" t="s">
        <v>150</v>
      </c>
      <c r="B86" s="64"/>
      <c r="C86" s="64"/>
      <c r="D86" s="64"/>
      <c r="E86" s="64"/>
      <c r="F86" s="125"/>
      <c r="G86" s="125"/>
      <c r="H86" s="125"/>
    </row>
    <row r="87" spans="1:13" s="15" customFormat="1" hidden="1">
      <c r="A87" s="64" t="s">
        <v>151</v>
      </c>
      <c r="B87" s="64"/>
      <c r="C87" s="64"/>
      <c r="D87" s="64"/>
      <c r="E87" s="64"/>
      <c r="F87" s="125"/>
      <c r="G87" s="125"/>
      <c r="H87" s="125"/>
    </row>
    <row r="88" spans="1:13" s="15" customFormat="1" hidden="1">
      <c r="A88" s="64" t="s">
        <v>152</v>
      </c>
      <c r="B88" s="64"/>
      <c r="C88" s="64"/>
      <c r="D88" s="64"/>
      <c r="E88" s="64"/>
      <c r="F88" s="125"/>
      <c r="G88" s="125"/>
      <c r="H88" s="125"/>
    </row>
    <row r="89" spans="1:13" s="15" customFormat="1" hidden="1">
      <c r="A89" s="64" t="s">
        <v>153</v>
      </c>
      <c r="B89" s="64"/>
      <c r="C89" s="64"/>
      <c r="D89" s="64"/>
      <c r="E89" s="64"/>
      <c r="F89" s="125"/>
      <c r="G89" s="125"/>
      <c r="H89" s="125"/>
    </row>
    <row r="90" spans="1:13" s="15" customFormat="1">
      <c r="A90" s="64" t="s">
        <v>154</v>
      </c>
      <c r="B90" s="64"/>
      <c r="C90" s="64"/>
      <c r="D90" s="64"/>
      <c r="E90" s="64"/>
      <c r="F90" s="125">
        <v>10000</v>
      </c>
      <c r="G90" s="125"/>
      <c r="H90" s="125"/>
    </row>
    <row r="91" spans="1:13">
      <c r="A91" s="64" t="s">
        <v>155</v>
      </c>
      <c r="B91" s="64"/>
      <c r="C91" s="64"/>
      <c r="D91" s="64"/>
      <c r="E91" s="64"/>
      <c r="F91" s="125">
        <v>300000</v>
      </c>
      <c r="G91" s="125"/>
      <c r="H91" s="125"/>
    </row>
    <row r="92" spans="1:13" s="16" customFormat="1">
      <c r="A92" s="76" t="s">
        <v>156</v>
      </c>
      <c r="B92" s="76"/>
      <c r="C92" s="76"/>
      <c r="D92" s="76"/>
      <c r="E92" s="76"/>
      <c r="F92" s="125">
        <f>F80*0.8</f>
        <v>4800</v>
      </c>
      <c r="G92" s="125"/>
      <c r="H92" s="125"/>
    </row>
    <row r="93" spans="1:13" s="17" customFormat="1" ht="15.75" customHeight="1">
      <c r="A93" s="135" t="s">
        <v>157</v>
      </c>
      <c r="B93" s="135"/>
      <c r="C93" s="135"/>
      <c r="D93" s="135"/>
      <c r="E93" s="135"/>
      <c r="F93" s="135"/>
      <c r="G93" s="135"/>
      <c r="H93" s="135"/>
    </row>
    <row r="94" spans="1:13" s="17" customFormat="1" ht="15.75" customHeight="1">
      <c r="A94" s="136" t="s">
        <v>158</v>
      </c>
      <c r="B94" s="136"/>
      <c r="C94" s="137" t="s">
        <v>159</v>
      </c>
      <c r="D94" s="137"/>
      <c r="E94" s="138" t="s">
        <v>160</v>
      </c>
      <c r="F94" s="138"/>
      <c r="G94" s="136" t="s">
        <v>161</v>
      </c>
      <c r="H94" s="136"/>
    </row>
    <row r="95" spans="1:13" s="17" customFormat="1">
      <c r="A95" s="139" t="s">
        <v>162</v>
      </c>
      <c r="B95" s="139"/>
      <c r="C95" s="140">
        <f>COUNT(D104:D111)</f>
        <v>8</v>
      </c>
      <c r="D95" s="141"/>
      <c r="E95" s="142">
        <f>SUM(D104:D111)</f>
        <v>1334.8436399999998</v>
      </c>
      <c r="F95" s="143"/>
      <c r="G95" s="142">
        <f>SUM(F104:F111)</f>
        <v>2708.1793439999997</v>
      </c>
      <c r="H95" s="143"/>
    </row>
    <row r="96" spans="1:13" s="17" customFormat="1">
      <c r="A96" s="135" t="s">
        <v>163</v>
      </c>
      <c r="B96" s="135"/>
      <c r="C96" s="135"/>
      <c r="D96" s="135"/>
      <c r="E96" s="135"/>
      <c r="F96" s="135"/>
      <c r="G96" s="135"/>
      <c r="H96" s="135"/>
    </row>
    <row r="97" spans="1:14" s="17" customFormat="1" ht="15.75" customHeight="1">
      <c r="A97" s="136" t="s">
        <v>158</v>
      </c>
      <c r="B97" s="136"/>
      <c r="C97" s="137" t="s">
        <v>159</v>
      </c>
      <c r="D97" s="137"/>
      <c r="E97" s="138" t="s">
        <v>160</v>
      </c>
      <c r="F97" s="138"/>
      <c r="G97" s="136" t="s">
        <v>161</v>
      </c>
      <c r="H97" s="136"/>
    </row>
    <row r="98" spans="1:14" s="17" customFormat="1">
      <c r="A98" s="139" t="s">
        <v>164</v>
      </c>
      <c r="B98" s="139"/>
      <c r="C98" s="140">
        <f>COUNT(D117:D124)*3+COUNT(D126:D133)*2+COUNT(D135:D142)*2+COUNT(D144:D151)*3+COUNT(D153:D160)+COUNT(D162:D169)+COUNT(D171:D178)+COUNT(D180:D187)</f>
        <v>112</v>
      </c>
      <c r="D98" s="140"/>
      <c r="E98" s="142">
        <f>SUM(D117:D124)*3+SUM(D126:D133)*2+SUM(D135:D142)*2+SUM(D144:D151)*3+SUM(D153:D160)+SUM(D162:D169)+SUM(D171:D178)+SUM(D180:D187)</f>
        <v>50206.094640000003</v>
      </c>
      <c r="F98" s="142"/>
      <c r="G98" s="142">
        <f>SUM(F117:F124)*3+SUM(F126:F133)*2+SUM(F135:F142)*2+SUM(F144:F151)*3+SUM(F153:F160)+SUM(F162:F169)+SUM(F171:F178)+SUM(F180:F187)</f>
        <v>75776.536368000016</v>
      </c>
      <c r="H98" s="142"/>
    </row>
    <row r="99" spans="1:14" s="16" customFormat="1">
      <c r="A99" s="60" t="s">
        <v>165</v>
      </c>
      <c r="B99" s="60"/>
      <c r="C99" s="60"/>
      <c r="D99" s="60"/>
      <c r="E99" s="60"/>
      <c r="F99" s="60"/>
      <c r="G99" s="60"/>
      <c r="H99" s="60"/>
    </row>
    <row r="100" spans="1:14">
      <c r="A100" s="60" t="s">
        <v>166</v>
      </c>
      <c r="B100" s="60"/>
      <c r="C100" s="60"/>
      <c r="D100" s="60"/>
      <c r="E100" s="60"/>
      <c r="F100" s="60"/>
      <c r="G100" s="60"/>
      <c r="H100" s="60"/>
    </row>
    <row r="101" spans="1:14" ht="47.25" customHeight="1">
      <c r="A101" s="150" t="s">
        <v>167</v>
      </c>
      <c r="B101" s="150" t="s">
        <v>168</v>
      </c>
      <c r="C101" s="150" t="s">
        <v>169</v>
      </c>
      <c r="D101" s="150" t="s">
        <v>170</v>
      </c>
      <c r="E101" s="152" t="s">
        <v>171</v>
      </c>
      <c r="F101" s="37" t="s">
        <v>172</v>
      </c>
      <c r="G101" s="157" t="s">
        <v>173</v>
      </c>
      <c r="H101" s="159"/>
    </row>
    <row r="102" spans="1:14" s="18" customFormat="1">
      <c r="A102" s="151"/>
      <c r="B102" s="151"/>
      <c r="C102" s="151"/>
      <c r="D102" s="151"/>
      <c r="E102" s="153"/>
      <c r="F102" s="38">
        <v>0.55000000000000004</v>
      </c>
      <c r="G102" s="158"/>
      <c r="H102" s="160"/>
    </row>
    <row r="103" spans="1:14" s="18" customFormat="1" ht="31.5" customHeight="1">
      <c r="A103" s="144" t="s">
        <v>174</v>
      </c>
      <c r="B103" s="145"/>
      <c r="C103" s="145"/>
      <c r="D103" s="145"/>
      <c r="E103" s="145"/>
      <c r="F103" s="145"/>
      <c r="G103" s="145"/>
      <c r="H103" s="146"/>
      <c r="J103" s="54"/>
    </row>
    <row r="104" spans="1:14" s="18" customFormat="1" ht="15.75" customHeight="1">
      <c r="A104" s="147">
        <v>1</v>
      </c>
      <c r="B104" s="148"/>
      <c r="C104" s="39" t="s">
        <v>162</v>
      </c>
      <c r="D104" s="40">
        <f>(15.69)*(10.764)</f>
        <v>168.88715999999999</v>
      </c>
      <c r="E104" s="40">
        <f>(3.23*1.5)*(10.764)</f>
        <v>52.151579999999996</v>
      </c>
      <c r="F104" s="39">
        <f>(D104+E104)*(($F$102)+1)</f>
        <v>342.61004700000001</v>
      </c>
      <c r="G104" s="161" t="str">
        <f>A103</f>
        <v>Ground Floor For Society Office, Fire Control Room, Meter Room, Fitness Center, UG Tank, Commercial &amp; Parking</v>
      </c>
      <c r="H104" s="162"/>
      <c r="I104" s="55">
        <f>3.23*4.85</f>
        <v>15.665499999999998</v>
      </c>
      <c r="J104" s="18">
        <f>F104/D104</f>
        <v>2.0286328871892927</v>
      </c>
      <c r="K104" s="18">
        <f>3.23*4.85</f>
        <v>15.665499999999998</v>
      </c>
      <c r="L104" s="149"/>
      <c r="M104" s="149"/>
      <c r="N104" s="54"/>
    </row>
    <row r="105" spans="1:14" s="18" customFormat="1" ht="15.75" customHeight="1">
      <c r="A105" s="147">
        <f t="shared" ref="A105:A111" si="0">A104+1</f>
        <v>2</v>
      </c>
      <c r="B105" s="148"/>
      <c r="C105" s="39" t="s">
        <v>162</v>
      </c>
      <c r="D105" s="40">
        <f t="shared" ref="D105:D110" si="1">(15.44)*(10.764)</f>
        <v>166.19615999999999</v>
      </c>
      <c r="E105" s="40">
        <f t="shared" ref="E105:E110" si="2">(3.18*1.5)*(10.764)</f>
        <v>51.344280000000005</v>
      </c>
      <c r="F105" s="39">
        <f t="shared" ref="F105:F108" si="3">(D105+E105)*(($F$102)+1)</f>
        <v>337.187682</v>
      </c>
      <c r="G105" s="163"/>
      <c r="H105" s="164"/>
      <c r="I105" s="55">
        <f>3.18*4.85</f>
        <v>15.423</v>
      </c>
      <c r="J105" s="18">
        <f t="shared" ref="J105:J111" si="4">F105/D105</f>
        <v>2.0288536269430053</v>
      </c>
      <c r="L105" s="149"/>
      <c r="M105" s="149"/>
      <c r="N105" s="54"/>
    </row>
    <row r="106" spans="1:14" s="18" customFormat="1" ht="15.75" customHeight="1">
      <c r="A106" s="147">
        <f t="shared" si="0"/>
        <v>3</v>
      </c>
      <c r="B106" s="148"/>
      <c r="C106" s="39" t="s">
        <v>162</v>
      </c>
      <c r="D106" s="40">
        <f t="shared" si="1"/>
        <v>166.19615999999999</v>
      </c>
      <c r="E106" s="40">
        <f t="shared" si="2"/>
        <v>51.344280000000005</v>
      </c>
      <c r="F106" s="39">
        <f t="shared" si="3"/>
        <v>337.187682</v>
      </c>
      <c r="G106" s="163"/>
      <c r="H106" s="164"/>
      <c r="I106" s="54"/>
      <c r="J106" s="18">
        <f t="shared" si="4"/>
        <v>2.0288536269430053</v>
      </c>
      <c r="L106" s="149"/>
      <c r="M106" s="149"/>
      <c r="N106" s="54"/>
    </row>
    <row r="107" spans="1:14" s="18" customFormat="1" ht="15.75" customHeight="1">
      <c r="A107" s="147">
        <f t="shared" si="0"/>
        <v>4</v>
      </c>
      <c r="B107" s="148"/>
      <c r="C107" s="39" t="s">
        <v>162</v>
      </c>
      <c r="D107" s="40">
        <f t="shared" si="1"/>
        <v>166.19615999999999</v>
      </c>
      <c r="E107" s="40">
        <f t="shared" si="2"/>
        <v>51.344280000000005</v>
      </c>
      <c r="F107" s="39">
        <f t="shared" si="3"/>
        <v>337.187682</v>
      </c>
      <c r="G107" s="163"/>
      <c r="H107" s="164"/>
      <c r="I107" s="54"/>
      <c r="J107" s="18">
        <f t="shared" si="4"/>
        <v>2.0288536269430053</v>
      </c>
      <c r="L107" s="149"/>
      <c r="M107" s="149"/>
      <c r="N107" s="54"/>
    </row>
    <row r="108" spans="1:14" s="18" customFormat="1">
      <c r="A108" s="147">
        <f t="shared" si="0"/>
        <v>5</v>
      </c>
      <c r="B108" s="148"/>
      <c r="C108" s="39" t="s">
        <v>162</v>
      </c>
      <c r="D108" s="40">
        <f t="shared" si="1"/>
        <v>166.19615999999999</v>
      </c>
      <c r="E108" s="40">
        <f t="shared" si="2"/>
        <v>51.344280000000005</v>
      </c>
      <c r="F108" s="39">
        <f t="shared" si="3"/>
        <v>337.187682</v>
      </c>
      <c r="G108" s="163"/>
      <c r="H108" s="164"/>
      <c r="I108" s="54"/>
      <c r="J108" s="18">
        <f t="shared" si="4"/>
        <v>2.0288536269430053</v>
      </c>
      <c r="L108" s="149"/>
      <c r="M108" s="149"/>
      <c r="N108" s="54"/>
    </row>
    <row r="109" spans="1:14" s="18" customFormat="1">
      <c r="A109" s="147">
        <f t="shared" si="0"/>
        <v>6</v>
      </c>
      <c r="B109" s="148"/>
      <c r="C109" s="39" t="s">
        <v>162</v>
      </c>
      <c r="D109" s="40">
        <f t="shared" si="1"/>
        <v>166.19615999999999</v>
      </c>
      <c r="E109" s="40">
        <f t="shared" si="2"/>
        <v>51.344280000000005</v>
      </c>
      <c r="F109" s="39">
        <f t="shared" ref="F109:F111" si="5">(D109+E109)*(($F$102)+1)</f>
        <v>337.187682</v>
      </c>
      <c r="G109" s="163"/>
      <c r="H109" s="164"/>
      <c r="I109" s="54"/>
      <c r="J109" s="18">
        <f t="shared" si="4"/>
        <v>2.0288536269430053</v>
      </c>
      <c r="L109" s="149"/>
      <c r="M109" s="149"/>
      <c r="N109" s="54"/>
    </row>
    <row r="110" spans="1:14" s="18" customFormat="1">
      <c r="A110" s="147">
        <f t="shared" si="0"/>
        <v>7</v>
      </c>
      <c r="B110" s="148"/>
      <c r="C110" s="39" t="s">
        <v>162</v>
      </c>
      <c r="D110" s="40">
        <f t="shared" si="1"/>
        <v>166.19615999999999</v>
      </c>
      <c r="E110" s="40">
        <f t="shared" si="2"/>
        <v>51.344280000000005</v>
      </c>
      <c r="F110" s="39">
        <f t="shared" si="5"/>
        <v>337.187682</v>
      </c>
      <c r="G110" s="163"/>
      <c r="H110" s="164"/>
      <c r="I110" s="54"/>
      <c r="J110" s="18">
        <f t="shared" si="4"/>
        <v>2.0288536269430053</v>
      </c>
      <c r="L110" s="149"/>
      <c r="M110" s="149"/>
      <c r="N110" s="54"/>
    </row>
    <row r="111" spans="1:14" s="18" customFormat="1">
      <c r="A111" s="147">
        <f t="shared" si="0"/>
        <v>8</v>
      </c>
      <c r="B111" s="148"/>
      <c r="C111" s="39" t="s">
        <v>162</v>
      </c>
      <c r="D111" s="40">
        <f>(15.68)*(10.764)</f>
        <v>168.77951999999999</v>
      </c>
      <c r="E111" s="40">
        <f>(3.23*1.5)*(10.764)</f>
        <v>52.151579999999996</v>
      </c>
      <c r="F111" s="39">
        <f t="shared" si="5"/>
        <v>342.44320499999998</v>
      </c>
      <c r="G111" s="165"/>
      <c r="H111" s="166"/>
      <c r="I111" s="54"/>
      <c r="J111" s="18">
        <f t="shared" si="4"/>
        <v>2.0289381377551021</v>
      </c>
      <c r="L111" s="149"/>
      <c r="M111" s="149"/>
      <c r="N111" s="54"/>
    </row>
    <row r="112" spans="1:14" s="18" customFormat="1">
      <c r="A112" s="147"/>
      <c r="B112" s="154"/>
      <c r="C112" s="154"/>
      <c r="D112" s="154"/>
      <c r="E112" s="154"/>
      <c r="F112" s="154"/>
      <c r="G112" s="154"/>
      <c r="H112" s="148"/>
      <c r="I112" s="54"/>
      <c r="N112" s="54"/>
    </row>
    <row r="113" spans="1:14" ht="47.25" customHeight="1">
      <c r="A113" s="157" t="s">
        <v>175</v>
      </c>
      <c r="B113" s="157" t="s">
        <v>176</v>
      </c>
      <c r="C113" s="150" t="s">
        <v>169</v>
      </c>
      <c r="D113" s="150" t="s">
        <v>170</v>
      </c>
      <c r="E113" s="152" t="s">
        <v>177</v>
      </c>
      <c r="F113" s="37" t="s">
        <v>172</v>
      </c>
      <c r="G113" s="157" t="s">
        <v>173</v>
      </c>
      <c r="H113" s="159"/>
      <c r="I113" s="54"/>
    </row>
    <row r="114" spans="1:14" s="18" customFormat="1">
      <c r="A114" s="158"/>
      <c r="B114" s="158"/>
      <c r="C114" s="151"/>
      <c r="D114" s="151"/>
      <c r="E114" s="153"/>
      <c r="F114" s="38">
        <v>0.5</v>
      </c>
      <c r="G114" s="158"/>
      <c r="H114" s="160"/>
      <c r="I114" s="54"/>
    </row>
    <row r="115" spans="1:14" s="18" customFormat="1">
      <c r="A115" s="144" t="s">
        <v>178</v>
      </c>
      <c r="B115" s="145"/>
      <c r="C115" s="145"/>
      <c r="D115" s="145"/>
      <c r="E115" s="145"/>
      <c r="F115" s="145"/>
      <c r="G115" s="145"/>
      <c r="H115" s="146"/>
      <c r="J115" s="54"/>
    </row>
    <row r="116" spans="1:14" s="18" customFormat="1">
      <c r="A116" s="155" t="s">
        <v>179</v>
      </c>
      <c r="B116" s="155"/>
      <c r="C116" s="155"/>
      <c r="D116" s="155"/>
      <c r="E116" s="155"/>
      <c r="F116" s="155"/>
      <c r="G116" s="155"/>
      <c r="H116" s="155"/>
      <c r="I116" s="54"/>
      <c r="L116" s="149"/>
      <c r="M116" s="149"/>
    </row>
    <row r="117" spans="1:14" s="18" customFormat="1" ht="15.75" customHeight="1">
      <c r="A117" s="156">
        <v>1</v>
      </c>
      <c r="B117" s="156"/>
      <c r="C117" s="39" t="s">
        <v>180</v>
      </c>
      <c r="D117" s="40">
        <f>(30.44+0.75*(2.7+2.1+3.1))*(10.764)</f>
        <v>391.43286000000001</v>
      </c>
      <c r="E117" s="39">
        <v>0</v>
      </c>
      <c r="F117" s="39">
        <f t="shared" ref="F117:F118" si="6">D117*(($F$114)+1)+(IF(E117&lt;101,E117,IF(E117&lt;201,E117/2,IF(E117&lt;=301,E117/3,E117/4))))</f>
        <v>587.14929000000006</v>
      </c>
      <c r="G117" s="161" t="str">
        <f>A116</f>
        <v>2nd, 4th &amp; 6th Floor For Residential</v>
      </c>
      <c r="H117" s="162"/>
      <c r="I117" s="54">
        <f>2.7*4.14+2.1*2.15+2.1*1.2+1.2*1.85+3.1*2.7+0.9*1.2</f>
        <v>29.882999999999996</v>
      </c>
      <c r="K117" s="18">
        <f>F117/D117</f>
        <v>1.5000000000000002</v>
      </c>
      <c r="N117" s="54"/>
    </row>
    <row r="118" spans="1:14" s="18" customFormat="1" ht="15.75" customHeight="1">
      <c r="A118" s="156">
        <f t="shared" ref="A118:A124" si="7">A117+1</f>
        <v>2</v>
      </c>
      <c r="B118" s="156"/>
      <c r="C118" s="39" t="s">
        <v>181</v>
      </c>
      <c r="D118" s="40">
        <f>(48.35+0.75*(2.7+2.1+2.7+2.1))*(10.764)</f>
        <v>597.9402</v>
      </c>
      <c r="E118" s="39">
        <v>0</v>
      </c>
      <c r="F118" s="39">
        <f t="shared" si="6"/>
        <v>896.91030000000001</v>
      </c>
      <c r="G118" s="163"/>
      <c r="H118" s="164"/>
      <c r="I118" s="54">
        <f>2.7*4.55+0.9*3.1+2.1*3+2.7*3+3.54*3.1+1.2*2.1+1.2*2.1+2.5*0.9</f>
        <v>47.739000000000004</v>
      </c>
      <c r="J118" s="18">
        <f>2.7*1.5+2.85*1.2</f>
        <v>7.4700000000000006</v>
      </c>
      <c r="K118" s="18">
        <f t="shared" ref="K118:K124" si="8">F118/D118</f>
        <v>1.5</v>
      </c>
      <c r="N118" s="54"/>
    </row>
    <row r="119" spans="1:14" s="18" customFormat="1" ht="15.75" customHeight="1">
      <c r="A119" s="156">
        <f t="shared" si="7"/>
        <v>3</v>
      </c>
      <c r="B119" s="156"/>
      <c r="C119" s="39" t="s">
        <v>181</v>
      </c>
      <c r="D119" s="40">
        <f>(48.35+0.75*(2.7+2.1+2.7+2.1))*(10.764)</f>
        <v>597.9402</v>
      </c>
      <c r="E119" s="39">
        <v>0</v>
      </c>
      <c r="F119" s="39">
        <f t="shared" ref="F119:F124" si="9">D119*(($F$114)+1)+(IF(E119&lt;101,E119,IF(E119&lt;201,E119/2,IF(E119&lt;=301,E119/3,E119/4))))</f>
        <v>896.91030000000001</v>
      </c>
      <c r="G119" s="163"/>
      <c r="H119" s="164"/>
      <c r="I119" s="54"/>
      <c r="K119" s="18">
        <f t="shared" si="8"/>
        <v>1.5</v>
      </c>
      <c r="N119" s="54"/>
    </row>
    <row r="120" spans="1:14" s="18" customFormat="1" ht="15.75" customHeight="1">
      <c r="A120" s="156">
        <f t="shared" si="7"/>
        <v>4</v>
      </c>
      <c r="B120" s="156"/>
      <c r="C120" s="39" t="s">
        <v>180</v>
      </c>
      <c r="D120" s="40">
        <f>(30.31+0.75*(2.7+2.1+3.1))*(10.764)</f>
        <v>390.03353999999996</v>
      </c>
      <c r="E120" s="39">
        <v>0</v>
      </c>
      <c r="F120" s="39">
        <f t="shared" si="9"/>
        <v>585.05030999999997</v>
      </c>
      <c r="G120" s="163"/>
      <c r="H120" s="164"/>
      <c r="I120" s="54"/>
      <c r="K120" s="18">
        <f t="shared" si="8"/>
        <v>1.5</v>
      </c>
      <c r="N120" s="54"/>
    </row>
    <row r="121" spans="1:14" s="18" customFormat="1" ht="15.75" customHeight="1">
      <c r="A121" s="156">
        <f t="shared" si="7"/>
        <v>5</v>
      </c>
      <c r="B121" s="156"/>
      <c r="C121" s="39" t="s">
        <v>180</v>
      </c>
      <c r="D121" s="40">
        <f>(32.95+0.75*(2.7+2.1+3))*(10.764)</f>
        <v>417.64320000000004</v>
      </c>
      <c r="E121" s="39">
        <v>0</v>
      </c>
      <c r="F121" s="39">
        <f t="shared" si="9"/>
        <v>626.46480000000008</v>
      </c>
      <c r="G121" s="163"/>
      <c r="H121" s="164"/>
      <c r="I121" s="54"/>
      <c r="K121" s="18">
        <f t="shared" si="8"/>
        <v>1.5</v>
      </c>
      <c r="N121" s="54"/>
    </row>
    <row r="122" spans="1:14" s="18" customFormat="1" ht="15.75" customHeight="1">
      <c r="A122" s="156">
        <f t="shared" si="7"/>
        <v>6</v>
      </c>
      <c r="B122" s="156"/>
      <c r="C122" s="39" t="s">
        <v>180</v>
      </c>
      <c r="D122" s="40">
        <f>(32.96+0.75*(2.7+2.1+3))*(10.764)</f>
        <v>417.75083999999998</v>
      </c>
      <c r="E122" s="39">
        <v>0</v>
      </c>
      <c r="F122" s="39">
        <f t="shared" si="9"/>
        <v>626.62626</v>
      </c>
      <c r="G122" s="163"/>
      <c r="H122" s="164"/>
      <c r="I122" s="54"/>
      <c r="K122" s="18">
        <f t="shared" si="8"/>
        <v>1.5</v>
      </c>
      <c r="N122" s="54"/>
    </row>
    <row r="123" spans="1:14" s="18" customFormat="1" ht="15.75" customHeight="1">
      <c r="A123" s="156">
        <f t="shared" si="7"/>
        <v>7</v>
      </c>
      <c r="B123" s="156"/>
      <c r="C123" s="39" t="s">
        <v>180</v>
      </c>
      <c r="D123" s="40">
        <f>(32.96+0.75*(2.7+2.1+3))*(10.764)</f>
        <v>417.75083999999998</v>
      </c>
      <c r="E123" s="39">
        <v>0</v>
      </c>
      <c r="F123" s="39">
        <f t="shared" si="9"/>
        <v>626.62626</v>
      </c>
      <c r="G123" s="163"/>
      <c r="H123" s="164"/>
      <c r="I123" s="54"/>
      <c r="K123" s="18">
        <f t="shared" si="8"/>
        <v>1.5</v>
      </c>
      <c r="N123" s="54"/>
    </row>
    <row r="124" spans="1:14" s="18" customFormat="1" ht="15.75" customHeight="1">
      <c r="A124" s="156">
        <f t="shared" si="7"/>
        <v>8</v>
      </c>
      <c r="B124" s="156"/>
      <c r="C124" s="39" t="s">
        <v>180</v>
      </c>
      <c r="D124" s="40">
        <f>(32.95+0.75*(2.7+2.1+3))*(10.764)</f>
        <v>417.64320000000004</v>
      </c>
      <c r="E124" s="39">
        <v>0</v>
      </c>
      <c r="F124" s="39">
        <f t="shared" si="9"/>
        <v>626.46480000000008</v>
      </c>
      <c r="G124" s="165"/>
      <c r="H124" s="166"/>
      <c r="I124" s="54"/>
      <c r="K124" s="18">
        <f t="shared" si="8"/>
        <v>1.5</v>
      </c>
      <c r="N124" s="54"/>
    </row>
    <row r="125" spans="1:14" s="18" customFormat="1" ht="15.75" customHeight="1">
      <c r="A125" s="144" t="s">
        <v>182</v>
      </c>
      <c r="B125" s="145"/>
      <c r="C125" s="145"/>
      <c r="D125" s="145"/>
      <c r="E125" s="145"/>
      <c r="F125" s="145"/>
      <c r="G125" s="145"/>
      <c r="H125" s="146"/>
      <c r="I125" s="54"/>
    </row>
    <row r="126" spans="1:14" s="18" customFormat="1" ht="15.75" customHeight="1">
      <c r="A126" s="147">
        <v>1</v>
      </c>
      <c r="B126" s="148"/>
      <c r="C126" s="39" t="s">
        <v>180</v>
      </c>
      <c r="D126" s="40">
        <f>(30.44+0.75*(2.7+2.1+3.1))*(10.764)</f>
        <v>391.43286000000001</v>
      </c>
      <c r="E126" s="39">
        <v>0</v>
      </c>
      <c r="F126" s="39">
        <f t="shared" ref="F126:F133" si="10">D126*(($F$114)+1)+(IF(E126&lt;101,E126,IF(E126&lt;201,E126/2,IF(E126&lt;=301,E126/3,E126/4))))</f>
        <v>587.14929000000006</v>
      </c>
      <c r="G126" s="161" t="str">
        <f>A125</f>
        <v>3rd &amp; 5th Floor</v>
      </c>
      <c r="H126" s="162"/>
      <c r="I126" s="54"/>
    </row>
    <row r="127" spans="1:14" s="18" customFormat="1" ht="15.75" customHeight="1">
      <c r="A127" s="147">
        <v>2</v>
      </c>
      <c r="B127" s="148"/>
      <c r="C127" s="39" t="s">
        <v>181</v>
      </c>
      <c r="D127" s="40">
        <f>(48.35+0.75*(2.7+2.1+2.7+2.1))*(10.764)</f>
        <v>597.9402</v>
      </c>
      <c r="E127" s="39">
        <v>0</v>
      </c>
      <c r="F127" s="39">
        <f t="shared" si="10"/>
        <v>896.91030000000001</v>
      </c>
      <c r="G127" s="163"/>
      <c r="H127" s="164"/>
      <c r="I127" s="54"/>
    </row>
    <row r="128" spans="1:14" s="18" customFormat="1" ht="15.75" customHeight="1">
      <c r="A128" s="147">
        <v>3</v>
      </c>
      <c r="B128" s="148"/>
      <c r="C128" s="39" t="s">
        <v>181</v>
      </c>
      <c r="D128" s="40">
        <f>(48.35+0.75*(2.7+2.1+2.7+2.1))*(10.764)</f>
        <v>597.9402</v>
      </c>
      <c r="E128" s="39">
        <v>0</v>
      </c>
      <c r="F128" s="39">
        <f t="shared" si="10"/>
        <v>896.91030000000001</v>
      </c>
      <c r="G128" s="163"/>
      <c r="H128" s="164"/>
      <c r="I128" s="54"/>
    </row>
    <row r="129" spans="1:14" s="18" customFormat="1" ht="15.75" customHeight="1">
      <c r="A129" s="147">
        <v>4</v>
      </c>
      <c r="B129" s="148"/>
      <c r="C129" s="39" t="s">
        <v>180</v>
      </c>
      <c r="D129" s="40">
        <f>(30.31+0.75*(2.7+2.1+3.1))*(10.764)</f>
        <v>390.03353999999996</v>
      </c>
      <c r="E129" s="39">
        <v>0</v>
      </c>
      <c r="F129" s="39">
        <f t="shared" si="10"/>
        <v>585.05030999999997</v>
      </c>
      <c r="G129" s="163"/>
      <c r="H129" s="164"/>
      <c r="I129" s="54"/>
    </row>
    <row r="130" spans="1:14" s="18" customFormat="1" ht="15.75" customHeight="1">
      <c r="A130" s="147">
        <v>5</v>
      </c>
      <c r="B130" s="148"/>
      <c r="C130" s="39" t="s">
        <v>180</v>
      </c>
      <c r="D130" s="40">
        <f>(32.95+0.75*(2.7+2.1+3))*(10.764)</f>
        <v>417.64320000000004</v>
      </c>
      <c r="E130" s="39">
        <v>0</v>
      </c>
      <c r="F130" s="39">
        <f t="shared" si="10"/>
        <v>626.46480000000008</v>
      </c>
      <c r="G130" s="163"/>
      <c r="H130" s="164"/>
      <c r="I130" s="54"/>
      <c r="J130" s="18">
        <f>1.09*2.8+1*3.1</f>
        <v>6.1520000000000001</v>
      </c>
    </row>
    <row r="131" spans="1:14" s="18" customFormat="1" ht="15.75" customHeight="1">
      <c r="A131" s="147">
        <v>6</v>
      </c>
      <c r="B131" s="148"/>
      <c r="C131" s="39" t="s">
        <v>180</v>
      </c>
      <c r="D131" s="40">
        <f>(32.96+0.75*(2.7+2.1+3))*(10.764)</f>
        <v>417.75083999999998</v>
      </c>
      <c r="E131" s="39">
        <v>0</v>
      </c>
      <c r="F131" s="39">
        <f t="shared" si="10"/>
        <v>626.62626</v>
      </c>
      <c r="G131" s="163"/>
      <c r="H131" s="164"/>
      <c r="I131" s="54"/>
    </row>
    <row r="132" spans="1:14" s="18" customFormat="1" ht="15.75" customHeight="1">
      <c r="A132" s="147">
        <v>7</v>
      </c>
      <c r="B132" s="148"/>
      <c r="C132" s="39" t="s">
        <v>180</v>
      </c>
      <c r="D132" s="40">
        <f>(32.96+0.75*(2.7+2.1+3))*(10.764)</f>
        <v>417.75083999999998</v>
      </c>
      <c r="E132" s="39">
        <v>0</v>
      </c>
      <c r="F132" s="39">
        <f t="shared" si="10"/>
        <v>626.62626</v>
      </c>
      <c r="G132" s="163"/>
      <c r="H132" s="164"/>
      <c r="I132" s="54"/>
    </row>
    <row r="133" spans="1:14" s="18" customFormat="1" ht="15.75" customHeight="1">
      <c r="A133" s="147">
        <v>8</v>
      </c>
      <c r="B133" s="148"/>
      <c r="C133" s="39" t="s">
        <v>180</v>
      </c>
      <c r="D133" s="40">
        <f>(32.95+0.75*(2.7+2.1+3))*(10.764)</f>
        <v>417.64320000000004</v>
      </c>
      <c r="E133" s="39">
        <v>0</v>
      </c>
      <c r="F133" s="39">
        <f t="shared" si="10"/>
        <v>626.46480000000008</v>
      </c>
      <c r="G133" s="165"/>
      <c r="H133" s="166"/>
      <c r="I133" s="54"/>
    </row>
    <row r="134" spans="1:14" s="18" customFormat="1">
      <c r="A134" s="155" t="s">
        <v>183</v>
      </c>
      <c r="B134" s="155"/>
      <c r="C134" s="155"/>
      <c r="D134" s="155"/>
      <c r="E134" s="155"/>
      <c r="F134" s="155"/>
      <c r="G134" s="155"/>
      <c r="H134" s="155"/>
      <c r="I134" s="54"/>
      <c r="L134" s="149"/>
      <c r="M134" s="149"/>
    </row>
    <row r="135" spans="1:14" s="18" customFormat="1" ht="15.75" customHeight="1">
      <c r="A135" s="156">
        <v>1</v>
      </c>
      <c r="B135" s="156"/>
      <c r="C135" s="39" t="s">
        <v>180</v>
      </c>
      <c r="D135" s="40">
        <f>(30.44+0.75*(2.7+2.1+3.1))*(10.764)</f>
        <v>391.43286000000001</v>
      </c>
      <c r="E135" s="39">
        <v>0</v>
      </c>
      <c r="F135" s="39">
        <f t="shared" ref="F135:F136" si="11">D135*(($F$114)+1)+(IF(E135&lt;101,E135,IF(E135&lt;201,E135/2,IF(E135&lt;=301,E135/3,E135/4))))</f>
        <v>587.14929000000006</v>
      </c>
      <c r="G135" s="161" t="str">
        <f>A134</f>
        <v>8th &amp; 10th Floor (Part Refuge Area)</v>
      </c>
      <c r="H135" s="162"/>
      <c r="I135" s="54">
        <f>2.7*4.14+2.1*2.15+2.1*1.2+1.2*1.85+3.1*2.7+0.9*1.2</f>
        <v>29.882999999999996</v>
      </c>
      <c r="N135" s="54"/>
    </row>
    <row r="136" spans="1:14" s="18" customFormat="1" ht="15.75" customHeight="1">
      <c r="A136" s="156">
        <f t="shared" ref="A136:A142" si="12">A135+1</f>
        <v>2</v>
      </c>
      <c r="B136" s="156"/>
      <c r="C136" s="39" t="s">
        <v>181</v>
      </c>
      <c r="D136" s="40">
        <f>(48.35+0.75*(2.7+2.1+2.7+2.1))*(10.764)</f>
        <v>597.9402</v>
      </c>
      <c r="E136" s="39">
        <v>0</v>
      </c>
      <c r="F136" s="39">
        <f t="shared" si="11"/>
        <v>896.91030000000001</v>
      </c>
      <c r="G136" s="163"/>
      <c r="H136" s="164"/>
      <c r="I136" s="54">
        <f>2.7*4.55+0.9*3.1+2.1*3+2.7*3+3.54*3.1+1.2*2.1+1.2*2.1+2.5*0.9</f>
        <v>47.739000000000004</v>
      </c>
      <c r="J136" s="18">
        <f>2.7*1.5+2.85*1.2</f>
        <v>7.4700000000000006</v>
      </c>
      <c r="N136" s="54"/>
    </row>
    <row r="137" spans="1:14" s="18" customFormat="1" ht="15.75" customHeight="1">
      <c r="A137" s="156">
        <f t="shared" si="12"/>
        <v>3</v>
      </c>
      <c r="B137" s="156"/>
      <c r="C137" s="39" t="s">
        <v>181</v>
      </c>
      <c r="D137" s="40">
        <f>(48.35+0.75*(2.7+2.1+2.7+2.1))*(10.764)</f>
        <v>597.9402</v>
      </c>
      <c r="E137" s="39">
        <v>0</v>
      </c>
      <c r="F137" s="39">
        <f t="shared" ref="F137:F142" si="13">D137*(($F$114)+1)+(IF(E137&lt;101,E137,IF(E137&lt;201,E137/2,IF(E137&lt;=301,E137/3,E137/4))))</f>
        <v>896.91030000000001</v>
      </c>
      <c r="G137" s="163"/>
      <c r="H137" s="164"/>
      <c r="I137" s="54"/>
      <c r="N137" s="54"/>
    </row>
    <row r="138" spans="1:14" s="18" customFormat="1" ht="15.75" customHeight="1">
      <c r="A138" s="156">
        <f t="shared" si="12"/>
        <v>4</v>
      </c>
      <c r="B138" s="156"/>
      <c r="C138" s="39" t="s">
        <v>180</v>
      </c>
      <c r="D138" s="40">
        <f>(30.31+0.75*(2.7+2.1+3.1))*(10.764)</f>
        <v>390.03353999999996</v>
      </c>
      <c r="E138" s="39">
        <v>0</v>
      </c>
      <c r="F138" s="39">
        <f t="shared" si="13"/>
        <v>585.05030999999997</v>
      </c>
      <c r="G138" s="163"/>
      <c r="H138" s="164"/>
      <c r="I138" s="54"/>
      <c r="N138" s="54"/>
    </row>
    <row r="139" spans="1:14" s="18" customFormat="1" ht="15.75" customHeight="1">
      <c r="A139" s="156">
        <f t="shared" si="12"/>
        <v>5</v>
      </c>
      <c r="B139" s="156"/>
      <c r="C139" s="39" t="s">
        <v>180</v>
      </c>
      <c r="D139" s="40">
        <f>(32.95+0.75*(2.7+2.1+3))*(10.764)</f>
        <v>417.64320000000004</v>
      </c>
      <c r="E139" s="39">
        <v>0</v>
      </c>
      <c r="F139" s="39">
        <f t="shared" si="13"/>
        <v>626.46480000000008</v>
      </c>
      <c r="G139" s="163"/>
      <c r="H139" s="164"/>
      <c r="I139" s="54"/>
      <c r="N139" s="54"/>
    </row>
    <row r="140" spans="1:14" s="18" customFormat="1" ht="15.75" customHeight="1">
      <c r="A140" s="156">
        <f t="shared" si="12"/>
        <v>6</v>
      </c>
      <c r="B140" s="156"/>
      <c r="C140" s="39" t="s">
        <v>180</v>
      </c>
      <c r="D140" s="40">
        <f>(32.96+0.75*(2.7+2.1+3))*(10.764)</f>
        <v>417.75083999999998</v>
      </c>
      <c r="E140" s="39">
        <v>0</v>
      </c>
      <c r="F140" s="39">
        <f t="shared" si="13"/>
        <v>626.62626</v>
      </c>
      <c r="G140" s="163"/>
      <c r="H140" s="164"/>
      <c r="I140" s="54"/>
      <c r="N140" s="54"/>
    </row>
    <row r="141" spans="1:14" s="18" customFormat="1" ht="15.75" customHeight="1">
      <c r="A141" s="156">
        <f t="shared" si="12"/>
        <v>7</v>
      </c>
      <c r="B141" s="156"/>
      <c r="C141" s="39" t="s">
        <v>180</v>
      </c>
      <c r="D141" s="40">
        <f>(32.96+0.75*(2.7+2.1+3))*(10.764)</f>
        <v>417.75083999999998</v>
      </c>
      <c r="E141" s="39">
        <v>0</v>
      </c>
      <c r="F141" s="39">
        <f t="shared" si="13"/>
        <v>626.62626</v>
      </c>
      <c r="G141" s="163"/>
      <c r="H141" s="164"/>
      <c r="I141" s="54"/>
      <c r="N141" s="54"/>
    </row>
    <row r="142" spans="1:14" s="18" customFormat="1" ht="15.75" customHeight="1">
      <c r="A142" s="156">
        <f t="shared" si="12"/>
        <v>8</v>
      </c>
      <c r="B142" s="156"/>
      <c r="C142" s="39" t="s">
        <v>180</v>
      </c>
      <c r="D142" s="40">
        <f>(32.95+0.75*(2.7+2.1+3))*(10.764)</f>
        <v>417.64320000000004</v>
      </c>
      <c r="E142" s="39">
        <v>0</v>
      </c>
      <c r="F142" s="39">
        <f t="shared" si="13"/>
        <v>626.46480000000008</v>
      </c>
      <c r="G142" s="165"/>
      <c r="H142" s="166"/>
      <c r="I142" s="54"/>
      <c r="N142" s="54"/>
    </row>
    <row r="143" spans="1:14" s="18" customFormat="1">
      <c r="A143" s="144" t="s">
        <v>184</v>
      </c>
      <c r="B143" s="145"/>
      <c r="C143" s="145"/>
      <c r="D143" s="145"/>
      <c r="E143" s="145"/>
      <c r="F143" s="145"/>
      <c r="G143" s="145"/>
      <c r="H143" s="146"/>
      <c r="I143" s="54"/>
    </row>
    <row r="144" spans="1:14" s="18" customFormat="1" ht="15.75" customHeight="1">
      <c r="A144" s="147">
        <v>1</v>
      </c>
      <c r="B144" s="148"/>
      <c r="C144" s="39" t="s">
        <v>180</v>
      </c>
      <c r="D144" s="40">
        <f>(30.44+0.75*(2.7+2.1+3.1))*(10.764)</f>
        <v>391.43286000000001</v>
      </c>
      <c r="E144" s="39">
        <v>0</v>
      </c>
      <c r="F144" s="39">
        <f t="shared" ref="F144:F151" si="14">D144*(($F$114)+1)+(IF(E144&lt;101,E144,IF(E144&lt;201,E144/2,IF(E144&lt;=301,E144/3,E144/4))))</f>
        <v>587.14929000000006</v>
      </c>
      <c r="G144" s="161" t="str">
        <f>A143</f>
        <v>7th, 9th &amp; 11th Floor</v>
      </c>
      <c r="H144" s="162"/>
      <c r="I144" s="54"/>
    </row>
    <row r="145" spans="1:9" s="18" customFormat="1" ht="15.75" customHeight="1">
      <c r="A145" s="147">
        <v>2</v>
      </c>
      <c r="B145" s="148"/>
      <c r="C145" s="39" t="s">
        <v>181</v>
      </c>
      <c r="D145" s="40">
        <f>(48.35+0.75*(2.7+2.1+2.7+2.1))*(10.764)</f>
        <v>597.9402</v>
      </c>
      <c r="E145" s="39">
        <v>0</v>
      </c>
      <c r="F145" s="39">
        <f t="shared" si="14"/>
        <v>896.91030000000001</v>
      </c>
      <c r="G145" s="163"/>
      <c r="H145" s="164"/>
      <c r="I145" s="54"/>
    </row>
    <row r="146" spans="1:9" s="18" customFormat="1" ht="15.75" customHeight="1">
      <c r="A146" s="147">
        <v>3</v>
      </c>
      <c r="B146" s="148"/>
      <c r="C146" s="39" t="s">
        <v>181</v>
      </c>
      <c r="D146" s="40">
        <f>(48.35+0.75*(2.7+2.1+2.7+2.1))*(10.764)</f>
        <v>597.9402</v>
      </c>
      <c r="E146" s="39">
        <v>0</v>
      </c>
      <c r="F146" s="39">
        <f t="shared" si="14"/>
        <v>896.91030000000001</v>
      </c>
      <c r="G146" s="163"/>
      <c r="H146" s="164"/>
      <c r="I146" s="54"/>
    </row>
    <row r="147" spans="1:9" s="18" customFormat="1" ht="15.75" customHeight="1">
      <c r="A147" s="147">
        <v>4</v>
      </c>
      <c r="B147" s="148"/>
      <c r="C147" s="39" t="s">
        <v>180</v>
      </c>
      <c r="D147" s="40">
        <f>(30.31+0.75*(2.7+2.1+3.1))*(10.764)</f>
        <v>390.03353999999996</v>
      </c>
      <c r="E147" s="39">
        <v>0</v>
      </c>
      <c r="F147" s="39">
        <f t="shared" si="14"/>
        <v>585.05030999999997</v>
      </c>
      <c r="G147" s="163"/>
      <c r="H147" s="164"/>
      <c r="I147" s="54"/>
    </row>
    <row r="148" spans="1:9" s="18" customFormat="1" ht="15.75" customHeight="1">
      <c r="A148" s="147">
        <v>5</v>
      </c>
      <c r="B148" s="148"/>
      <c r="C148" s="39" t="s">
        <v>180</v>
      </c>
      <c r="D148" s="40">
        <f>(32.95+0.75*(2.7+2.1+3))*(10.764)</f>
        <v>417.64320000000004</v>
      </c>
      <c r="E148" s="39">
        <v>0</v>
      </c>
      <c r="F148" s="39">
        <f t="shared" si="14"/>
        <v>626.46480000000008</v>
      </c>
      <c r="G148" s="163"/>
      <c r="H148" s="164"/>
      <c r="I148" s="54"/>
    </row>
    <row r="149" spans="1:9" s="18" customFormat="1" ht="15.75" customHeight="1">
      <c r="A149" s="147">
        <v>6</v>
      </c>
      <c r="B149" s="148"/>
      <c r="C149" s="39" t="s">
        <v>180</v>
      </c>
      <c r="D149" s="40">
        <f>(32.96+0.75*(2.7+2.1+3))*(10.764)</f>
        <v>417.75083999999998</v>
      </c>
      <c r="E149" s="39">
        <v>0</v>
      </c>
      <c r="F149" s="39">
        <f t="shared" si="14"/>
        <v>626.62626</v>
      </c>
      <c r="G149" s="163"/>
      <c r="H149" s="164"/>
      <c r="I149" s="54"/>
    </row>
    <row r="150" spans="1:9" s="18" customFormat="1" ht="15.75" customHeight="1">
      <c r="A150" s="147">
        <v>7</v>
      </c>
      <c r="B150" s="148"/>
      <c r="C150" s="39" t="s">
        <v>180</v>
      </c>
      <c r="D150" s="40">
        <f>(32.96+0.75*(2.7+2.1+3))*(10.764)</f>
        <v>417.75083999999998</v>
      </c>
      <c r="E150" s="39">
        <v>0</v>
      </c>
      <c r="F150" s="39">
        <f t="shared" si="14"/>
        <v>626.62626</v>
      </c>
      <c r="G150" s="163"/>
      <c r="H150" s="164"/>
      <c r="I150" s="54"/>
    </row>
    <row r="151" spans="1:9" s="18" customFormat="1" ht="15.75" customHeight="1">
      <c r="A151" s="147">
        <v>8</v>
      </c>
      <c r="B151" s="148"/>
      <c r="C151" s="39" t="s">
        <v>180</v>
      </c>
      <c r="D151" s="40">
        <f>(32.95+0.75*(2.7+2.1+3))*(10.764)</f>
        <v>417.64320000000004</v>
      </c>
      <c r="E151" s="39">
        <v>0</v>
      </c>
      <c r="F151" s="39">
        <f t="shared" si="14"/>
        <v>626.46480000000008</v>
      </c>
      <c r="G151" s="165"/>
      <c r="H151" s="166"/>
      <c r="I151" s="54"/>
    </row>
    <row r="152" spans="1:9" s="18" customFormat="1">
      <c r="A152" s="144" t="s">
        <v>185</v>
      </c>
      <c r="B152" s="145"/>
      <c r="C152" s="145"/>
      <c r="D152" s="145"/>
      <c r="E152" s="145"/>
      <c r="F152" s="145"/>
      <c r="G152" s="145"/>
      <c r="H152" s="146"/>
      <c r="I152" s="54"/>
    </row>
    <row r="153" spans="1:9" s="18" customFormat="1" ht="15.75" customHeight="1">
      <c r="A153" s="147">
        <v>1</v>
      </c>
      <c r="B153" s="148"/>
      <c r="C153" s="39" t="s">
        <v>180</v>
      </c>
      <c r="D153" s="40">
        <f>(30.44+0.75*(2.7+2.1+3.1))*(10.764)</f>
        <v>391.43286000000001</v>
      </c>
      <c r="E153" s="39">
        <v>0</v>
      </c>
      <c r="F153" s="39">
        <f t="shared" ref="F153:F160" si="15">D153*(($F$114)+1)+(IF(E153&lt;101,E153,IF(E153&lt;201,E153/2,IF(E153&lt;=301,E153/3,E153/4))))</f>
        <v>587.14929000000006</v>
      </c>
      <c r="G153" s="161" t="str">
        <f>A152</f>
        <v>12th Floor (Part Refuge Area)</v>
      </c>
      <c r="H153" s="162"/>
      <c r="I153" s="54"/>
    </row>
    <row r="154" spans="1:9" s="18" customFormat="1" ht="15.75" customHeight="1">
      <c r="A154" s="147">
        <v>2</v>
      </c>
      <c r="B154" s="148"/>
      <c r="C154" s="39" t="s">
        <v>181</v>
      </c>
      <c r="D154" s="40">
        <f>(48.35+0.75*(2.7+2.1+2.7+2.1))*(10.764)</f>
        <v>597.9402</v>
      </c>
      <c r="E154" s="39">
        <v>0</v>
      </c>
      <c r="F154" s="39">
        <f t="shared" si="15"/>
        <v>896.91030000000001</v>
      </c>
      <c r="G154" s="163"/>
      <c r="H154" s="164"/>
      <c r="I154" s="54"/>
    </row>
    <row r="155" spans="1:9" s="18" customFormat="1" ht="15.75" customHeight="1">
      <c r="A155" s="147">
        <v>3</v>
      </c>
      <c r="B155" s="148"/>
      <c r="C155" s="39" t="s">
        <v>181</v>
      </c>
      <c r="D155" s="40">
        <f>(48.35+0.75*(2.7+2.1+2.7+2.1))*(10.764)</f>
        <v>597.9402</v>
      </c>
      <c r="E155" s="39">
        <v>0</v>
      </c>
      <c r="F155" s="39">
        <f t="shared" si="15"/>
        <v>896.91030000000001</v>
      </c>
      <c r="G155" s="163"/>
      <c r="H155" s="164"/>
      <c r="I155" s="54"/>
    </row>
    <row r="156" spans="1:9" s="18" customFormat="1" ht="15.75" customHeight="1">
      <c r="A156" s="147">
        <v>4</v>
      </c>
      <c r="B156" s="148"/>
      <c r="C156" s="39" t="s">
        <v>180</v>
      </c>
      <c r="D156" s="40">
        <f>(30.31+0.75*(2.7+2.1+3.1))*(10.764)</f>
        <v>390.03353999999996</v>
      </c>
      <c r="E156" s="39">
        <v>0</v>
      </c>
      <c r="F156" s="39">
        <f t="shared" si="15"/>
        <v>585.05030999999997</v>
      </c>
      <c r="G156" s="163"/>
      <c r="H156" s="164"/>
      <c r="I156" s="54"/>
    </row>
    <row r="157" spans="1:9" s="18" customFormat="1" ht="15.75" customHeight="1">
      <c r="A157" s="147">
        <v>5</v>
      </c>
      <c r="B157" s="148"/>
      <c r="C157" s="39" t="s">
        <v>180</v>
      </c>
      <c r="D157" s="40">
        <f>(32.96+0.75*(2.7+2.1+3))*(10.764)</f>
        <v>417.75083999999998</v>
      </c>
      <c r="E157" s="39">
        <v>0</v>
      </c>
      <c r="F157" s="39">
        <f t="shared" si="15"/>
        <v>626.62626</v>
      </c>
      <c r="G157" s="163"/>
      <c r="H157" s="164"/>
      <c r="I157" s="54"/>
    </row>
    <row r="158" spans="1:9" s="18" customFormat="1" ht="15.75" customHeight="1">
      <c r="A158" s="147">
        <v>6</v>
      </c>
      <c r="B158" s="148"/>
      <c r="C158" s="39" t="s">
        <v>180</v>
      </c>
      <c r="D158" s="40">
        <f>(32.96+0.75*(2.7+2.1+3))*(10.764)</f>
        <v>417.75083999999998</v>
      </c>
      <c r="E158" s="39">
        <v>0</v>
      </c>
      <c r="F158" s="39">
        <f t="shared" si="15"/>
        <v>626.62626</v>
      </c>
      <c r="G158" s="163"/>
      <c r="H158" s="164"/>
      <c r="I158" s="54"/>
    </row>
    <row r="159" spans="1:9" s="18" customFormat="1" ht="15.75" customHeight="1">
      <c r="A159" s="147">
        <v>7</v>
      </c>
      <c r="B159" s="148"/>
      <c r="C159" s="39" t="s">
        <v>180</v>
      </c>
      <c r="D159" s="40">
        <f>(32.96+0.75*(2.7+2.1+3))*(10.764)</f>
        <v>417.75083999999998</v>
      </c>
      <c r="E159" s="39">
        <v>0</v>
      </c>
      <c r="F159" s="39">
        <f t="shared" si="15"/>
        <v>626.62626</v>
      </c>
      <c r="G159" s="163"/>
      <c r="H159" s="164"/>
      <c r="I159" s="54"/>
    </row>
    <row r="160" spans="1:9" s="18" customFormat="1" ht="15.75" customHeight="1">
      <c r="A160" s="147">
        <v>8</v>
      </c>
      <c r="B160" s="148"/>
      <c r="C160" s="39" t="s">
        <v>180</v>
      </c>
      <c r="D160" s="40">
        <f>(32.96+0.75*(2.7+2.1+3))*(10.764)</f>
        <v>417.75083999999998</v>
      </c>
      <c r="E160" s="39">
        <v>0</v>
      </c>
      <c r="F160" s="39">
        <f t="shared" si="15"/>
        <v>626.62626</v>
      </c>
      <c r="G160" s="165"/>
      <c r="H160" s="166"/>
      <c r="I160" s="54"/>
    </row>
    <row r="161" spans="1:9" s="18" customFormat="1">
      <c r="A161" s="144" t="s">
        <v>186</v>
      </c>
      <c r="B161" s="145"/>
      <c r="C161" s="145"/>
      <c r="D161" s="145"/>
      <c r="E161" s="145"/>
      <c r="F161" s="145"/>
      <c r="G161" s="145"/>
      <c r="H161" s="146"/>
      <c r="I161" s="54"/>
    </row>
    <row r="162" spans="1:9" s="18" customFormat="1" ht="15.75" customHeight="1">
      <c r="A162" s="147">
        <v>1</v>
      </c>
      <c r="B162" s="148"/>
      <c r="C162" s="39" t="s">
        <v>180</v>
      </c>
      <c r="D162" s="40">
        <f>(30.44+0.75*(2.7+2.1+3.1))*(10.764)</f>
        <v>391.43286000000001</v>
      </c>
      <c r="E162" s="39">
        <v>0</v>
      </c>
      <c r="F162" s="39">
        <f t="shared" ref="F162:F169" si="16">D162*(($F$114)+1)+(IF(E162&lt;101,E162,IF(E162&lt;201,E162/2,IF(E162&lt;=301,E162/3,E162/4))))</f>
        <v>587.14929000000006</v>
      </c>
      <c r="G162" s="161" t="str">
        <f>A161</f>
        <v>13th Floor</v>
      </c>
      <c r="H162" s="162"/>
      <c r="I162" s="54"/>
    </row>
    <row r="163" spans="1:9" s="18" customFormat="1" ht="15.75" customHeight="1">
      <c r="A163" s="147">
        <v>2</v>
      </c>
      <c r="B163" s="148"/>
      <c r="C163" s="39" t="s">
        <v>181</v>
      </c>
      <c r="D163" s="40">
        <f>(48.35+0.75*(2.7+2.1+2.7+2.1))*(10.764)</f>
        <v>597.9402</v>
      </c>
      <c r="E163" s="39">
        <v>0</v>
      </c>
      <c r="F163" s="39">
        <f t="shared" si="16"/>
        <v>896.91030000000001</v>
      </c>
      <c r="G163" s="163"/>
      <c r="H163" s="164"/>
      <c r="I163" s="54"/>
    </row>
    <row r="164" spans="1:9" s="18" customFormat="1" ht="15.75" customHeight="1">
      <c r="A164" s="147">
        <v>3</v>
      </c>
      <c r="B164" s="148"/>
      <c r="C164" s="39" t="s">
        <v>181</v>
      </c>
      <c r="D164" s="40">
        <f>(48.35+0.75*(2.7+2.1+2.7+2.1))*(10.764)</f>
        <v>597.9402</v>
      </c>
      <c r="E164" s="39">
        <v>0</v>
      </c>
      <c r="F164" s="39">
        <f t="shared" si="16"/>
        <v>896.91030000000001</v>
      </c>
      <c r="G164" s="163"/>
      <c r="H164" s="164"/>
      <c r="I164" s="54"/>
    </row>
    <row r="165" spans="1:9" s="18" customFormat="1" ht="15.75" customHeight="1">
      <c r="A165" s="147">
        <v>4</v>
      </c>
      <c r="B165" s="148"/>
      <c r="C165" s="39" t="s">
        <v>180</v>
      </c>
      <c r="D165" s="40">
        <f>(30.31+0.75*(2.7+2.1+3.1))*(10.764)</f>
        <v>390.03353999999996</v>
      </c>
      <c r="E165" s="39">
        <v>0</v>
      </c>
      <c r="F165" s="39">
        <f t="shared" si="16"/>
        <v>585.05030999999997</v>
      </c>
      <c r="G165" s="163"/>
      <c r="H165" s="164"/>
      <c r="I165" s="54"/>
    </row>
    <row r="166" spans="1:9" s="18" customFormat="1" ht="15.75" customHeight="1">
      <c r="A166" s="147">
        <v>5</v>
      </c>
      <c r="B166" s="148"/>
      <c r="C166" s="39" t="s">
        <v>180</v>
      </c>
      <c r="D166" s="40">
        <f>(32.96+0.75*(2.7+2.1+3))*(10.764)</f>
        <v>417.75083999999998</v>
      </c>
      <c r="E166" s="39">
        <v>0</v>
      </c>
      <c r="F166" s="39">
        <f t="shared" si="16"/>
        <v>626.62626</v>
      </c>
      <c r="G166" s="163"/>
      <c r="H166" s="164"/>
      <c r="I166" s="54"/>
    </row>
    <row r="167" spans="1:9" s="18" customFormat="1" ht="15.75" customHeight="1">
      <c r="A167" s="147">
        <v>6</v>
      </c>
      <c r="B167" s="148"/>
      <c r="C167" s="39" t="s">
        <v>180</v>
      </c>
      <c r="D167" s="40">
        <f>(32.96+0.75*(2.7+2.1+3))*(10.764)</f>
        <v>417.75083999999998</v>
      </c>
      <c r="E167" s="39">
        <v>0</v>
      </c>
      <c r="F167" s="39">
        <f t="shared" si="16"/>
        <v>626.62626</v>
      </c>
      <c r="G167" s="163"/>
      <c r="H167" s="164"/>
      <c r="I167" s="54"/>
    </row>
    <row r="168" spans="1:9" s="18" customFormat="1" ht="15.75" customHeight="1">
      <c r="A168" s="147">
        <v>7</v>
      </c>
      <c r="B168" s="148"/>
      <c r="C168" s="39" t="s">
        <v>180</v>
      </c>
      <c r="D168" s="40">
        <f>(32.96+0.75*(2.7+2.1+3))*(10.764)</f>
        <v>417.75083999999998</v>
      </c>
      <c r="E168" s="39">
        <v>0</v>
      </c>
      <c r="F168" s="39">
        <f t="shared" si="16"/>
        <v>626.62626</v>
      </c>
      <c r="G168" s="163"/>
      <c r="H168" s="164"/>
      <c r="I168" s="54"/>
    </row>
    <row r="169" spans="1:9" s="18" customFormat="1" ht="15.75" customHeight="1">
      <c r="A169" s="147">
        <v>8</v>
      </c>
      <c r="B169" s="148"/>
      <c r="C169" s="39" t="s">
        <v>180</v>
      </c>
      <c r="D169" s="40">
        <f>(32.95+0.75*(2.7+2.1+3))*(10.764)</f>
        <v>417.64320000000004</v>
      </c>
      <c r="E169" s="39">
        <v>0</v>
      </c>
      <c r="F169" s="39">
        <f t="shared" si="16"/>
        <v>626.46480000000008</v>
      </c>
      <c r="G169" s="165"/>
      <c r="H169" s="166"/>
      <c r="I169" s="54"/>
    </row>
    <row r="170" spans="1:9" s="18" customFormat="1">
      <c r="A170" s="144" t="s">
        <v>187</v>
      </c>
      <c r="B170" s="145"/>
      <c r="C170" s="145"/>
      <c r="D170" s="145"/>
      <c r="E170" s="145"/>
      <c r="F170" s="145"/>
      <c r="G170" s="145"/>
      <c r="H170" s="146"/>
      <c r="I170" s="54"/>
    </row>
    <row r="171" spans="1:9" s="18" customFormat="1" ht="15.75" customHeight="1">
      <c r="A171" s="147">
        <v>1</v>
      </c>
      <c r="B171" s="148"/>
      <c r="C171" s="39" t="s">
        <v>180</v>
      </c>
      <c r="D171" s="40">
        <f>(30.44+0.75*(2.7+2.1+3.1))*(10.764)</f>
        <v>391.43286000000001</v>
      </c>
      <c r="E171" s="39">
        <v>0</v>
      </c>
      <c r="F171" s="39">
        <f t="shared" ref="F171:F178" si="17">D171*(($F$114)+1)+(IF(E171&lt;101,E171,IF(E171&lt;201,E171/2,IF(E171&lt;=301,E171/3,E171/4))))</f>
        <v>587.14929000000006</v>
      </c>
      <c r="G171" s="161" t="str">
        <f>A170</f>
        <v>14th Floor (Part Refuge Area)</v>
      </c>
      <c r="H171" s="162"/>
      <c r="I171" s="54"/>
    </row>
    <row r="172" spans="1:9" s="18" customFormat="1" ht="15.75" customHeight="1">
      <c r="A172" s="147">
        <v>2</v>
      </c>
      <c r="B172" s="148"/>
      <c r="C172" s="39" t="s">
        <v>181</v>
      </c>
      <c r="D172" s="40">
        <f>(48.35+0.75*(2.7+2.1+2.7+2.1))*(10.764)</f>
        <v>597.9402</v>
      </c>
      <c r="E172" s="39">
        <v>0</v>
      </c>
      <c r="F172" s="39">
        <f t="shared" si="17"/>
        <v>896.91030000000001</v>
      </c>
      <c r="G172" s="163"/>
      <c r="H172" s="164"/>
      <c r="I172" s="54"/>
    </row>
    <row r="173" spans="1:9" s="18" customFormat="1" ht="15.75" customHeight="1">
      <c r="A173" s="147">
        <v>3</v>
      </c>
      <c r="B173" s="148"/>
      <c r="C173" s="39" t="s">
        <v>181</v>
      </c>
      <c r="D173" s="40">
        <f>(48.35+0.75*(2.7+2.1+2.7+2.1))*(10.764)</f>
        <v>597.9402</v>
      </c>
      <c r="E173" s="39">
        <v>0</v>
      </c>
      <c r="F173" s="39">
        <f t="shared" si="17"/>
        <v>896.91030000000001</v>
      </c>
      <c r="G173" s="163"/>
      <c r="H173" s="164"/>
      <c r="I173" s="54"/>
    </row>
    <row r="174" spans="1:9" s="18" customFormat="1" ht="15.75" customHeight="1">
      <c r="A174" s="147">
        <v>4</v>
      </c>
      <c r="B174" s="148"/>
      <c r="C174" s="39" t="s">
        <v>180</v>
      </c>
      <c r="D174" s="40">
        <f>(30.31+0.75*(2.7+2.1+3.1))*(10.764)</f>
        <v>390.03353999999996</v>
      </c>
      <c r="E174" s="39">
        <v>0</v>
      </c>
      <c r="F174" s="39">
        <f t="shared" si="17"/>
        <v>585.05030999999997</v>
      </c>
      <c r="G174" s="163"/>
      <c r="H174" s="164"/>
      <c r="I174" s="54"/>
    </row>
    <row r="175" spans="1:9" s="18" customFormat="1" ht="15.75" customHeight="1">
      <c r="A175" s="147">
        <v>5</v>
      </c>
      <c r="B175" s="148"/>
      <c r="C175" s="39" t="s">
        <v>180</v>
      </c>
      <c r="D175" s="40">
        <f>(32.96+0.75*(2.7+2.1+3))*(10.764)</f>
        <v>417.75083999999998</v>
      </c>
      <c r="E175" s="39">
        <v>0</v>
      </c>
      <c r="F175" s="39">
        <f t="shared" si="17"/>
        <v>626.62626</v>
      </c>
      <c r="G175" s="163"/>
      <c r="H175" s="167"/>
      <c r="I175" s="54"/>
    </row>
    <row r="176" spans="1:9" s="18" customFormat="1" ht="15.75" customHeight="1">
      <c r="A176" s="147">
        <v>6</v>
      </c>
      <c r="B176" s="148"/>
      <c r="C176" s="39" t="s">
        <v>180</v>
      </c>
      <c r="D176" s="40">
        <f>(32.96+0.75*(2.7+2.1+3))*(10.764)</f>
        <v>417.75083999999998</v>
      </c>
      <c r="E176" s="39">
        <v>0</v>
      </c>
      <c r="F176" s="39">
        <f t="shared" si="17"/>
        <v>626.62626</v>
      </c>
      <c r="G176" s="163"/>
      <c r="H176" s="164"/>
      <c r="I176" s="54"/>
    </row>
    <row r="177" spans="1:12" s="18" customFormat="1" ht="15.75" customHeight="1">
      <c r="A177" s="147">
        <v>7</v>
      </c>
      <c r="B177" s="148"/>
      <c r="C177" s="39" t="s">
        <v>180</v>
      </c>
      <c r="D177" s="40">
        <f>(32.96+0.75*(2.7+2.1+3))*(10.764)</f>
        <v>417.75083999999998</v>
      </c>
      <c r="E177" s="39">
        <v>0</v>
      </c>
      <c r="F177" s="39">
        <f t="shared" si="17"/>
        <v>626.62626</v>
      </c>
      <c r="G177" s="163"/>
      <c r="H177" s="164"/>
      <c r="I177" s="54"/>
    </row>
    <row r="178" spans="1:12" s="18" customFormat="1" ht="15.75" customHeight="1">
      <c r="A178" s="147">
        <v>8</v>
      </c>
      <c r="B178" s="148"/>
      <c r="C178" s="39" t="s">
        <v>180</v>
      </c>
      <c r="D178" s="40">
        <f>(32.96+0.75*(2.7+2.1+3))*(10.764)</f>
        <v>417.75083999999998</v>
      </c>
      <c r="E178" s="39">
        <v>0</v>
      </c>
      <c r="F178" s="39">
        <f t="shared" si="17"/>
        <v>626.62626</v>
      </c>
      <c r="G178" s="165"/>
      <c r="H178" s="166"/>
      <c r="I178" s="54"/>
    </row>
    <row r="179" spans="1:12" s="18" customFormat="1">
      <c r="A179" s="144" t="s">
        <v>188</v>
      </c>
      <c r="B179" s="145"/>
      <c r="C179" s="145"/>
      <c r="D179" s="145"/>
      <c r="E179" s="145"/>
      <c r="F179" s="145"/>
      <c r="G179" s="145"/>
      <c r="H179" s="146"/>
      <c r="I179" s="54"/>
    </row>
    <row r="180" spans="1:12" s="18" customFormat="1" ht="15.75" customHeight="1">
      <c r="A180" s="147">
        <v>1</v>
      </c>
      <c r="B180" s="148"/>
      <c r="C180" s="39" t="s">
        <v>180</v>
      </c>
      <c r="D180" s="40">
        <f>(30.38+0.75*(2.7+2.1+3.1))*(10.764)</f>
        <v>390.78701999999998</v>
      </c>
      <c r="E180" s="39">
        <v>0</v>
      </c>
      <c r="F180" s="39">
        <f t="shared" ref="F180:F187" si="18">D180*(($F$114)+1)+(IF(E180&lt;101,E180,IF(E180&lt;201,E180/2,IF(E180&lt;=301,E180/3,E180/4))))</f>
        <v>586.18052999999998</v>
      </c>
      <c r="G180" s="161" t="str">
        <f>A179</f>
        <v>15th Floor</v>
      </c>
      <c r="H180" s="162"/>
      <c r="I180" s="54">
        <f>4.93*3.4</f>
        <v>16.761999999999997</v>
      </c>
      <c r="K180" s="18">
        <f>F180/D180</f>
        <v>1.5</v>
      </c>
    </row>
    <row r="181" spans="1:12" s="18" customFormat="1" ht="15.75" customHeight="1">
      <c r="A181" s="147">
        <v>2</v>
      </c>
      <c r="B181" s="148"/>
      <c r="C181" s="39" t="s">
        <v>180</v>
      </c>
      <c r="D181" s="40">
        <f>(34.84+0.75*(2.7+2.1+2.7))*(10.764)</f>
        <v>435.56526000000002</v>
      </c>
      <c r="E181" s="40">
        <f>(4.93*3.4)*(10.764)</f>
        <v>180.42616799999996</v>
      </c>
      <c r="F181" s="39">
        <f t="shared" si="18"/>
        <v>743.56097399999999</v>
      </c>
      <c r="G181" s="163"/>
      <c r="H181" s="164"/>
      <c r="I181" s="54">
        <f>4.93*2.3+3.6*1.2+2.7*0.3</f>
        <v>16.468999999999998</v>
      </c>
      <c r="J181" s="18">
        <f>(4.8*2.1+3.7*1.17)*10.764</f>
        <v>155.09847599999998</v>
      </c>
      <c r="K181" s="18">
        <f t="shared" ref="K181:K187" si="19">F181/D181</f>
        <v>1.707117261831212</v>
      </c>
    </row>
    <row r="182" spans="1:12" s="18" customFormat="1" ht="15.75" customHeight="1">
      <c r="A182" s="147">
        <v>3</v>
      </c>
      <c r="B182" s="148"/>
      <c r="C182" s="39" t="s">
        <v>180</v>
      </c>
      <c r="D182" s="40">
        <f>(34.84+0.75*(2.7+2.1+2.7))*(10.764)</f>
        <v>435.56526000000002</v>
      </c>
      <c r="E182" s="40">
        <f>(4.93*3.4)*(10.764)</f>
        <v>180.42616799999996</v>
      </c>
      <c r="F182" s="39">
        <f t="shared" si="18"/>
        <v>743.56097399999999</v>
      </c>
      <c r="G182" s="163"/>
      <c r="H182" s="164"/>
      <c r="I182" s="54"/>
      <c r="K182" s="18">
        <f t="shared" si="19"/>
        <v>1.707117261831212</v>
      </c>
    </row>
    <row r="183" spans="1:12" s="18" customFormat="1" ht="15.75" customHeight="1">
      <c r="A183" s="147">
        <v>4</v>
      </c>
      <c r="B183" s="148"/>
      <c r="C183" s="39" t="s">
        <v>180</v>
      </c>
      <c r="D183" s="40">
        <f>(30.25+0.75*(2.7+2.1+3.1))*(10.764)</f>
        <v>389.38769999999994</v>
      </c>
      <c r="E183" s="39">
        <v>0</v>
      </c>
      <c r="F183" s="39">
        <f t="shared" si="18"/>
        <v>584.08154999999988</v>
      </c>
      <c r="G183" s="163"/>
      <c r="H183" s="164"/>
      <c r="I183" s="54"/>
      <c r="K183" s="18">
        <f t="shared" si="19"/>
        <v>1.5</v>
      </c>
      <c r="L183" s="18">
        <f>3850000/F183</f>
        <v>6591.5453073290892</v>
      </c>
    </row>
    <row r="184" spans="1:12" s="18" customFormat="1" ht="15.75" customHeight="1">
      <c r="A184" s="147">
        <v>5</v>
      </c>
      <c r="B184" s="148"/>
      <c r="C184" s="39" t="s">
        <v>189</v>
      </c>
      <c r="D184" s="40">
        <f>(22.61+0.75*(2.7+2.1))*(10.764)</f>
        <v>282.12443999999999</v>
      </c>
      <c r="E184" s="40">
        <f>(4.3*3.1)*(10.764)</f>
        <v>143.48411999999999</v>
      </c>
      <c r="F184" s="39">
        <f t="shared" si="18"/>
        <v>494.92871999999994</v>
      </c>
      <c r="G184" s="163"/>
      <c r="H184" s="164"/>
      <c r="I184" s="54">
        <f>4.3*3.1</f>
        <v>13.33</v>
      </c>
      <c r="K184" s="18">
        <f t="shared" si="19"/>
        <v>1.7542922548645554</v>
      </c>
    </row>
    <row r="185" spans="1:12" s="18" customFormat="1" ht="15.75" customHeight="1">
      <c r="A185" s="147">
        <v>6</v>
      </c>
      <c r="B185" s="148"/>
      <c r="C185" s="39" t="s">
        <v>189</v>
      </c>
      <c r="D185" s="40">
        <f>(22.61+0.75*(2.7+2.1))*(10.764)</f>
        <v>282.12443999999999</v>
      </c>
      <c r="E185" s="40">
        <f>(3.1*4.3)*(10.764)</f>
        <v>143.48411999999999</v>
      </c>
      <c r="F185" s="39">
        <f t="shared" si="18"/>
        <v>494.92871999999994</v>
      </c>
      <c r="G185" s="163"/>
      <c r="H185" s="164"/>
      <c r="I185" s="54">
        <f>4.3*2+3*1.2</f>
        <v>12.2</v>
      </c>
      <c r="K185" s="18">
        <f t="shared" si="19"/>
        <v>1.7542922548645554</v>
      </c>
    </row>
    <row r="186" spans="1:12" s="18" customFormat="1" ht="15.75" customHeight="1">
      <c r="A186" s="147">
        <v>7</v>
      </c>
      <c r="B186" s="148"/>
      <c r="C186" s="39" t="s">
        <v>189</v>
      </c>
      <c r="D186" s="40">
        <f>(22.61+0.75*(2.7+2.1))*(10.764)</f>
        <v>282.12443999999999</v>
      </c>
      <c r="E186" s="40">
        <f>(3.1*4.3)*(10.764)</f>
        <v>143.48411999999999</v>
      </c>
      <c r="F186" s="39">
        <f t="shared" si="18"/>
        <v>494.92871999999994</v>
      </c>
      <c r="G186" s="163"/>
      <c r="H186" s="164"/>
      <c r="I186" s="54"/>
      <c r="K186" s="18">
        <f t="shared" si="19"/>
        <v>1.7542922548645554</v>
      </c>
    </row>
    <row r="187" spans="1:12" s="18" customFormat="1" ht="15.75" customHeight="1">
      <c r="A187" s="147">
        <v>8</v>
      </c>
      <c r="B187" s="148"/>
      <c r="C187" s="39" t="s">
        <v>189</v>
      </c>
      <c r="D187" s="40">
        <f>(22.61+0.75*(2.7+2.1))*(10.764)</f>
        <v>282.12443999999999</v>
      </c>
      <c r="E187" s="40">
        <f>(4.3*3.1)*(10.764)</f>
        <v>143.48411999999999</v>
      </c>
      <c r="F187" s="39">
        <f t="shared" si="18"/>
        <v>494.92871999999994</v>
      </c>
      <c r="G187" s="165"/>
      <c r="H187" s="166"/>
      <c r="I187" s="54"/>
      <c r="K187" s="18">
        <f t="shared" si="19"/>
        <v>1.7542922548645554</v>
      </c>
      <c r="L187" s="18">
        <f>3850000/F187</f>
        <v>7778.8979390810064</v>
      </c>
    </row>
    <row r="188" spans="1:12" s="17" customFormat="1">
      <c r="A188" s="171" t="s">
        <v>190</v>
      </c>
      <c r="B188" s="171"/>
      <c r="C188" s="171"/>
      <c r="D188" s="171"/>
      <c r="E188" s="171"/>
      <c r="F188" s="171"/>
      <c r="G188" s="171"/>
      <c r="H188" s="171"/>
    </row>
    <row r="189" spans="1:12" s="17" customFormat="1">
      <c r="A189" s="36" t="s">
        <v>191</v>
      </c>
      <c r="B189" s="172" t="s">
        <v>229</v>
      </c>
      <c r="C189" s="173"/>
      <c r="D189" s="173"/>
      <c r="E189" s="173"/>
      <c r="F189" s="173"/>
      <c r="G189" s="173"/>
      <c r="H189" s="174"/>
    </row>
    <row r="190" spans="1:12" s="17" customFormat="1">
      <c r="A190" s="36" t="s">
        <v>191</v>
      </c>
      <c r="B190" s="172" t="str">
        <f>(IF(F113="Saleable area Loading :","We have considered Saleable area of Flats as per our Calculation.","We considered Saleable area of Flat as per Builder area Sheet."))</f>
        <v>We have considered Saleable area of Flats as per our Calculation.</v>
      </c>
      <c r="C190" s="173"/>
      <c r="D190" s="173"/>
      <c r="E190" s="173"/>
      <c r="F190" s="173"/>
      <c r="G190" s="173"/>
      <c r="H190" s="174"/>
    </row>
    <row r="191" spans="1:12" s="17" customFormat="1">
      <c r="A191" s="36" t="s">
        <v>191</v>
      </c>
      <c r="B191" s="172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1" s="173"/>
      <c r="D191" s="173"/>
      <c r="E191" s="173"/>
      <c r="F191" s="173"/>
      <c r="G191" s="173"/>
      <c r="H191" s="174"/>
    </row>
    <row r="192" spans="1:12" s="17" customFormat="1">
      <c r="A192" s="36" t="s">
        <v>191</v>
      </c>
      <c r="B192" s="168" t="s">
        <v>192</v>
      </c>
      <c r="C192" s="169"/>
      <c r="D192" s="169"/>
      <c r="E192" s="169"/>
      <c r="F192" s="169"/>
      <c r="G192" s="169"/>
      <c r="H192" s="170"/>
    </row>
    <row r="193" spans="1:8" s="17" customFormat="1">
      <c r="A193" s="36" t="s">
        <v>191</v>
      </c>
      <c r="B193" s="168" t="s">
        <v>193</v>
      </c>
      <c r="C193" s="169"/>
      <c r="D193" s="169"/>
      <c r="E193" s="169"/>
      <c r="F193" s="169"/>
      <c r="G193" s="169"/>
      <c r="H193" s="170"/>
    </row>
    <row r="194" spans="1:8" s="17" customFormat="1">
      <c r="A194" s="36" t="s">
        <v>191</v>
      </c>
      <c r="B194" s="168" t="s">
        <v>194</v>
      </c>
      <c r="C194" s="169"/>
      <c r="D194" s="169"/>
      <c r="E194" s="169"/>
      <c r="F194" s="169"/>
      <c r="G194" s="169"/>
      <c r="H194" s="170"/>
    </row>
    <row r="195" spans="1:8" s="17" customFormat="1">
      <c r="A195" s="36" t="s">
        <v>191</v>
      </c>
      <c r="B195" s="168" t="s">
        <v>195</v>
      </c>
      <c r="C195" s="169"/>
      <c r="D195" s="169"/>
      <c r="E195" s="169"/>
      <c r="F195" s="169"/>
      <c r="G195" s="169"/>
      <c r="H195" s="170"/>
    </row>
    <row r="196" spans="1:8" s="17" customFormat="1" ht="34.5" customHeight="1">
      <c r="A196" s="36" t="s">
        <v>191</v>
      </c>
      <c r="B196" s="168" t="s">
        <v>196</v>
      </c>
      <c r="C196" s="169"/>
      <c r="D196" s="169"/>
      <c r="E196" s="169"/>
      <c r="F196" s="169"/>
      <c r="G196" s="169"/>
      <c r="H196" s="170"/>
    </row>
    <row r="197" spans="1:8" s="17" customFormat="1">
      <c r="A197" s="36" t="s">
        <v>191</v>
      </c>
      <c r="B197" s="168" t="s">
        <v>197</v>
      </c>
      <c r="C197" s="169"/>
      <c r="D197" s="169"/>
      <c r="E197" s="169"/>
      <c r="F197" s="169"/>
      <c r="G197" s="169"/>
      <c r="H197" s="170"/>
    </row>
    <row r="198" spans="1:8" s="17" customFormat="1" ht="30.75" hidden="1" customHeight="1">
      <c r="A198" s="36" t="s">
        <v>191</v>
      </c>
      <c r="B198" s="168" t="s">
        <v>198</v>
      </c>
      <c r="C198" s="169"/>
      <c r="D198" s="169"/>
      <c r="E198" s="169"/>
      <c r="F198" s="169"/>
      <c r="G198" s="169"/>
      <c r="H198" s="170"/>
    </row>
    <row r="199" spans="1:8" s="17" customFormat="1">
      <c r="A199" s="36" t="s">
        <v>191</v>
      </c>
      <c r="B199" s="168" t="s">
        <v>199</v>
      </c>
      <c r="C199" s="169"/>
      <c r="D199" s="169"/>
      <c r="E199" s="169"/>
      <c r="F199" s="169"/>
      <c r="G199" s="169"/>
      <c r="H199" s="170"/>
    </row>
    <row r="200" spans="1:8" s="17" customFormat="1">
      <c r="A200" s="36" t="s">
        <v>191</v>
      </c>
      <c r="B200" s="168" t="s">
        <v>200</v>
      </c>
      <c r="C200" s="169"/>
      <c r="D200" s="169"/>
      <c r="E200" s="169"/>
      <c r="F200" s="169"/>
      <c r="G200" s="169"/>
      <c r="H200" s="170"/>
    </row>
    <row r="201" spans="1:8">
      <c r="A201" s="97" t="s">
        <v>201</v>
      </c>
      <c r="B201" s="97"/>
      <c r="C201" s="97"/>
      <c r="D201" s="97"/>
      <c r="E201" s="97"/>
      <c r="F201" s="97"/>
      <c r="G201" s="97"/>
      <c r="H201" s="97"/>
    </row>
    <row r="202" spans="1:8">
      <c r="A202" s="64" t="s">
        <v>202</v>
      </c>
      <c r="B202" s="64"/>
      <c r="C202" s="64"/>
      <c r="D202" s="64"/>
      <c r="E202" s="64"/>
      <c r="F202" s="64"/>
      <c r="G202" s="64"/>
      <c r="H202" s="64"/>
    </row>
    <row r="203" spans="1:8" ht="15.75" customHeight="1">
      <c r="A203" s="176" t="s">
        <v>203</v>
      </c>
      <c r="B203" s="176"/>
      <c r="C203" s="176"/>
      <c r="D203" s="176"/>
      <c r="E203" s="176"/>
      <c r="F203" s="176"/>
      <c r="G203" s="176"/>
      <c r="H203" s="176"/>
    </row>
    <row r="204" spans="1:8">
      <c r="A204" s="64" t="s">
        <v>204</v>
      </c>
      <c r="B204" s="64"/>
      <c r="C204" s="64"/>
      <c r="D204" s="64"/>
      <c r="E204" s="64"/>
      <c r="F204" s="64"/>
      <c r="G204" s="64"/>
      <c r="H204" s="64"/>
    </row>
    <row r="205" spans="1:8">
      <c r="A205" s="64" t="s">
        <v>205</v>
      </c>
      <c r="B205" s="64"/>
      <c r="C205" s="64"/>
      <c r="D205" s="64"/>
      <c r="E205" s="64"/>
      <c r="F205" s="64"/>
      <c r="G205" s="64"/>
      <c r="H205" s="64"/>
    </row>
    <row r="206" spans="1:8">
      <c r="A206" s="64" t="s">
        <v>206</v>
      </c>
      <c r="B206" s="64"/>
      <c r="C206" s="64"/>
      <c r="D206" s="64"/>
      <c r="E206" s="64"/>
      <c r="F206" s="64"/>
      <c r="G206" s="64"/>
      <c r="H206" s="64"/>
    </row>
    <row r="207" spans="1:8">
      <c r="A207" s="66" t="s">
        <v>207</v>
      </c>
      <c r="B207" s="66"/>
      <c r="C207" s="66"/>
      <c r="D207" s="66"/>
      <c r="E207" s="66"/>
      <c r="F207" s="66"/>
      <c r="G207" s="66"/>
      <c r="H207" s="66"/>
    </row>
    <row r="208" spans="1:8">
      <c r="A208" s="177" t="s">
        <v>208</v>
      </c>
      <c r="B208" s="177"/>
      <c r="C208" s="177" t="s">
        <v>228</v>
      </c>
      <c r="D208" s="177"/>
      <c r="E208" s="177" t="s">
        <v>209</v>
      </c>
      <c r="F208" s="177"/>
      <c r="G208" s="177" t="s">
        <v>227</v>
      </c>
      <c r="H208" s="177"/>
    </row>
    <row r="209" spans="1:8">
      <c r="A209" s="175" t="s">
        <v>210</v>
      </c>
      <c r="B209" s="175"/>
      <c r="C209" s="175"/>
      <c r="D209" s="175"/>
      <c r="E209" s="175"/>
      <c r="F209" s="175"/>
      <c r="G209" s="175"/>
      <c r="H209" s="175"/>
    </row>
    <row r="210" spans="1:8">
      <c r="A210" s="175"/>
      <c r="B210" s="175"/>
      <c r="C210" s="175"/>
      <c r="D210" s="175"/>
      <c r="E210" s="175"/>
      <c r="F210" s="175"/>
      <c r="G210" s="175"/>
      <c r="H210" s="175"/>
    </row>
    <row r="211" spans="1:8">
      <c r="A211" s="175"/>
      <c r="B211" s="175"/>
      <c r="C211" s="175"/>
      <c r="D211" s="175"/>
      <c r="E211" s="175"/>
      <c r="F211" s="175"/>
      <c r="G211" s="175"/>
      <c r="H211" s="175"/>
    </row>
    <row r="212" spans="1:8">
      <c r="A212" s="175"/>
      <c r="B212" s="175"/>
      <c r="C212" s="175"/>
      <c r="D212" s="175"/>
      <c r="E212" s="175"/>
      <c r="F212" s="175"/>
      <c r="G212" s="175"/>
      <c r="H212" s="175"/>
    </row>
    <row r="213" spans="1:8">
      <c r="A213" s="56" t="s">
        <v>211</v>
      </c>
      <c r="B213" s="57"/>
      <c r="C213" s="57"/>
      <c r="D213" s="56" t="str">
        <f>E8</f>
        <v>Rio Heights</v>
      </c>
      <c r="F213" s="57"/>
      <c r="G213" s="57"/>
      <c r="H213" s="57"/>
    </row>
    <row r="214" spans="1:8">
      <c r="A214" s="57"/>
      <c r="B214" s="57"/>
      <c r="C214" s="57"/>
      <c r="D214" s="57"/>
      <c r="E214" s="57"/>
      <c r="F214" s="57"/>
      <c r="G214" s="57"/>
      <c r="H214" s="57"/>
    </row>
    <row r="215" spans="1:8">
      <c r="A215" s="57"/>
      <c r="B215" s="57"/>
      <c r="C215" s="57"/>
      <c r="D215" s="57"/>
      <c r="E215" s="57"/>
      <c r="F215" s="57"/>
      <c r="G215" s="57"/>
      <c r="H215" s="57"/>
    </row>
    <row r="216" spans="1:8" ht="15" customHeight="1"/>
    <row r="255" spans="1:1">
      <c r="A255" s="58" t="s">
        <v>212</v>
      </c>
    </row>
    <row r="296" spans="1:1">
      <c r="A296" s="58" t="s">
        <v>213</v>
      </c>
    </row>
  </sheetData>
  <mergeCells count="342">
    <mergeCell ref="A209:H212"/>
    <mergeCell ref="G144:H151"/>
    <mergeCell ref="A21:D22"/>
    <mergeCell ref="E21:H22"/>
    <mergeCell ref="G101:H102"/>
    <mergeCell ref="G135:H142"/>
    <mergeCell ref="G153:H160"/>
    <mergeCell ref="G104:H111"/>
    <mergeCell ref="A202:H202"/>
    <mergeCell ref="A203:H203"/>
    <mergeCell ref="A204:H204"/>
    <mergeCell ref="A205:H205"/>
    <mergeCell ref="A206:H206"/>
    <mergeCell ref="A207:H207"/>
    <mergeCell ref="A208:B208"/>
    <mergeCell ref="C208:D208"/>
    <mergeCell ref="E208:F208"/>
    <mergeCell ref="G208:H208"/>
    <mergeCell ref="B193:H193"/>
    <mergeCell ref="B194:H194"/>
    <mergeCell ref="B195:H195"/>
    <mergeCell ref="B196:H196"/>
    <mergeCell ref="B197:H197"/>
    <mergeCell ref="B198:H198"/>
    <mergeCell ref="B199:H199"/>
    <mergeCell ref="B200:H200"/>
    <mergeCell ref="A201:H201"/>
    <mergeCell ref="A184:B184"/>
    <mergeCell ref="A185:B185"/>
    <mergeCell ref="A186:B186"/>
    <mergeCell ref="A187:B187"/>
    <mergeCell ref="A188:H188"/>
    <mergeCell ref="B189:H189"/>
    <mergeCell ref="B190:H190"/>
    <mergeCell ref="B191:H191"/>
    <mergeCell ref="B192:H192"/>
    <mergeCell ref="G180:H187"/>
    <mergeCell ref="A175:B175"/>
    <mergeCell ref="A176:B176"/>
    <mergeCell ref="A177:B177"/>
    <mergeCell ref="A178:B178"/>
    <mergeCell ref="A179:H179"/>
    <mergeCell ref="A180:B180"/>
    <mergeCell ref="A181:B181"/>
    <mergeCell ref="A182:B182"/>
    <mergeCell ref="A183:B183"/>
    <mergeCell ref="G171:H178"/>
    <mergeCell ref="A166:B166"/>
    <mergeCell ref="A167:B167"/>
    <mergeCell ref="A168:B168"/>
    <mergeCell ref="A169:B169"/>
    <mergeCell ref="A170:H170"/>
    <mergeCell ref="A171:B171"/>
    <mergeCell ref="A172:B172"/>
    <mergeCell ref="A173:B173"/>
    <mergeCell ref="A174:B174"/>
    <mergeCell ref="G162:H169"/>
    <mergeCell ref="A157:B157"/>
    <mergeCell ref="A158:B158"/>
    <mergeCell ref="A159:B159"/>
    <mergeCell ref="A160:B160"/>
    <mergeCell ref="A161:H161"/>
    <mergeCell ref="A162:B162"/>
    <mergeCell ref="A163:B163"/>
    <mergeCell ref="A164:B164"/>
    <mergeCell ref="A165:B165"/>
    <mergeCell ref="A148:B148"/>
    <mergeCell ref="A149:B149"/>
    <mergeCell ref="A150:B150"/>
    <mergeCell ref="A151:B151"/>
    <mergeCell ref="A152:H152"/>
    <mergeCell ref="A153:B153"/>
    <mergeCell ref="A154:B154"/>
    <mergeCell ref="A155:B155"/>
    <mergeCell ref="A156:B156"/>
    <mergeCell ref="A139:B139"/>
    <mergeCell ref="A140:B140"/>
    <mergeCell ref="A141:B141"/>
    <mergeCell ref="A142:B142"/>
    <mergeCell ref="A143:H143"/>
    <mergeCell ref="A144:B144"/>
    <mergeCell ref="A145:B145"/>
    <mergeCell ref="A146:B146"/>
    <mergeCell ref="A147:B147"/>
    <mergeCell ref="A131:B131"/>
    <mergeCell ref="A132:B132"/>
    <mergeCell ref="A133:B133"/>
    <mergeCell ref="A134:H134"/>
    <mergeCell ref="L134:M134"/>
    <mergeCell ref="A135:B135"/>
    <mergeCell ref="A136:B136"/>
    <mergeCell ref="A137:B137"/>
    <mergeCell ref="A138:B138"/>
    <mergeCell ref="G126:H133"/>
    <mergeCell ref="A122:B122"/>
    <mergeCell ref="A123:B123"/>
    <mergeCell ref="A124:B124"/>
    <mergeCell ref="A125:H125"/>
    <mergeCell ref="A126:B126"/>
    <mergeCell ref="A127:B127"/>
    <mergeCell ref="A128:B128"/>
    <mergeCell ref="A129:B129"/>
    <mergeCell ref="A130:B130"/>
    <mergeCell ref="G117:H124"/>
    <mergeCell ref="A112:H112"/>
    <mergeCell ref="A115:H115"/>
    <mergeCell ref="A116:H116"/>
    <mergeCell ref="L116:M116"/>
    <mergeCell ref="A117:B117"/>
    <mergeCell ref="A118:B118"/>
    <mergeCell ref="A119:B119"/>
    <mergeCell ref="A120:B120"/>
    <mergeCell ref="A121:B121"/>
    <mergeCell ref="A113:A114"/>
    <mergeCell ref="B113:B114"/>
    <mergeCell ref="C113:C114"/>
    <mergeCell ref="D113:D114"/>
    <mergeCell ref="E113:E114"/>
    <mergeCell ref="G113:H114"/>
    <mergeCell ref="A107:B107"/>
    <mergeCell ref="L107:M107"/>
    <mergeCell ref="A108:B108"/>
    <mergeCell ref="L108:M108"/>
    <mergeCell ref="A109:B109"/>
    <mergeCell ref="L109:M109"/>
    <mergeCell ref="A110:B110"/>
    <mergeCell ref="L110:M110"/>
    <mergeCell ref="A111:B111"/>
    <mergeCell ref="L111:M111"/>
    <mergeCell ref="A99:H99"/>
    <mergeCell ref="A100:H100"/>
    <mergeCell ref="A103:H103"/>
    <mergeCell ref="A104:B104"/>
    <mergeCell ref="L104:M104"/>
    <mergeCell ref="A105:B105"/>
    <mergeCell ref="L105:M105"/>
    <mergeCell ref="A106:B106"/>
    <mergeCell ref="L106:M106"/>
    <mergeCell ref="A101:A102"/>
    <mergeCell ref="B101:B102"/>
    <mergeCell ref="C101:C102"/>
    <mergeCell ref="D101:D102"/>
    <mergeCell ref="E101:E102"/>
    <mergeCell ref="A96:H96"/>
    <mergeCell ref="A97:B97"/>
    <mergeCell ref="C97:D97"/>
    <mergeCell ref="E97:F97"/>
    <mergeCell ref="G97:H97"/>
    <mergeCell ref="A98:B98"/>
    <mergeCell ref="C98:D98"/>
    <mergeCell ref="E98:F98"/>
    <mergeCell ref="G98:H98"/>
    <mergeCell ref="A92:E92"/>
    <mergeCell ref="F92:H92"/>
    <mergeCell ref="A93:H93"/>
    <mergeCell ref="A94:B94"/>
    <mergeCell ref="C94:D94"/>
    <mergeCell ref="E94:F94"/>
    <mergeCell ref="G94:H94"/>
    <mergeCell ref="A95:B95"/>
    <mergeCell ref="C95:D95"/>
    <mergeCell ref="E95:F95"/>
    <mergeCell ref="G95:H95"/>
    <mergeCell ref="A87:E87"/>
    <mergeCell ref="F87:H87"/>
    <mergeCell ref="A88:E88"/>
    <mergeCell ref="F88:H88"/>
    <mergeCell ref="A89:E89"/>
    <mergeCell ref="F89:H89"/>
    <mergeCell ref="A90:E90"/>
    <mergeCell ref="F90:H90"/>
    <mergeCell ref="A91:E91"/>
    <mergeCell ref="F91:H91"/>
    <mergeCell ref="A82:E82"/>
    <mergeCell ref="F82:H82"/>
    <mergeCell ref="A83:E83"/>
    <mergeCell ref="F83:H83"/>
    <mergeCell ref="A84:E84"/>
    <mergeCell ref="F84:H84"/>
    <mergeCell ref="A85:E85"/>
    <mergeCell ref="F85:H85"/>
    <mergeCell ref="A86:E86"/>
    <mergeCell ref="F86:H86"/>
    <mergeCell ref="A75:B75"/>
    <mergeCell ref="A76:B76"/>
    <mergeCell ref="A77:B77"/>
    <mergeCell ref="A78:B78"/>
    <mergeCell ref="A79:E79"/>
    <mergeCell ref="F79:H79"/>
    <mergeCell ref="A80:E80"/>
    <mergeCell ref="F80:H80"/>
    <mergeCell ref="A81:E81"/>
    <mergeCell ref="F81:H81"/>
    <mergeCell ref="E69:F78"/>
    <mergeCell ref="G69:H78"/>
    <mergeCell ref="A68:B68"/>
    <mergeCell ref="E68:F68"/>
    <mergeCell ref="G68:H68"/>
    <mergeCell ref="A69:B69"/>
    <mergeCell ref="A70:B70"/>
    <mergeCell ref="A71:B71"/>
    <mergeCell ref="A72:B72"/>
    <mergeCell ref="A73:B73"/>
    <mergeCell ref="A74:B74"/>
    <mergeCell ref="A62:C62"/>
    <mergeCell ref="D62:H62"/>
    <mergeCell ref="A63:C63"/>
    <mergeCell ref="D63:H63"/>
    <mergeCell ref="A64:C64"/>
    <mergeCell ref="D64:H64"/>
    <mergeCell ref="A65:B65"/>
    <mergeCell ref="C65:H65"/>
    <mergeCell ref="A67:B67"/>
    <mergeCell ref="C67:H67"/>
    <mergeCell ref="A57:C57"/>
    <mergeCell ref="D57:H57"/>
    <mergeCell ref="A58:C58"/>
    <mergeCell ref="D58:H58"/>
    <mergeCell ref="A59:C59"/>
    <mergeCell ref="D59:H59"/>
    <mergeCell ref="A60:C60"/>
    <mergeCell ref="D60:H60"/>
    <mergeCell ref="A61:C61"/>
    <mergeCell ref="D61:H61"/>
    <mergeCell ref="A52:B52"/>
    <mergeCell ref="C52:E52"/>
    <mergeCell ref="G52:H52"/>
    <mergeCell ref="A53:H53"/>
    <mergeCell ref="A54:C54"/>
    <mergeCell ref="D54:H54"/>
    <mergeCell ref="A55:C55"/>
    <mergeCell ref="D55:H55"/>
    <mergeCell ref="A56:C56"/>
    <mergeCell ref="D56:H56"/>
    <mergeCell ref="A48:B48"/>
    <mergeCell ref="C48:E48"/>
    <mergeCell ref="G48:H48"/>
    <mergeCell ref="A49:B49"/>
    <mergeCell ref="C49:E49"/>
    <mergeCell ref="G49:H49"/>
    <mergeCell ref="C50:E50"/>
    <mergeCell ref="G50:H50"/>
    <mergeCell ref="C51:H51"/>
    <mergeCell ref="A50:B51"/>
    <mergeCell ref="A43:D43"/>
    <mergeCell ref="E43:H43"/>
    <mergeCell ref="A44:D44"/>
    <mergeCell ref="E44:H44"/>
    <mergeCell ref="A45:D45"/>
    <mergeCell ref="E45:H45"/>
    <mergeCell ref="A46:H46"/>
    <mergeCell ref="A47:B47"/>
    <mergeCell ref="C47:H47"/>
    <mergeCell ref="A38:B38"/>
    <mergeCell ref="C38:H38"/>
    <mergeCell ref="A39:H39"/>
    <mergeCell ref="A40:D40"/>
    <mergeCell ref="E40:H40"/>
    <mergeCell ref="A41:D41"/>
    <mergeCell ref="E41:H41"/>
    <mergeCell ref="A42:D42"/>
    <mergeCell ref="E42:H42"/>
    <mergeCell ref="A34:B34"/>
    <mergeCell ref="C34:E34"/>
    <mergeCell ref="F34:H34"/>
    <mergeCell ref="A35:B35"/>
    <mergeCell ref="C35:E35"/>
    <mergeCell ref="F35:H35"/>
    <mergeCell ref="A36:H36"/>
    <mergeCell ref="A37:B37"/>
    <mergeCell ref="C37:H37"/>
    <mergeCell ref="A31:B31"/>
    <mergeCell ref="C31:E31"/>
    <mergeCell ref="F31:H31"/>
    <mergeCell ref="A32:B32"/>
    <mergeCell ref="C32:E32"/>
    <mergeCell ref="F32:H32"/>
    <mergeCell ref="A33:B33"/>
    <mergeCell ref="C33:E33"/>
    <mergeCell ref="F33:H33"/>
    <mergeCell ref="A26:D26"/>
    <mergeCell ref="E26:H26"/>
    <mergeCell ref="A27:D27"/>
    <mergeCell ref="E27:H27"/>
    <mergeCell ref="A28:D28"/>
    <mergeCell ref="E28:H28"/>
    <mergeCell ref="A29:D29"/>
    <mergeCell ref="E29:H29"/>
    <mergeCell ref="A30:D30"/>
    <mergeCell ref="E30:H30"/>
    <mergeCell ref="A20:B20"/>
    <mergeCell ref="C20:D20"/>
    <mergeCell ref="E20:F20"/>
    <mergeCell ref="G20:H20"/>
    <mergeCell ref="A23:D23"/>
    <mergeCell ref="E23:H23"/>
    <mergeCell ref="A24:D24"/>
    <mergeCell ref="E24:H24"/>
    <mergeCell ref="A25:D25"/>
    <mergeCell ref="E25:H25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2:D12"/>
    <mergeCell ref="E12:H12"/>
    <mergeCell ref="A13:D13"/>
    <mergeCell ref="E13:H13"/>
    <mergeCell ref="A14:B14"/>
    <mergeCell ref="C14:H14"/>
    <mergeCell ref="A15:B15"/>
    <mergeCell ref="C15:H15"/>
    <mergeCell ref="A16:B16"/>
    <mergeCell ref="C16:H16"/>
    <mergeCell ref="A7:D7"/>
    <mergeCell ref="E7:H7"/>
    <mergeCell ref="A8:D8"/>
    <mergeCell ref="E8:H8"/>
    <mergeCell ref="A9:D9"/>
    <mergeCell ref="E9:H9"/>
    <mergeCell ref="A10:D10"/>
    <mergeCell ref="E10:H10"/>
    <mergeCell ref="A11:D11"/>
    <mergeCell ref="E11:H11"/>
    <mergeCell ref="A1:H1"/>
    <mergeCell ref="A2:H2"/>
    <mergeCell ref="A3:D3"/>
    <mergeCell ref="E3:H3"/>
    <mergeCell ref="A4:D4"/>
    <mergeCell ref="E4:H4"/>
    <mergeCell ref="A5:D5"/>
    <mergeCell ref="E5:H5"/>
    <mergeCell ref="A6:D6"/>
    <mergeCell ref="E6:H6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4" max="7" man="1"/>
    <brk id="187" max="7" man="1"/>
    <brk id="212" max="16383" man="1"/>
    <brk id="254" max="16383" man="1"/>
    <brk id="29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/>
    <row r="2" spans="1:9" ht="15" customHeight="1">
      <c r="A2" s="2"/>
      <c r="B2" s="2"/>
      <c r="C2" s="2"/>
      <c r="D2" s="2"/>
      <c r="E2" s="2"/>
      <c r="F2" s="2"/>
      <c r="G2" s="2"/>
      <c r="H2" s="2"/>
    </row>
    <row r="3" spans="1:9" ht="15.75" customHeight="1">
      <c r="A3" s="2"/>
      <c r="B3" s="178" t="s">
        <v>214</v>
      </c>
      <c r="C3" s="178"/>
      <c r="D3" s="178"/>
      <c r="E3" s="178"/>
      <c r="F3" s="178"/>
      <c r="G3" s="178"/>
      <c r="H3" s="178"/>
    </row>
    <row r="4" spans="1:9">
      <c r="A4" s="2"/>
      <c r="B4" s="3" t="s">
        <v>215</v>
      </c>
      <c r="C4" s="3" t="s">
        <v>216</v>
      </c>
      <c r="D4" s="3" t="s">
        <v>217</v>
      </c>
      <c r="E4" s="3" t="s">
        <v>218</v>
      </c>
      <c r="F4" s="3" t="s">
        <v>219</v>
      </c>
      <c r="G4" s="3" t="s">
        <v>220</v>
      </c>
      <c r="H4" s="3" t="s">
        <v>221</v>
      </c>
    </row>
    <row r="5" spans="1:9" ht="15" customHeight="1">
      <c r="A5" s="2"/>
      <c r="B5" s="4" t="s">
        <v>222</v>
      </c>
      <c r="C5" s="5"/>
      <c r="D5" s="4"/>
      <c r="E5" s="4"/>
      <c r="F5" s="6">
        <f>E5*1.6</f>
        <v>0</v>
      </c>
      <c r="G5" s="6" t="e">
        <f>H5/F5</f>
        <v>#DIV/0!</v>
      </c>
      <c r="H5" s="7"/>
    </row>
    <row r="6" spans="1:9">
      <c r="A6" s="2"/>
      <c r="B6" s="4" t="s">
        <v>222</v>
      </c>
      <c r="C6" s="8"/>
      <c r="D6" s="4"/>
      <c r="E6" s="4"/>
      <c r="F6" s="6">
        <f t="shared" ref="F6:F11" si="0">E6*1.6</f>
        <v>0</v>
      </c>
      <c r="G6" s="6" t="e">
        <f t="shared" ref="G6:G11" si="1">H6/F6</f>
        <v>#DIV/0!</v>
      </c>
      <c r="H6" s="7"/>
    </row>
    <row r="7" spans="1:9" ht="15" customHeight="1">
      <c r="A7" s="2"/>
      <c r="B7" s="4" t="s">
        <v>222</v>
      </c>
      <c r="C7" s="5"/>
      <c r="D7" s="4"/>
      <c r="E7" s="4"/>
      <c r="F7" s="6">
        <f t="shared" si="0"/>
        <v>0</v>
      </c>
      <c r="G7" s="6" t="e">
        <f t="shared" si="1"/>
        <v>#DIV/0!</v>
      </c>
      <c r="H7" s="7"/>
    </row>
    <row r="8" spans="1:9">
      <c r="A8" s="2"/>
      <c r="B8" s="4" t="s">
        <v>222</v>
      </c>
      <c r="C8" s="8"/>
      <c r="D8" s="4"/>
      <c r="E8" s="4"/>
      <c r="F8" s="6">
        <f t="shared" si="0"/>
        <v>0</v>
      </c>
      <c r="G8" s="6" t="e">
        <f t="shared" si="1"/>
        <v>#DIV/0!</v>
      </c>
      <c r="H8" s="7"/>
    </row>
    <row r="9" spans="1:9" ht="15" customHeight="1">
      <c r="A9" s="2"/>
      <c r="B9" s="4" t="s">
        <v>222</v>
      </c>
      <c r="C9" s="8"/>
      <c r="D9" s="4"/>
      <c r="E9" s="4"/>
      <c r="F9" s="6">
        <f t="shared" si="0"/>
        <v>0</v>
      </c>
      <c r="G9" s="6" t="e">
        <f t="shared" si="1"/>
        <v>#DIV/0!</v>
      </c>
      <c r="H9" s="7"/>
    </row>
    <row r="10" spans="1:9" ht="15" customHeight="1">
      <c r="A10" s="2"/>
      <c r="B10" s="4" t="s">
        <v>223</v>
      </c>
      <c r="C10" s="5"/>
      <c r="D10" s="4"/>
      <c r="E10" s="4"/>
      <c r="F10" s="6">
        <f t="shared" si="0"/>
        <v>0</v>
      </c>
      <c r="G10" s="6" t="e">
        <f t="shared" si="1"/>
        <v>#DIV/0!</v>
      </c>
      <c r="H10" s="7"/>
    </row>
    <row r="11" spans="1:9" ht="15" customHeight="1">
      <c r="A11" s="2"/>
      <c r="B11" s="4" t="s">
        <v>223</v>
      </c>
      <c r="C11" s="5"/>
      <c r="D11" s="4"/>
      <c r="E11" s="4"/>
      <c r="F11" s="6">
        <f t="shared" si="0"/>
        <v>0</v>
      </c>
      <c r="G11" s="6" t="e">
        <f t="shared" si="1"/>
        <v>#DIV/0!</v>
      </c>
      <c r="H11" s="7"/>
    </row>
    <row r="12" spans="1:9" ht="15" customHeight="1">
      <c r="A12" s="2"/>
      <c r="B12" s="9" t="s">
        <v>224</v>
      </c>
      <c r="C12" s="4"/>
      <c r="D12" s="4"/>
      <c r="E12" s="4"/>
      <c r="F12" s="4"/>
      <c r="G12" s="10" t="e">
        <f>AVERAGE(G5:G11)</f>
        <v>#DIV/0!</v>
      </c>
      <c r="H12" s="4"/>
    </row>
    <row r="13" spans="1:9" ht="15" customHeight="1">
      <c r="B13" s="9" t="s">
        <v>225</v>
      </c>
      <c r="C13" s="4"/>
      <c r="D13" s="4"/>
      <c r="E13" s="4"/>
      <c r="F13" s="11"/>
      <c r="G13" s="9"/>
      <c r="H13" s="9"/>
      <c r="I13" s="12"/>
    </row>
    <row r="14" spans="1:9" ht="15" customHeight="1"/>
    <row r="15" spans="1:9" ht="15" customHeight="1"/>
    <row r="16" spans="1:9" ht="15" customHeight="1"/>
  </sheetData>
  <mergeCells count="1">
    <mergeCell ref="B3:H3"/>
  </mergeCells>
  <pageMargins left="0.7" right="0.7" top="0.75" bottom="0.75" header="0.3" footer="0.3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ColWidth="9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2025-09-13T09:21:09Z</cp:lastPrinted>
  <dcterms:created xsi:type="dcterms:W3CDTF">2019-07-16T09:29:00Z</dcterms:created>
  <dcterms:modified xsi:type="dcterms:W3CDTF">2025-09-13T09:24:48Z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EB1D121C367342DA8E73F5BC81DBDA6D_12</vt:lpwstr>
  </property>
  <property fmtid="{D5CDD505-2E9C-101B-9397-08002B2CF9AE}" pid="3" name="KSOProductBuildVer">
    <vt:lpwstr>1033-12.2.0.20326</vt:lpwstr>
  </property>
</Properties>
</file>