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Report!$A$1:$H$365</definedName>
  </definedNames>
  <calcPr calcId="162913"/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7" i="1"/>
  <c r="B217" i="1"/>
  <c r="B216" i="1"/>
  <c r="K214" i="1"/>
  <c r="F213" i="1"/>
  <c r="K213" i="1" s="1"/>
  <c r="F212" i="1"/>
  <c r="K212" i="1" s="1"/>
  <c r="F211" i="1"/>
  <c r="K211" i="1" s="1"/>
  <c r="F210" i="1"/>
  <c r="K210" i="1" s="1"/>
  <c r="G209" i="1"/>
  <c r="G210" i="1" s="1"/>
  <c r="G211" i="1" s="1"/>
  <c r="G212" i="1" s="1"/>
  <c r="G213" i="1" s="1"/>
  <c r="F209" i="1"/>
  <c r="K209" i="1" s="1"/>
  <c r="K208" i="1"/>
  <c r="F207" i="1"/>
  <c r="K207" i="1" s="1"/>
  <c r="F206" i="1"/>
  <c r="K206" i="1" s="1"/>
  <c r="F205" i="1"/>
  <c r="K205" i="1" s="1"/>
  <c r="F204" i="1"/>
  <c r="K204" i="1" s="1"/>
  <c r="G203" i="1"/>
  <c r="G204" i="1" s="1"/>
  <c r="G205" i="1" s="1"/>
  <c r="G206" i="1" s="1"/>
  <c r="G207" i="1" s="1"/>
  <c r="F203" i="1"/>
  <c r="K203" i="1" s="1"/>
  <c r="K202" i="1"/>
  <c r="F201" i="1"/>
  <c r="K201" i="1" s="1"/>
  <c r="F200" i="1"/>
  <c r="K200" i="1" s="1"/>
  <c r="F199" i="1"/>
  <c r="K199" i="1" s="1"/>
  <c r="F198" i="1"/>
  <c r="K198" i="1" s="1"/>
  <c r="G197" i="1"/>
  <c r="G198" i="1" s="1"/>
  <c r="G199" i="1" s="1"/>
  <c r="G200" i="1" s="1"/>
  <c r="G201" i="1" s="1"/>
  <c r="F197" i="1"/>
  <c r="K197" i="1" s="1"/>
  <c r="K196" i="1"/>
  <c r="F195" i="1"/>
  <c r="K195" i="1" s="1"/>
  <c r="F194" i="1"/>
  <c r="K194" i="1" s="1"/>
  <c r="F193" i="1"/>
  <c r="K193" i="1" s="1"/>
  <c r="F192" i="1"/>
  <c r="K192" i="1" s="1"/>
  <c r="G191" i="1"/>
  <c r="G192" i="1" s="1"/>
  <c r="G193" i="1" s="1"/>
  <c r="G194" i="1" s="1"/>
  <c r="G195" i="1" s="1"/>
  <c r="F191" i="1"/>
  <c r="K191" i="1" s="1"/>
  <c r="A191" i="1"/>
  <c r="A192" i="1" s="1"/>
  <c r="A193" i="1" s="1"/>
  <c r="A194" i="1" s="1"/>
  <c r="A195" i="1" s="1"/>
  <c r="K190" i="1"/>
  <c r="F189" i="1"/>
  <c r="K189" i="1" s="1"/>
  <c r="F188" i="1"/>
  <c r="K188" i="1" s="1"/>
  <c r="F187" i="1"/>
  <c r="K187" i="1" s="1"/>
  <c r="A187" i="1"/>
  <c r="A188" i="1" s="1"/>
  <c r="A189" i="1" s="1"/>
  <c r="G186" i="1"/>
  <c r="G187" i="1" s="1"/>
  <c r="G188" i="1" s="1"/>
  <c r="G189" i="1" s="1"/>
  <c r="F186" i="1"/>
  <c r="K186" i="1" s="1"/>
  <c r="K185" i="1"/>
  <c r="E184" i="1"/>
  <c r="D184" i="1"/>
  <c r="K183" i="1"/>
  <c r="E182" i="1"/>
  <c r="D182" i="1"/>
  <c r="E181" i="1"/>
  <c r="D181" i="1"/>
  <c r="E180" i="1"/>
  <c r="D180" i="1"/>
  <c r="E179" i="1"/>
  <c r="D179" i="1"/>
  <c r="A179" i="1"/>
  <c r="A180" i="1" s="1"/>
  <c r="A181" i="1" s="1"/>
  <c r="A182" i="1" s="1"/>
  <c r="A183" i="1" s="1"/>
  <c r="A184" i="1" s="1"/>
  <c r="G178" i="1"/>
  <c r="G179" i="1" s="1"/>
  <c r="G180" i="1" s="1"/>
  <c r="G181" i="1" s="1"/>
  <c r="G182" i="1" s="1"/>
  <c r="G183" i="1" s="1"/>
  <c r="G184" i="1" s="1"/>
  <c r="E178" i="1"/>
  <c r="D178" i="1"/>
  <c r="K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A171" i="1"/>
  <c r="A172" i="1" s="1"/>
  <c r="A173" i="1" s="1"/>
  <c r="A174" i="1" s="1"/>
  <c r="A175" i="1" s="1"/>
  <c r="A176" i="1" s="1"/>
  <c r="J170" i="1"/>
  <c r="G170" i="1"/>
  <c r="G171" i="1" s="1"/>
  <c r="G172" i="1" s="1"/>
  <c r="G173" i="1" s="1"/>
  <c r="G174" i="1" s="1"/>
  <c r="G175" i="1" s="1"/>
  <c r="G176" i="1" s="1"/>
  <c r="E170" i="1"/>
  <c r="D170" i="1"/>
  <c r="K169" i="1"/>
  <c r="E168" i="1"/>
  <c r="D168" i="1"/>
  <c r="K167" i="1"/>
  <c r="E166" i="1"/>
  <c r="D166" i="1"/>
  <c r="E165" i="1"/>
  <c r="D165" i="1"/>
  <c r="E164" i="1"/>
  <c r="D164" i="1"/>
  <c r="E163" i="1"/>
  <c r="D163" i="1"/>
  <c r="A163" i="1"/>
  <c r="A164" i="1" s="1"/>
  <c r="A165" i="1" s="1"/>
  <c r="A166" i="1" s="1"/>
  <c r="A167" i="1" s="1"/>
  <c r="A168" i="1" s="1"/>
  <c r="G162" i="1"/>
  <c r="E162" i="1"/>
  <c r="D162" i="1"/>
  <c r="K161" i="1"/>
  <c r="E160" i="1"/>
  <c r="D160" i="1"/>
  <c r="E159" i="1"/>
  <c r="D159" i="1"/>
  <c r="J158" i="1"/>
  <c r="E158" i="1"/>
  <c r="D158" i="1"/>
  <c r="E157" i="1"/>
  <c r="D157" i="1"/>
  <c r="J156" i="1"/>
  <c r="E156" i="1"/>
  <c r="D156" i="1"/>
  <c r="E155" i="1"/>
  <c r="D155" i="1"/>
  <c r="A155" i="1"/>
  <c r="A156" i="1" s="1"/>
  <c r="A157" i="1" s="1"/>
  <c r="A158" i="1" s="1"/>
  <c r="A159" i="1" s="1"/>
  <c r="A160" i="1" s="1"/>
  <c r="G154" i="1"/>
  <c r="E154" i="1"/>
  <c r="D154" i="1"/>
  <c r="K153" i="1"/>
  <c r="E152" i="1"/>
  <c r="D152" i="1"/>
  <c r="K151" i="1"/>
  <c r="E150" i="1"/>
  <c r="D150" i="1"/>
  <c r="J150" i="1" s="1"/>
  <c r="E149" i="1"/>
  <c r="D149" i="1"/>
  <c r="E148" i="1"/>
  <c r="D148" i="1"/>
  <c r="E147" i="1"/>
  <c r="D147" i="1"/>
  <c r="A147" i="1"/>
  <c r="A148" i="1" s="1"/>
  <c r="A149" i="1" s="1"/>
  <c r="A150" i="1" s="1"/>
  <c r="A151" i="1" s="1"/>
  <c r="A152" i="1" s="1"/>
  <c r="G146" i="1"/>
  <c r="G147" i="1" s="1"/>
  <c r="G148" i="1" s="1"/>
  <c r="G149" i="1" s="1"/>
  <c r="G150" i="1" s="1"/>
  <c r="G151" i="1" s="1"/>
  <c r="G152" i="1" s="1"/>
  <c r="E146" i="1"/>
  <c r="D146" i="1"/>
  <c r="K145" i="1"/>
  <c r="E144" i="1"/>
  <c r="D144" i="1"/>
  <c r="K143" i="1"/>
  <c r="J142" i="1"/>
  <c r="E142" i="1"/>
  <c r="D142" i="1"/>
  <c r="E141" i="1"/>
  <c r="D141" i="1"/>
  <c r="E140" i="1"/>
  <c r="K140" i="1" s="1"/>
  <c r="D140" i="1"/>
  <c r="E139" i="1"/>
  <c r="D139" i="1"/>
  <c r="A139" i="1"/>
  <c r="A140" i="1" s="1"/>
  <c r="A141" i="1" s="1"/>
  <c r="A142" i="1" s="1"/>
  <c r="A143" i="1" s="1"/>
  <c r="A144" i="1" s="1"/>
  <c r="G138" i="1"/>
  <c r="E138" i="1"/>
  <c r="D138" i="1"/>
  <c r="K137" i="1"/>
  <c r="E136" i="1"/>
  <c r="D136" i="1"/>
  <c r="E135" i="1"/>
  <c r="D135" i="1"/>
  <c r="J134" i="1"/>
  <c r="E134" i="1"/>
  <c r="D134" i="1"/>
  <c r="E133" i="1"/>
  <c r="D133" i="1"/>
  <c r="E132" i="1"/>
  <c r="D132" i="1"/>
  <c r="E131" i="1"/>
  <c r="D131" i="1"/>
  <c r="A131" i="1"/>
  <c r="A132" i="1" s="1"/>
  <c r="A133" i="1" s="1"/>
  <c r="A134" i="1" s="1"/>
  <c r="A135" i="1" s="1"/>
  <c r="A136" i="1" s="1"/>
  <c r="G130" i="1"/>
  <c r="G131" i="1" s="1"/>
  <c r="G132" i="1" s="1"/>
  <c r="G133" i="1" s="1"/>
  <c r="G134" i="1" s="1"/>
  <c r="G135" i="1" s="1"/>
  <c r="G136" i="1" s="1"/>
  <c r="E130" i="1"/>
  <c r="D130" i="1"/>
  <c r="K129" i="1"/>
  <c r="E128" i="1"/>
  <c r="D128" i="1"/>
  <c r="E127" i="1"/>
  <c r="D127" i="1"/>
  <c r="J126" i="1"/>
  <c r="E126" i="1"/>
  <c r="D126" i="1"/>
  <c r="E125" i="1"/>
  <c r="D125" i="1"/>
  <c r="E124" i="1"/>
  <c r="D124" i="1"/>
  <c r="E123" i="1"/>
  <c r="D123" i="1"/>
  <c r="A123" i="1"/>
  <c r="A124" i="1" s="1"/>
  <c r="A125" i="1" s="1"/>
  <c r="A126" i="1" s="1"/>
  <c r="A127" i="1" s="1"/>
  <c r="A128" i="1" s="1"/>
  <c r="G122" i="1"/>
  <c r="E122" i="1"/>
  <c r="D122" i="1"/>
  <c r="J121" i="1"/>
  <c r="F113" i="1"/>
  <c r="F112" i="1"/>
  <c r="F111" i="1"/>
  <c r="A111" i="1"/>
  <c r="A112" i="1" s="1"/>
  <c r="A113" i="1" s="1"/>
  <c r="G110" i="1"/>
  <c r="G111" i="1" s="1"/>
  <c r="G112" i="1" s="1"/>
  <c r="G113" i="1" s="1"/>
  <c r="F110" i="1"/>
  <c r="G104" i="1"/>
  <c r="E104" i="1"/>
  <c r="C104" i="1"/>
  <c r="G101" i="1"/>
  <c r="F93" i="1"/>
  <c r="C66" i="1"/>
  <c r="B67" i="1" s="1"/>
  <c r="D60" i="1"/>
  <c r="G51" i="1"/>
  <c r="G50" i="1"/>
  <c r="C50" i="1"/>
  <c r="E43" i="1"/>
  <c r="E44" i="1" s="1"/>
  <c r="E30" i="1"/>
  <c r="E27" i="1"/>
  <c r="E25" i="1"/>
  <c r="C15" i="1"/>
  <c r="I14" i="1"/>
  <c r="Z12" i="1"/>
  <c r="E7" i="1"/>
  <c r="E3" i="1"/>
  <c r="A209" i="1"/>
  <c r="H67" i="1"/>
  <c r="A203" i="1"/>
  <c r="A197" i="1"/>
  <c r="K165" i="1" l="1"/>
  <c r="K141" i="1"/>
  <c r="K131" i="1"/>
  <c r="K142" i="1"/>
  <c r="K138" i="1"/>
  <c r="K146" i="1"/>
  <c r="K149" i="1"/>
  <c r="K123" i="1"/>
  <c r="C101" i="1"/>
  <c r="K139" i="1"/>
  <c r="K136" i="1"/>
  <c r="K126" i="1"/>
  <c r="K152" i="1"/>
  <c r="K134" i="1"/>
  <c r="K148" i="1"/>
  <c r="K156" i="1"/>
  <c r="K178" i="1"/>
  <c r="K181" i="1"/>
  <c r="K163" i="1"/>
  <c r="K182" i="1"/>
  <c r="K135" i="1"/>
  <c r="K164" i="1"/>
  <c r="K168" i="1"/>
  <c r="K171" i="1"/>
  <c r="K175" i="1"/>
  <c r="K132" i="1"/>
  <c r="K150" i="1"/>
  <c r="K179" i="1"/>
  <c r="K130" i="1"/>
  <c r="K133" i="1"/>
  <c r="K144" i="1"/>
  <c r="K147" i="1"/>
  <c r="K155" i="1"/>
  <c r="K170" i="1"/>
  <c r="K173" i="1"/>
  <c r="K180" i="1"/>
  <c r="E101" i="1"/>
  <c r="K159" i="1"/>
  <c r="K172" i="1"/>
  <c r="K124" i="1"/>
  <c r="K154" i="1"/>
  <c r="K160" i="1"/>
  <c r="K166" i="1"/>
  <c r="K122" i="1"/>
  <c r="K128" i="1"/>
  <c r="K157" i="1"/>
  <c r="K176" i="1"/>
  <c r="K125" i="1"/>
  <c r="K158" i="1"/>
  <c r="K162" i="1"/>
  <c r="K184" i="1"/>
  <c r="K127" i="1"/>
  <c r="K174" i="1"/>
  <c r="J78" i="1"/>
  <c r="J76" i="1"/>
  <c r="J75" i="1"/>
  <c r="J77" i="1"/>
  <c r="J72" i="1"/>
  <c r="J73" i="1" s="1"/>
  <c r="J74" i="1" s="1"/>
  <c r="D79" i="1"/>
  <c r="D75" i="1"/>
  <c r="D78" i="1"/>
  <c r="D74" i="1"/>
  <c r="J70" i="1"/>
  <c r="D77" i="1"/>
  <c r="D73" i="1"/>
  <c r="D76" i="1"/>
  <c r="D72" i="1"/>
  <c r="J71" i="1"/>
  <c r="C70" i="1" s="1"/>
  <c r="D70" i="1" s="1"/>
  <c r="J69" i="1"/>
  <c r="J66" i="1"/>
  <c r="J68" i="1" s="1"/>
  <c r="A204" i="1"/>
  <c r="A198" i="1"/>
  <c r="A210" i="1"/>
  <c r="J79" i="1" l="1"/>
  <c r="C71" i="1" s="1"/>
  <c r="G70" i="1" s="1"/>
  <c r="D64" i="1" s="1"/>
  <c r="A205" i="1"/>
  <c r="A211" i="1"/>
  <c r="A199" i="1"/>
  <c r="E70" i="1" l="1"/>
  <c r="J67" i="1"/>
  <c r="D71" i="1"/>
  <c r="I67" i="1" s="1"/>
  <c r="I68" i="1" s="1"/>
  <c r="F65" i="1"/>
  <c r="D65" i="1"/>
  <c r="A206" i="1"/>
  <c r="A200" i="1"/>
  <c r="A212" i="1"/>
  <c r="I66" i="1" l="1"/>
  <c r="C68" i="1" s="1"/>
  <c r="A201" i="1"/>
  <c r="A213" i="1"/>
  <c r="A207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<sst xmlns="http://schemas.openxmlformats.org/spreadsheetml/2006/main" count="450" uniqueCount="298">
  <si>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</si>
  <si>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</si>
  <si>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</si>
  <si>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</si>
  <si>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</si>
  <si>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</si>
  <si>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</si>
  <si>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Paradisesuperstructures</t>
  </si>
  <si>
    <t>Name of the builder company</t>
  </si>
  <si>
    <t>Name of the Project</t>
  </si>
  <si>
    <t>Sai World Empire Phase IV</t>
  </si>
  <si>
    <t>Provided Contact Details (Name &amp; Contact No.)</t>
  </si>
  <si>
    <t>Mr. Anand 7045961325
Ms. Varsha 8879325648</t>
  </si>
  <si>
    <t>Site Person - Contact Details (Name &amp; Contact No.)</t>
  </si>
  <si>
    <t>Mr. Anand 7045961325</t>
  </si>
  <si>
    <t>Name / No of the Building</t>
  </si>
  <si>
    <t>Tower No.6 (Elizabeth)</t>
  </si>
  <si>
    <t>Name / No of the Existing Building</t>
  </si>
  <si>
    <t>NA</t>
  </si>
  <si>
    <t xml:space="preserve">Thane </t>
  </si>
  <si>
    <t>Palghar</t>
  </si>
  <si>
    <t>Mumbai</t>
  </si>
  <si>
    <t>Raigad</t>
  </si>
  <si>
    <t>Pune</t>
  </si>
  <si>
    <t>Docouments Provided</t>
  </si>
  <si>
    <t>Approved Plans, CC, Builder Sale Area, Cost Sheet</t>
  </si>
  <si>
    <t>Thane</t>
  </si>
  <si>
    <t>Mokhada</t>
  </si>
  <si>
    <t>Andheri</t>
  </si>
  <si>
    <t>Alibag</t>
  </si>
  <si>
    <t>Pune City</t>
  </si>
  <si>
    <t>RERA No.</t>
  </si>
  <si>
    <t>P52000051836</t>
  </si>
  <si>
    <t>Shahpur</t>
  </si>
  <si>
    <t>Talasari</t>
  </si>
  <si>
    <t>Borivali</t>
  </si>
  <si>
    <t>Panvel</t>
  </si>
  <si>
    <t>Haveli</t>
  </si>
  <si>
    <t xml:space="preserve">Project location details       </t>
  </si>
  <si>
    <t>Kalyan</t>
  </si>
  <si>
    <t>Vasai</t>
  </si>
  <si>
    <t>Kurla</t>
  </si>
  <si>
    <t>Uran</t>
  </si>
  <si>
    <t>Khed</t>
  </si>
  <si>
    <t>Survey No</t>
  </si>
  <si>
    <t>93/2 to 4, 94/1, 94/2, 94/3A, 94/3B, 94/4, 102/1A, 102/1B, 102/3, 102/4, 102/5A/2, 102/5B, 102/5C, 103/1A, 103/1B, 103/2A, 103/2B, 103/3</t>
  </si>
  <si>
    <t>Bhiwandi</t>
  </si>
  <si>
    <t>Vikramgad</t>
  </si>
  <si>
    <t>Karjat</t>
  </si>
  <si>
    <t>Baramati</t>
  </si>
  <si>
    <t>Locality</t>
  </si>
  <si>
    <t>Rohinjan</t>
  </si>
  <si>
    <t>Ulhasnagar</t>
  </si>
  <si>
    <t>Khalapur</t>
  </si>
  <si>
    <t>Junnar</t>
  </si>
  <si>
    <t>Road</t>
  </si>
  <si>
    <t>Valley Shilp Road</t>
  </si>
  <si>
    <t>Locality/Village</t>
  </si>
  <si>
    <t>Ambernath</t>
  </si>
  <si>
    <t>Dahanu</t>
  </si>
  <si>
    <t>Pen</t>
  </si>
  <si>
    <t>Shirur</t>
  </si>
  <si>
    <t>City</t>
  </si>
  <si>
    <t>Taloja</t>
  </si>
  <si>
    <t>District</t>
  </si>
  <si>
    <t>Murbad</t>
  </si>
  <si>
    <t>Wada</t>
  </si>
  <si>
    <t>Sudhagad</t>
  </si>
  <si>
    <t>Indapur</t>
  </si>
  <si>
    <t>Taluka</t>
  </si>
  <si>
    <t>Pin Code</t>
  </si>
  <si>
    <t>Mahad</t>
  </si>
  <si>
    <t>Daund</t>
  </si>
  <si>
    <t>Nearby Landmark</t>
  </si>
  <si>
    <t>Harmony School &amp; Jr. College</t>
  </si>
  <si>
    <t xml:space="preserve">Distance from city centre: </t>
  </si>
  <si>
    <t>3.5 KM from Taloja Panchanand Railway Station</t>
  </si>
  <si>
    <t>Roha</t>
  </si>
  <si>
    <t>Mawal</t>
  </si>
  <si>
    <t>Accessibility to the Project from the City: (Proximity to civic amenities like school, hospital, market, etc.)</t>
  </si>
  <si>
    <t>all available at  1 to 2 km.</t>
  </si>
  <si>
    <t>Mangaon</t>
  </si>
  <si>
    <t>Ambegaon</t>
  </si>
  <si>
    <t>Poladpur</t>
  </si>
  <si>
    <t>Purandhar</t>
  </si>
  <si>
    <t>Does property have Electricity / Water / Drainage Connection</t>
  </si>
  <si>
    <t>Yes</t>
  </si>
  <si>
    <t>Mahasala</t>
  </si>
  <si>
    <t>Bhor</t>
  </si>
  <si>
    <t>Class of locality</t>
  </si>
  <si>
    <t>Shriwardhan</t>
  </si>
  <si>
    <t>Mulshi</t>
  </si>
  <si>
    <t>Nature of land with topographical condtion</t>
  </si>
  <si>
    <t>Plane</t>
  </si>
  <si>
    <t>Murud</t>
  </si>
  <si>
    <t>Velhe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</si>
  <si>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</si>
  <si>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</si>
  <si>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</si>
  <si>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</si>
  <si>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</si>
  <si>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</si>
  <si>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</si>
  <si>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</si>
  <si>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</si>
  <si>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</si>
  <si>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</si>
  <si>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</si>
  <si>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12 m Wide Road</t>
  </si>
  <si>
    <t>Adhiraj Capital City 2</t>
  </si>
  <si>
    <t>West</t>
  </si>
  <si>
    <t>Garden Area</t>
  </si>
  <si>
    <t>North</t>
  </si>
  <si>
    <t>Jagruteshwar Shiv Mandir</t>
  </si>
  <si>
    <t>South</t>
  </si>
  <si>
    <t>Tower No. 5</t>
  </si>
  <si>
    <t>Swapnapurti Housing Society</t>
  </si>
  <si>
    <t>Does the boundaries at site match, as mentioned in the Docoumentation: NA</t>
  </si>
  <si>
    <t>Latitude, Longitude</t>
  </si>
  <si>
    <t>19.0819149,73.0730303</t>
  </si>
  <si>
    <t>Location Link</t>
  </si>
  <si>
    <t>https://goo.gl/maps/dq6pHjP35iGNcdUb6?coh=178572&amp;entry=tt</t>
  </si>
  <si>
    <t>Area Statement Details :</t>
  </si>
  <si>
    <t>Total Sale land area of the project in Sq. Mt.</t>
  </si>
  <si>
    <t>Permissible FSI</t>
  </si>
  <si>
    <t>Permissible TDR/Paid FSI</t>
  </si>
  <si>
    <t>about rental housing scheme discussion done with smit on 18/10/2023.</t>
  </si>
  <si>
    <t>Total FSI availaible for the project</t>
  </si>
  <si>
    <t>Total Approved Sale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</si>
  <si>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</si>
  <si>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</si>
  <si>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</si>
  <si>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</si>
  <si>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Panvel Municipal Corporation</t>
  </si>
  <si>
    <t xml:space="preserve">Layout Approval No     </t>
  </si>
  <si>
    <t>PMP/NRV/16094/J.K.897/2023</t>
  </si>
  <si>
    <t>Dated</t>
  </si>
  <si>
    <t>31/03/2023</t>
  </si>
  <si>
    <t xml:space="preserve">Approved Floor plan No.  </t>
  </si>
  <si>
    <t xml:space="preserve">Commencement-CC No
Valid Up to: </t>
  </si>
  <si>
    <t>PMP/TP/Rohinjan/93/2+4 &amp; other/21-23/16094/897/2023</t>
  </si>
  <si>
    <t>Phase IV - Tower No.6 (Elizabeth) = 2B + Gr + 3P + 4th to 46th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</si>
  <si>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</si>
  <si>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</si>
  <si>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</si>
  <si>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</si>
  <si>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</si>
  <si>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- 287</t>
  </si>
  <si>
    <t>Approved no of Floors</t>
  </si>
  <si>
    <t>Proposed no of Floors</t>
  </si>
  <si>
    <t>Expected Completion</t>
  </si>
  <si>
    <t>As per RERA - 30/12/2029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</si>
  <si>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</si>
  <si>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</si>
  <si>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</si>
  <si>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English Amphitheatre, Well-paved Jogging &amp; Cycling Track, Spanish Themed Kid's Park, Greek Themed Clubhouse, Multipurpose Court, Jacuzzis, Modern Gymnasium, Yoga &amp; Meditation Room, Leisure Pool, Wave Pool, Egyptian Themed Spa, Bamboo Mazed Garden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</si>
  <si>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</si>
  <si>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</si>
  <si>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</si>
  <si>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</si>
  <si>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</si>
  <si>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</si>
  <si>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</si>
  <si>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</si>
  <si>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</si>
  <si>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</si>
  <si>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</si>
  <si>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</si>
  <si>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</si>
  <si>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</si>
  <si>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</si>
  <si>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</si>
  <si>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</si>
  <si>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</si>
  <si>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</si>
  <si>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</si>
  <si>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</si>
  <si>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</si>
  <si>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</si>
  <si>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</si>
  <si>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</si>
  <si>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</si>
  <si>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</si>
  <si>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</si>
  <si>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</si>
  <si>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</si>
  <si>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</si>
  <si>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</si>
  <si>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</si>
  <si>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</si>
  <si>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</si>
  <si>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</si>
  <si>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</si>
  <si>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</si>
  <si>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</si>
  <si>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</si>
  <si>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</si>
  <si>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</si>
  <si>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 from 2nd Floor</t>
  </si>
  <si>
    <t>10500 to 11000 by smit 26/10/2023</t>
  </si>
  <si>
    <t>Development Charges</t>
  </si>
  <si>
    <t>cost sheet added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</si>
  <si>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</si>
  <si>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</si>
  <si>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</si>
  <si>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</si>
  <si>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</si>
  <si>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</si>
  <si>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</si>
  <si>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</si>
  <si>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</si>
  <si>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</si>
  <si>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</si>
  <si>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</si>
  <si>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</si>
  <si>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Total</t>
  </si>
  <si>
    <t>Residential Area Details :</t>
  </si>
  <si>
    <t>Tower No. 6</t>
  </si>
  <si>
    <t>Grand Total</t>
  </si>
  <si>
    <t>Building details Floor Wise</t>
  </si>
  <si>
    <t xml:space="preserve">Details of Residential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</si>
  <si>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</si>
  <si>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 (Sale Plan)</t>
  </si>
  <si>
    <t>Description</t>
  </si>
  <si>
    <t>Gross Carpet area</t>
  </si>
  <si>
    <t>Attached Loft area</t>
  </si>
  <si>
    <t>Saleable area Loading :</t>
  </si>
  <si>
    <t>Floor</t>
  </si>
  <si>
    <t>Ground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</si>
  <si>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</si>
  <si>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 (Sale Plan)</t>
  </si>
  <si>
    <t>Attached Terrace area</t>
  </si>
  <si>
    <t>Builder Saleable area</t>
  </si>
  <si>
    <t>Phase IV</t>
  </si>
  <si>
    <t>Tower No. 6 (Elizabeth)</t>
  </si>
  <si>
    <t>2nd &amp; 1st Basement Floor For Parking &amp; Tanks</t>
  </si>
  <si>
    <t>Ground, 1st Podium &amp; 2nd Podium Floor for Parking</t>
  </si>
  <si>
    <t>3rd Garden Podium Floor for Amenities &amp; Parking</t>
  </si>
  <si>
    <t>4th, 6th, 8th, 10th, 14th, 16th, 18th, 20th, 24th, 26th &amp; 28th Floor For Residential</t>
  </si>
  <si>
    <t>3BHK</t>
  </si>
  <si>
    <t>4BHK</t>
  </si>
  <si>
    <t>2BHK</t>
  </si>
  <si>
    <t>5th, 9th, 11th, 13th, 15th, 19th, 21st, 23rd, 25th &amp; 29th Floor</t>
  </si>
  <si>
    <t>12th &amp; 22nd Floor (Part Refuge Area)</t>
  </si>
  <si>
    <t>Refuge Area</t>
  </si>
  <si>
    <t>7th, 17th &amp; 27th Floor (Part Refuge Area)</t>
  </si>
  <si>
    <t>30th, 34th, 36th, 38th, 40th, 44th &amp; 46th Floor</t>
  </si>
  <si>
    <t>32nd Floor (Part Refuge Area)</t>
  </si>
  <si>
    <t>31st, 33rd, 35th, 39th, 41st, 43rd &amp; 45th Floor</t>
  </si>
  <si>
    <t>37th Floor (Part Refuge Area)</t>
  </si>
  <si>
    <t>2nd Floor</t>
  </si>
  <si>
    <t>3rd, 5th, 7th, 9th, 11th, 13th, 15th Floor</t>
  </si>
  <si>
    <t>2nd to 5th Floor</t>
  </si>
  <si>
    <t>2nd &amp; 5th Floor</t>
  </si>
  <si>
    <t xml:space="preserve">Remarks:  </t>
  </si>
  <si>
    <t>*</t>
  </si>
  <si>
    <t>We considered Carpet area as per Approved Plan.</t>
  </si>
  <si>
    <t>We considered Gross carpet area = Net carpet + Balcony + D.B Area + Niche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</si>
  <si>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</si>
  <si>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</si>
  <si>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</si>
  <si>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</si>
  <si>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The 42nd floor is not mentioned in provided approved floor plans, please provide approved floor plan of 42nd Floor.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</si>
  <si>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</si>
  <si>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</si>
  <si>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</si>
  <si>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</si>
  <si>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</si>
  <si>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</si>
  <si>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</si>
  <si>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</si>
  <si>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</si>
  <si>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</si>
  <si>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</si>
  <si>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</si>
  <si>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</si>
  <si>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</si>
  <si>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</si>
  <si>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</si>
  <si>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</si>
  <si>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</si>
  <si>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</si>
  <si>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</si>
  <si>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</si>
  <si>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</si>
  <si>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</si>
  <si>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</si>
  <si>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</si>
  <si>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Approved Plans, CC, Sale Plans, Builder Saleable Area, Cost Sheet, Airport Noc, Railway Noc, OC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</si>
  <si>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</si>
  <si>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</si>
  <si>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</si>
  <si>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</si>
  <si>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</si>
  <si>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 xml:space="preserve">Construction % is given more as only 3rd slab is completed </t>
  </si>
  <si>
    <t>Construction stage is same as last visit dtd.05/06/2025</t>
  </si>
  <si>
    <t>Pranita Mhatre</t>
  </si>
  <si>
    <t>Sunil Peravi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</si>
</sst>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;@"/>
    <numFmt numFmtId="167" formatCode="0.0"/>
    <numFmt numFmtId="168" formatCode="_ * #,##0_ ;_ * \-#,##0_ ;_ * &quot;-&quot;??_ ;_ @_ "/>
  </numFmts>
  <fonts count="28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9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8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9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8" fillId="2" borderId="31" xfId="0" applyFont="1" applyFill="1" applyBorder="1"/>
    <xf numFmtId="0" fontId="19" fillId="0" borderId="32" xfId="0" applyFont="1" applyBorder="1"/>
    <xf numFmtId="0" fontId="19" fillId="0" borderId="1" xfId="0" applyFont="1" applyBorder="1"/>
    <xf numFmtId="0" fontId="19" fillId="0" borderId="19" xfId="0" applyFont="1" applyBorder="1"/>
    <xf numFmtId="0" fontId="20" fillId="0" borderId="0" xfId="0" applyFont="1" applyProtection="1">
      <protection hidden="1"/>
    </xf>
    <xf numFmtId="0" fontId="10" fillId="0" borderId="22" xfId="8" applyFont="1" applyBorder="1"/>
    <xf numFmtId="0" fontId="20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0" fillId="0" borderId="33" xfId="0" applyFont="1" applyBorder="1" applyProtection="1">
      <protection hidden="1"/>
    </xf>
    <xf numFmtId="1" fontId="0" fillId="0" borderId="27" xfId="0" applyNumberFormat="1" applyBorder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6" fillId="0" borderId="0" xfId="8" applyFont="1" applyProtection="1">
      <protection locked="0"/>
    </xf>
    <xf numFmtId="0" fontId="27" fillId="0" borderId="0" xfId="8" applyFont="1"/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10" fillId="0" borderId="12" xfId="8" applyFont="1" applyBorder="1" applyAlignment="1">
      <alignment horizontal="center"/>
    </xf>
    <xf numFmtId="0" fontId="10" fillId="0" borderId="0" xfId="8" applyFont="1" applyAlignment="1">
      <alignment horizontal="center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2" xfId="8" applyFont="1" applyBorder="1" applyAlignment="1" applyProtection="1">
      <alignment horizontal="center" vertical="top"/>
      <protection locked="0"/>
    </xf>
    <xf numFmtId="0" fontId="13" fillId="0" borderId="3" xfId="8" applyFont="1" applyBorder="1" applyAlignment="1" applyProtection="1">
      <alignment horizontal="center" vertical="top"/>
      <protection locked="0"/>
    </xf>
    <xf numFmtId="0" fontId="13" fillId="0" borderId="4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2" xfId="8" applyFont="1" applyBorder="1" applyAlignment="1" applyProtection="1">
      <alignment horizontal="center" vertical="top"/>
      <protection locked="0"/>
    </xf>
    <xf numFmtId="0" fontId="7" fillId="0" borderId="3" xfId="8" applyFont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4" fillId="0" borderId="1" xfId="3" applyFont="1" applyFill="1" applyBorder="1" applyAlignment="1" applyProtection="1">
      <alignment horizontal="left" vertical="top" wrapText="1"/>
      <protection locked="0"/>
    </xf>
    <xf numFmtId="2" fontId="7" fillId="0" borderId="1" xfId="8" applyNumberFormat="1" applyFont="1" applyBorder="1" applyAlignment="1" applyProtection="1">
      <alignment horizontal="left" vertical="top" wrapText="1"/>
      <protection locked="0"/>
    </xf>
    <xf numFmtId="167" fontId="7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66" fontId="9" fillId="0" borderId="2" xfId="8" applyNumberFormat="1" applyFont="1" applyBorder="1" applyAlignment="1" applyProtection="1">
      <alignment horizontal="left" vertical="top" wrapText="1"/>
      <protection locked="0"/>
    </xf>
    <xf numFmtId="166" fontId="9" fillId="0" borderId="4" xfId="8" applyNumberFormat="1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12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168" fontId="7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top" wrapText="1"/>
      <protection locked="0"/>
    </xf>
    <xf numFmtId="1" fontId="12" fillId="0" borderId="10" xfId="0" applyNumberFormat="1" applyFont="1" applyBorder="1" applyAlignment="1" applyProtection="1">
      <alignment horizontal="center" vertical="top" wrapText="1"/>
      <protection locked="0"/>
    </xf>
    <xf numFmtId="1" fontId="12" fillId="0" borderId="28" xfId="0" applyNumberFormat="1" applyFont="1" applyBorder="1" applyAlignment="1" applyProtection="1">
      <alignment horizontal="center" vertical="center" wrapText="1"/>
      <protection locked="0"/>
    </xf>
    <xf numFmtId="1" fontId="12" fillId="0" borderId="29" xfId="0" applyNumberFormat="1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top" wrapText="1"/>
      <protection locked="0"/>
    </xf>
    <xf numFmtId="1" fontId="12" fillId="0" borderId="29" xfId="0" applyNumberFormat="1" applyFont="1" applyBorder="1" applyAlignment="1" applyProtection="1">
      <alignment horizontal="center" vertical="top" wrapText="1"/>
      <protection locked="0"/>
    </xf>
    <xf numFmtId="1" fontId="12" fillId="0" borderId="30" xfId="0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10" fillId="0" borderId="0" xfId="8" applyFont="1" applyAlignment="1">
      <alignment horizontal="center" vertical="center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3" fillId="0" borderId="2" xfId="8" applyNumberFormat="1" applyFont="1" applyBorder="1" applyAlignment="1" applyProtection="1">
      <alignment horizontal="center" vertical="center" wrapText="1"/>
      <protection locked="0"/>
    </xf>
    <xf numFmtId="1" fontId="13" fillId="0" borderId="3" xfId="8" applyNumberFormat="1" applyFont="1" applyBorder="1" applyAlignment="1" applyProtection="1">
      <alignment horizontal="center" vertical="center" wrapText="1"/>
      <protection locked="0"/>
    </xf>
    <xf numFmtId="1" fontId="13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2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Fill="1" applyBorder="1" applyAlignment="1" applyProtection="1">
      <alignment vertical="top" wrapText="1"/>
      <protection locked="0"/>
    </xf>
    <xf numFmtId="1" fontId="12" fillId="0" borderId="3" xfId="0" applyNumberFormat="1" applyFont="1" applyFill="1" applyBorder="1" applyAlignment="1" applyProtection="1">
      <alignment vertical="top" wrapText="1"/>
      <protection locked="0"/>
    </xf>
    <xf numFmtId="1" fontId="12" fillId="0" borderId="4" xfId="0" applyNumberFormat="1" applyFont="1" applyFill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383437</xdr:colOff>
      <xdr:row>3</xdr:row>
      <xdr:rowOff>70230</xdr:rowOff>
    </xdr:from>
    <xdr:to>
      <xdr:col>19</xdr:col>
      <xdr:colOff>14206</xdr:colOff>
      <xdr:row>7</xdr:row>
      <xdr:rowOff>128152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705" y="1069975"/>
          <a:ext cx="6698615" cy="848360"/>
        </a:xfrm>
        <a:prstGeom prst="rect">
          <a:avLst/>
        </a:prstGeom>
      </xdr:spPr>
    </xdr:pic>
    <xdr:clientData/>
  </xdr:twoCellAnchor>
  <xdr:twoCellAnchor editAs="oneCell">
    <xdr:from>
      <xdr:col>0</xdr:col>
      <xdr:colOff>289891</xdr:colOff>
      <xdr:row>281</xdr:row>
      <xdr:rowOff>57978</xdr:rowOff>
    </xdr:from>
    <xdr:to>
      <xdr:col>7</xdr:col>
      <xdr:colOff>376304</xdr:colOff>
      <xdr:row>312</xdr:row>
      <xdr:rowOff>164374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89560" y="51019710"/>
          <a:ext cx="5763260" cy="63068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289891</xdr:colOff>
      <xdr:row>288</xdr:row>
      <xdr:rowOff>91107</xdr:rowOff>
    </xdr:from>
    <xdr:to>
      <xdr:col>5</xdr:col>
      <xdr:colOff>256761</xdr:colOff>
      <xdr:row>294</xdr:row>
      <xdr:rowOff>57977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728102">
          <a:off x="3642360" y="52452905"/>
          <a:ext cx="748030" cy="116713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505239</xdr:colOff>
      <xdr:row>289</xdr:row>
      <xdr:rowOff>182218</xdr:rowOff>
    </xdr:from>
    <xdr:ext cx="65998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38675" y="52743735"/>
          <a:ext cx="660400" cy="2647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6</a:t>
          </a:r>
        </a:p>
      </xdr:txBody>
    </xdr:sp>
    <xdr:clientData/>
  </xdr:oneCellAnchor>
  <xdr:oneCellAnchor>
    <xdr:from>
      <xdr:col>5</xdr:col>
      <xdr:colOff>127553</xdr:colOff>
      <xdr:row>296</xdr:row>
      <xdr:rowOff>102704</xdr:rowOff>
    </xdr:from>
    <xdr:ext cx="659989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60850" y="54064535"/>
          <a:ext cx="660400" cy="2647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5</a:t>
          </a:r>
        </a:p>
      </xdr:txBody>
    </xdr:sp>
    <xdr:clientData/>
  </xdr:oneCellAnchor>
  <xdr:oneCellAnchor>
    <xdr:from>
      <xdr:col>4</xdr:col>
      <xdr:colOff>97734</xdr:colOff>
      <xdr:row>300</xdr:row>
      <xdr:rowOff>106018</xdr:rowOff>
    </xdr:from>
    <xdr:ext cx="659989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49955" y="54867810"/>
          <a:ext cx="660400" cy="2647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4</a:t>
          </a:r>
        </a:p>
      </xdr:txBody>
    </xdr:sp>
    <xdr:clientData/>
  </xdr:oneCellAnchor>
  <xdr:oneCellAnchor>
    <xdr:from>
      <xdr:col>0</xdr:col>
      <xdr:colOff>664266</xdr:colOff>
      <xdr:row>297</xdr:row>
      <xdr:rowOff>43070</xdr:rowOff>
    </xdr:from>
    <xdr:ext cx="659989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64210" y="54204870"/>
          <a:ext cx="659765" cy="2647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3</a:t>
          </a:r>
        </a:p>
      </xdr:txBody>
    </xdr:sp>
    <xdr:clientData/>
  </xdr:oneCellAnchor>
  <xdr:oneCellAnchor>
    <xdr:from>
      <xdr:col>0</xdr:col>
      <xdr:colOff>535057</xdr:colOff>
      <xdr:row>292</xdr:row>
      <xdr:rowOff>104361</xdr:rowOff>
    </xdr:from>
    <xdr:ext cx="659989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34670" y="53266340"/>
          <a:ext cx="659765" cy="2641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2</a:t>
          </a:r>
        </a:p>
      </xdr:txBody>
    </xdr:sp>
    <xdr:clientData/>
  </xdr:oneCellAnchor>
  <xdr:oneCellAnchor>
    <xdr:from>
      <xdr:col>0</xdr:col>
      <xdr:colOff>637761</xdr:colOff>
      <xdr:row>286</xdr:row>
      <xdr:rowOff>157371</xdr:rowOff>
    </xdr:from>
    <xdr:ext cx="65998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37540" y="52118895"/>
          <a:ext cx="659765" cy="2647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</a:t>
          </a:r>
        </a:p>
      </xdr:txBody>
    </xdr:sp>
    <xdr:clientData/>
  </xdr:oneCellAnchor>
  <xdr:twoCellAnchor editAs="oneCell">
    <xdr:from>
      <xdr:col>0</xdr:col>
      <xdr:colOff>149087</xdr:colOff>
      <xdr:row>343</xdr:row>
      <xdr:rowOff>142571</xdr:rowOff>
    </xdr:from>
    <xdr:to>
      <xdr:col>7</xdr:col>
      <xdr:colOff>522986</xdr:colOff>
      <xdr:row>362</xdr:row>
      <xdr:rowOff>97126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8590" y="63705740"/>
          <a:ext cx="6050915" cy="3754755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324</xdr:row>
      <xdr:rowOff>16566</xdr:rowOff>
    </xdr:from>
    <xdr:to>
      <xdr:col>7</xdr:col>
      <xdr:colOff>522986</xdr:colOff>
      <xdr:row>342</xdr:row>
      <xdr:rowOff>186899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48590" y="59779535"/>
          <a:ext cx="6050915" cy="377063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37</xdr:row>
      <xdr:rowOff>66675</xdr:rowOff>
    </xdr:from>
    <xdr:to>
      <xdr:col>16</xdr:col>
      <xdr:colOff>518834</xdr:colOff>
      <xdr:row>41</xdr:row>
      <xdr:rowOff>115071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5" y="9620250"/>
          <a:ext cx="6681470" cy="84836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16</xdr:col>
      <xdr:colOff>506346</xdr:colOff>
      <xdr:row>130</xdr:row>
      <xdr:rowOff>145129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43800" y="21726525"/>
          <a:ext cx="5744845" cy="4345305"/>
        </a:xfrm>
        <a:prstGeom prst="rect">
          <a:avLst/>
        </a:prstGeom>
      </xdr:spPr>
    </xdr:pic>
    <xdr:clientData/>
  </xdr:twoCellAnchor>
  <xdr:twoCellAnchor>
    <xdr:from>
      <xdr:col>8</xdr:col>
      <xdr:colOff>598539</xdr:colOff>
      <xdr:row>248</xdr:row>
      <xdr:rowOff>86469</xdr:rowOff>
    </xdr:from>
    <xdr:to>
      <xdr:col>16</xdr:col>
      <xdr:colOff>399035</xdr:colOff>
      <xdr:row>283</xdr:row>
      <xdr:rowOff>90300</xdr:rowOff>
    </xdr:to>
    <xdr:grpSp>
      <xdr:nvGrpSpPr>
        <xdr:cNvPr id="5" name="Group 4"/>
        <xdr:cNvGrpSpPr/>
      </xdr:nvGrpSpPr>
      <xdr:grpSpPr>
        <a:xfrm>
          <a:off x="6980289" y="44044344"/>
          <a:ext cx="6201296" cy="7004706"/>
          <a:chOff x="66675" y="41895712"/>
          <a:chExt cx="6216985" cy="7003463"/>
        </a:xfrm>
      </xdr:grpSpPr>
      <xdr:pic>
        <xdr:nvPicPr>
          <xdr:cNvPr id="33" name="Picture 32" descr="https://vsjcllp.vsjadon.com/upload/insp-23640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28875" y="467391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402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76675" y="44272199"/>
            <a:ext cx="1776941" cy="2371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402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19125" y="44286486"/>
            <a:ext cx="3159372" cy="2371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402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41895712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402-9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19450" y="41895712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22413</xdr:colOff>
      <xdr:row>237</xdr:row>
      <xdr:rowOff>56029</xdr:rowOff>
    </xdr:from>
    <xdr:to>
      <xdr:col>6</xdr:col>
      <xdr:colOff>750795</xdr:colOff>
      <xdr:row>277</xdr:row>
      <xdr:rowOff>156882</xdr:rowOff>
    </xdr:to>
    <xdr:grpSp>
      <xdr:nvGrpSpPr>
        <xdr:cNvPr id="22" name="Group 21"/>
        <xdr:cNvGrpSpPr/>
      </xdr:nvGrpSpPr>
      <xdr:grpSpPr>
        <a:xfrm>
          <a:off x="784413" y="41823154"/>
          <a:ext cx="4881282" cy="8092328"/>
          <a:chOff x="759547" y="533828"/>
          <a:chExt cx="4530581" cy="8095822"/>
        </a:xfrm>
      </xdr:grpSpPr>
      <xdr:pic>
        <xdr:nvPicPr>
          <xdr:cNvPr id="23" name="Picture 22" descr="https://vsjcllp.vsjadon.com/upload/insp-24686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6025" y="4085689"/>
            <a:ext cx="3313125" cy="24871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67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9547" y="533828"/>
            <a:ext cx="4530581" cy="34010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67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61711" y="6723612"/>
            <a:ext cx="1428040" cy="19060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86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67837" y="6723612"/>
            <a:ext cx="1428040" cy="19060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592003</xdr:colOff>
      <xdr:row>38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676525"/>
          <a:ext cx="8326120" cy="4679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15</xdr:col>
      <xdr:colOff>100348</xdr:colOff>
      <xdr:row>78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7629525"/>
          <a:ext cx="12997180" cy="7313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15</xdr:col>
      <xdr:colOff>100348</xdr:colOff>
      <xdr:row>118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" y="15249525"/>
          <a:ext cx="12997180" cy="731393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120</xdr:row>
      <xdr:rowOff>0</xdr:rowOff>
    </xdr:from>
    <xdr:to>
      <xdr:col>9</xdr:col>
      <xdr:colOff>191747</xdr:colOff>
      <xdr:row>148</xdr:row>
      <xdr:rowOff>66000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22869525"/>
          <a:ext cx="9601835" cy="5399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q6pHjP35iGNcdUb6?coh=178572&amp;entry=t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25"/>
  <sheetViews>
    <sheetView tabSelected="1" view="pageBreakPreview" zoomScaleNormal="100" zoomScaleSheetLayoutView="100" zoomScalePageLayoutView="85" workbookViewId="0">
      <selection activeCell="I6" sqref="I6"/>
    </sheetView>
  </sheetViews>
  <sheetFormatPr defaultColWidth="9.140625" defaultRowHeight="15.75"/>
  <cols>
    <col min="1" max="1" width="11.42578125" style="21" customWidth="1"/>
    <col min="2" max="2" width="12" style="21" customWidth="1"/>
    <col min="3" max="3" width="12.7109375" style="21" customWidth="1"/>
    <col min="4" max="4" width="14.140625" style="21" customWidth="1"/>
    <col min="5" max="6" width="11.7109375" style="21" customWidth="1"/>
    <col min="7" max="7" width="11.42578125" style="21" customWidth="1"/>
    <col min="8" max="8" width="10.5703125" style="21" customWidth="1"/>
    <col min="9" max="9" width="17.42578125" style="22" customWidth="1"/>
    <col min="10" max="10" width="11.42578125" style="22" customWidth="1"/>
    <col min="11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26" ht="46.5" customHeight="1">
      <c r="A1" s="59" t="s">
        <v>0</v>
      </c>
      <c r="B1" s="59"/>
      <c r="C1" s="59"/>
      <c r="D1" s="59"/>
      <c r="E1" s="59"/>
      <c r="F1" s="59"/>
      <c r="G1" s="59"/>
      <c r="H1" s="59"/>
    </row>
    <row r="2" spans="1:26" ht="16.5" customHeight="1">
      <c r="A2" s="60" t="s">
        <v>1</v>
      </c>
      <c r="B2" s="60"/>
      <c r="C2" s="60"/>
      <c r="D2" s="60"/>
      <c r="E2" s="60"/>
      <c r="F2" s="60"/>
      <c r="G2" s="60"/>
      <c r="H2" s="60"/>
    </row>
    <row r="3" spans="1:26">
      <c r="A3" s="61" t="s">
        <v>2</v>
      </c>
      <c r="B3" s="61"/>
      <c r="C3" s="61"/>
      <c r="D3" s="61"/>
      <c r="E3" s="61" t="str">
        <f ca="1">TEXT(TODAY(),"DD/MM/YYYY")</f>
        <v>19/09/2025</v>
      </c>
      <c r="F3" s="61"/>
      <c r="G3" s="61"/>
      <c r="H3" s="61"/>
    </row>
    <row r="4" spans="1:26" ht="15" customHeight="1">
      <c r="A4" s="61" t="s">
        <v>3</v>
      </c>
      <c r="B4" s="61"/>
      <c r="C4" s="61"/>
      <c r="D4" s="61"/>
      <c r="E4" s="61" t="s">
        <v>4</v>
      </c>
      <c r="F4" s="61"/>
      <c r="G4" s="61"/>
      <c r="H4" s="61"/>
    </row>
    <row r="5" spans="1:26">
      <c r="A5" s="61" t="s">
        <v>5</v>
      </c>
      <c r="B5" s="61"/>
      <c r="C5" s="61"/>
      <c r="D5" s="61"/>
      <c r="E5" s="62">
        <v>45909</v>
      </c>
      <c r="F5" s="62"/>
      <c r="G5" s="62"/>
      <c r="H5" s="62"/>
    </row>
    <row r="6" spans="1:26" ht="16.5" customHeight="1">
      <c r="A6" s="61" t="s">
        <v>6</v>
      </c>
      <c r="B6" s="61"/>
      <c r="C6" s="61"/>
      <c r="D6" s="61"/>
      <c r="E6" s="61" t="s">
        <v>7</v>
      </c>
      <c r="F6" s="61"/>
      <c r="G6" s="61"/>
      <c r="H6" s="61"/>
    </row>
    <row r="7" spans="1:26" ht="15" customHeight="1">
      <c r="A7" s="61" t="s">
        <v>8</v>
      </c>
      <c r="B7" s="61"/>
      <c r="C7" s="61"/>
      <c r="D7" s="61"/>
      <c r="E7" s="61" t="str">
        <f>E6</f>
        <v>Paradisesuperstructures</v>
      </c>
      <c r="F7" s="61"/>
      <c r="G7" s="61"/>
      <c r="H7" s="61"/>
    </row>
    <row r="8" spans="1:26">
      <c r="A8" s="61" t="s">
        <v>9</v>
      </c>
      <c r="B8" s="61"/>
      <c r="C8" s="61"/>
      <c r="D8" s="61"/>
      <c r="E8" s="63" t="s">
        <v>10</v>
      </c>
      <c r="F8" s="63"/>
      <c r="G8" s="63"/>
      <c r="H8" s="63"/>
    </row>
    <row r="9" spans="1:26" ht="33.75" customHeight="1">
      <c r="A9" s="61" t="s">
        <v>11</v>
      </c>
      <c r="B9" s="61"/>
      <c r="C9" s="61"/>
      <c r="D9" s="61"/>
      <c r="E9" s="64" t="s">
        <v>12</v>
      </c>
      <c r="F9" s="61"/>
      <c r="G9" s="61"/>
      <c r="H9" s="61"/>
    </row>
    <row r="10" spans="1:26">
      <c r="A10" s="61" t="s">
        <v>13</v>
      </c>
      <c r="B10" s="61"/>
      <c r="C10" s="61"/>
      <c r="D10" s="61"/>
      <c r="E10" s="61" t="s">
        <v>18</v>
      </c>
      <c r="F10" s="61"/>
      <c r="G10" s="61"/>
      <c r="H10" s="61"/>
      <c r="I10" s="61" t="s">
        <v>14</v>
      </c>
      <c r="J10" s="61"/>
      <c r="K10" s="61"/>
      <c r="L10" s="61"/>
    </row>
    <row r="11" spans="1:26">
      <c r="A11" s="61" t="s">
        <v>15</v>
      </c>
      <c r="B11" s="61"/>
      <c r="C11" s="61"/>
      <c r="D11" s="61"/>
      <c r="E11" s="61" t="s">
        <v>16</v>
      </c>
      <c r="F11" s="61"/>
      <c r="G11" s="61"/>
      <c r="H11" s="61"/>
    </row>
    <row r="12" spans="1:26">
      <c r="A12" s="61" t="s">
        <v>17</v>
      </c>
      <c r="B12" s="61"/>
      <c r="C12" s="61"/>
      <c r="D12" s="61"/>
      <c r="E12" s="61" t="s">
        <v>18</v>
      </c>
      <c r="F12" s="61"/>
      <c r="G12" s="61"/>
      <c r="H12" s="61"/>
      <c r="I12" s="61">
        <v>2227831000</v>
      </c>
      <c r="J12" s="61"/>
      <c r="K12" s="61"/>
      <c r="L12" s="61"/>
      <c r="S12" s="2" t="s">
        <v>19</v>
      </c>
      <c r="T12" s="2" t="s">
        <v>20</v>
      </c>
      <c r="U12" s="2" t="s">
        <v>21</v>
      </c>
      <c r="V12" s="2" t="s">
        <v>22</v>
      </c>
      <c r="W12" s="2" t="s">
        <v>23</v>
      </c>
      <c r="X12"/>
      <c r="Y12" t="s">
        <v>22</v>
      </c>
      <c r="Z12" t="e">
        <f ca="1">OFFSET($S$12,1,MATCH($G19,$S$12:$W$12,0)-1,15,1)</f>
        <v>#VALUE!</v>
      </c>
    </row>
    <row r="13" spans="1:26" ht="32.25" customHeight="1">
      <c r="A13" s="65" t="s">
        <v>24</v>
      </c>
      <c r="B13" s="65"/>
      <c r="C13" s="65"/>
      <c r="D13" s="65"/>
      <c r="E13" s="64" t="s">
        <v>25</v>
      </c>
      <c r="F13" s="64"/>
      <c r="G13" s="64"/>
      <c r="H13" s="64"/>
      <c r="S13" s="2" t="s">
        <v>26</v>
      </c>
      <c r="T13" s="2" t="s">
        <v>27</v>
      </c>
      <c r="U13" s="2" t="s">
        <v>28</v>
      </c>
      <c r="V13" s="2" t="s">
        <v>29</v>
      </c>
      <c r="W13" s="2" t="s">
        <v>30</v>
      </c>
      <c r="X13"/>
      <c r="Y13"/>
      <c r="Z13"/>
    </row>
    <row r="14" spans="1:26">
      <c r="A14" s="65" t="s">
        <v>31</v>
      </c>
      <c r="B14" s="65"/>
      <c r="C14" s="65"/>
      <c r="D14" s="65"/>
      <c r="E14" s="64" t="s">
        <v>32</v>
      </c>
      <c r="F14" s="61"/>
      <c r="G14" s="61"/>
      <c r="H14" s="61"/>
      <c r="I14" s="66" t="e">
        <f ca="1">OFFSET($D$4,1,MATCH($J12,$D$4:$H$4,0)-1,15,1)</f>
        <v>#N/A</v>
      </c>
      <c r="J14" s="67"/>
      <c r="K14" s="67"/>
      <c r="L14" s="67"/>
      <c r="M14" s="67"/>
      <c r="N14" s="67"/>
      <c r="O14" s="67"/>
      <c r="P14" s="67"/>
      <c r="S14" s="2" t="s">
        <v>33</v>
      </c>
      <c r="T14" s="2" t="s">
        <v>34</v>
      </c>
      <c r="U14" s="2" t="s">
        <v>35</v>
      </c>
      <c r="V14" s="2" t="s">
        <v>36</v>
      </c>
      <c r="W14" s="2" t="s">
        <v>37</v>
      </c>
      <c r="X14"/>
      <c r="Y14"/>
      <c r="Z14"/>
    </row>
    <row r="15" spans="1:26" ht="70.5" customHeight="1">
      <c r="A15" s="68" t="s">
        <v>38</v>
      </c>
      <c r="B15" s="68"/>
      <c r="C15" s="6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 World Empire Phase IV, Survey No.93/2 to 4, 94/1, 94/2, 94/3A, 94/3B, 94/4, 102/1A, 102/1B, 102/3, 102/4, 102/5A/2, 102/5B, 102/5C, 103/1A, 103/1B, 103/2A, 103/2B, 103/3, near Harmony School &amp; Jr. College, Valley Shilp Road, Rohinjan, Rohinjan, Taloja, Panvel, Raigad - 410206.</v>
      </c>
      <c r="D15" s="68"/>
      <c r="E15" s="68"/>
      <c r="F15" s="68"/>
      <c r="G15" s="68"/>
      <c r="H15" s="68"/>
      <c r="S15" s="2" t="s">
        <v>39</v>
      </c>
      <c r="T15" s="2" t="s">
        <v>40</v>
      </c>
      <c r="U15" s="2" t="s">
        <v>41</v>
      </c>
      <c r="V15" s="2" t="s">
        <v>42</v>
      </c>
      <c r="W15" s="2" t="s">
        <v>43</v>
      </c>
      <c r="X15"/>
      <c r="Y15"/>
      <c r="Z15"/>
    </row>
    <row r="16" spans="1:26" ht="33" customHeight="1">
      <c r="A16" s="64" t="s">
        <v>44</v>
      </c>
      <c r="B16" s="64"/>
      <c r="C16" s="64" t="s">
        <v>45</v>
      </c>
      <c r="D16" s="64"/>
      <c r="E16" s="64"/>
      <c r="F16" s="64"/>
      <c r="G16" s="64"/>
      <c r="H16" s="64"/>
      <c r="S16" s="2" t="s">
        <v>46</v>
      </c>
      <c r="T16" s="2" t="s">
        <v>47</v>
      </c>
      <c r="U16" s="2"/>
      <c r="V16" s="2" t="s">
        <v>48</v>
      </c>
      <c r="W16" s="2" t="s">
        <v>49</v>
      </c>
      <c r="X16"/>
      <c r="Y16"/>
      <c r="Z16"/>
    </row>
    <row r="17" spans="1:26" ht="15.75" customHeight="1">
      <c r="A17" s="64" t="s">
        <v>50</v>
      </c>
      <c r="B17" s="64"/>
      <c r="C17" s="64" t="s">
        <v>51</v>
      </c>
      <c r="D17" s="64"/>
      <c r="E17" s="64"/>
      <c r="F17" s="64"/>
      <c r="G17" s="64"/>
      <c r="H17" s="64"/>
      <c r="S17" s="2" t="s">
        <v>52</v>
      </c>
      <c r="T17" s="2" t="s">
        <v>20</v>
      </c>
      <c r="U17" s="2"/>
      <c r="V17" s="2" t="s">
        <v>53</v>
      </c>
      <c r="W17" s="2" t="s">
        <v>54</v>
      </c>
      <c r="X17"/>
      <c r="Y17"/>
      <c r="Z17"/>
    </row>
    <row r="18" spans="1:26" ht="15.75" customHeight="1">
      <c r="A18" s="68" t="s">
        <v>55</v>
      </c>
      <c r="B18" s="68"/>
      <c r="C18" s="61" t="s">
        <v>56</v>
      </c>
      <c r="D18" s="61"/>
      <c r="E18" s="64" t="s">
        <v>57</v>
      </c>
      <c r="F18" s="64"/>
      <c r="G18" s="64" t="s">
        <v>51</v>
      </c>
      <c r="H18" s="64"/>
      <c r="S18" s="2" t="s">
        <v>58</v>
      </c>
      <c r="T18" s="2" t="s">
        <v>59</v>
      </c>
      <c r="U18" s="2"/>
      <c r="V18" s="2" t="s">
        <v>60</v>
      </c>
      <c r="W18" s="2" t="s">
        <v>61</v>
      </c>
      <c r="X18"/>
      <c r="Y18"/>
      <c r="Z18"/>
    </row>
    <row r="19" spans="1:26">
      <c r="A19" s="65" t="s">
        <v>62</v>
      </c>
      <c r="B19" s="65"/>
      <c r="C19" s="64" t="s">
        <v>63</v>
      </c>
      <c r="D19" s="64"/>
      <c r="E19" s="64" t="s">
        <v>64</v>
      </c>
      <c r="F19" s="64"/>
      <c r="G19" s="69" t="s">
        <v>22</v>
      </c>
      <c r="H19" s="69"/>
      <c r="S19" s="2" t="s">
        <v>65</v>
      </c>
      <c r="T19" s="2" t="s">
        <v>66</v>
      </c>
      <c r="U19" s="2"/>
      <c r="V19" s="2" t="s">
        <v>67</v>
      </c>
      <c r="W19" s="2" t="s">
        <v>68</v>
      </c>
      <c r="X19"/>
      <c r="Y19"/>
      <c r="Z19"/>
    </row>
    <row r="20" spans="1:26">
      <c r="A20" s="65" t="s">
        <v>69</v>
      </c>
      <c r="B20" s="65"/>
      <c r="C20" s="64" t="s">
        <v>36</v>
      </c>
      <c r="D20" s="64"/>
      <c r="E20" s="64" t="s">
        <v>70</v>
      </c>
      <c r="F20" s="64"/>
      <c r="G20" s="64">
        <v>410206</v>
      </c>
      <c r="H20" s="64"/>
      <c r="S20" s="2"/>
      <c r="T20" s="2"/>
      <c r="U20" s="2"/>
      <c r="V20" s="2" t="s">
        <v>71</v>
      </c>
      <c r="W20" s="2" t="s">
        <v>72</v>
      </c>
      <c r="X20"/>
      <c r="Y20"/>
      <c r="Z20"/>
    </row>
    <row r="21" spans="1:26" ht="48" customHeight="1">
      <c r="A21" s="65" t="s">
        <v>73</v>
      </c>
      <c r="B21" s="65"/>
      <c r="C21" s="64" t="s">
        <v>74</v>
      </c>
      <c r="D21" s="64"/>
      <c r="E21" s="64" t="s">
        <v>75</v>
      </c>
      <c r="F21" s="64"/>
      <c r="G21" s="64" t="s">
        <v>76</v>
      </c>
      <c r="H21" s="64"/>
      <c r="S21" s="2"/>
      <c r="T21" s="2"/>
      <c r="U21" s="2"/>
      <c r="V21" s="2" t="s">
        <v>77</v>
      </c>
      <c r="W21" s="2" t="s">
        <v>78</v>
      </c>
      <c r="X21"/>
      <c r="Y21"/>
      <c r="Z21"/>
    </row>
    <row r="22" spans="1:26" ht="15" customHeight="1">
      <c r="A22" s="68" t="s">
        <v>79</v>
      </c>
      <c r="B22" s="68"/>
      <c r="C22" s="68"/>
      <c r="D22" s="68"/>
      <c r="E22" s="61" t="s">
        <v>80</v>
      </c>
      <c r="F22" s="61"/>
      <c r="G22" s="61"/>
      <c r="H22" s="61"/>
      <c r="S22" s="2"/>
      <c r="T22" s="2"/>
      <c r="U22" s="2"/>
      <c r="V22" s="2" t="s">
        <v>81</v>
      </c>
      <c r="W22" s="2" t="s">
        <v>82</v>
      </c>
      <c r="X22"/>
      <c r="Y22"/>
      <c r="Z22"/>
    </row>
    <row r="23" spans="1:26" ht="18.75" customHeight="1">
      <c r="A23" s="68"/>
      <c r="B23" s="68"/>
      <c r="C23" s="68"/>
      <c r="D23" s="68"/>
      <c r="E23" s="61"/>
      <c r="F23" s="61"/>
      <c r="G23" s="61"/>
      <c r="H23" s="61"/>
      <c r="S23" s="2"/>
      <c r="T23" s="2"/>
      <c r="U23" s="2"/>
      <c r="V23" s="2" t="s">
        <v>83</v>
      </c>
      <c r="W23" s="2" t="s">
        <v>84</v>
      </c>
      <c r="X23"/>
      <c r="Y23"/>
      <c r="Z23"/>
    </row>
    <row r="24" spans="1:26" ht="15" customHeight="1">
      <c r="A24" s="68" t="s">
        <v>85</v>
      </c>
      <c r="B24" s="68"/>
      <c r="C24" s="68"/>
      <c r="D24" s="68"/>
      <c r="E24" s="64" t="s">
        <v>86</v>
      </c>
      <c r="F24" s="64"/>
      <c r="G24" s="64"/>
      <c r="H24" s="64"/>
      <c r="S24" s="2"/>
      <c r="T24" s="2"/>
      <c r="U24" s="2"/>
      <c r="V24" s="2" t="s">
        <v>87</v>
      </c>
      <c r="W24" s="2" t="s">
        <v>88</v>
      </c>
      <c r="X24"/>
      <c r="Y24"/>
      <c r="Z24"/>
    </row>
    <row r="25" spans="1:26" ht="15" customHeight="1">
      <c r="A25" s="65" t="s">
        <v>89</v>
      </c>
      <c r="B25" s="65"/>
      <c r="C25" s="65"/>
      <c r="D25" s="65"/>
      <c r="E25" s="64" t="str">
        <f>IF(AND(G19="Mumbai"),"Upper Class","Middle Class")</f>
        <v>Middle Class</v>
      </c>
      <c r="F25" s="64"/>
      <c r="G25" s="64"/>
      <c r="H25" s="64"/>
      <c r="S25" s="2"/>
      <c r="T25" s="2"/>
      <c r="U25" s="2"/>
      <c r="V25" s="2" t="s">
        <v>90</v>
      </c>
      <c r="W25" s="2" t="s">
        <v>91</v>
      </c>
      <c r="X25"/>
      <c r="Y25"/>
      <c r="Z25"/>
    </row>
    <row r="26" spans="1:26">
      <c r="A26" s="65" t="s">
        <v>92</v>
      </c>
      <c r="B26" s="65"/>
      <c r="C26" s="65"/>
      <c r="D26" s="65"/>
      <c r="E26" s="64" t="s">
        <v>93</v>
      </c>
      <c r="F26" s="64"/>
      <c r="G26" s="64"/>
      <c r="H26" s="64"/>
      <c r="S26" s="2"/>
      <c r="T26" s="2"/>
      <c r="U26" s="2"/>
      <c r="V26" s="2" t="s">
        <v>94</v>
      </c>
      <c r="W26" s="2" t="s">
        <v>95</v>
      </c>
      <c r="X26"/>
      <c r="Y26"/>
      <c r="Z26"/>
    </row>
    <row r="27" spans="1:26" ht="15.75" customHeight="1">
      <c r="A27" s="65" t="s">
        <v>96</v>
      </c>
      <c r="B27" s="65"/>
      <c r="C27" s="65"/>
      <c r="D27" s="65"/>
      <c r="E27" s="64" t="str">
        <f>IF(AND(G19="Mumbai"),"Developed","Developing")</f>
        <v>Developing</v>
      </c>
      <c r="F27" s="64"/>
      <c r="G27" s="64"/>
      <c r="H27" s="64"/>
    </row>
    <row r="28" spans="1:26">
      <c r="A28" s="65" t="s">
        <v>97</v>
      </c>
      <c r="B28" s="65"/>
      <c r="C28" s="65"/>
      <c r="D28" s="65"/>
      <c r="E28" s="64" t="s">
        <v>98</v>
      </c>
      <c r="F28" s="64"/>
      <c r="G28" s="64"/>
      <c r="H28" s="64"/>
    </row>
    <row r="29" spans="1:26" ht="15.75" customHeight="1">
      <c r="A29" s="65" t="s">
        <v>99</v>
      </c>
      <c r="B29" s="65"/>
      <c r="C29" s="65"/>
      <c r="D29" s="65"/>
      <c r="E29" s="64" t="s">
        <v>100</v>
      </c>
      <c r="F29" s="64"/>
      <c r="G29" s="64"/>
      <c r="H29" s="64"/>
    </row>
    <row r="30" spans="1:26" ht="15" customHeight="1">
      <c r="A30" s="65" t="s">
        <v>101</v>
      </c>
      <c r="B30" s="65"/>
      <c r="C30" s="65"/>
      <c r="D30" s="65"/>
      <c r="E30" s="6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4"/>
      <c r="G30" s="64"/>
      <c r="H30" s="64"/>
    </row>
    <row r="31" spans="1:26" ht="15.75" customHeight="1">
      <c r="A31" s="65" t="s">
        <v>102</v>
      </c>
      <c r="B31" s="65"/>
      <c r="C31" s="65"/>
      <c r="D31" s="65"/>
      <c r="E31" s="64" t="s">
        <v>103</v>
      </c>
      <c r="F31" s="64"/>
      <c r="G31" s="64"/>
      <c r="H31" s="64"/>
    </row>
    <row r="32" spans="1:26" s="15" customFormat="1">
      <c r="A32" s="70" t="s">
        <v>104</v>
      </c>
      <c r="B32" s="70"/>
      <c r="C32" s="71" t="s">
        <v>105</v>
      </c>
      <c r="D32" s="72"/>
      <c r="E32" s="73"/>
      <c r="F32" s="71" t="s">
        <v>106</v>
      </c>
      <c r="G32" s="72"/>
      <c r="H32" s="73"/>
    </row>
    <row r="33" spans="1:10" s="15" customFormat="1">
      <c r="A33" s="74" t="s">
        <v>107</v>
      </c>
      <c r="B33" s="74" t="s">
        <v>18</v>
      </c>
      <c r="C33" s="75" t="s">
        <v>108</v>
      </c>
      <c r="D33" s="76"/>
      <c r="E33" s="77"/>
      <c r="F33" s="75" t="s">
        <v>109</v>
      </c>
      <c r="G33" s="76"/>
      <c r="H33" s="77"/>
    </row>
    <row r="34" spans="1:10">
      <c r="A34" s="74" t="s">
        <v>110</v>
      </c>
      <c r="B34" s="74" t="s">
        <v>18</v>
      </c>
      <c r="C34" s="75" t="s">
        <v>111</v>
      </c>
      <c r="D34" s="76"/>
      <c r="E34" s="77"/>
      <c r="F34" s="75" t="s">
        <v>56</v>
      </c>
      <c r="G34" s="76"/>
      <c r="H34" s="77"/>
    </row>
    <row r="35" spans="1:10" s="15" customFormat="1">
      <c r="A35" s="74" t="s">
        <v>112</v>
      </c>
      <c r="B35" s="74" t="s">
        <v>18</v>
      </c>
      <c r="C35" s="75" t="s">
        <v>108</v>
      </c>
      <c r="D35" s="76"/>
      <c r="E35" s="77"/>
      <c r="F35" s="75" t="s">
        <v>113</v>
      </c>
      <c r="G35" s="76"/>
      <c r="H35" s="77"/>
    </row>
    <row r="36" spans="1:10">
      <c r="A36" s="74" t="s">
        <v>114</v>
      </c>
      <c r="B36" s="74" t="s">
        <v>18</v>
      </c>
      <c r="C36" s="75" t="s">
        <v>115</v>
      </c>
      <c r="D36" s="76"/>
      <c r="E36" s="77"/>
      <c r="F36" s="75" t="s">
        <v>116</v>
      </c>
      <c r="G36" s="76"/>
      <c r="H36" s="77"/>
    </row>
    <row r="37" spans="1:10">
      <c r="A37" s="65" t="s">
        <v>117</v>
      </c>
      <c r="B37" s="65"/>
      <c r="C37" s="65"/>
      <c r="D37" s="65"/>
      <c r="E37" s="65"/>
      <c r="F37" s="65"/>
      <c r="G37" s="65"/>
      <c r="H37" s="65"/>
    </row>
    <row r="38" spans="1:10" ht="15.75" customHeight="1">
      <c r="A38" s="65" t="s">
        <v>118</v>
      </c>
      <c r="B38" s="65"/>
      <c r="C38" s="78" t="s">
        <v>119</v>
      </c>
      <c r="D38" s="78"/>
      <c r="E38" s="78"/>
      <c r="F38" s="78"/>
      <c r="G38" s="78"/>
      <c r="H38" s="78"/>
    </row>
    <row r="39" spans="1:10">
      <c r="A39" s="65" t="s">
        <v>120</v>
      </c>
      <c r="B39" s="65"/>
      <c r="C39" s="79" t="s">
        <v>121</v>
      </c>
      <c r="D39" s="64"/>
      <c r="E39" s="64"/>
      <c r="F39" s="64"/>
      <c r="G39" s="64"/>
      <c r="H39" s="64"/>
    </row>
    <row r="40" spans="1:10">
      <c r="A40" s="78" t="s">
        <v>122</v>
      </c>
      <c r="B40" s="78"/>
      <c r="C40" s="78"/>
      <c r="D40" s="78"/>
      <c r="E40" s="78"/>
      <c r="F40" s="78"/>
      <c r="G40" s="78"/>
      <c r="H40" s="78"/>
    </row>
    <row r="41" spans="1:10">
      <c r="A41" s="65" t="s">
        <v>123</v>
      </c>
      <c r="B41" s="65"/>
      <c r="C41" s="65"/>
      <c r="D41" s="65"/>
      <c r="E41" s="80">
        <v>33188.25</v>
      </c>
      <c r="F41" s="80"/>
      <c r="G41" s="80"/>
      <c r="H41" s="80"/>
    </row>
    <row r="42" spans="1:10">
      <c r="A42" s="65" t="s">
        <v>124</v>
      </c>
      <c r="B42" s="65"/>
      <c r="C42" s="65"/>
      <c r="D42" s="65"/>
      <c r="E42" s="81">
        <v>3</v>
      </c>
      <c r="F42" s="81"/>
      <c r="G42" s="81"/>
      <c r="H42" s="81"/>
    </row>
    <row r="43" spans="1:10">
      <c r="A43" s="65" t="s">
        <v>125</v>
      </c>
      <c r="B43" s="65"/>
      <c r="C43" s="65"/>
      <c r="D43" s="65"/>
      <c r="E43" s="81">
        <f>E45/E41-E42</f>
        <v>1.1632885132539377</v>
      </c>
      <c r="F43" s="81"/>
      <c r="G43" s="81"/>
      <c r="H43" s="81"/>
      <c r="J43" s="22" t="s">
        <v>126</v>
      </c>
    </row>
    <row r="44" spans="1:10">
      <c r="A44" s="65" t="s">
        <v>127</v>
      </c>
      <c r="B44" s="65"/>
      <c r="C44" s="65"/>
      <c r="D44" s="65"/>
      <c r="E44" s="81">
        <f>E42+E43</f>
        <v>4.1632885132539377</v>
      </c>
      <c r="F44" s="81"/>
      <c r="G44" s="81"/>
      <c r="H44" s="81"/>
    </row>
    <row r="45" spans="1:10">
      <c r="A45" s="65" t="s">
        <v>128</v>
      </c>
      <c r="B45" s="65"/>
      <c r="C45" s="65"/>
      <c r="D45" s="65"/>
      <c r="E45" s="82">
        <v>138172.26</v>
      </c>
      <c r="F45" s="82"/>
      <c r="G45" s="82"/>
      <c r="H45" s="82"/>
    </row>
    <row r="46" spans="1:10">
      <c r="A46" s="61" t="s">
        <v>129</v>
      </c>
      <c r="B46" s="61"/>
      <c r="C46" s="61"/>
      <c r="D46" s="61"/>
      <c r="E46" s="61" t="s">
        <v>130</v>
      </c>
      <c r="F46" s="61"/>
      <c r="G46" s="61"/>
      <c r="H46" s="61"/>
    </row>
    <row r="47" spans="1:10">
      <c r="A47" s="78" t="s">
        <v>131</v>
      </c>
      <c r="B47" s="78"/>
      <c r="C47" s="78"/>
      <c r="D47" s="78"/>
      <c r="E47" s="78"/>
      <c r="F47" s="78"/>
      <c r="G47" s="78"/>
      <c r="H47" s="78"/>
    </row>
    <row r="48" spans="1:10" ht="33.75" customHeight="1">
      <c r="A48" s="83" t="s">
        <v>132</v>
      </c>
      <c r="B48" s="84"/>
      <c r="C48" s="85" t="s">
        <v>133</v>
      </c>
      <c r="D48" s="86"/>
      <c r="E48" s="86"/>
      <c r="F48" s="86"/>
      <c r="G48" s="86"/>
      <c r="H48" s="87"/>
    </row>
    <row r="49" spans="1:14" ht="15.75" customHeight="1">
      <c r="A49" s="83" t="s">
        <v>134</v>
      </c>
      <c r="B49" s="84"/>
      <c r="C49" s="83" t="s">
        <v>135</v>
      </c>
      <c r="D49" s="88"/>
      <c r="E49" s="84"/>
      <c r="F49" s="23" t="s">
        <v>136</v>
      </c>
      <c r="G49" s="89" t="s">
        <v>137</v>
      </c>
      <c r="H49" s="90"/>
    </row>
    <row r="50" spans="1:14">
      <c r="A50" s="83" t="s">
        <v>138</v>
      </c>
      <c r="B50" s="84"/>
      <c r="C50" s="83" t="str">
        <f>C49</f>
        <v>PMP/NRV/16094/J.K.897/2023</v>
      </c>
      <c r="D50" s="88"/>
      <c r="E50" s="84"/>
      <c r="F50" s="23" t="s">
        <v>136</v>
      </c>
      <c r="G50" s="91" t="str">
        <f>G49</f>
        <v>31/03/2023</v>
      </c>
      <c r="H50" s="92"/>
    </row>
    <row r="51" spans="1:14" s="16" customFormat="1" ht="32.25" customHeight="1">
      <c r="A51" s="99" t="s">
        <v>139</v>
      </c>
      <c r="B51" s="100"/>
      <c r="C51" s="83" t="s">
        <v>140</v>
      </c>
      <c r="D51" s="88"/>
      <c r="E51" s="84"/>
      <c r="F51" s="23" t="s">
        <v>136</v>
      </c>
      <c r="G51" s="91" t="str">
        <f>G49</f>
        <v>31/03/2023</v>
      </c>
      <c r="H51" s="92"/>
    </row>
    <row r="52" spans="1:14" s="16" customFormat="1">
      <c r="A52" s="101"/>
      <c r="B52" s="102"/>
      <c r="C52" s="83" t="s">
        <v>141</v>
      </c>
      <c r="D52" s="88"/>
      <c r="E52" s="88"/>
      <c r="F52" s="88"/>
      <c r="G52" s="88"/>
      <c r="H52" s="84"/>
    </row>
    <row r="53" spans="1:14">
      <c r="A53" s="93" t="s">
        <v>142</v>
      </c>
      <c r="B53" s="94"/>
      <c r="C53" s="93" t="s">
        <v>143</v>
      </c>
      <c r="D53" s="95"/>
      <c r="E53" s="94"/>
      <c r="F53" s="24" t="s">
        <v>136</v>
      </c>
      <c r="G53" s="96" t="s">
        <v>18</v>
      </c>
      <c r="H53" s="97"/>
    </row>
    <row r="54" spans="1:14">
      <c r="A54" s="98" t="s">
        <v>144</v>
      </c>
      <c r="B54" s="98"/>
      <c r="C54" s="98"/>
      <c r="D54" s="98"/>
      <c r="E54" s="98"/>
      <c r="F54" s="98"/>
      <c r="G54" s="98"/>
      <c r="H54" s="98"/>
    </row>
    <row r="55" spans="1:14">
      <c r="A55" s="68" t="s">
        <v>145</v>
      </c>
      <c r="B55" s="68"/>
      <c r="C55" s="68"/>
      <c r="D55" s="65">
        <v>37917.69</v>
      </c>
      <c r="E55" s="65"/>
      <c r="F55" s="65"/>
      <c r="G55" s="65"/>
      <c r="H55" s="65"/>
    </row>
    <row r="56" spans="1:14">
      <c r="A56" s="64" t="s">
        <v>146</v>
      </c>
      <c r="B56" s="61"/>
      <c r="C56" s="61"/>
      <c r="D56" s="61" t="s">
        <v>147</v>
      </c>
      <c r="E56" s="61"/>
      <c r="F56" s="61"/>
      <c r="G56" s="61"/>
      <c r="H56" s="61"/>
      <c r="I56" s="25"/>
    </row>
    <row r="57" spans="1:14" ht="34.5" customHeight="1">
      <c r="A57" s="103" t="s">
        <v>148</v>
      </c>
      <c r="B57" s="104"/>
      <c r="C57" s="105"/>
      <c r="D57" s="106" t="s">
        <v>141</v>
      </c>
      <c r="E57" s="106"/>
      <c r="F57" s="106"/>
      <c r="G57" s="106"/>
      <c r="H57" s="106"/>
    </row>
    <row r="58" spans="1:14" ht="31.5" customHeight="1">
      <c r="A58" s="103" t="s">
        <v>149</v>
      </c>
      <c r="B58" s="104"/>
      <c r="C58" s="104"/>
      <c r="D58" s="107" t="s">
        <v>141</v>
      </c>
      <c r="E58" s="108"/>
      <c r="F58" s="108"/>
      <c r="G58" s="108"/>
      <c r="H58" s="109"/>
    </row>
    <row r="59" spans="1:14" ht="15.75" customHeight="1">
      <c r="A59" s="65" t="s">
        <v>150</v>
      </c>
      <c r="B59" s="65"/>
      <c r="C59" s="65"/>
      <c r="D59" s="110" t="s">
        <v>151</v>
      </c>
      <c r="E59" s="110"/>
      <c r="F59" s="110"/>
      <c r="G59" s="110"/>
      <c r="H59" s="110"/>
      <c r="J59" s="26"/>
      <c r="K59" s="25"/>
      <c r="N59" s="25"/>
    </row>
    <row r="60" spans="1:14" ht="15.75" customHeight="1">
      <c r="A60" s="65" t="s">
        <v>152</v>
      </c>
      <c r="B60" s="65"/>
      <c r="C60" s="65"/>
      <c r="D60" s="111" t="str">
        <f>(IF(G53="NA","60 Years After Completion",IF(G53&lt;&gt;"NA",""&amp;60-ROUNDDOWN((E3-G53)/360,0)&amp;" Years"," ")))</f>
        <v>60 Years After Completion</v>
      </c>
      <c r="E60" s="111"/>
      <c r="F60" s="111"/>
      <c r="G60" s="111"/>
      <c r="H60" s="111"/>
      <c r="N60" s="25"/>
    </row>
    <row r="61" spans="1:14" ht="15.75" customHeight="1">
      <c r="A61" s="65" t="s">
        <v>153</v>
      </c>
      <c r="B61" s="65"/>
      <c r="C61" s="65"/>
      <c r="D61" s="68" t="s">
        <v>98</v>
      </c>
      <c r="E61" s="68"/>
      <c r="F61" s="68"/>
      <c r="G61" s="68"/>
      <c r="H61" s="68"/>
      <c r="J61" s="27"/>
      <c r="K61" s="27"/>
    </row>
    <row r="62" spans="1:14" ht="84" customHeight="1">
      <c r="A62" s="61" t="s">
        <v>154</v>
      </c>
      <c r="B62" s="61"/>
      <c r="C62" s="61"/>
      <c r="D62" s="64" t="s">
        <v>155</v>
      </c>
      <c r="E62" s="68"/>
      <c r="F62" s="68"/>
      <c r="G62" s="68"/>
      <c r="H62" s="68"/>
    </row>
    <row r="63" spans="1:14">
      <c r="A63" s="68" t="s">
        <v>156</v>
      </c>
      <c r="B63" s="68"/>
      <c r="C63" s="68"/>
      <c r="D63" s="68" t="s">
        <v>18</v>
      </c>
      <c r="E63" s="68"/>
      <c r="F63" s="68"/>
      <c r="G63" s="68"/>
      <c r="H63" s="68"/>
      <c r="I63" s="28"/>
      <c r="J63" s="28"/>
      <c r="K63" s="28"/>
      <c r="L63" s="28"/>
      <c r="M63" s="28"/>
      <c r="N63" s="28"/>
    </row>
    <row r="64" spans="1:14" ht="15.75" customHeight="1">
      <c r="A64" s="112" t="s">
        <v>157</v>
      </c>
      <c r="B64" s="112"/>
      <c r="C64" s="112"/>
      <c r="D64" s="106" t="str">
        <f ca="1">(IF(G70&gt;95%,"Nothing",IF(G70&gt;0%,"Cement, Aggregate, Steel, etc",IF(G70=0%,"Work not yet Started"))))</f>
        <v>Cement, Aggregate, Steel, etc</v>
      </c>
      <c r="E64" s="106"/>
      <c r="F64" s="106"/>
      <c r="G64" s="106"/>
      <c r="H64" s="106"/>
      <c r="J64" s="27"/>
    </row>
    <row r="65" spans="1:10" ht="33.75" customHeight="1">
      <c r="A65" s="113" t="s">
        <v>158</v>
      </c>
      <c r="B65" s="113"/>
      <c r="C65" s="113"/>
      <c r="D65" s="106" t="str">
        <f ca="1">(IF(D64="Nothing","Yes",IF(D64="Cement, Aggregate, Steel, etc","Under Construction",IF(D64="Work not yet Started","Work not yet Started"))))</f>
        <v>Under Construction</v>
      </c>
      <c r="E65" s="106"/>
      <c r="F65" s="106" t="str">
        <f ca="1">(IF(D64="Nothing","Yes",IF(D64="Cement, Aggregate, Steel, etc","Under Construction",IF(D64="Work not yet Started","Work not yet Started"))))</f>
        <v>Under Construction</v>
      </c>
      <c r="G65" s="106"/>
      <c r="H65" s="106"/>
      <c r="I65" s="58" t="s">
        <v>294</v>
      </c>
    </row>
    <row r="66" spans="1:10" ht="15.75" customHeight="1">
      <c r="A66" s="114" t="s">
        <v>159</v>
      </c>
      <c r="B66" s="115"/>
      <c r="C66" s="116" t="str">
        <f>D58</f>
        <v>Phase IV - Tower No.6 (Elizabeth) = 2B + Gr + 3P + 4th to 46th Floor</v>
      </c>
      <c r="D66" s="117"/>
      <c r="E66" s="117"/>
      <c r="F66" s="117"/>
      <c r="G66" s="117"/>
      <c r="H66" s="118"/>
      <c r="I66" s="43" t="str">
        <f ca="1">IF(D79=100%,"All work Completed. Possession granted to the Building.",IF(D78=100%,"All work Completed, Waiting for OC",I67&amp;""&amp;I68&amp;""&amp;J67&amp;""&amp;J66&amp;" "&amp;J68))</f>
        <v>Excavation, Plinth Completed, RCC upto 4 Slab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4 Slab</v>
      </c>
    </row>
    <row r="67" spans="1:10">
      <c r="A67" s="29" t="s">
        <v>160</v>
      </c>
      <c r="B67" s="30">
        <f>IF(AND(ISNUMBER(SEARCH("1B",C66))),1,IF(AND(ISNUMBER(SEARCH("2B",C66))),2,IF(AND(ISNUMBER(SEARCH("3B",C66))),3,IF(AND(ISNUMBER(SEARCH("4B",C66))),4,IF(ISNUMBER(SEARCH("5B",C66)),5,0)))))</f>
        <v>2</v>
      </c>
      <c r="C67" s="30" t="s">
        <v>161</v>
      </c>
      <c r="D67" s="30">
        <v>1</v>
      </c>
      <c r="E67" s="30" t="s">
        <v>162</v>
      </c>
      <c r="F67" s="30">
        <v>0</v>
      </c>
      <c r="G67" s="30" t="s">
        <v>163</v>
      </c>
      <c r="H67" s="31">
        <f ca="1">--TRIM(RIGHT(SUBSTITUTE(LEFT(C66,_xlfn.AGGREGATE(16,6,FIND({0,1,2,3,4,5,6,7,8,9},C66,ROW(INDIRECT("1:"&amp;LEN(C66)))),1))," ",REPT(" ",LEN(C66))),LEN(C66)))</f>
        <v>46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>
      <c r="A68" s="119" t="s">
        <v>164</v>
      </c>
      <c r="B68" s="63"/>
      <c r="C68" s="120" t="str">
        <f ca="1">I66</f>
        <v>Excavation, Plinth Completed, RCC upto 4 Slab Completed</v>
      </c>
      <c r="D68" s="120"/>
      <c r="E68" s="120"/>
      <c r="F68" s="120"/>
      <c r="G68" s="120"/>
      <c r="H68" s="121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0" ht="15.75" customHeight="1">
      <c r="A69" s="122" t="s">
        <v>165</v>
      </c>
      <c r="B69" s="123"/>
      <c r="C69" s="32" t="s">
        <v>166</v>
      </c>
      <c r="D69" s="32" t="s">
        <v>167</v>
      </c>
      <c r="E69" s="123" t="s">
        <v>168</v>
      </c>
      <c r="F69" s="123"/>
      <c r="G69" s="123" t="s">
        <v>169</v>
      </c>
      <c r="H69" s="124"/>
      <c r="I69" s="47" t="s">
        <v>170</v>
      </c>
      <c r="J69" s="48">
        <f ca="1">H67*25%</f>
        <v>11.5</v>
      </c>
    </row>
    <row r="70" spans="1:10">
      <c r="A70" s="122" t="s">
        <v>171</v>
      </c>
      <c r="B70" s="123"/>
      <c r="C70" s="32">
        <f ca="1">J71</f>
        <v>46</v>
      </c>
      <c r="D70" s="33">
        <f ca="1">((100/H67)*C70)/100</f>
        <v>1</v>
      </c>
      <c r="E70" s="125">
        <f ca="1">(((C71/H67*10)+(40/(D67+F67+H67)*C72)+(7.5/(H67)*C73)+(7.5/(H67)*C74)+(10/H67*C75)+(10/H67*C76)+(5/H67*C77)+(5/H67*C78)+(5/H67*C79))/100)</f>
        <v>0.13404255319148936</v>
      </c>
      <c r="F70" s="134"/>
      <c r="G70" s="125">
        <f ca="1">((((C70/H67)*20)+((C71/H67)*25)+(30/(H67+F67+D67)*C72)+(5/H67*C73)+(5/H67*C74)+(5/H67*C75)+(5/H67*C76)+(0/H67*C77)+(0/H67*C78)+(5/H67*C79))/100)</f>
        <v>0.47553191489361701</v>
      </c>
      <c r="H70" s="126"/>
      <c r="I70" s="47" t="s">
        <v>172</v>
      </c>
      <c r="J70" s="49">
        <f ca="1">H67*50%</f>
        <v>23</v>
      </c>
    </row>
    <row r="71" spans="1:10">
      <c r="A71" s="122" t="s">
        <v>173</v>
      </c>
      <c r="B71" s="123"/>
      <c r="C71" s="32">
        <f ca="1">J79</f>
        <v>46</v>
      </c>
      <c r="D71" s="33">
        <f ca="1">((100/H67)*C71)/100</f>
        <v>1</v>
      </c>
      <c r="E71" s="127"/>
      <c r="F71" s="135"/>
      <c r="G71" s="127"/>
      <c r="H71" s="128"/>
      <c r="I71" s="47" t="s">
        <v>174</v>
      </c>
      <c r="J71" s="49">
        <f ca="1">H67</f>
        <v>46</v>
      </c>
    </row>
    <row r="72" spans="1:10" ht="15.75" customHeight="1">
      <c r="A72" s="122" t="s">
        <v>175</v>
      </c>
      <c r="B72" s="123"/>
      <c r="C72" s="32">
        <v>4</v>
      </c>
      <c r="D72" s="33">
        <f ca="1">((100/(D67+F67+H67))*C72)/100</f>
        <v>8.5106382978723402E-2</v>
      </c>
      <c r="E72" s="127"/>
      <c r="F72" s="135"/>
      <c r="G72" s="127"/>
      <c r="H72" s="128"/>
      <c r="I72" s="47" t="s">
        <v>176</v>
      </c>
      <c r="J72" s="50">
        <f ca="1">(IF(B67&gt;1,(H67/(B67+2)),H67/4))</f>
        <v>11.5</v>
      </c>
    </row>
    <row r="73" spans="1:10" ht="15.75" customHeight="1">
      <c r="A73" s="122" t="s">
        <v>177</v>
      </c>
      <c r="B73" s="123" t="s">
        <v>178</v>
      </c>
      <c r="C73" s="32">
        <v>0</v>
      </c>
      <c r="D73" s="33">
        <f ca="1">((100/H67)*C73)/100</f>
        <v>0</v>
      </c>
      <c r="E73" s="127"/>
      <c r="F73" s="135"/>
      <c r="G73" s="127"/>
      <c r="H73" s="128"/>
      <c r="I73" s="47" t="s">
        <v>179</v>
      </c>
      <c r="J73" s="50">
        <f ca="1">(IF(B67&gt;1,(H67/(B67+2)+J72),H67/4+J72))</f>
        <v>23</v>
      </c>
    </row>
    <row r="74" spans="1:10" ht="15.75" customHeight="1">
      <c r="A74" s="122" t="s">
        <v>180</v>
      </c>
      <c r="B74" s="123" t="s">
        <v>178</v>
      </c>
      <c r="C74" s="32">
        <v>0</v>
      </c>
      <c r="D74" s="33">
        <f ca="1">((100/H67)*C74)/100</f>
        <v>0</v>
      </c>
      <c r="E74" s="127"/>
      <c r="F74" s="135"/>
      <c r="G74" s="127"/>
      <c r="H74" s="128"/>
      <c r="I74" s="47" t="s">
        <v>181</v>
      </c>
      <c r="J74" s="50">
        <f ca="1">(IF(B67&gt;1,(H67/(B67+2)+J73),0))</f>
        <v>34.5</v>
      </c>
    </row>
    <row r="75" spans="1:10" ht="15" customHeight="1">
      <c r="A75" s="122" t="s">
        <v>182</v>
      </c>
      <c r="B75" s="123" t="s">
        <v>183</v>
      </c>
      <c r="C75" s="32">
        <v>0</v>
      </c>
      <c r="D75" s="33">
        <f ca="1">((100/(H67))*C75)/100</f>
        <v>0</v>
      </c>
      <c r="E75" s="127"/>
      <c r="F75" s="135"/>
      <c r="G75" s="127"/>
      <c r="H75" s="128"/>
      <c r="I75" s="47" t="s">
        <v>184</v>
      </c>
      <c r="J75" s="50">
        <f>(IF(B67&gt;2,(H67/(B67+2)+J74),0))</f>
        <v>0</v>
      </c>
    </row>
    <row r="76" spans="1:10" ht="15.75" customHeight="1">
      <c r="A76" s="122" t="s">
        <v>185</v>
      </c>
      <c r="B76" s="123" t="s">
        <v>185</v>
      </c>
      <c r="C76" s="32">
        <v>0</v>
      </c>
      <c r="D76" s="33">
        <f ca="1">((100/H67)*C76)/100</f>
        <v>0</v>
      </c>
      <c r="E76" s="127"/>
      <c r="F76" s="135"/>
      <c r="G76" s="127"/>
      <c r="H76" s="128"/>
      <c r="I76" s="47" t="s">
        <v>186</v>
      </c>
      <c r="J76" s="51">
        <f>(IF(B67&gt;3,(H67/(B67+2)+J75),0))</f>
        <v>0</v>
      </c>
    </row>
    <row r="77" spans="1:10" ht="15.75" customHeight="1">
      <c r="A77" s="122" t="s">
        <v>187</v>
      </c>
      <c r="B77" s="123"/>
      <c r="C77" s="32">
        <v>0</v>
      </c>
      <c r="D77" s="33">
        <f ca="1">((100/H67)*C77)/100</f>
        <v>0</v>
      </c>
      <c r="E77" s="127"/>
      <c r="F77" s="135"/>
      <c r="G77" s="127"/>
      <c r="H77" s="128"/>
      <c r="I77" s="47" t="s">
        <v>188</v>
      </c>
      <c r="J77" s="50">
        <f>(IF(B67&gt;4,(H67/(B67+2)+J76),0))</f>
        <v>0</v>
      </c>
    </row>
    <row r="78" spans="1:10" ht="15.75" customHeight="1">
      <c r="A78" s="122" t="s">
        <v>189</v>
      </c>
      <c r="B78" s="123" t="s">
        <v>189</v>
      </c>
      <c r="C78" s="32">
        <v>0</v>
      </c>
      <c r="D78" s="33">
        <f ca="1">((100/(H67))*C78)/100</f>
        <v>0</v>
      </c>
      <c r="E78" s="127"/>
      <c r="F78" s="135"/>
      <c r="G78" s="127"/>
      <c r="H78" s="128"/>
      <c r="I78" s="47" t="s">
        <v>190</v>
      </c>
      <c r="J78" s="50">
        <f>(IF(B67=1,(H67/(B67+3)+J73),IF(B67=0,(H67/4+J73),IF(B67&gt;1,0))))</f>
        <v>0</v>
      </c>
    </row>
    <row r="79" spans="1:10">
      <c r="A79" s="131" t="s">
        <v>191</v>
      </c>
      <c r="B79" s="132"/>
      <c r="C79" s="34">
        <v>0</v>
      </c>
      <c r="D79" s="35">
        <f ca="1">((100/(H67))*C79)/100</f>
        <v>0</v>
      </c>
      <c r="E79" s="129"/>
      <c r="F79" s="136"/>
      <c r="G79" s="129"/>
      <c r="H79" s="130"/>
      <c r="I79" s="52" t="s">
        <v>192</v>
      </c>
      <c r="J79" s="53">
        <f ca="1">(IF(B67&gt;1.5,(H67/(B67+2)+J73+MAX(0,J74-J73)+MAX(0,J75-J74)+MAX(0,J76-J75)+MAX(0,J77-J76)+MAX(0,J78-J77)),IF(B67=1,(H67/(B67+3)+J78),IF(B67=0,H67/4+J78))))</f>
        <v>46</v>
      </c>
    </row>
    <row r="80" spans="1:10">
      <c r="A80" s="133" t="s">
        <v>193</v>
      </c>
      <c r="B80" s="133"/>
      <c r="C80" s="133"/>
      <c r="D80" s="133"/>
      <c r="E80" s="133"/>
      <c r="F80" s="137" t="s">
        <v>194</v>
      </c>
      <c r="G80" s="137"/>
      <c r="H80" s="137"/>
    </row>
    <row r="81" spans="1:10">
      <c r="A81" s="65" t="s">
        <v>195</v>
      </c>
      <c r="B81" s="65"/>
      <c r="C81" s="65"/>
      <c r="D81" s="65"/>
      <c r="E81" s="65"/>
      <c r="F81" s="138">
        <v>11000</v>
      </c>
      <c r="G81" s="138"/>
      <c r="H81" s="138"/>
    </row>
    <row r="82" spans="1:10" hidden="1">
      <c r="A82" s="65" t="s">
        <v>196</v>
      </c>
      <c r="B82" s="65"/>
      <c r="C82" s="65"/>
      <c r="D82" s="65"/>
      <c r="E82" s="65"/>
      <c r="F82" s="138"/>
      <c r="G82" s="138"/>
      <c r="H82" s="138"/>
    </row>
    <row r="83" spans="1:10" hidden="1">
      <c r="A83" s="65" t="s">
        <v>197</v>
      </c>
      <c r="B83" s="65"/>
      <c r="C83" s="65"/>
      <c r="D83" s="65"/>
      <c r="E83" s="65"/>
      <c r="F83" s="138"/>
      <c r="G83" s="138"/>
      <c r="H83" s="138"/>
    </row>
    <row r="84" spans="1:10" s="17" customFormat="1">
      <c r="A84" s="65" t="s">
        <v>198</v>
      </c>
      <c r="B84" s="65"/>
      <c r="C84" s="65"/>
      <c r="D84" s="65"/>
      <c r="E84" s="65"/>
      <c r="F84" s="138">
        <v>50</v>
      </c>
      <c r="G84" s="138"/>
      <c r="H84" s="138"/>
      <c r="J84" s="17" t="s">
        <v>199</v>
      </c>
    </row>
    <row r="85" spans="1:10" s="17" customFormat="1">
      <c r="A85" s="65" t="s">
        <v>200</v>
      </c>
      <c r="B85" s="65"/>
      <c r="C85" s="65"/>
      <c r="D85" s="65"/>
      <c r="E85" s="65"/>
      <c r="F85" s="138">
        <v>700000</v>
      </c>
      <c r="G85" s="138"/>
      <c r="H85" s="138"/>
      <c r="J85" s="17" t="s">
        <v>201</v>
      </c>
    </row>
    <row r="86" spans="1:10" s="17" customFormat="1">
      <c r="A86" s="65" t="s">
        <v>202</v>
      </c>
      <c r="B86" s="65"/>
      <c r="C86" s="65"/>
      <c r="D86" s="65"/>
      <c r="E86" s="65"/>
      <c r="F86" s="138">
        <v>600000</v>
      </c>
      <c r="G86" s="138"/>
      <c r="H86" s="138"/>
    </row>
    <row r="87" spans="1:10" s="17" customFormat="1" hidden="1">
      <c r="A87" s="65" t="s">
        <v>203</v>
      </c>
      <c r="B87" s="65"/>
      <c r="C87" s="65"/>
      <c r="D87" s="65"/>
      <c r="E87" s="65"/>
      <c r="F87" s="138"/>
      <c r="G87" s="138"/>
      <c r="H87" s="138"/>
    </row>
    <row r="88" spans="1:10" s="17" customFormat="1" hidden="1">
      <c r="A88" s="65" t="s">
        <v>204</v>
      </c>
      <c r="B88" s="65"/>
      <c r="C88" s="65"/>
      <c r="D88" s="65"/>
      <c r="E88" s="65"/>
      <c r="F88" s="138"/>
      <c r="G88" s="138"/>
      <c r="H88" s="138"/>
    </row>
    <row r="89" spans="1:10" s="17" customFormat="1" hidden="1">
      <c r="A89" s="65" t="s">
        <v>205</v>
      </c>
      <c r="B89" s="65"/>
      <c r="C89" s="65"/>
      <c r="D89" s="65"/>
      <c r="E89" s="65"/>
      <c r="F89" s="138"/>
      <c r="G89" s="138"/>
      <c r="H89" s="138"/>
    </row>
    <row r="90" spans="1:10" s="17" customFormat="1" hidden="1">
      <c r="A90" s="65" t="s">
        <v>206</v>
      </c>
      <c r="B90" s="65"/>
      <c r="C90" s="65"/>
      <c r="D90" s="65"/>
      <c r="E90" s="65"/>
      <c r="F90" s="138"/>
      <c r="G90" s="138"/>
      <c r="H90" s="138"/>
    </row>
    <row r="91" spans="1:10" s="17" customFormat="1" hidden="1">
      <c r="A91" s="65" t="s">
        <v>207</v>
      </c>
      <c r="B91" s="65"/>
      <c r="C91" s="65"/>
      <c r="D91" s="65"/>
      <c r="E91" s="65"/>
      <c r="F91" s="138"/>
      <c r="G91" s="138"/>
      <c r="H91" s="138"/>
    </row>
    <row r="92" spans="1:10">
      <c r="A92" s="65" t="s">
        <v>208</v>
      </c>
      <c r="B92" s="65"/>
      <c r="C92" s="65"/>
      <c r="D92" s="65"/>
      <c r="E92" s="65"/>
      <c r="F92" s="138">
        <v>800000</v>
      </c>
      <c r="G92" s="138"/>
      <c r="H92" s="138"/>
    </row>
    <row r="93" spans="1:10" s="18" customFormat="1">
      <c r="A93" s="78" t="s">
        <v>209</v>
      </c>
      <c r="B93" s="78"/>
      <c r="C93" s="78"/>
      <c r="D93" s="78"/>
      <c r="E93" s="78"/>
      <c r="F93" s="138">
        <f>F81*0.8</f>
        <v>8800</v>
      </c>
      <c r="G93" s="138"/>
      <c r="H93" s="138"/>
    </row>
    <row r="94" spans="1:10" s="19" customFormat="1" ht="15.75" hidden="1" customHeight="1">
      <c r="A94" s="139" t="s">
        <v>210</v>
      </c>
      <c r="B94" s="139"/>
      <c r="C94" s="139"/>
      <c r="D94" s="139"/>
      <c r="E94" s="139"/>
      <c r="F94" s="139"/>
      <c r="G94" s="139"/>
      <c r="H94" s="139"/>
    </row>
    <row r="95" spans="1:10" s="19" customFormat="1" ht="15.75" hidden="1" customHeight="1">
      <c r="A95" s="140" t="s">
        <v>211</v>
      </c>
      <c r="B95" s="140"/>
      <c r="C95" s="141" t="s">
        <v>212</v>
      </c>
      <c r="D95" s="141"/>
      <c r="E95" s="142" t="s">
        <v>213</v>
      </c>
      <c r="F95" s="142"/>
      <c r="G95" s="140" t="s">
        <v>214</v>
      </c>
      <c r="H95" s="140"/>
    </row>
    <row r="96" spans="1:10" s="19" customFormat="1" hidden="1">
      <c r="A96" s="143"/>
      <c r="B96" s="143"/>
      <c r="C96" s="144"/>
      <c r="D96" s="144"/>
      <c r="E96" s="145"/>
      <c r="F96" s="145"/>
      <c r="G96" s="146"/>
      <c r="H96" s="146"/>
    </row>
    <row r="97" spans="1:14" s="19" customFormat="1" hidden="1">
      <c r="A97" s="143"/>
      <c r="B97" s="143"/>
      <c r="C97" s="144"/>
      <c r="D97" s="144"/>
      <c r="E97" s="145"/>
      <c r="F97" s="145"/>
      <c r="G97" s="146"/>
      <c r="H97" s="146"/>
    </row>
    <row r="98" spans="1:14" s="19" customFormat="1" hidden="1">
      <c r="A98" s="139" t="s">
        <v>215</v>
      </c>
      <c r="B98" s="139"/>
      <c r="C98" s="141"/>
      <c r="D98" s="141"/>
      <c r="E98" s="142"/>
      <c r="F98" s="142"/>
      <c r="G98" s="140"/>
      <c r="H98" s="140"/>
    </row>
    <row r="99" spans="1:14" s="19" customFormat="1">
      <c r="A99" s="139" t="s">
        <v>216</v>
      </c>
      <c r="B99" s="139"/>
      <c r="C99" s="139"/>
      <c r="D99" s="139"/>
      <c r="E99" s="139"/>
      <c r="F99" s="139"/>
      <c r="G99" s="139"/>
      <c r="H99" s="139"/>
    </row>
    <row r="100" spans="1:14" s="19" customFormat="1" ht="15.75" customHeight="1">
      <c r="A100" s="140" t="s">
        <v>211</v>
      </c>
      <c r="B100" s="140"/>
      <c r="C100" s="141" t="s">
        <v>212</v>
      </c>
      <c r="D100" s="141"/>
      <c r="E100" s="142" t="s">
        <v>213</v>
      </c>
      <c r="F100" s="142"/>
      <c r="G100" s="140" t="s">
        <v>214</v>
      </c>
      <c r="H100" s="140"/>
    </row>
    <row r="101" spans="1:14" s="19" customFormat="1">
      <c r="A101" s="143" t="s">
        <v>217</v>
      </c>
      <c r="B101" s="143"/>
      <c r="C101" s="147">
        <f>COUNT(D122:D128)*11+COUNT(D130:D136)*10+COUNT(D138:D142,D144)*2+COUNT(D146:D150,D152)*3+COUNT(D154:D160)*7+COUNT(D162:D166,D168)+COUNT(D170:D176)*7+COUNT(D178:D182,D184)</f>
        <v>287</v>
      </c>
      <c r="D101" s="147"/>
      <c r="E101" s="148">
        <f>SUM(D122:D128)*11+SUM(D130:D136)*10+SUM(D138:D142,D144)*2+SUM(D146:D150,D152)*3+SUM(D154:D160)*7+SUM(D162:D166,D168)+SUM(D170:D176)*7+SUM(D178:D182,D184)</f>
        <v>317790.34691039997</v>
      </c>
      <c r="F101" s="148"/>
      <c r="G101" s="148">
        <f>SUM(F122:F128)*11+SUM(F130:F136)*10+SUM(F138:F142,F144)*2+SUM(F146:F150,F152)*3+SUM(F154:F160)*7+SUM(F162:F166,F168)+SUM(F170:F176)*7+SUM(F178:F182,F184)</f>
        <v>626680</v>
      </c>
      <c r="H101" s="148"/>
    </row>
    <row r="102" spans="1:14" s="19" customFormat="1" hidden="1">
      <c r="A102" s="143"/>
      <c r="B102" s="143"/>
      <c r="C102" s="144"/>
      <c r="D102" s="144"/>
      <c r="E102" s="145"/>
      <c r="F102" s="145"/>
      <c r="G102" s="146"/>
      <c r="H102" s="146"/>
    </row>
    <row r="103" spans="1:14" s="19" customFormat="1" hidden="1">
      <c r="A103" s="149" t="s">
        <v>215</v>
      </c>
      <c r="B103" s="149"/>
      <c r="C103" s="150"/>
      <c r="D103" s="150"/>
      <c r="E103" s="151"/>
      <c r="F103" s="151"/>
      <c r="G103" s="152"/>
      <c r="H103" s="152"/>
    </row>
    <row r="104" spans="1:14" s="19" customFormat="1" hidden="1">
      <c r="A104" s="153" t="s">
        <v>218</v>
      </c>
      <c r="B104" s="154"/>
      <c r="C104" s="155">
        <f>C98+C103</f>
        <v>0</v>
      </c>
      <c r="D104" s="155"/>
      <c r="E104" s="156">
        <f>E98+E103</f>
        <v>0</v>
      </c>
      <c r="F104" s="156"/>
      <c r="G104" s="157">
        <f>G98+G103</f>
        <v>0</v>
      </c>
      <c r="H104" s="158"/>
    </row>
    <row r="105" spans="1:14" s="18" customFormat="1">
      <c r="A105" s="137" t="s">
        <v>219</v>
      </c>
      <c r="B105" s="137"/>
      <c r="C105" s="137"/>
      <c r="D105" s="137"/>
      <c r="E105" s="137"/>
      <c r="F105" s="137"/>
      <c r="G105" s="137"/>
      <c r="H105" s="137"/>
    </row>
    <row r="106" spans="1:14">
      <c r="A106" s="60" t="s">
        <v>220</v>
      </c>
      <c r="B106" s="60"/>
      <c r="C106" s="60"/>
      <c r="D106" s="60"/>
      <c r="E106" s="60"/>
      <c r="F106" s="60"/>
      <c r="G106" s="60"/>
      <c r="H106" s="60"/>
    </row>
    <row r="107" spans="1:14" ht="47.25" hidden="1" customHeight="1">
      <c r="A107" s="164" t="s">
        <v>221</v>
      </c>
      <c r="B107" s="164" t="s">
        <v>222</v>
      </c>
      <c r="C107" s="164" t="s">
        <v>223</v>
      </c>
      <c r="D107" s="164" t="s">
        <v>224</v>
      </c>
      <c r="E107" s="166" t="s">
        <v>225</v>
      </c>
      <c r="F107" s="37" t="s">
        <v>226</v>
      </c>
      <c r="G107" s="168" t="s">
        <v>227</v>
      </c>
      <c r="H107" s="169"/>
    </row>
    <row r="108" spans="1:14" s="20" customFormat="1" hidden="1">
      <c r="A108" s="165"/>
      <c r="B108" s="165"/>
      <c r="C108" s="165"/>
      <c r="D108" s="165"/>
      <c r="E108" s="167"/>
      <c r="F108" s="40">
        <v>0.45</v>
      </c>
      <c r="G108" s="170"/>
      <c r="H108" s="171"/>
    </row>
    <row r="109" spans="1:14" s="20" customFormat="1" hidden="1">
      <c r="A109" s="159" t="s">
        <v>228</v>
      </c>
      <c r="B109" s="160"/>
      <c r="C109" s="160"/>
      <c r="D109" s="160"/>
      <c r="E109" s="160"/>
      <c r="F109" s="160"/>
      <c r="G109" s="160"/>
      <c r="H109" s="161"/>
      <c r="J109" s="54"/>
    </row>
    <row r="110" spans="1:14" s="20" customFormat="1" hidden="1">
      <c r="A110" s="162">
        <v>1</v>
      </c>
      <c r="B110" s="163"/>
      <c r="C110" s="41"/>
      <c r="D110" s="41"/>
      <c r="E110" s="41">
        <v>0</v>
      </c>
      <c r="F110" s="41">
        <f>(D110+E110)*(($F$108)+1)</f>
        <v>0</v>
      </c>
      <c r="G110" s="162" t="str">
        <f>A109</f>
        <v>Ground Floor</v>
      </c>
      <c r="H110" s="163"/>
      <c r="I110" s="54"/>
      <c r="L110" s="172"/>
      <c r="M110" s="172"/>
      <c r="N110" s="54"/>
    </row>
    <row r="111" spans="1:14" s="20" customFormat="1" hidden="1">
      <c r="A111" s="162">
        <f t="shared" ref="A111:A113" si="0">A110+1</f>
        <v>2</v>
      </c>
      <c r="B111" s="163"/>
      <c r="C111" s="41"/>
      <c r="D111" s="41"/>
      <c r="E111" s="41">
        <v>0</v>
      </c>
      <c r="F111" s="41">
        <f t="shared" ref="F111:F113" si="1">(D111+E111)*(($F$108)+1)</f>
        <v>0</v>
      </c>
      <c r="G111" s="162" t="str">
        <f t="shared" ref="G111:G113" si="2">G110</f>
        <v>Ground Floor</v>
      </c>
      <c r="H111" s="163"/>
      <c r="I111" s="54"/>
      <c r="L111" s="172"/>
      <c r="M111" s="172"/>
      <c r="N111" s="54"/>
    </row>
    <row r="112" spans="1:14" s="20" customFormat="1" hidden="1">
      <c r="A112" s="162">
        <f t="shared" si="0"/>
        <v>3</v>
      </c>
      <c r="B112" s="163"/>
      <c r="C112" s="41"/>
      <c r="D112" s="41"/>
      <c r="E112" s="41">
        <v>0</v>
      </c>
      <c r="F112" s="41">
        <f t="shared" si="1"/>
        <v>0</v>
      </c>
      <c r="G112" s="162" t="str">
        <f t="shared" si="2"/>
        <v>Ground Floor</v>
      </c>
      <c r="H112" s="163"/>
      <c r="I112" s="54"/>
      <c r="L112" s="172"/>
      <c r="M112" s="172"/>
      <c r="N112" s="54"/>
    </row>
    <row r="113" spans="1:14" s="20" customFormat="1" hidden="1">
      <c r="A113" s="162">
        <f t="shared" si="0"/>
        <v>4</v>
      </c>
      <c r="B113" s="163"/>
      <c r="C113" s="41"/>
      <c r="D113" s="41"/>
      <c r="E113" s="41">
        <v>0</v>
      </c>
      <c r="F113" s="41">
        <f t="shared" si="1"/>
        <v>0</v>
      </c>
      <c r="G113" s="162" t="str">
        <f t="shared" si="2"/>
        <v>Ground Floor</v>
      </c>
      <c r="H113" s="163"/>
      <c r="I113" s="54"/>
      <c r="L113" s="172"/>
      <c r="M113" s="172"/>
      <c r="N113" s="54"/>
    </row>
    <row r="114" spans="1:14" s="20" customFormat="1" hidden="1">
      <c r="A114" s="162"/>
      <c r="B114" s="173"/>
      <c r="C114" s="173"/>
      <c r="D114" s="173"/>
      <c r="E114" s="173"/>
      <c r="F114" s="173"/>
      <c r="G114" s="173"/>
      <c r="H114" s="163"/>
      <c r="I114" s="54"/>
      <c r="N114" s="54"/>
    </row>
    <row r="115" spans="1:14" ht="47.25" customHeight="1">
      <c r="A115" s="39" t="s">
        <v>229</v>
      </c>
      <c r="B115" s="37" t="s">
        <v>230</v>
      </c>
      <c r="C115" s="37" t="s">
        <v>223</v>
      </c>
      <c r="D115" s="37" t="s">
        <v>224</v>
      </c>
      <c r="E115" s="38" t="s">
        <v>231</v>
      </c>
      <c r="F115" s="37" t="s">
        <v>232</v>
      </c>
      <c r="G115" s="168" t="s">
        <v>227</v>
      </c>
      <c r="H115" s="169"/>
      <c r="I115" s="54"/>
    </row>
    <row r="116" spans="1:14" s="20" customFormat="1">
      <c r="A116" s="159" t="s">
        <v>233</v>
      </c>
      <c r="B116" s="160"/>
      <c r="C116" s="160"/>
      <c r="D116" s="160"/>
      <c r="E116" s="160"/>
      <c r="F116" s="160"/>
      <c r="G116" s="160"/>
      <c r="H116" s="161"/>
      <c r="J116" s="54"/>
    </row>
    <row r="117" spans="1:14" s="20" customFormat="1">
      <c r="A117" s="159" t="s">
        <v>234</v>
      </c>
      <c r="B117" s="160"/>
      <c r="C117" s="160"/>
      <c r="D117" s="160"/>
      <c r="E117" s="160"/>
      <c r="F117" s="160"/>
      <c r="G117" s="160"/>
      <c r="H117" s="161"/>
      <c r="J117" s="54"/>
    </row>
    <row r="118" spans="1:14" s="20" customFormat="1">
      <c r="A118" s="159" t="s">
        <v>235</v>
      </c>
      <c r="B118" s="160"/>
      <c r="C118" s="160"/>
      <c r="D118" s="160"/>
      <c r="E118" s="160"/>
      <c r="F118" s="160"/>
      <c r="G118" s="160"/>
      <c r="H118" s="161"/>
      <c r="J118" s="54"/>
    </row>
    <row r="119" spans="1:14" s="20" customFormat="1">
      <c r="A119" s="159" t="s">
        <v>236</v>
      </c>
      <c r="B119" s="160"/>
      <c r="C119" s="160"/>
      <c r="D119" s="160"/>
      <c r="E119" s="160"/>
      <c r="F119" s="160"/>
      <c r="G119" s="160"/>
      <c r="H119" s="161"/>
      <c r="J119" s="54"/>
    </row>
    <row r="120" spans="1:14" s="20" customFormat="1">
      <c r="A120" s="159" t="s">
        <v>237</v>
      </c>
      <c r="B120" s="160"/>
      <c r="C120" s="160"/>
      <c r="D120" s="160"/>
      <c r="E120" s="160"/>
      <c r="F120" s="160"/>
      <c r="G120" s="160"/>
      <c r="H120" s="161"/>
      <c r="J120" s="54"/>
    </row>
    <row r="121" spans="1:14" s="20" customFormat="1">
      <c r="A121" s="159" t="s">
        <v>238</v>
      </c>
      <c r="B121" s="160"/>
      <c r="C121" s="160"/>
      <c r="D121" s="160"/>
      <c r="E121" s="160"/>
      <c r="F121" s="160"/>
      <c r="G121" s="160"/>
      <c r="H121" s="161"/>
      <c r="J121" s="42">
        <f>10.764</f>
        <v>10.763999999999999</v>
      </c>
    </row>
    <row r="122" spans="1:14" s="20" customFormat="1" ht="15.75" customHeight="1">
      <c r="A122" s="162">
        <v>1</v>
      </c>
      <c r="B122" s="163"/>
      <c r="C122" s="41" t="s">
        <v>239</v>
      </c>
      <c r="D122" s="42">
        <f>(91.16+3.65*1.55+3.02*1.16+0.6*(3.65+3.35))*(10.764)</f>
        <v>1125.0608147999999</v>
      </c>
      <c r="E122" s="42">
        <f>(3.42*1.37)*(10.764)</f>
        <v>50.433645599999998</v>
      </c>
      <c r="F122" s="41">
        <v>2300</v>
      </c>
      <c r="G122" s="177" t="str">
        <f>A121</f>
        <v>4th, 6th, 8th, 10th, 14th, 16th, 18th, 20th, 24th, 26th &amp; 28th Floor For Residential</v>
      </c>
      <c r="H122" s="178"/>
      <c r="I122" s="54"/>
      <c r="K122" s="20">
        <f>(F122-E122)/D122</f>
        <v>1.9995064487246419</v>
      </c>
      <c r="L122" s="172"/>
      <c r="M122" s="172"/>
      <c r="N122" s="54"/>
    </row>
    <row r="123" spans="1:14" s="20" customFormat="1" ht="15.75" customHeight="1">
      <c r="A123" s="162">
        <f t="shared" ref="A123:A128" si="3">A122+1</f>
        <v>2</v>
      </c>
      <c r="B123" s="163"/>
      <c r="C123" s="41" t="s">
        <v>240</v>
      </c>
      <c r="D123" s="42">
        <f>(144.04+4.33*1.53+3.65*1.65+2.95*1.05+3.35*1.65+3.35*0.6)*(10.764)</f>
        <v>1801.0583135999998</v>
      </c>
      <c r="E123" s="42">
        <f>(3.2*1.65)*(10.764)</f>
        <v>56.833919999999999</v>
      </c>
      <c r="F123" s="41">
        <v>3530</v>
      </c>
      <c r="G123" s="179"/>
      <c r="H123" s="180"/>
      <c r="I123" s="54"/>
      <c r="K123" s="20">
        <f t="shared" ref="K123:K186" si="4">(F123-E123)/D123</f>
        <v>1.9284029027676233</v>
      </c>
      <c r="L123" s="172"/>
      <c r="M123" s="172"/>
      <c r="N123" s="54"/>
    </row>
    <row r="124" spans="1:14" s="20" customFormat="1" ht="15.75" customHeight="1">
      <c r="A124" s="162">
        <f t="shared" si="3"/>
        <v>3</v>
      </c>
      <c r="B124" s="163"/>
      <c r="C124" s="41" t="s">
        <v>239</v>
      </c>
      <c r="D124" s="42">
        <f>(91.16+3.65*1.55+3.02*1.16+0.6*(3.65+3.35))*(10.764)</f>
        <v>1125.0608147999999</v>
      </c>
      <c r="E124" s="42">
        <f>(3.42*1.37)*(10.764)</f>
        <v>50.433645599999998</v>
      </c>
      <c r="F124" s="41">
        <v>2300</v>
      </c>
      <c r="G124" s="179"/>
      <c r="H124" s="180"/>
      <c r="I124" s="54"/>
      <c r="K124" s="20">
        <f t="shared" si="4"/>
        <v>1.9995064487246419</v>
      </c>
      <c r="L124" s="172"/>
      <c r="M124" s="172"/>
      <c r="N124" s="54"/>
    </row>
    <row r="125" spans="1:14" s="20" customFormat="1" ht="15.75" customHeight="1">
      <c r="A125" s="162">
        <f t="shared" si="3"/>
        <v>4</v>
      </c>
      <c r="B125" s="163"/>
      <c r="C125" s="41" t="s">
        <v>239</v>
      </c>
      <c r="D125" s="42">
        <f>(80.9+3.3*2+2.76*1.2+0.6*(3.05+3.35))*(10.764)</f>
        <v>1018.834128</v>
      </c>
      <c r="E125" s="42">
        <f>(3.37*1.44)*(10.764)</f>
        <v>52.235539199999998</v>
      </c>
      <c r="F125" s="41">
        <v>1990</v>
      </c>
      <c r="G125" s="179"/>
      <c r="H125" s="180"/>
      <c r="I125" s="54"/>
      <c r="K125" s="20">
        <f t="shared" si="4"/>
        <v>1.9019430224661655</v>
      </c>
      <c r="L125" s="172"/>
      <c r="M125" s="172"/>
      <c r="N125" s="54"/>
    </row>
    <row r="126" spans="1:14" s="20" customFormat="1" ht="15.75" customHeight="1">
      <c r="A126" s="162">
        <f t="shared" si="3"/>
        <v>5</v>
      </c>
      <c r="B126" s="163"/>
      <c r="C126" s="41" t="s">
        <v>241</v>
      </c>
      <c r="D126" s="42">
        <f>(61.88+3.3*1.7+2.4*1+0.6*3.3)*(10.764)</f>
        <v>773.60868000000016</v>
      </c>
      <c r="E126" s="42">
        <f>(3.37*1.33)*(10.764)</f>
        <v>48.245324399999994</v>
      </c>
      <c r="F126" s="41">
        <v>1475</v>
      </c>
      <c r="G126" s="179"/>
      <c r="H126" s="180"/>
      <c r="I126" s="54"/>
      <c r="J126" s="20">
        <f>3.3*4.9+1.13*3.09+2.4*2.75+3*3.35+3.3*3.65+2.45*1.5+1.35*0.75+1.35*2.34+2.26+2.63</f>
        <v>61.093200000000003</v>
      </c>
      <c r="K126" s="20">
        <f t="shared" si="4"/>
        <v>1.8442847301041136</v>
      </c>
      <c r="L126" s="172"/>
      <c r="M126" s="172"/>
      <c r="N126" s="54"/>
    </row>
    <row r="127" spans="1:14" s="20" customFormat="1" ht="15.75" customHeight="1">
      <c r="A127" s="162">
        <f t="shared" si="3"/>
        <v>6</v>
      </c>
      <c r="B127" s="163"/>
      <c r="C127" s="41" t="s">
        <v>241</v>
      </c>
      <c r="D127" s="42">
        <f>(61.88+3.3*1.7+2.4*1+0.6*3.3)*(10.764)</f>
        <v>773.60868000000016</v>
      </c>
      <c r="E127" s="42">
        <f>(3.37*1.33)*(10.764)</f>
        <v>48.245324399999994</v>
      </c>
      <c r="F127" s="41">
        <v>1475</v>
      </c>
      <c r="G127" s="179"/>
      <c r="H127" s="180"/>
      <c r="I127" s="54"/>
      <c r="K127" s="20">
        <f t="shared" si="4"/>
        <v>1.8442847301041136</v>
      </c>
      <c r="L127" s="172"/>
      <c r="M127" s="172"/>
      <c r="N127" s="54"/>
    </row>
    <row r="128" spans="1:14" s="20" customFormat="1" ht="15.75" customHeight="1">
      <c r="A128" s="162">
        <f t="shared" si="3"/>
        <v>7</v>
      </c>
      <c r="B128" s="163"/>
      <c r="C128" s="41" t="s">
        <v>239</v>
      </c>
      <c r="D128" s="42">
        <f>(80.9+3.3*2+2.76*1.2+0.6*(3.05+3.35))*(10.764)</f>
        <v>1018.834128</v>
      </c>
      <c r="E128" s="42">
        <f>(3.37*1.44)*(10.764)</f>
        <v>52.235539199999998</v>
      </c>
      <c r="F128" s="41">
        <v>1990</v>
      </c>
      <c r="G128" s="181"/>
      <c r="H128" s="182"/>
      <c r="I128" s="54"/>
      <c r="K128" s="20">
        <f t="shared" si="4"/>
        <v>1.9019430224661655</v>
      </c>
      <c r="L128" s="172"/>
      <c r="M128" s="172"/>
      <c r="N128" s="54"/>
    </row>
    <row r="129" spans="1:14" s="20" customFormat="1">
      <c r="A129" s="159" t="s">
        <v>242</v>
      </c>
      <c r="B129" s="160"/>
      <c r="C129" s="160"/>
      <c r="D129" s="160"/>
      <c r="E129" s="160"/>
      <c r="F129" s="160"/>
      <c r="G129" s="160"/>
      <c r="H129" s="161"/>
      <c r="J129" s="54"/>
      <c r="K129" s="20" t="e">
        <f t="shared" si="4"/>
        <v>#DIV/0!</v>
      </c>
    </row>
    <row r="130" spans="1:14" s="20" customFormat="1" ht="15.75" customHeight="1">
      <c r="A130" s="162">
        <v>1</v>
      </c>
      <c r="B130" s="163"/>
      <c r="C130" s="41" t="s">
        <v>239</v>
      </c>
      <c r="D130" s="42">
        <f>(91.16+3.65*1.55+3.02*1.16+0.6*(3.13+3.35))*(10.764)</f>
        <v>1121.7024468</v>
      </c>
      <c r="E130" s="42">
        <f>(3.65*1.25)*(10.764)</f>
        <v>49.110749999999996</v>
      </c>
      <c r="F130" s="41">
        <v>2300</v>
      </c>
      <c r="G130" s="177" t="str">
        <f>A129</f>
        <v>5th, 9th, 11th, 13th, 15th, 19th, 21st, 23rd, 25th &amp; 29th Floor</v>
      </c>
      <c r="H130" s="178"/>
      <c r="I130" s="54"/>
      <c r="K130" s="20">
        <f t="shared" si="4"/>
        <v>2.0066723188679418</v>
      </c>
      <c r="L130" s="172"/>
      <c r="M130" s="172"/>
      <c r="N130" s="54"/>
    </row>
    <row r="131" spans="1:14" s="20" customFormat="1" ht="15.75" customHeight="1">
      <c r="A131" s="162">
        <f t="shared" ref="A131:A136" si="5">A130+1</f>
        <v>2</v>
      </c>
      <c r="B131" s="163"/>
      <c r="C131" s="41" t="s">
        <v>240</v>
      </c>
      <c r="D131" s="42">
        <f>(144.04+4.33*1.53+3.65*1.65+2.95*1.05+3.35*1.65+3.2*0.6)*(10.764)</f>
        <v>1800.0895535999998</v>
      </c>
      <c r="E131" s="42">
        <f>(3.35*1.05)*(10.764)</f>
        <v>37.862369999999999</v>
      </c>
      <c r="F131" s="41">
        <v>3505</v>
      </c>
      <c r="G131" s="179" t="str">
        <f t="shared" ref="G131:G136" si="6">G130</f>
        <v>5th, 9th, 11th, 13th, 15th, 19th, 21st, 23rd, 25th &amp; 29th Floor</v>
      </c>
      <c r="H131" s="180"/>
      <c r="I131" s="54"/>
      <c r="K131" s="20">
        <f t="shared" si="4"/>
        <v>1.92609174530571</v>
      </c>
      <c r="L131" s="172"/>
      <c r="M131" s="172"/>
      <c r="N131" s="54"/>
    </row>
    <row r="132" spans="1:14" s="20" customFormat="1" ht="15.75" customHeight="1">
      <c r="A132" s="162">
        <f t="shared" si="5"/>
        <v>3</v>
      </c>
      <c r="B132" s="163"/>
      <c r="C132" s="41" t="s">
        <v>239</v>
      </c>
      <c r="D132" s="42">
        <f>(91.16+3.65*1.55+3.02*1.16+0.6*(3.13+3.35))*(10.764)</f>
        <v>1121.7024468</v>
      </c>
      <c r="E132" s="42">
        <f>(3.65*1.25)*(10.764)</f>
        <v>49.110749999999996</v>
      </c>
      <c r="F132" s="41">
        <v>2300</v>
      </c>
      <c r="G132" s="179" t="str">
        <f t="shared" si="6"/>
        <v>5th, 9th, 11th, 13th, 15th, 19th, 21st, 23rd, 25th &amp; 29th Floor</v>
      </c>
      <c r="H132" s="180"/>
      <c r="I132" s="54"/>
      <c r="K132" s="20">
        <f t="shared" si="4"/>
        <v>2.0066723188679418</v>
      </c>
      <c r="L132" s="172"/>
      <c r="M132" s="172"/>
      <c r="N132" s="54"/>
    </row>
    <row r="133" spans="1:14" s="20" customFormat="1" ht="15.75" customHeight="1">
      <c r="A133" s="162">
        <f t="shared" si="5"/>
        <v>4</v>
      </c>
      <c r="B133" s="163"/>
      <c r="C133" s="41" t="s">
        <v>239</v>
      </c>
      <c r="D133" s="42">
        <f>(80.9+3.3*2+2.76*1.2+0.6*(3.05+3))*(10.764)</f>
        <v>1016.5736879999998</v>
      </c>
      <c r="E133" s="42">
        <f>(3.35*1.85)*(10.764)</f>
        <v>66.709890000000001</v>
      </c>
      <c r="F133" s="41">
        <v>2025</v>
      </c>
      <c r="G133" s="179" t="str">
        <f t="shared" si="6"/>
        <v>5th, 9th, 11th, 13th, 15th, 19th, 21st, 23rd, 25th &amp; 29th Floor</v>
      </c>
      <c r="H133" s="180"/>
      <c r="I133" s="54"/>
      <c r="K133" s="20">
        <f t="shared" si="4"/>
        <v>1.9263631678808515</v>
      </c>
      <c r="L133" s="172"/>
      <c r="M133" s="172"/>
      <c r="N133" s="54"/>
    </row>
    <row r="134" spans="1:14" s="20" customFormat="1" ht="15.75" customHeight="1">
      <c r="A134" s="162">
        <f t="shared" si="5"/>
        <v>5</v>
      </c>
      <c r="B134" s="163"/>
      <c r="C134" s="41" t="s">
        <v>241</v>
      </c>
      <c r="D134" s="42">
        <f>(61.88+3.3*1.7+2.4*1+0.6*3)*(10.764)</f>
        <v>771.6711600000001</v>
      </c>
      <c r="E134" s="42">
        <f>(3.3*1.35)*(10.764)</f>
        <v>47.953620000000001</v>
      </c>
      <c r="F134" s="41">
        <v>1495</v>
      </c>
      <c r="G134" s="179" t="str">
        <f t="shared" si="6"/>
        <v>5th, 9th, 11th, 13th, 15th, 19th, 21st, 23rd, 25th &amp; 29th Floor</v>
      </c>
      <c r="H134" s="180"/>
      <c r="I134" s="54"/>
      <c r="J134" s="20">
        <f>10000000/F135</f>
        <v>6688.9632107023408</v>
      </c>
      <c r="K134" s="20">
        <f t="shared" si="4"/>
        <v>1.8752111715565472</v>
      </c>
      <c r="L134" s="172"/>
      <c r="M134" s="172"/>
      <c r="N134" s="54"/>
    </row>
    <row r="135" spans="1:14" s="20" customFormat="1" ht="15.75" customHeight="1">
      <c r="A135" s="162">
        <f t="shared" si="5"/>
        <v>6</v>
      </c>
      <c r="B135" s="163"/>
      <c r="C135" s="41" t="s">
        <v>241</v>
      </c>
      <c r="D135" s="42">
        <f>(61.88+3.3*1.7+2.4*1+0.6*3)*(10.764)</f>
        <v>771.6711600000001</v>
      </c>
      <c r="E135" s="42">
        <f>(3.3*1.35)*(10.764)</f>
        <v>47.953620000000001</v>
      </c>
      <c r="F135" s="41">
        <v>1495</v>
      </c>
      <c r="G135" s="179" t="str">
        <f t="shared" si="6"/>
        <v>5th, 9th, 11th, 13th, 15th, 19th, 21st, 23rd, 25th &amp; 29th Floor</v>
      </c>
      <c r="H135" s="180"/>
      <c r="I135" s="54"/>
      <c r="K135" s="20">
        <f t="shared" si="4"/>
        <v>1.8752111715565472</v>
      </c>
      <c r="L135" s="172"/>
      <c r="M135" s="172"/>
      <c r="N135" s="54"/>
    </row>
    <row r="136" spans="1:14" s="20" customFormat="1" ht="15.75" customHeight="1">
      <c r="A136" s="162">
        <f t="shared" si="5"/>
        <v>7</v>
      </c>
      <c r="B136" s="163"/>
      <c r="C136" s="41" t="s">
        <v>239</v>
      </c>
      <c r="D136" s="42">
        <f>(80.9+3.3*2+2.76*1.2+0.6*(3.05+3))*(10.764)</f>
        <v>1016.5736879999998</v>
      </c>
      <c r="E136" s="42">
        <f>(3.35*1.66)*(10.764)</f>
        <v>59.858603999999993</v>
      </c>
      <c r="F136" s="41">
        <v>2025</v>
      </c>
      <c r="G136" s="181" t="str">
        <f t="shared" si="6"/>
        <v>5th, 9th, 11th, 13th, 15th, 19th, 21st, 23rd, 25th &amp; 29th Floor</v>
      </c>
      <c r="H136" s="182"/>
      <c r="I136" s="54"/>
      <c r="K136" s="20">
        <f t="shared" si="4"/>
        <v>1.9331027540819061</v>
      </c>
      <c r="L136" s="172"/>
      <c r="M136" s="172"/>
      <c r="N136" s="54"/>
    </row>
    <row r="137" spans="1:14" s="20" customFormat="1">
      <c r="A137" s="159" t="s">
        <v>243</v>
      </c>
      <c r="B137" s="160"/>
      <c r="C137" s="160"/>
      <c r="D137" s="160"/>
      <c r="E137" s="160"/>
      <c r="F137" s="160"/>
      <c r="G137" s="160"/>
      <c r="H137" s="161"/>
      <c r="J137" s="54"/>
      <c r="K137" s="20" t="e">
        <f t="shared" si="4"/>
        <v>#DIV/0!</v>
      </c>
    </row>
    <row r="138" spans="1:14" s="20" customFormat="1" ht="15.75" customHeight="1">
      <c r="A138" s="162">
        <v>1</v>
      </c>
      <c r="B138" s="163"/>
      <c r="C138" s="41" t="s">
        <v>239</v>
      </c>
      <c r="D138" s="42">
        <f>(91.16+3.65*1.55+3.02*1.16+0.6*(3.65+3.35))*(10.764)</f>
        <v>1125.0608147999999</v>
      </c>
      <c r="E138" s="42">
        <f>(3.42*1.37)*(10.764)</f>
        <v>50.433645599999998</v>
      </c>
      <c r="F138" s="41">
        <v>2300</v>
      </c>
      <c r="G138" s="177" t="str">
        <f>A137</f>
        <v>12th &amp; 22nd Floor (Part Refuge Area)</v>
      </c>
      <c r="H138" s="178"/>
      <c r="I138" s="54"/>
      <c r="K138" s="20">
        <f t="shared" si="4"/>
        <v>1.9995064487246419</v>
      </c>
      <c r="L138" s="172"/>
      <c r="M138" s="172"/>
      <c r="N138" s="54"/>
    </row>
    <row r="139" spans="1:14" s="20" customFormat="1" ht="15.75" customHeight="1">
      <c r="A139" s="162">
        <f t="shared" ref="A139:A144" si="7">A138+1</f>
        <v>2</v>
      </c>
      <c r="B139" s="163"/>
      <c r="C139" s="41" t="s">
        <v>240</v>
      </c>
      <c r="D139" s="42">
        <f>(144.04+4.33*1.53+3.65*1.65+2.95*1.05+3.35*1.65+3.35*0.6)*(10.764)</f>
        <v>1801.0583135999998</v>
      </c>
      <c r="E139" s="42">
        <f>(3.2*1.65)*(10.764)</f>
        <v>56.833919999999999</v>
      </c>
      <c r="F139" s="41">
        <v>3530</v>
      </c>
      <c r="G139" s="179"/>
      <c r="H139" s="180"/>
      <c r="I139" s="54"/>
      <c r="K139" s="20">
        <f t="shared" si="4"/>
        <v>1.9284029027676233</v>
      </c>
      <c r="L139" s="172"/>
      <c r="M139" s="172"/>
      <c r="N139" s="54"/>
    </row>
    <row r="140" spans="1:14" s="20" customFormat="1" ht="15.75" customHeight="1">
      <c r="A140" s="162">
        <f t="shared" si="7"/>
        <v>3</v>
      </c>
      <c r="B140" s="163"/>
      <c r="C140" s="41" t="s">
        <v>239</v>
      </c>
      <c r="D140" s="42">
        <f>(91.16+3.65*1.55+3.02*1.16+0.6*(3.65+3.35))*(10.764)</f>
        <v>1125.0608147999999</v>
      </c>
      <c r="E140" s="42">
        <f>(3.42*1.37)*(10.764)</f>
        <v>50.433645599999998</v>
      </c>
      <c r="F140" s="41">
        <v>2300</v>
      </c>
      <c r="G140" s="179"/>
      <c r="H140" s="180"/>
      <c r="I140" s="54"/>
      <c r="K140" s="20">
        <f t="shared" si="4"/>
        <v>1.9995064487246419</v>
      </c>
      <c r="L140" s="172"/>
      <c r="M140" s="172"/>
      <c r="N140" s="54"/>
    </row>
    <row r="141" spans="1:14" s="20" customFormat="1" ht="15.75" customHeight="1">
      <c r="A141" s="162">
        <f t="shared" si="7"/>
        <v>4</v>
      </c>
      <c r="B141" s="163"/>
      <c r="C141" s="41" t="s">
        <v>239</v>
      </c>
      <c r="D141" s="42">
        <f>(80.9+3.3*2+2.76*1.2+0.6*(3.05+3.35))*(10.764)</f>
        <v>1018.834128</v>
      </c>
      <c r="E141" s="42">
        <f>(3.37*1.44)*(10.764)</f>
        <v>52.235539199999998</v>
      </c>
      <c r="F141" s="41">
        <v>1990</v>
      </c>
      <c r="G141" s="179"/>
      <c r="H141" s="180"/>
      <c r="I141" s="54"/>
      <c r="K141" s="20">
        <f t="shared" si="4"/>
        <v>1.9019430224661655</v>
      </c>
      <c r="L141" s="172"/>
      <c r="M141" s="172"/>
      <c r="N141" s="54"/>
    </row>
    <row r="142" spans="1:14" s="20" customFormat="1" ht="15.75" customHeight="1">
      <c r="A142" s="162">
        <f t="shared" si="7"/>
        <v>5</v>
      </c>
      <c r="B142" s="163"/>
      <c r="C142" s="41" t="s">
        <v>239</v>
      </c>
      <c r="D142" s="42">
        <f>(79.68+3.3*1.7+2.4*1+0.6*(3.3+3.3))*(10.764)</f>
        <v>986.52059999999994</v>
      </c>
      <c r="E142" s="42">
        <f>(3.37*1.33)*(10.764)</f>
        <v>48.245324399999994</v>
      </c>
      <c r="F142" s="41">
        <v>1855</v>
      </c>
      <c r="G142" s="179"/>
      <c r="H142" s="180"/>
      <c r="I142" s="54"/>
      <c r="J142" s="20">
        <f>13000000/F142</f>
        <v>7008.0862533692725</v>
      </c>
      <c r="K142" s="20">
        <f t="shared" si="4"/>
        <v>1.8314414069001701</v>
      </c>
      <c r="L142" s="172"/>
      <c r="M142" s="172"/>
      <c r="N142" s="54"/>
    </row>
    <row r="143" spans="1:14" s="20" customFormat="1" ht="15.75" customHeight="1">
      <c r="A143" s="162">
        <f t="shared" si="7"/>
        <v>6</v>
      </c>
      <c r="B143" s="163"/>
      <c r="C143" s="162" t="s">
        <v>244</v>
      </c>
      <c r="D143" s="173"/>
      <c r="E143" s="173"/>
      <c r="F143" s="163"/>
      <c r="G143" s="179"/>
      <c r="H143" s="180"/>
      <c r="I143" s="54"/>
      <c r="K143" s="20" t="e">
        <f t="shared" si="4"/>
        <v>#DIV/0!</v>
      </c>
      <c r="L143" s="172"/>
      <c r="M143" s="172"/>
      <c r="N143" s="54"/>
    </row>
    <row r="144" spans="1:14" s="20" customFormat="1" ht="15.75" customHeight="1">
      <c r="A144" s="162">
        <f t="shared" si="7"/>
        <v>7</v>
      </c>
      <c r="B144" s="163"/>
      <c r="C144" s="41" t="s">
        <v>239</v>
      </c>
      <c r="D144" s="42">
        <f>(80.9+3.3*2+2.76*1.2+0.6*(3.05+3.35))*(10.764)</f>
        <v>1018.834128</v>
      </c>
      <c r="E144" s="42">
        <f>(3.37*1.44)*(10.764)</f>
        <v>52.235539199999998</v>
      </c>
      <c r="F144" s="41">
        <v>1990</v>
      </c>
      <c r="G144" s="181"/>
      <c r="H144" s="182"/>
      <c r="I144" s="54"/>
      <c r="K144" s="20">
        <f t="shared" si="4"/>
        <v>1.9019430224661655</v>
      </c>
      <c r="L144" s="172"/>
      <c r="M144" s="172"/>
      <c r="N144" s="54"/>
    </row>
    <row r="145" spans="1:14" s="20" customFormat="1">
      <c r="A145" s="174" t="s">
        <v>245</v>
      </c>
      <c r="B145" s="175"/>
      <c r="C145" s="175"/>
      <c r="D145" s="175"/>
      <c r="E145" s="175"/>
      <c r="F145" s="175"/>
      <c r="G145" s="175"/>
      <c r="H145" s="176"/>
      <c r="J145" s="54"/>
      <c r="K145" s="20" t="e">
        <f t="shared" si="4"/>
        <v>#DIV/0!</v>
      </c>
    </row>
    <row r="146" spans="1:14" s="20" customFormat="1" ht="15.75" customHeight="1">
      <c r="A146" s="162">
        <v>1</v>
      </c>
      <c r="B146" s="163"/>
      <c r="C146" s="41" t="s">
        <v>239</v>
      </c>
      <c r="D146" s="42">
        <f>(91.16+3.65*1.55+3.02*1.16+0.6*(3.13+3.35))*(10.764)</f>
        <v>1121.7024468</v>
      </c>
      <c r="E146" s="42">
        <f>(3.65*1.25)*(10.764)</f>
        <v>49.110749999999996</v>
      </c>
      <c r="F146" s="41">
        <v>2300</v>
      </c>
      <c r="G146" s="177" t="str">
        <f>A145</f>
        <v>7th, 17th &amp; 27th Floor (Part Refuge Area)</v>
      </c>
      <c r="H146" s="178"/>
      <c r="I146" s="54"/>
      <c r="K146" s="20">
        <f t="shared" si="4"/>
        <v>2.0066723188679418</v>
      </c>
      <c r="L146" s="172"/>
      <c r="M146" s="172"/>
      <c r="N146" s="54"/>
    </row>
    <row r="147" spans="1:14" s="20" customFormat="1" ht="15.75" customHeight="1">
      <c r="A147" s="162">
        <f t="shared" ref="A147:A152" si="8">A146+1</f>
        <v>2</v>
      </c>
      <c r="B147" s="163"/>
      <c r="C147" s="41" t="s">
        <v>240</v>
      </c>
      <c r="D147" s="42">
        <f>(144.04+4.33*1.53+3.65*1.65+2.95*1.05+3.35*1.65+3.2*0.6)*(10.764)</f>
        <v>1800.0895535999998</v>
      </c>
      <c r="E147" s="42">
        <f>(3.35*1.05)*(10.764)</f>
        <v>37.862369999999999</v>
      </c>
      <c r="F147" s="41">
        <v>3505</v>
      </c>
      <c r="G147" s="179" t="str">
        <f t="shared" ref="G147:G152" si="9">G146</f>
        <v>7th, 17th &amp; 27th Floor (Part Refuge Area)</v>
      </c>
      <c r="H147" s="180"/>
      <c r="I147" s="54"/>
      <c r="K147" s="20">
        <f t="shared" si="4"/>
        <v>1.92609174530571</v>
      </c>
      <c r="L147" s="172"/>
      <c r="M147" s="172"/>
      <c r="N147" s="54"/>
    </row>
    <row r="148" spans="1:14" s="20" customFormat="1" ht="15.75" customHeight="1">
      <c r="A148" s="162">
        <f t="shared" si="8"/>
        <v>3</v>
      </c>
      <c r="B148" s="163"/>
      <c r="C148" s="41" t="s">
        <v>239</v>
      </c>
      <c r="D148" s="42">
        <f>(91.16+3.65*1.55+3.02*1.16+0.6*(3.13+3.35))*(10.764)</f>
        <v>1121.7024468</v>
      </c>
      <c r="E148" s="42">
        <f>(3.65*1.25)*(10.764)</f>
        <v>49.110749999999996</v>
      </c>
      <c r="F148" s="41">
        <v>2300</v>
      </c>
      <c r="G148" s="179" t="str">
        <f t="shared" si="9"/>
        <v>7th, 17th &amp; 27th Floor (Part Refuge Area)</v>
      </c>
      <c r="H148" s="180"/>
      <c r="I148" s="54"/>
      <c r="K148" s="20">
        <f t="shared" si="4"/>
        <v>2.0066723188679418</v>
      </c>
      <c r="L148" s="172"/>
      <c r="M148" s="172"/>
      <c r="N148" s="54"/>
    </row>
    <row r="149" spans="1:14" s="20" customFormat="1" ht="15.75" customHeight="1">
      <c r="A149" s="162">
        <f t="shared" si="8"/>
        <v>4</v>
      </c>
      <c r="B149" s="163"/>
      <c r="C149" s="41" t="s">
        <v>239</v>
      </c>
      <c r="D149" s="42">
        <f>(80.9+3.3*2+2.76*1.2+0.6*(3.05+3))*(10.764)</f>
        <v>1016.5736879999998</v>
      </c>
      <c r="E149" s="42">
        <f>(3.35*1.85)*(10.764)</f>
        <v>66.709890000000001</v>
      </c>
      <c r="F149" s="41">
        <v>2025</v>
      </c>
      <c r="G149" s="179" t="str">
        <f t="shared" si="9"/>
        <v>7th, 17th &amp; 27th Floor (Part Refuge Area)</v>
      </c>
      <c r="H149" s="180"/>
      <c r="I149" s="54"/>
      <c r="K149" s="20">
        <f t="shared" si="4"/>
        <v>1.9263631678808515</v>
      </c>
      <c r="L149" s="172"/>
      <c r="M149" s="172"/>
      <c r="N149" s="54"/>
    </row>
    <row r="150" spans="1:14" s="20" customFormat="1" ht="15.75" customHeight="1">
      <c r="A150" s="162">
        <f t="shared" si="8"/>
        <v>5</v>
      </c>
      <c r="B150" s="163"/>
      <c r="C150" s="41" t="s">
        <v>239</v>
      </c>
      <c r="D150" s="42">
        <f>(79.86+3.3*1.7+2.4*1+0.6*3.3)*(10.764)</f>
        <v>967.1454</v>
      </c>
      <c r="E150" s="42">
        <f>(3.3*1.35*2)*(10.764)</f>
        <v>95.907240000000002</v>
      </c>
      <c r="F150" s="41">
        <v>1905</v>
      </c>
      <c r="G150" s="179" t="str">
        <f t="shared" si="9"/>
        <v>7th, 17th &amp; 27th Floor (Part Refuge Area)</v>
      </c>
      <c r="H150" s="180"/>
      <c r="I150" s="54"/>
      <c r="J150" s="20">
        <f>20000000/D150</f>
        <v>20679.413870965007</v>
      </c>
      <c r="K150" s="20">
        <f t="shared" si="4"/>
        <v>1.8705488957503185</v>
      </c>
      <c r="L150" s="172"/>
      <c r="M150" s="172"/>
      <c r="N150" s="54"/>
    </row>
    <row r="151" spans="1:14" s="20" customFormat="1" ht="15.75" customHeight="1">
      <c r="A151" s="162">
        <f t="shared" si="8"/>
        <v>6</v>
      </c>
      <c r="B151" s="163"/>
      <c r="C151" s="162" t="s">
        <v>244</v>
      </c>
      <c r="D151" s="173"/>
      <c r="E151" s="173"/>
      <c r="F151" s="163"/>
      <c r="G151" s="179" t="str">
        <f t="shared" si="9"/>
        <v>7th, 17th &amp; 27th Floor (Part Refuge Area)</v>
      </c>
      <c r="H151" s="180"/>
      <c r="I151" s="54"/>
      <c r="K151" s="20" t="e">
        <f t="shared" si="4"/>
        <v>#DIV/0!</v>
      </c>
      <c r="L151" s="172"/>
      <c r="M151" s="172"/>
      <c r="N151" s="54"/>
    </row>
    <row r="152" spans="1:14" s="20" customFormat="1" ht="15.75" customHeight="1">
      <c r="A152" s="162">
        <f t="shared" si="8"/>
        <v>7</v>
      </c>
      <c r="B152" s="163"/>
      <c r="C152" s="41" t="s">
        <v>239</v>
      </c>
      <c r="D152" s="42">
        <f>(80.9+3.3*2+2.76*1.2+0.6*(3.05+3))*(10.764)</f>
        <v>1016.5736879999998</v>
      </c>
      <c r="E152" s="42">
        <f>(3.35*1.66)*(10.764)</f>
        <v>59.858603999999993</v>
      </c>
      <c r="F152" s="41">
        <v>2025</v>
      </c>
      <c r="G152" s="181" t="str">
        <f t="shared" si="9"/>
        <v>7th, 17th &amp; 27th Floor (Part Refuge Area)</v>
      </c>
      <c r="H152" s="182"/>
      <c r="I152" s="54"/>
      <c r="K152" s="20">
        <f t="shared" si="4"/>
        <v>1.9331027540819061</v>
      </c>
      <c r="L152" s="172"/>
      <c r="M152" s="172"/>
      <c r="N152" s="54"/>
    </row>
    <row r="153" spans="1:14" s="20" customFormat="1">
      <c r="A153" s="159" t="s">
        <v>246</v>
      </c>
      <c r="B153" s="160"/>
      <c r="C153" s="160"/>
      <c r="D153" s="160"/>
      <c r="E153" s="160"/>
      <c r="F153" s="160"/>
      <c r="G153" s="160"/>
      <c r="H153" s="161"/>
      <c r="J153" s="54"/>
      <c r="K153" s="20" t="e">
        <f t="shared" si="4"/>
        <v>#DIV/0!</v>
      </c>
    </row>
    <row r="154" spans="1:14" s="20" customFormat="1" ht="15.75" customHeight="1">
      <c r="A154" s="162">
        <v>1</v>
      </c>
      <c r="B154" s="163"/>
      <c r="C154" s="41" t="s">
        <v>239</v>
      </c>
      <c r="D154" s="42">
        <f>(92.84+3.65*1.55+3.02*1.16+0.6*(3.65+3.35))*(10.764)</f>
        <v>1143.1443347999998</v>
      </c>
      <c r="E154" s="42">
        <f>(3.42*1.37)*(10.764)</f>
        <v>50.433645599999998</v>
      </c>
      <c r="F154" s="41">
        <v>2300</v>
      </c>
      <c r="G154" s="177" t="str">
        <f>A153</f>
        <v>30th, 34th, 36th, 38th, 40th, 44th &amp; 46th Floor</v>
      </c>
      <c r="H154" s="178"/>
      <c r="I154" s="54"/>
      <c r="K154" s="20">
        <f t="shared" si="4"/>
        <v>1.967876046722985</v>
      </c>
      <c r="L154" s="172"/>
      <c r="M154" s="172"/>
      <c r="N154" s="54"/>
    </row>
    <row r="155" spans="1:14" s="20" customFormat="1" ht="15.75" customHeight="1">
      <c r="A155" s="162">
        <f t="shared" ref="A155:A160" si="10">A154+1</f>
        <v>2</v>
      </c>
      <c r="B155" s="163"/>
      <c r="C155" s="41" t="s">
        <v>240</v>
      </c>
      <c r="D155" s="42">
        <f>(145.14+4.33*1.53+3.65*1.65+2.95*1.05+3.35*1.65+3.35*0.6)*(10.764)</f>
        <v>1812.8987135999996</v>
      </c>
      <c r="E155" s="42">
        <f>(3.2*1.65)*(10.764)</f>
        <v>56.833919999999999</v>
      </c>
      <c r="F155" s="41">
        <v>3530</v>
      </c>
      <c r="G155" s="179"/>
      <c r="H155" s="180"/>
      <c r="I155" s="54"/>
      <c r="K155" s="20">
        <f t="shared" si="4"/>
        <v>1.9158081220671681</v>
      </c>
      <c r="L155" s="172"/>
      <c r="M155" s="172"/>
      <c r="N155" s="54"/>
    </row>
    <row r="156" spans="1:14" s="20" customFormat="1" ht="15.75" customHeight="1">
      <c r="A156" s="162">
        <f t="shared" si="10"/>
        <v>3</v>
      </c>
      <c r="B156" s="163"/>
      <c r="C156" s="41" t="s">
        <v>239</v>
      </c>
      <c r="D156" s="42">
        <f>(92.84+3.65*1.55+3.02*1.16+0.6*(3.65+3.35))*(10.764)</f>
        <v>1143.1443347999998</v>
      </c>
      <c r="E156" s="42">
        <f>(3.42*1.37)*(10.764)</f>
        <v>50.433645599999998</v>
      </c>
      <c r="F156" s="41">
        <v>2300</v>
      </c>
      <c r="G156" s="179"/>
      <c r="H156" s="180"/>
      <c r="I156" s="54"/>
      <c r="J156" s="20">
        <f>21500000/F156</f>
        <v>9347.826086956522</v>
      </c>
      <c r="K156" s="20">
        <f t="shared" si="4"/>
        <v>1.967876046722985</v>
      </c>
      <c r="L156" s="172"/>
      <c r="M156" s="172"/>
      <c r="N156" s="54"/>
    </row>
    <row r="157" spans="1:14" s="20" customFormat="1" ht="15.75" customHeight="1">
      <c r="A157" s="162">
        <f t="shared" si="10"/>
        <v>4</v>
      </c>
      <c r="B157" s="163"/>
      <c r="C157" s="41" t="s">
        <v>239</v>
      </c>
      <c r="D157" s="42">
        <f>(81.26+3.3*2+2.76*1.2+0.6*(3.05+3.35))*(10.764)</f>
        <v>1022.709168</v>
      </c>
      <c r="E157" s="42">
        <f>(3.37*1.44)*(10.764)</f>
        <v>52.235539199999998</v>
      </c>
      <c r="F157" s="41">
        <v>1990</v>
      </c>
      <c r="G157" s="179"/>
      <c r="H157" s="180"/>
      <c r="I157" s="54"/>
      <c r="K157" s="20">
        <f t="shared" si="4"/>
        <v>1.8947365697224297</v>
      </c>
      <c r="L157" s="172"/>
      <c r="M157" s="172"/>
      <c r="N157" s="54"/>
    </row>
    <row r="158" spans="1:14" s="20" customFormat="1" ht="15.75" customHeight="1">
      <c r="A158" s="162">
        <f t="shared" si="10"/>
        <v>5</v>
      </c>
      <c r="B158" s="163"/>
      <c r="C158" s="41" t="s">
        <v>241</v>
      </c>
      <c r="D158" s="42">
        <f>(63.63+3.3*1.7+2.4*1+0.6*3.3)*(10.764)</f>
        <v>792.44568000000015</v>
      </c>
      <c r="E158" s="42">
        <f>(3.37*1.33)*(10.764)</f>
        <v>48.245324399999994</v>
      </c>
      <c r="F158" s="41">
        <v>1475</v>
      </c>
      <c r="G158" s="179"/>
      <c r="H158" s="180"/>
      <c r="I158" s="54"/>
      <c r="J158" s="20">
        <f>14500000/F158</f>
        <v>9830.5084745762706</v>
      </c>
      <c r="K158" s="20">
        <f t="shared" si="4"/>
        <v>1.8004447643654258</v>
      </c>
      <c r="L158" s="172"/>
      <c r="M158" s="172"/>
      <c r="N158" s="54"/>
    </row>
    <row r="159" spans="1:14" s="20" customFormat="1" ht="15.75" customHeight="1">
      <c r="A159" s="162">
        <f t="shared" si="10"/>
        <v>6</v>
      </c>
      <c r="B159" s="163"/>
      <c r="C159" s="41" t="s">
        <v>241</v>
      </c>
      <c r="D159" s="42">
        <f>(63.63+3.3*1.7+2.4*1+0.6*3.3)*(10.764)</f>
        <v>792.44568000000015</v>
      </c>
      <c r="E159" s="42">
        <f>(3.37*1.33)*(10.764)</f>
        <v>48.245324399999994</v>
      </c>
      <c r="F159" s="41">
        <v>1475</v>
      </c>
      <c r="G159" s="179"/>
      <c r="H159" s="180"/>
      <c r="I159" s="54"/>
      <c r="K159" s="20">
        <f t="shared" si="4"/>
        <v>1.8004447643654258</v>
      </c>
      <c r="L159" s="172"/>
      <c r="M159" s="172"/>
      <c r="N159" s="54"/>
    </row>
    <row r="160" spans="1:14" s="20" customFormat="1" ht="15.75" customHeight="1">
      <c r="A160" s="162">
        <f t="shared" si="10"/>
        <v>7</v>
      </c>
      <c r="B160" s="163"/>
      <c r="C160" s="41" t="s">
        <v>239</v>
      </c>
      <c r="D160" s="42">
        <f>(81.26+3.3*2+2.76*1.2+0.6*(3.05+3.35))*(10.764)</f>
        <v>1022.709168</v>
      </c>
      <c r="E160" s="42">
        <f>(3.37*1.44)*(10.764)</f>
        <v>52.235539199999998</v>
      </c>
      <c r="F160" s="41">
        <v>1990</v>
      </c>
      <c r="G160" s="181"/>
      <c r="H160" s="182"/>
      <c r="I160" s="54"/>
      <c r="K160" s="20">
        <f t="shared" si="4"/>
        <v>1.8947365697224297</v>
      </c>
      <c r="L160" s="172"/>
      <c r="M160" s="172"/>
      <c r="N160" s="54"/>
    </row>
    <row r="161" spans="1:14" s="20" customFormat="1">
      <c r="A161" s="174" t="s">
        <v>247</v>
      </c>
      <c r="B161" s="175"/>
      <c r="C161" s="175"/>
      <c r="D161" s="175"/>
      <c r="E161" s="175"/>
      <c r="F161" s="175"/>
      <c r="G161" s="175"/>
      <c r="H161" s="176"/>
      <c r="J161" s="54"/>
      <c r="K161" s="20" t="e">
        <f t="shared" si="4"/>
        <v>#DIV/0!</v>
      </c>
    </row>
    <row r="162" spans="1:14" s="20" customFormat="1" ht="15.75" customHeight="1">
      <c r="A162" s="162">
        <v>1</v>
      </c>
      <c r="B162" s="163"/>
      <c r="C162" s="41" t="s">
        <v>239</v>
      </c>
      <c r="D162" s="42">
        <f>(92.84+3.65*1.55+3.02*1.16+0.6*(3.65+3.35))*(10.764)</f>
        <v>1143.1443347999998</v>
      </c>
      <c r="E162" s="42">
        <f>(3.42*1.37)*(10.764)</f>
        <v>50.433645599999998</v>
      </c>
      <c r="F162" s="41">
        <v>2300</v>
      </c>
      <c r="G162" s="177" t="str">
        <f>A161</f>
        <v>32nd Floor (Part Refuge Area)</v>
      </c>
      <c r="H162" s="178"/>
      <c r="I162" s="54"/>
      <c r="K162" s="20">
        <f t="shared" si="4"/>
        <v>1.967876046722985</v>
      </c>
      <c r="L162" s="172"/>
      <c r="M162" s="172"/>
      <c r="N162" s="54"/>
    </row>
    <row r="163" spans="1:14" s="20" customFormat="1" ht="15.75" customHeight="1">
      <c r="A163" s="162">
        <f t="shared" ref="A163:A168" si="11">A162+1</f>
        <v>2</v>
      </c>
      <c r="B163" s="163"/>
      <c r="C163" s="41" t="s">
        <v>240</v>
      </c>
      <c r="D163" s="42">
        <f>(145.14+4.33*1.53+3.65*1.65+2.95*1.05+3.35*1.65+3.35*0.6)*(10.764)</f>
        <v>1812.8987135999996</v>
      </c>
      <c r="E163" s="42">
        <f>(3.2*1.65)*(10.764)</f>
        <v>56.833919999999999</v>
      </c>
      <c r="F163" s="41">
        <v>3530</v>
      </c>
      <c r="G163" s="179"/>
      <c r="H163" s="180"/>
      <c r="I163" s="54"/>
      <c r="K163" s="20">
        <f t="shared" si="4"/>
        <v>1.9158081220671681</v>
      </c>
      <c r="L163" s="172"/>
      <c r="M163" s="172"/>
      <c r="N163" s="54"/>
    </row>
    <row r="164" spans="1:14" s="20" customFormat="1" ht="15.75" customHeight="1">
      <c r="A164" s="162">
        <f t="shared" si="11"/>
        <v>3</v>
      </c>
      <c r="B164" s="163"/>
      <c r="C164" s="41" t="s">
        <v>239</v>
      </c>
      <c r="D164" s="42">
        <f>(92.84+3.65*1.55+3.02*1.16+0.6*(3.65+3.35))*(10.764)</f>
        <v>1143.1443347999998</v>
      </c>
      <c r="E164" s="42">
        <f>(3.42*1.37)*(10.764)</f>
        <v>50.433645599999998</v>
      </c>
      <c r="F164" s="41">
        <v>2300</v>
      </c>
      <c r="G164" s="179"/>
      <c r="H164" s="180"/>
      <c r="I164" s="54"/>
      <c r="K164" s="20">
        <f t="shared" si="4"/>
        <v>1.967876046722985</v>
      </c>
      <c r="L164" s="172"/>
      <c r="M164" s="172"/>
      <c r="N164" s="54"/>
    </row>
    <row r="165" spans="1:14" s="20" customFormat="1" ht="15.75" customHeight="1">
      <c r="A165" s="162">
        <f t="shared" si="11"/>
        <v>4</v>
      </c>
      <c r="B165" s="163"/>
      <c r="C165" s="41" t="s">
        <v>239</v>
      </c>
      <c r="D165" s="42">
        <f>(81.26+3.3*2+2.76*1.2+0.6*(3.05+3.35))*(10.764)</f>
        <v>1022.709168</v>
      </c>
      <c r="E165" s="42">
        <f>(3.37*1.44)*(10.764)</f>
        <v>52.235539199999998</v>
      </c>
      <c r="F165" s="41">
        <v>1990</v>
      </c>
      <c r="G165" s="179"/>
      <c r="H165" s="180"/>
      <c r="I165" s="54"/>
      <c r="K165" s="20">
        <f t="shared" si="4"/>
        <v>1.8947365697224297</v>
      </c>
      <c r="L165" s="172"/>
      <c r="M165" s="172"/>
      <c r="N165" s="54"/>
    </row>
    <row r="166" spans="1:14" s="20" customFormat="1" ht="15.75" customHeight="1">
      <c r="A166" s="162">
        <f t="shared" si="11"/>
        <v>5</v>
      </c>
      <c r="B166" s="163"/>
      <c r="C166" s="41" t="s">
        <v>239</v>
      </c>
      <c r="D166" s="42">
        <f>(79.86+3.3*1.7+2.4*1+0.6*3.3)*(10.764)</f>
        <v>967.1454</v>
      </c>
      <c r="E166" s="42">
        <f>(3.3*1.35*2)*(10.764)</f>
        <v>95.907240000000002</v>
      </c>
      <c r="F166" s="41">
        <v>1855</v>
      </c>
      <c r="G166" s="179"/>
      <c r="H166" s="180"/>
      <c r="I166" s="54"/>
      <c r="K166" s="20">
        <f t="shared" si="4"/>
        <v>1.8188503610729059</v>
      </c>
      <c r="L166" s="172"/>
      <c r="M166" s="172"/>
      <c r="N166" s="54"/>
    </row>
    <row r="167" spans="1:14" s="20" customFormat="1" ht="15.75" customHeight="1">
      <c r="A167" s="162">
        <f t="shared" si="11"/>
        <v>6</v>
      </c>
      <c r="B167" s="163"/>
      <c r="C167" s="162" t="s">
        <v>244</v>
      </c>
      <c r="D167" s="173"/>
      <c r="E167" s="173"/>
      <c r="F167" s="163"/>
      <c r="G167" s="179"/>
      <c r="H167" s="180"/>
      <c r="I167" s="54"/>
      <c r="K167" s="20" t="e">
        <f t="shared" si="4"/>
        <v>#DIV/0!</v>
      </c>
      <c r="L167" s="172"/>
      <c r="M167" s="172"/>
      <c r="N167" s="54"/>
    </row>
    <row r="168" spans="1:14" s="20" customFormat="1" ht="15.75" customHeight="1">
      <c r="A168" s="162">
        <f t="shared" si="11"/>
        <v>7</v>
      </c>
      <c r="B168" s="163"/>
      <c r="C168" s="41" t="s">
        <v>239</v>
      </c>
      <c r="D168" s="42">
        <f>(81.26+3.3*2+2.76*1.2+0.6*(3.05+3.35))*(10.764)</f>
        <v>1022.709168</v>
      </c>
      <c r="E168" s="42">
        <f>(3.37*1.44)*(10.764)</f>
        <v>52.235539199999998</v>
      </c>
      <c r="F168" s="41">
        <v>1990</v>
      </c>
      <c r="G168" s="181"/>
      <c r="H168" s="182"/>
      <c r="I168" s="54"/>
      <c r="K168" s="20">
        <f t="shared" si="4"/>
        <v>1.8947365697224297</v>
      </c>
      <c r="L168" s="172"/>
      <c r="M168" s="172"/>
      <c r="N168" s="54"/>
    </row>
    <row r="169" spans="1:14" s="20" customFormat="1">
      <c r="A169" s="159" t="s">
        <v>248</v>
      </c>
      <c r="B169" s="160"/>
      <c r="C169" s="160"/>
      <c r="D169" s="160"/>
      <c r="E169" s="160"/>
      <c r="F169" s="160"/>
      <c r="G169" s="160"/>
      <c r="H169" s="161"/>
      <c r="J169" s="54"/>
      <c r="K169" s="20" t="e">
        <f t="shared" si="4"/>
        <v>#DIV/0!</v>
      </c>
    </row>
    <row r="170" spans="1:14" s="20" customFormat="1" ht="15.75" customHeight="1">
      <c r="A170" s="162">
        <v>1</v>
      </c>
      <c r="B170" s="163"/>
      <c r="C170" s="41" t="s">
        <v>239</v>
      </c>
      <c r="D170" s="42">
        <f>(92.84+3.65*1.55+3.02*1.16+0.6*(3.13+3.35))*(10.764)</f>
        <v>1139.7859667999999</v>
      </c>
      <c r="E170" s="42">
        <f>(3.65*1.25)*(10.764)</f>
        <v>49.110749999999996</v>
      </c>
      <c r="F170" s="41">
        <v>2300</v>
      </c>
      <c r="G170" s="177" t="str">
        <f>A169</f>
        <v>31st, 33rd, 35th, 39th, 41st, 43rd &amp; 45th Floor</v>
      </c>
      <c r="H170" s="178"/>
      <c r="I170" s="54"/>
      <c r="J170" s="20">
        <f>21500000/F170</f>
        <v>9347.826086956522</v>
      </c>
      <c r="K170" s="20">
        <f t="shared" si="4"/>
        <v>1.9748350265440384</v>
      </c>
      <c r="L170" s="172"/>
      <c r="M170" s="172"/>
      <c r="N170" s="54"/>
    </row>
    <row r="171" spans="1:14" s="20" customFormat="1" ht="15.75" customHeight="1">
      <c r="A171" s="162">
        <f t="shared" ref="A171:A176" si="12">A170+1</f>
        <v>2</v>
      </c>
      <c r="B171" s="163"/>
      <c r="C171" s="41" t="s">
        <v>240</v>
      </c>
      <c r="D171" s="42">
        <f>(145.14+4.33*1.53+3.65*1.65+2.95*1.05+3.35*1.65+3.2*0.6)*(10.764)</f>
        <v>1811.9299535999996</v>
      </c>
      <c r="E171" s="42">
        <f>(3.35*1.05)*(10.764)</f>
        <v>37.862369999999999</v>
      </c>
      <c r="F171" s="41">
        <v>3505</v>
      </c>
      <c r="G171" s="179" t="str">
        <f t="shared" ref="G171:G176" si="13">G170</f>
        <v>31st, 33rd, 35th, 39th, 41st, 43rd &amp; 45th Floor</v>
      </c>
      <c r="H171" s="180"/>
      <c r="I171" s="54"/>
      <c r="K171" s="20">
        <f t="shared" si="4"/>
        <v>1.9135053334216268</v>
      </c>
      <c r="L171" s="172"/>
      <c r="M171" s="172"/>
      <c r="N171" s="54"/>
    </row>
    <row r="172" spans="1:14" s="20" customFormat="1" ht="15.75" customHeight="1">
      <c r="A172" s="162">
        <f t="shared" si="12"/>
        <v>3</v>
      </c>
      <c r="B172" s="163"/>
      <c r="C172" s="41" t="s">
        <v>239</v>
      </c>
      <c r="D172" s="42">
        <f>(92.84+3.65*1.55+3.02*1.16+0.6*(3.13+3.35))*(10.764)</f>
        <v>1139.7859667999999</v>
      </c>
      <c r="E172" s="42">
        <f>(3.65*1.25)*(10.764)</f>
        <v>49.110749999999996</v>
      </c>
      <c r="F172" s="41">
        <v>2300</v>
      </c>
      <c r="G172" s="179" t="str">
        <f t="shared" si="13"/>
        <v>31st, 33rd, 35th, 39th, 41st, 43rd &amp; 45th Floor</v>
      </c>
      <c r="H172" s="180"/>
      <c r="I172" s="54"/>
      <c r="K172" s="20">
        <f t="shared" si="4"/>
        <v>1.9748350265440384</v>
      </c>
      <c r="L172" s="172"/>
      <c r="M172" s="172"/>
      <c r="N172" s="54"/>
    </row>
    <row r="173" spans="1:14" s="20" customFormat="1" ht="15.75" customHeight="1">
      <c r="A173" s="162">
        <f t="shared" si="12"/>
        <v>4</v>
      </c>
      <c r="B173" s="163"/>
      <c r="C173" s="41" t="s">
        <v>239</v>
      </c>
      <c r="D173" s="42">
        <f>(81.26+3.3*2+2.76*1.2+0.6*(3.05+3))*(10.764)</f>
        <v>1020.4487279999998</v>
      </c>
      <c r="E173" s="42">
        <f>(3.35*1.85)*(10.764)</f>
        <v>66.709890000000001</v>
      </c>
      <c r="F173" s="41">
        <v>2025</v>
      </c>
      <c r="G173" s="179" t="str">
        <f t="shared" si="13"/>
        <v>31st, 33rd, 35th, 39th, 41st, 43rd &amp; 45th Floor</v>
      </c>
      <c r="H173" s="180"/>
      <c r="I173" s="54"/>
      <c r="K173" s="20">
        <f t="shared" si="4"/>
        <v>1.9190480190397181</v>
      </c>
      <c r="L173" s="172"/>
      <c r="M173" s="172"/>
      <c r="N173" s="54"/>
    </row>
    <row r="174" spans="1:14" s="20" customFormat="1" ht="15.75" customHeight="1">
      <c r="A174" s="162">
        <f t="shared" si="12"/>
        <v>5</v>
      </c>
      <c r="B174" s="163"/>
      <c r="C174" s="41" t="s">
        <v>241</v>
      </c>
      <c r="D174" s="42">
        <f>(63.63+3.3*1.7+2.4*1+0.6*3)*(10.764)</f>
        <v>790.50816000000009</v>
      </c>
      <c r="E174" s="42">
        <f>(3.3*1.35)*(10.764)</f>
        <v>47.953620000000001</v>
      </c>
      <c r="F174" s="41">
        <v>1495</v>
      </c>
      <c r="G174" s="179" t="str">
        <f t="shared" si="13"/>
        <v>31st, 33rd, 35th, 39th, 41st, 43rd &amp; 45th Floor</v>
      </c>
      <c r="H174" s="180"/>
      <c r="I174" s="54"/>
      <c r="K174" s="20">
        <f t="shared" si="4"/>
        <v>1.8305268094892275</v>
      </c>
      <c r="L174" s="172"/>
      <c r="M174" s="172"/>
      <c r="N174" s="54"/>
    </row>
    <row r="175" spans="1:14" s="20" customFormat="1" ht="15.75" customHeight="1">
      <c r="A175" s="162">
        <f t="shared" si="12"/>
        <v>6</v>
      </c>
      <c r="B175" s="163"/>
      <c r="C175" s="41" t="s">
        <v>241</v>
      </c>
      <c r="D175" s="42">
        <f>(63.63+3.3*1.7+2.4*1+0.6*3)*(10.764)</f>
        <v>790.50816000000009</v>
      </c>
      <c r="E175" s="42">
        <f>(3.3*1.35)*(10.764)</f>
        <v>47.953620000000001</v>
      </c>
      <c r="F175" s="41">
        <v>1495</v>
      </c>
      <c r="G175" s="179" t="str">
        <f t="shared" si="13"/>
        <v>31st, 33rd, 35th, 39th, 41st, 43rd &amp; 45th Floor</v>
      </c>
      <c r="H175" s="180"/>
      <c r="I175" s="54"/>
      <c r="K175" s="20">
        <f t="shared" si="4"/>
        <v>1.8305268094892275</v>
      </c>
      <c r="L175" s="172"/>
      <c r="M175" s="172"/>
      <c r="N175" s="54"/>
    </row>
    <row r="176" spans="1:14" s="20" customFormat="1" ht="15.75" customHeight="1">
      <c r="A176" s="162">
        <f t="shared" si="12"/>
        <v>7</v>
      </c>
      <c r="B176" s="163"/>
      <c r="C176" s="41" t="s">
        <v>239</v>
      </c>
      <c r="D176" s="42">
        <f>(81.26+3.3*2+2.76*1.2+0.6*(3.05+3))*(10.764)</f>
        <v>1020.4487279999998</v>
      </c>
      <c r="E176" s="42">
        <f>(3.35*1.66)*(10.764)</f>
        <v>59.858603999999993</v>
      </c>
      <c r="F176" s="41">
        <v>2025</v>
      </c>
      <c r="G176" s="181" t="str">
        <f t="shared" si="13"/>
        <v>31st, 33rd, 35th, 39th, 41st, 43rd &amp; 45th Floor</v>
      </c>
      <c r="H176" s="182"/>
      <c r="I176" s="54"/>
      <c r="K176" s="20">
        <f t="shared" si="4"/>
        <v>1.9257620124153854</v>
      </c>
      <c r="L176" s="172"/>
      <c r="M176" s="172"/>
      <c r="N176" s="54"/>
    </row>
    <row r="177" spans="1:14" s="20" customFormat="1">
      <c r="A177" s="174" t="s">
        <v>249</v>
      </c>
      <c r="B177" s="175"/>
      <c r="C177" s="175"/>
      <c r="D177" s="175"/>
      <c r="E177" s="175"/>
      <c r="F177" s="175"/>
      <c r="G177" s="175"/>
      <c r="H177" s="176"/>
      <c r="J177" s="54"/>
      <c r="K177" s="20" t="e">
        <f t="shared" si="4"/>
        <v>#DIV/0!</v>
      </c>
    </row>
    <row r="178" spans="1:14" s="20" customFormat="1" ht="15.75" customHeight="1">
      <c r="A178" s="162">
        <v>1</v>
      </c>
      <c r="B178" s="163"/>
      <c r="C178" s="41" t="s">
        <v>239</v>
      </c>
      <c r="D178" s="42">
        <f>(92.84+3.65*1.55+3.02*1.16+0.6*(3.13+3.35))*(10.764)</f>
        <v>1139.7859667999999</v>
      </c>
      <c r="E178" s="42">
        <f>(3.65*1.25)*(10.764)</f>
        <v>49.110749999999996</v>
      </c>
      <c r="F178" s="41">
        <v>2300</v>
      </c>
      <c r="G178" s="177" t="str">
        <f>A177</f>
        <v>37th Floor (Part Refuge Area)</v>
      </c>
      <c r="H178" s="178"/>
      <c r="I178" s="54"/>
      <c r="K178" s="20">
        <f t="shared" si="4"/>
        <v>1.9748350265440384</v>
      </c>
      <c r="L178" s="172"/>
      <c r="M178" s="172"/>
      <c r="N178" s="54"/>
    </row>
    <row r="179" spans="1:14" s="20" customFormat="1" ht="15.75" customHeight="1">
      <c r="A179" s="162">
        <f t="shared" ref="A179:A184" si="14">A178+1</f>
        <v>2</v>
      </c>
      <c r="B179" s="163"/>
      <c r="C179" s="41" t="s">
        <v>240</v>
      </c>
      <c r="D179" s="42">
        <f>(145.14+4.33*1.53+3.65*1.65+2.95*1.05+3.35*1.65+3.2*0.6)*(10.764)</f>
        <v>1811.9299535999996</v>
      </c>
      <c r="E179" s="42">
        <f>(3.35*1.05)*(10.764)</f>
        <v>37.862369999999999</v>
      </c>
      <c r="F179" s="41">
        <v>3505</v>
      </c>
      <c r="G179" s="179" t="str">
        <f t="shared" ref="G179:G184" si="15">G178</f>
        <v>37th Floor (Part Refuge Area)</v>
      </c>
      <c r="H179" s="180"/>
      <c r="I179" s="54"/>
      <c r="K179" s="20">
        <f t="shared" si="4"/>
        <v>1.9135053334216268</v>
      </c>
      <c r="L179" s="172"/>
      <c r="M179" s="172"/>
      <c r="N179" s="54"/>
    </row>
    <row r="180" spans="1:14" s="20" customFormat="1" ht="15.75" customHeight="1">
      <c r="A180" s="162">
        <f t="shared" si="14"/>
        <v>3</v>
      </c>
      <c r="B180" s="163"/>
      <c r="C180" s="41" t="s">
        <v>239</v>
      </c>
      <c r="D180" s="42">
        <f>(92.84+3.65*1.55+3.02*1.16+0.6*(3.13+3.35))*(10.764)</f>
        <v>1139.7859667999999</v>
      </c>
      <c r="E180" s="42">
        <f>(3.65*1.25)*(10.764)</f>
        <v>49.110749999999996</v>
      </c>
      <c r="F180" s="41">
        <v>2300</v>
      </c>
      <c r="G180" s="179" t="str">
        <f t="shared" si="15"/>
        <v>37th Floor (Part Refuge Area)</v>
      </c>
      <c r="H180" s="180"/>
      <c r="I180" s="54"/>
      <c r="K180" s="20">
        <f t="shared" si="4"/>
        <v>1.9748350265440384</v>
      </c>
      <c r="L180" s="172"/>
      <c r="M180" s="172"/>
      <c r="N180" s="54"/>
    </row>
    <row r="181" spans="1:14" s="20" customFormat="1" ht="15.75" customHeight="1">
      <c r="A181" s="162">
        <f t="shared" si="14"/>
        <v>4</v>
      </c>
      <c r="B181" s="163"/>
      <c r="C181" s="41" t="s">
        <v>239</v>
      </c>
      <c r="D181" s="42">
        <f>(81.26+3.3*2+2.76*1.2+0.6*(3.05+3))*(10.764)</f>
        <v>1020.4487279999998</v>
      </c>
      <c r="E181" s="42">
        <f>(3.35*1.85)*(10.764)</f>
        <v>66.709890000000001</v>
      </c>
      <c r="F181" s="41">
        <v>2025</v>
      </c>
      <c r="G181" s="179" t="str">
        <f t="shared" si="15"/>
        <v>37th Floor (Part Refuge Area)</v>
      </c>
      <c r="H181" s="180"/>
      <c r="I181" s="54"/>
      <c r="K181" s="20">
        <f t="shared" si="4"/>
        <v>1.9190480190397181</v>
      </c>
      <c r="L181" s="172"/>
      <c r="M181" s="172"/>
      <c r="N181" s="54"/>
    </row>
    <row r="182" spans="1:14" s="20" customFormat="1" ht="15.75" customHeight="1">
      <c r="A182" s="162">
        <f t="shared" si="14"/>
        <v>5</v>
      </c>
      <c r="B182" s="163"/>
      <c r="C182" s="41" t="s">
        <v>239</v>
      </c>
      <c r="D182" s="42">
        <f>(79.86+3.3*1.7+2.4*1+0.6*3.3)*(10.764)</f>
        <v>967.1454</v>
      </c>
      <c r="E182" s="42">
        <f>(3.3*1.35*2)*(10.764)</f>
        <v>95.907240000000002</v>
      </c>
      <c r="F182" s="41">
        <v>1905</v>
      </c>
      <c r="G182" s="179" t="str">
        <f t="shared" si="15"/>
        <v>37th Floor (Part Refuge Area)</v>
      </c>
      <c r="H182" s="180"/>
      <c r="I182" s="54"/>
      <c r="K182" s="20">
        <f t="shared" si="4"/>
        <v>1.8705488957503185</v>
      </c>
      <c r="L182" s="172"/>
      <c r="M182" s="172"/>
      <c r="N182" s="54"/>
    </row>
    <row r="183" spans="1:14" s="20" customFormat="1" ht="15.75" customHeight="1">
      <c r="A183" s="162">
        <f t="shared" si="14"/>
        <v>6</v>
      </c>
      <c r="B183" s="163"/>
      <c r="C183" s="162" t="s">
        <v>244</v>
      </c>
      <c r="D183" s="173"/>
      <c r="E183" s="173"/>
      <c r="F183" s="163"/>
      <c r="G183" s="179" t="str">
        <f t="shared" si="15"/>
        <v>37th Floor (Part Refuge Area)</v>
      </c>
      <c r="H183" s="180"/>
      <c r="I183" s="54"/>
      <c r="K183" s="20" t="e">
        <f t="shared" si="4"/>
        <v>#DIV/0!</v>
      </c>
      <c r="L183" s="172"/>
      <c r="M183" s="172"/>
      <c r="N183" s="54"/>
    </row>
    <row r="184" spans="1:14" s="20" customFormat="1" ht="15.75" customHeight="1">
      <c r="A184" s="162">
        <f t="shared" si="14"/>
        <v>7</v>
      </c>
      <c r="B184" s="163"/>
      <c r="C184" s="41" t="s">
        <v>239</v>
      </c>
      <c r="D184" s="42">
        <f>(81.26+3.3*2+2.76*1.2+0.6*(3.05+3))*(10.764)</f>
        <v>1020.4487279999998</v>
      </c>
      <c r="E184" s="42">
        <f>(3.35*1.66)*(10.764)</f>
        <v>59.858603999999993</v>
      </c>
      <c r="F184" s="41">
        <v>2025</v>
      </c>
      <c r="G184" s="181" t="str">
        <f t="shared" si="15"/>
        <v>37th Floor (Part Refuge Area)</v>
      </c>
      <c r="H184" s="182"/>
      <c r="I184" s="54"/>
      <c r="K184" s="20">
        <f t="shared" si="4"/>
        <v>1.9257620124153854</v>
      </c>
      <c r="L184" s="172"/>
      <c r="M184" s="172"/>
      <c r="N184" s="54"/>
    </row>
    <row r="185" spans="1:14" s="20" customFormat="1" hidden="1">
      <c r="A185" s="159" t="s">
        <v>228</v>
      </c>
      <c r="B185" s="160"/>
      <c r="C185" s="160"/>
      <c r="D185" s="160"/>
      <c r="E185" s="160"/>
      <c r="F185" s="160"/>
      <c r="G185" s="160"/>
      <c r="H185" s="161"/>
      <c r="J185" s="54"/>
      <c r="K185" s="20" t="e">
        <f t="shared" si="4"/>
        <v>#DIV/0!</v>
      </c>
    </row>
    <row r="186" spans="1:14" s="20" customFormat="1" hidden="1">
      <c r="A186" s="162">
        <v>1</v>
      </c>
      <c r="B186" s="163"/>
      <c r="C186" s="41"/>
      <c r="D186" s="41"/>
      <c r="E186" s="41">
        <v>0</v>
      </c>
      <c r="F186" s="41" t="e">
        <f>D186*((#REF!)+1)+(IF(E186&lt;101,E186,IF(E186&lt;201,E186/2,IF(E186&lt;=301,E186/3,E186/4))))</f>
        <v>#REF!</v>
      </c>
      <c r="G186" s="162" t="str">
        <f>A185</f>
        <v>Ground Floor</v>
      </c>
      <c r="H186" s="163"/>
      <c r="I186" s="54"/>
      <c r="K186" s="20" t="e">
        <f t="shared" si="4"/>
        <v>#REF!</v>
      </c>
      <c r="L186" s="172"/>
      <c r="M186" s="172"/>
      <c r="N186" s="54"/>
    </row>
    <row r="187" spans="1:14" s="20" customFormat="1" hidden="1">
      <c r="A187" s="162">
        <f t="shared" ref="A187:A189" si="16">A186+1</f>
        <v>2</v>
      </c>
      <c r="B187" s="163"/>
      <c r="C187" s="41"/>
      <c r="D187" s="41"/>
      <c r="E187" s="41">
        <v>0</v>
      </c>
      <c r="F187" s="41" t="e">
        <f>D187*((#REF!)+1)+(IF(E187&lt;101,E187,IF(E187&lt;201,E187/2,IF(E187&lt;=301,E187/3,E187/4))))</f>
        <v>#REF!</v>
      </c>
      <c r="G187" s="162" t="str">
        <f t="shared" ref="G187:G189" si="17">G186</f>
        <v>Ground Floor</v>
      </c>
      <c r="H187" s="163"/>
      <c r="I187" s="54"/>
      <c r="K187" s="20" t="e">
        <f t="shared" ref="K187:K214" si="18">(F187-E187)/D187</f>
        <v>#REF!</v>
      </c>
      <c r="L187" s="172"/>
      <c r="M187" s="172"/>
      <c r="N187" s="54"/>
    </row>
    <row r="188" spans="1:14" s="20" customFormat="1" hidden="1">
      <c r="A188" s="162">
        <f t="shared" si="16"/>
        <v>3</v>
      </c>
      <c r="B188" s="163"/>
      <c r="C188" s="41"/>
      <c r="D188" s="41"/>
      <c r="E188" s="41">
        <v>0</v>
      </c>
      <c r="F188" s="41" t="e">
        <f>D188*((#REF!)+1)+(IF(E188&lt;101,E188,IF(E188&lt;201,E188/2,IF(E188&lt;=301,E188/3,E188/4))))</f>
        <v>#REF!</v>
      </c>
      <c r="G188" s="162" t="str">
        <f t="shared" si="17"/>
        <v>Ground Floor</v>
      </c>
      <c r="H188" s="163"/>
      <c r="I188" s="54"/>
      <c r="K188" s="20" t="e">
        <f t="shared" si="18"/>
        <v>#REF!</v>
      </c>
      <c r="L188" s="172"/>
      <c r="M188" s="172"/>
      <c r="N188" s="54"/>
    </row>
    <row r="189" spans="1:14" s="20" customFormat="1" hidden="1">
      <c r="A189" s="162">
        <f t="shared" si="16"/>
        <v>4</v>
      </c>
      <c r="B189" s="163"/>
      <c r="C189" s="41"/>
      <c r="D189" s="41"/>
      <c r="E189" s="41">
        <v>0</v>
      </c>
      <c r="F189" s="41" t="e">
        <f>D189*((#REF!)+1)+(IF(E189&lt;101,E189,IF(E189&lt;201,E189/2,IF(E189&lt;=301,E189/3,E189/4))))</f>
        <v>#REF!</v>
      </c>
      <c r="G189" s="162" t="str">
        <f t="shared" si="17"/>
        <v>Ground Floor</v>
      </c>
      <c r="H189" s="163"/>
      <c r="I189" s="54"/>
      <c r="K189" s="20" t="e">
        <f t="shared" si="18"/>
        <v>#REF!</v>
      </c>
      <c r="L189" s="172"/>
      <c r="M189" s="172"/>
      <c r="N189" s="54"/>
    </row>
    <row r="190" spans="1:14" s="20" customFormat="1" hidden="1">
      <c r="A190" s="183" t="s">
        <v>250</v>
      </c>
      <c r="B190" s="183"/>
      <c r="C190" s="183"/>
      <c r="D190" s="183"/>
      <c r="E190" s="183"/>
      <c r="F190" s="183"/>
      <c r="G190" s="183"/>
      <c r="H190" s="183"/>
      <c r="I190" s="54"/>
      <c r="K190" s="20" t="e">
        <f t="shared" si="18"/>
        <v>#DIV/0!</v>
      </c>
      <c r="L190" s="172"/>
      <c r="M190" s="172"/>
    </row>
    <row r="191" spans="1:14" s="20" customFormat="1" hidden="1">
      <c r="A191" s="184">
        <f>LEFT(A190,SUM(LEN(A190)-LEN(SUBSTITUTE(A190,{"0","1","2","3","4","5","6","7","8","9"},""))))*100+1</f>
        <v>201</v>
      </c>
      <c r="B191" s="184"/>
      <c r="C191" s="41"/>
      <c r="D191" s="41"/>
      <c r="E191" s="41">
        <v>0</v>
      </c>
      <c r="F191" s="41" t="e">
        <f>D191*((#REF!)+1)+(IF(E191&lt;101,E191,IF(E191&lt;201,E191/2,IF(E191&lt;=301,E191/3,E191/4))))</f>
        <v>#REF!</v>
      </c>
      <c r="G191" s="184" t="str">
        <f>A190</f>
        <v>2nd Floor</v>
      </c>
      <c r="H191" s="184"/>
      <c r="I191" s="54"/>
      <c r="K191" s="20" t="e">
        <f t="shared" si="18"/>
        <v>#REF!</v>
      </c>
      <c r="N191" s="54"/>
    </row>
    <row r="192" spans="1:14" s="20" customFormat="1" hidden="1">
      <c r="A192" s="184">
        <f>A191+1</f>
        <v>202</v>
      </c>
      <c r="B192" s="184"/>
      <c r="C192" s="41"/>
      <c r="D192" s="41"/>
      <c r="E192" s="41">
        <v>0</v>
      </c>
      <c r="F192" s="41" t="e">
        <f>D192*((#REF!)+1)+(IF(E192&lt;101,E192,IF(E192&lt;201,E192/2,IF(E192&lt;=301,E192/3,E192/4))))</f>
        <v>#REF!</v>
      </c>
      <c r="G192" s="184" t="str">
        <f>G191</f>
        <v>2nd Floor</v>
      </c>
      <c r="H192" s="184"/>
      <c r="I192" s="54"/>
      <c r="K192" s="20" t="e">
        <f t="shared" si="18"/>
        <v>#REF!</v>
      </c>
      <c r="N192" s="54"/>
    </row>
    <row r="193" spans="1:14" s="20" customFormat="1" hidden="1">
      <c r="A193" s="184">
        <f>A192+1</f>
        <v>203</v>
      </c>
      <c r="B193" s="184"/>
      <c r="C193" s="41"/>
      <c r="D193" s="41"/>
      <c r="E193" s="41">
        <v>0</v>
      </c>
      <c r="F193" s="41" t="e">
        <f>D193*((#REF!)+1)+(IF(E193&lt;101,E193,IF(E193&lt;201,E193/2,IF(E193&lt;=301,E193/3,E193/4))))</f>
        <v>#REF!</v>
      </c>
      <c r="G193" s="184" t="str">
        <f>G192</f>
        <v>2nd Floor</v>
      </c>
      <c r="H193" s="184"/>
      <c r="I193" s="54"/>
      <c r="K193" s="20" t="e">
        <f t="shared" si="18"/>
        <v>#REF!</v>
      </c>
      <c r="N193" s="54"/>
    </row>
    <row r="194" spans="1:14" s="20" customFormat="1" hidden="1">
      <c r="A194" s="184">
        <f>A193+1</f>
        <v>204</v>
      </c>
      <c r="B194" s="184"/>
      <c r="C194" s="41"/>
      <c r="D194" s="41"/>
      <c r="E194" s="41">
        <v>0</v>
      </c>
      <c r="F194" s="41" t="e">
        <f>D194*((#REF!)+1)+(IF(E194&lt;101,E194,IF(E194&lt;201,E194/2,IF(E194&lt;=301,E194/3,E194/4))))</f>
        <v>#REF!</v>
      </c>
      <c r="G194" s="184" t="str">
        <f>G193</f>
        <v>2nd Floor</v>
      </c>
      <c r="H194" s="184"/>
      <c r="I194" s="54"/>
      <c r="K194" s="20" t="e">
        <f t="shared" si="18"/>
        <v>#REF!</v>
      </c>
      <c r="N194" s="54"/>
    </row>
    <row r="195" spans="1:14" s="20" customFormat="1" hidden="1">
      <c r="A195" s="184">
        <f>A194+1</f>
        <v>205</v>
      </c>
      <c r="B195" s="184"/>
      <c r="C195" s="41"/>
      <c r="D195" s="41"/>
      <c r="E195" s="41">
        <v>0</v>
      </c>
      <c r="F195" s="41" t="e">
        <f>D195*((#REF!)+1)+(IF(E195&lt;101,E195,IF(E195&lt;201,E195/2,IF(E195&lt;=301,E195/3,E195/4))))</f>
        <v>#REF!</v>
      </c>
      <c r="G195" s="184" t="str">
        <f>G194</f>
        <v>2nd Floor</v>
      </c>
      <c r="H195" s="184"/>
      <c r="I195" s="54"/>
      <c r="K195" s="20" t="e">
        <f t="shared" si="18"/>
        <v>#REF!</v>
      </c>
      <c r="N195" s="54"/>
    </row>
    <row r="196" spans="1:14" s="20" customFormat="1" ht="15.75" hidden="1" customHeight="1">
      <c r="A196" s="159" t="s">
        <v>251</v>
      </c>
      <c r="B196" s="160"/>
      <c r="C196" s="160"/>
      <c r="D196" s="160"/>
      <c r="E196" s="160"/>
      <c r="F196" s="160"/>
      <c r="G196" s="160"/>
      <c r="H196" s="161"/>
      <c r="I196" s="54"/>
      <c r="K196" s="20" t="e">
        <f t="shared" si="18"/>
        <v>#DIV/0!</v>
      </c>
    </row>
    <row r="197" spans="1:14" s="20" customFormat="1" hidden="1">
      <c r="A197" s="162" t="str">
        <f ca="1">(SUMPRODUCT(MID(0&amp;(LEFT(A196,SUM(LEN(A196)-LEN(SUBSTITUTE(A196,{"0","1","2"},""))))),LARGE(INDEX(ISNUMBER(--MID((LEFT(A196,SUM(LEN(A196)-LEN(SUBSTITUTE(A196,{"0","1","2"},""))))),ROW(INDIRECT("1:"&amp;LEN((LEFT(A196,SUM(LEN(A196)-LEN(SUBSTITUTE(A196,{"0","1","2"},"")))))))),1))*ROW(INDIRECT("1:"&amp;LEN((LEFT(A196,SUM(LEN(A196)-LEN(SUBSTITUTE(A196,{"0","1","2"},"")))))))),0),ROW(INDIRECT("1:"&amp;LEN((LEFT(A196,SUM(LEN(A196)-LEN(SUBSTITUTE(A196,{"0","1","2"},"")))))))))+1,1)*10^ROW(INDIRECT("1:"&amp;LEN((LEFT(A196,SUM(LEN(A196)-LEN(SUBSTITUTE(A196,{"0","1","2"},""))))))))/10))*100+1&amp;""&amp;" ,.., "&amp;""&amp;(SUMPRODUCT(MID(0&amp;(--TRIM(RIGHT(SUBSTITUTE(LEFT(A196,_xlfn.AGGREGATE(16,6,FIND({0,1,2,3,4,5,6,7,8,9},A196,ROW(INDIRECT("1:"&amp;LEN(A196)))),1))," ",REPT(" ",LEN(A196))),LEN(A196)))),LARGE(INDEX(ISNUMBER(--MID((--TRIM(RIGHT(SUBSTITUTE(LEFT(A196,_xlfn.AGGREGATE(16,6,FIND({0,1,2,3,4,5,6,7,8,9},A196,ROW(INDIRECT("1:"&amp;LEN(A196)))),1))," ",REPT(" ",LEN(A196))),LEN(A196)))),ROW(INDIRECT("1:"&amp;LEN((--TRIM(RIGHT(SUBSTITUTE(LEFT(A196,_xlfn.AGGREGATE(16,6,FIND({0,1,2,3,4,5,6,7,8,9},A196,ROW(INDIRECT("1:"&amp;LEN(A196)))),1))," ",REPT(" ",LEN(A196))),LEN(A196))))))),1))*ROW(INDIRECT("1:"&amp;LEN((--TRIM(RIGHT(SUBSTITUTE(LEFT(A196,_xlfn.AGGREGATE(16,6,FIND({0,1,2,3,4,5,6,7,8,9},A196,ROW(INDIRECT("1:"&amp;LEN(A196)))),1))," ",REPT(" ",LEN(A196))),LEN(A196))))))),0),ROW(INDIRECT("1:"&amp;LEN((--TRIM(RIGHT(SUBSTITUTE(LEFT(A196,_xlfn.AGGREGATE(16,6,FIND({0,1,2,3,4,5,6,7,8,9},A196,ROW(INDIRECT("1:"&amp;LEN(A196)))),1))," ",REPT(" ",LEN(A196))),LEN(A196))))))))+1,1)*10^ROW(INDIRECT("1:"&amp;LEN((--TRIM(RIGHT(SUBSTITUTE(LEFT(A196,_xlfn.AGGREGATE(16,6,FIND({0,1,2,3,4,5,6,7,8,9},A196,ROW(INDIRECT("1:"&amp;LEN(A196)))),1))," ",REPT(" ",LEN(A196))),LEN(A196)))))))/10))*100+1</f>
        <v>301 ,.., 1501</v>
      </c>
      <c r="B197" s="163"/>
      <c r="C197" s="41"/>
      <c r="D197" s="41"/>
      <c r="E197" s="41">
        <v>0</v>
      </c>
      <c r="F197" s="41" t="e">
        <f>D197*((#REF!)+1)+(IF(E197&lt;101,E197,IF(E197&lt;201,E197/2,IF(E197&lt;=301,E197/3,E197/4))))</f>
        <v>#REF!</v>
      </c>
      <c r="G197" s="162" t="str">
        <f>A196</f>
        <v>3rd, 5th, 7th, 9th, 11th, 13th, 15th Floor</v>
      </c>
      <c r="H197" s="163"/>
      <c r="I197" s="54"/>
      <c r="K197" s="20" t="e">
        <f t="shared" si="18"/>
        <v>#REF!</v>
      </c>
    </row>
    <row r="198" spans="1:14" s="20" customFormat="1" hidden="1">
      <c r="A198" s="162" t="str">
        <f ca="1">(SUMPRODUCT(MID(0&amp;(LEFT(A197,SUM(LEN(A197)-LEN(SUBSTITUTE(A197,{"0","1","2"},""))))),LARGE(INDEX(ISNUMBER(--MID((LEFT(A197,SUM(LEN(A197)-LEN(SUBSTITUTE(A197,{"0","1","2"},""))))),ROW(INDIRECT("1:"&amp;LEN((LEFT(A197,SUM(LEN(A197)-LEN(SUBSTITUTE(A197,{"0","1","2"},"")))))))),1))*ROW(INDIRECT("1:"&amp;LEN((LEFT(A197,SUM(LEN(A197)-LEN(SUBSTITUTE(A197,{"0","1","2"},"")))))))),0),ROW(INDIRECT("1:"&amp;LEN((LEFT(A197,SUM(LEN(A197)-LEN(SUBSTITUTE(A197,{"0","1","2"},"")))))))))+1,1)*10^ROW(INDIRECT("1:"&amp;LEN((LEFT(A197,SUM(LEN(A197)-LEN(SUBSTITUTE(A197,{"0","1","2"},""))))))))/10))*1+1&amp;""&amp;" ,.., "&amp;""&amp;(SUMPRODUCT(MID(0&amp;(--TRIM(RIGHT(SUBSTITUTE(LEFT(A197,_xlfn.AGGREGATE(16,6,FIND({0,1,2,3,4,5,6,7,8,9},A197,ROW(INDIRECT("1:"&amp;LEN(A197)))),1))," ",REPT(" ",LEN(A197))),LEN(A197)))),LARGE(INDEX(ISNUMBER(--MID((--TRIM(RIGHT(SUBSTITUTE(LEFT(A197,_xlfn.AGGREGATE(16,6,FIND({0,1,2,3,4,5,6,7,8,9},A197,ROW(INDIRECT("1:"&amp;LEN(A197)))),1))," ",REPT(" ",LEN(A197))),LEN(A197)))),ROW(INDIRECT("1:"&amp;LEN((--TRIM(RIGHT(SUBSTITUTE(LEFT(A197,_xlfn.AGGREGATE(16,6,FIND({0,1,2,3,4,5,6,7,8,9},A197,ROW(INDIRECT("1:"&amp;LEN(A197)))),1))," ",REPT(" ",LEN(A197))),LEN(A197))))))),1))*ROW(INDIRECT("1:"&amp;LEN((--TRIM(RIGHT(SUBSTITUTE(LEFT(A197,_xlfn.AGGREGATE(16,6,FIND({0,1,2,3,4,5,6,7,8,9},A197,ROW(INDIRECT("1:"&amp;LEN(A197)))),1))," ",REPT(" ",LEN(A197))),LEN(A197))))))),0),ROW(INDIRECT("1:"&amp;LEN((--TRIM(RIGHT(SUBSTITUTE(LEFT(A197,_xlfn.AGGREGATE(16,6,FIND({0,1,2,3,4,5,6,7,8,9},A197,ROW(INDIRECT("1:"&amp;LEN(A197)))),1))," ",REPT(" ",LEN(A197))),LEN(A197))))))))+1,1)*10^ROW(INDIRECT("1:"&amp;LEN((--TRIM(RIGHT(SUBSTITUTE(LEFT(A197,_xlfn.AGGREGATE(16,6,FIND({0,1,2,3,4,5,6,7,8,9},A197,ROW(INDIRECT("1:"&amp;LEN(A197)))),1))," ",REPT(" ",LEN(A197))),LEN(A197)))))))/10))*1+1</f>
        <v>302 ,.., 1502</v>
      </c>
      <c r="B198" s="163"/>
      <c r="C198" s="41"/>
      <c r="D198" s="41"/>
      <c r="E198" s="41">
        <v>0</v>
      </c>
      <c r="F198" s="41" t="e">
        <f>D198*((#REF!)+1)+(IF(E198&lt;101,E198,IF(E198&lt;201,E198/2,IF(E198&lt;=301,E198/3,E198/4))))</f>
        <v>#REF!</v>
      </c>
      <c r="G198" s="162" t="str">
        <f>G197</f>
        <v>3rd, 5th, 7th, 9th, 11th, 13th, 15th Floor</v>
      </c>
      <c r="H198" s="163"/>
      <c r="I198" s="54"/>
      <c r="K198" s="20" t="e">
        <f t="shared" si="18"/>
        <v>#REF!</v>
      </c>
    </row>
    <row r="199" spans="1:14" s="20" customFormat="1" ht="15.75" hidden="1" customHeight="1">
      <c r="A199" s="162" t="str">
        <f ca="1">(SUMPRODUCT(MID(0&amp;(LEFT(A198,SUM(LEN(A198)-LEN(SUBSTITUTE(A198,{"0","1","2"},""))))),LARGE(INDEX(ISNUMBER(--MID((LEFT(A198,SUM(LEN(A198)-LEN(SUBSTITUTE(A198,{"0","1","2"},""))))),ROW(INDIRECT("1:"&amp;LEN((LEFT(A198,SUM(LEN(A198)-LEN(SUBSTITUTE(A198,{"0","1","2"},"")))))))),1))*ROW(INDIRECT("1:"&amp;LEN((LEFT(A198,SUM(LEN(A198)-LEN(SUBSTITUTE(A198,{"0","1","2"},"")))))))),0),ROW(INDIRECT("1:"&amp;LEN((LEFT(A198,SUM(LEN(A198)-LEN(SUBSTITUTE(A198,{"0","1","2"},"")))))))))+1,1)*10^ROW(INDIRECT("1:"&amp;LEN((LEFT(A198,SUM(LEN(A198)-LEN(SUBSTITUTE(A198,{"0","1","2"},""))))))))/10))*1+1&amp;""&amp;" ,.., "&amp;""&amp;(SUMPRODUCT(MID(0&amp;(--TRIM(RIGHT(SUBSTITUTE(LEFT(A198,_xlfn.AGGREGATE(16,6,FIND({0,1,2,3,4,5,6,7,8,9},A198,ROW(INDIRECT("1:"&amp;LEN(A198)))),1))," ",REPT(" ",LEN(A198))),LEN(A198)))),LARGE(INDEX(ISNUMBER(--MID((--TRIM(RIGHT(SUBSTITUTE(LEFT(A198,_xlfn.AGGREGATE(16,6,FIND({0,1,2,3,4,5,6,7,8,9},A198,ROW(INDIRECT("1:"&amp;LEN(A198)))),1))," ",REPT(" ",LEN(A198))),LEN(A198)))),ROW(INDIRECT("1:"&amp;LEN((--TRIM(RIGHT(SUBSTITUTE(LEFT(A198,_xlfn.AGGREGATE(16,6,FIND({0,1,2,3,4,5,6,7,8,9},A198,ROW(INDIRECT("1:"&amp;LEN(A198)))),1))," ",REPT(" ",LEN(A198))),LEN(A198))))))),1))*ROW(INDIRECT("1:"&amp;LEN((--TRIM(RIGHT(SUBSTITUTE(LEFT(A198,_xlfn.AGGREGATE(16,6,FIND({0,1,2,3,4,5,6,7,8,9},A198,ROW(INDIRECT("1:"&amp;LEN(A198)))),1))," ",REPT(" ",LEN(A198))),LEN(A198))))))),0),ROW(INDIRECT("1:"&amp;LEN((--TRIM(RIGHT(SUBSTITUTE(LEFT(A198,_xlfn.AGGREGATE(16,6,FIND({0,1,2,3,4,5,6,7,8,9},A198,ROW(INDIRECT("1:"&amp;LEN(A198)))),1))," ",REPT(" ",LEN(A198))),LEN(A198))))))))+1,1)*10^ROW(INDIRECT("1:"&amp;LEN((--TRIM(RIGHT(SUBSTITUTE(LEFT(A198,_xlfn.AGGREGATE(16,6,FIND({0,1,2,3,4,5,6,7,8,9},A198,ROW(INDIRECT("1:"&amp;LEN(A198)))),1))," ",REPT(" ",LEN(A198))),LEN(A198)))))))/10))*1+1</f>
        <v>303 ,.., 1503</v>
      </c>
      <c r="B199" s="163"/>
      <c r="C199" s="41"/>
      <c r="D199" s="41"/>
      <c r="E199" s="41">
        <v>0</v>
      </c>
      <c r="F199" s="41" t="e">
        <f>D199*((#REF!)+1)+(IF(E199&lt;101,E199,IF(E199&lt;201,E199/2,IF(E199&lt;=301,E199/3,E199/4))))</f>
        <v>#REF!</v>
      </c>
      <c r="G199" s="162" t="str">
        <f>G198</f>
        <v>3rd, 5th, 7th, 9th, 11th, 13th, 15th Floor</v>
      </c>
      <c r="H199" s="163"/>
      <c r="I199" s="54"/>
      <c r="K199" s="20" t="e">
        <f t="shared" si="18"/>
        <v>#REF!</v>
      </c>
    </row>
    <row r="200" spans="1:14" s="20" customFormat="1" ht="15.75" hidden="1" customHeight="1">
      <c r="A200" s="162" t="str">
        <f ca="1">(SUMPRODUCT(MID(0&amp;(LEFT(A199,SUM(LEN(A199)-LEN(SUBSTITUTE(A199,{"0","1","2"},""))))),LARGE(INDEX(ISNUMBER(--MID((LEFT(A199,SUM(LEN(A199)-LEN(SUBSTITUTE(A199,{"0","1","2"},""))))),ROW(INDIRECT("1:"&amp;LEN((LEFT(A199,SUM(LEN(A199)-LEN(SUBSTITUTE(A199,{"0","1","2"},"")))))))),1))*ROW(INDIRECT("1:"&amp;LEN((LEFT(A199,SUM(LEN(A199)-LEN(SUBSTITUTE(A199,{"0","1","2"},"")))))))),0),ROW(INDIRECT("1:"&amp;LEN((LEFT(A199,SUM(LEN(A199)-LEN(SUBSTITUTE(A199,{"0","1","2"},"")))))))))+1,1)*10^ROW(INDIRECT("1:"&amp;LEN((LEFT(A199,SUM(LEN(A199)-LEN(SUBSTITUTE(A199,{"0","1","2"},""))))))))/10))*1+1&amp;""&amp;" ,.., "&amp;""&amp;(SUMPRODUCT(MID(0&amp;(--TRIM(RIGHT(SUBSTITUTE(LEFT(A199,_xlfn.AGGREGATE(16,6,FIND({0,1,2,3,4,5,6,7,8,9},A199,ROW(INDIRECT("1:"&amp;LEN(A199)))),1))," ",REPT(" ",LEN(A199))),LEN(A199)))),LARGE(INDEX(ISNUMBER(--MID((--TRIM(RIGHT(SUBSTITUTE(LEFT(A199,_xlfn.AGGREGATE(16,6,FIND({0,1,2,3,4,5,6,7,8,9},A199,ROW(INDIRECT("1:"&amp;LEN(A199)))),1))," ",REPT(" ",LEN(A199))),LEN(A199)))),ROW(INDIRECT("1:"&amp;LEN((--TRIM(RIGHT(SUBSTITUTE(LEFT(A199,_xlfn.AGGREGATE(16,6,FIND({0,1,2,3,4,5,6,7,8,9},A199,ROW(INDIRECT("1:"&amp;LEN(A199)))),1))," ",REPT(" ",LEN(A199))),LEN(A199))))))),1))*ROW(INDIRECT("1:"&amp;LEN((--TRIM(RIGHT(SUBSTITUTE(LEFT(A199,_xlfn.AGGREGATE(16,6,FIND({0,1,2,3,4,5,6,7,8,9},A199,ROW(INDIRECT("1:"&amp;LEN(A199)))),1))," ",REPT(" ",LEN(A199))),LEN(A199))))))),0),ROW(INDIRECT("1:"&amp;LEN((--TRIM(RIGHT(SUBSTITUTE(LEFT(A199,_xlfn.AGGREGATE(16,6,FIND({0,1,2,3,4,5,6,7,8,9},A199,ROW(INDIRECT("1:"&amp;LEN(A199)))),1))," ",REPT(" ",LEN(A199))),LEN(A199))))))))+1,1)*10^ROW(INDIRECT("1:"&amp;LEN((--TRIM(RIGHT(SUBSTITUTE(LEFT(A199,_xlfn.AGGREGATE(16,6,FIND({0,1,2,3,4,5,6,7,8,9},A199,ROW(INDIRECT("1:"&amp;LEN(A199)))),1))," ",REPT(" ",LEN(A199))),LEN(A199)))))))/10))*1+1</f>
        <v>304 ,.., 1504</v>
      </c>
      <c r="B200" s="163"/>
      <c r="C200" s="41"/>
      <c r="D200" s="41"/>
      <c r="E200" s="41">
        <v>0</v>
      </c>
      <c r="F200" s="41" t="e">
        <f>D200*((#REF!)+1)+(IF(E200&lt;101,E200,IF(E200&lt;201,E200/2,IF(E200&lt;=301,E200/3,E200/4))))</f>
        <v>#REF!</v>
      </c>
      <c r="G200" s="162" t="str">
        <f>G199</f>
        <v>3rd, 5th, 7th, 9th, 11th, 13th, 15th Floor</v>
      </c>
      <c r="H200" s="163"/>
      <c r="I200" s="54"/>
      <c r="K200" s="20" t="e">
        <f t="shared" si="18"/>
        <v>#REF!</v>
      </c>
    </row>
    <row r="201" spans="1:14" s="20" customFormat="1" ht="15.75" hidden="1" customHeight="1">
      <c r="A201" s="162" t="str">
        <f ca="1">(SUMPRODUCT(MID(0&amp;(LEFT(A200,SUM(LEN(A200)-LEN(SUBSTITUTE(A200,{"0","1","2"},""))))),LARGE(INDEX(ISNUMBER(--MID((LEFT(A200,SUM(LEN(A200)-LEN(SUBSTITUTE(A200,{"0","1","2"},""))))),ROW(INDIRECT("1:"&amp;LEN((LEFT(A200,SUM(LEN(A200)-LEN(SUBSTITUTE(A200,{"0","1","2"},"")))))))),1))*ROW(INDIRECT("1:"&amp;LEN((LEFT(A200,SUM(LEN(A200)-LEN(SUBSTITUTE(A200,{"0","1","2"},"")))))))),0),ROW(INDIRECT("1:"&amp;LEN((LEFT(A200,SUM(LEN(A200)-LEN(SUBSTITUTE(A200,{"0","1","2"},"")))))))))+1,1)*10^ROW(INDIRECT("1:"&amp;LEN((LEFT(A200,SUM(LEN(A200)-LEN(SUBSTITUTE(A200,{"0","1","2"},""))))))))/10))*1+1&amp;""&amp;" ,.., "&amp;""&amp;(SUMPRODUCT(MID(0&amp;(--TRIM(RIGHT(SUBSTITUTE(LEFT(A200,_xlfn.AGGREGATE(16,6,FIND({0,1,2,3,4,5,6,7,8,9},A200,ROW(INDIRECT("1:"&amp;LEN(A200)))),1))," ",REPT(" ",LEN(A200))),LEN(A200)))),LARGE(INDEX(ISNUMBER(--MID((--TRIM(RIGHT(SUBSTITUTE(LEFT(A200,_xlfn.AGGREGATE(16,6,FIND({0,1,2,3,4,5,6,7,8,9},A200,ROW(INDIRECT("1:"&amp;LEN(A200)))),1))," ",REPT(" ",LEN(A200))),LEN(A200)))),ROW(INDIRECT("1:"&amp;LEN((--TRIM(RIGHT(SUBSTITUTE(LEFT(A200,_xlfn.AGGREGATE(16,6,FIND({0,1,2,3,4,5,6,7,8,9},A200,ROW(INDIRECT("1:"&amp;LEN(A200)))),1))," ",REPT(" ",LEN(A200))),LEN(A200))))))),1))*ROW(INDIRECT("1:"&amp;LEN((--TRIM(RIGHT(SUBSTITUTE(LEFT(A200,_xlfn.AGGREGATE(16,6,FIND({0,1,2,3,4,5,6,7,8,9},A200,ROW(INDIRECT("1:"&amp;LEN(A200)))),1))," ",REPT(" ",LEN(A200))),LEN(A200))))))),0),ROW(INDIRECT("1:"&amp;LEN((--TRIM(RIGHT(SUBSTITUTE(LEFT(A200,_xlfn.AGGREGATE(16,6,FIND({0,1,2,3,4,5,6,7,8,9},A200,ROW(INDIRECT("1:"&amp;LEN(A200)))),1))," ",REPT(" ",LEN(A200))),LEN(A200))))))))+1,1)*10^ROW(INDIRECT("1:"&amp;LEN((--TRIM(RIGHT(SUBSTITUTE(LEFT(A200,_xlfn.AGGREGATE(16,6,FIND({0,1,2,3,4,5,6,7,8,9},A200,ROW(INDIRECT("1:"&amp;LEN(A200)))),1))," ",REPT(" ",LEN(A200))),LEN(A200)))))))/10))*1+1</f>
        <v>305 ,.., 1505</v>
      </c>
      <c r="B201" s="163"/>
      <c r="C201" s="41"/>
      <c r="D201" s="41"/>
      <c r="E201" s="41">
        <v>0</v>
      </c>
      <c r="F201" s="41" t="e">
        <f>D201*((#REF!)+1)+(IF(E201&lt;101,E201,IF(E201&lt;201,E201/2,IF(E201&lt;=301,E201/3,E201/4))))</f>
        <v>#REF!</v>
      </c>
      <c r="G201" s="162" t="str">
        <f>G200</f>
        <v>3rd, 5th, 7th, 9th, 11th, 13th, 15th Floor</v>
      </c>
      <c r="H201" s="163"/>
      <c r="I201" s="54"/>
      <c r="K201" s="20" t="e">
        <f t="shared" si="18"/>
        <v>#REF!</v>
      </c>
    </row>
    <row r="202" spans="1:14" s="20" customFormat="1" hidden="1">
      <c r="A202" s="159" t="s">
        <v>252</v>
      </c>
      <c r="B202" s="160"/>
      <c r="C202" s="160"/>
      <c r="D202" s="160"/>
      <c r="E202" s="160"/>
      <c r="F202" s="160"/>
      <c r="G202" s="160"/>
      <c r="H202" s="161"/>
      <c r="I202" s="54"/>
      <c r="K202" s="20" t="e">
        <f t="shared" si="18"/>
        <v>#DIV/0!</v>
      </c>
    </row>
    <row r="203" spans="1:14" s="20" customFormat="1" hidden="1">
      <c r="A203" s="162" t="str">
        <f ca="1">(SUMPRODUCT(MID(0&amp;(LEFT(A202,SUM(LEN(A202)-LEN(SUBSTITUTE(A202,{"0","1","2"},""))))),LARGE(INDEX(ISNUMBER(--MID((LEFT(A202,SUM(LEN(A202)-LEN(SUBSTITUTE(A202,{"0","1","2"},""))))),ROW(INDIRECT("1:"&amp;LEN((LEFT(A202,SUM(LEN(A202)-LEN(SUBSTITUTE(A202,{"0","1","2"},"")))))))),1))*ROW(INDIRECT("1:"&amp;LEN((LEFT(A202,SUM(LEN(A202)-LEN(SUBSTITUTE(A202,{"0","1","2"},"")))))))),0),ROW(INDIRECT("1:"&amp;LEN((LEFT(A202,SUM(LEN(A202)-LEN(SUBSTITUTE(A202,{"0","1","2"},"")))))))))+1,1)*10^ROW(INDIRECT("1:"&amp;LEN((LEFT(A202,SUM(LEN(A202)-LEN(SUBSTITUTE(A202,{"0","1","2"},""))))))))/10))*100+1&amp;""&amp;" to "&amp;""&amp;(SUMPRODUCT(MID(0&amp;(--TRIM(RIGHT(SUBSTITUTE(LEFT(A202,_xlfn.AGGREGATE(16,6,FIND({0,1,2,3,4,5,6,7,8,9},A202,ROW(INDIRECT("1:"&amp;LEN(A202)))),1))," ",REPT(" ",LEN(A202))),LEN(A202)))),LARGE(INDEX(ISNUMBER(--MID((--TRIM(RIGHT(SUBSTITUTE(LEFT(A202,_xlfn.AGGREGATE(16,6,FIND({0,1,2,3,4,5,6,7,8,9},A202,ROW(INDIRECT("1:"&amp;LEN(A202)))),1))," ",REPT(" ",LEN(A202))),LEN(A202)))),ROW(INDIRECT("1:"&amp;LEN((--TRIM(RIGHT(SUBSTITUTE(LEFT(A202,_xlfn.AGGREGATE(16,6,FIND({0,1,2,3,4,5,6,7,8,9},A202,ROW(INDIRECT("1:"&amp;LEN(A202)))),1))," ",REPT(" ",LEN(A202))),LEN(A202))))))),1))*ROW(INDIRECT("1:"&amp;LEN((--TRIM(RIGHT(SUBSTITUTE(LEFT(A202,_xlfn.AGGREGATE(16,6,FIND({0,1,2,3,4,5,6,7,8,9},A202,ROW(INDIRECT("1:"&amp;LEN(A202)))),1))," ",REPT(" ",LEN(A202))),LEN(A202))))))),0),ROW(INDIRECT("1:"&amp;LEN((--TRIM(RIGHT(SUBSTITUTE(LEFT(A202,_xlfn.AGGREGATE(16,6,FIND({0,1,2,3,4,5,6,7,8,9},A202,ROW(INDIRECT("1:"&amp;LEN(A202)))),1))," ",REPT(" ",LEN(A202))),LEN(A202))))))))+1,1)*10^ROW(INDIRECT("1:"&amp;LEN((--TRIM(RIGHT(SUBSTITUTE(LEFT(A202,_xlfn.AGGREGATE(16,6,FIND({0,1,2,3,4,5,6,7,8,9},A202,ROW(INDIRECT("1:"&amp;LEN(A202)))),1))," ",REPT(" ",LEN(A202))),LEN(A202)))))))/10))*100+1</f>
        <v>201 to 501</v>
      </c>
      <c r="B203" s="163"/>
      <c r="C203" s="41"/>
      <c r="D203" s="41"/>
      <c r="E203" s="41">
        <v>0</v>
      </c>
      <c r="F203" s="41" t="e">
        <f>D203*((#REF!)+1)+(IF(E203&lt;101,E203,IF(E203&lt;201,E203/2,IF(E203&lt;=301,E203/3,E203/4))))</f>
        <v>#REF!</v>
      </c>
      <c r="G203" s="162" t="str">
        <f>A202</f>
        <v>2nd to 5th Floor</v>
      </c>
      <c r="H203" s="163"/>
      <c r="I203" s="54"/>
      <c r="K203" s="20" t="e">
        <f t="shared" si="18"/>
        <v>#REF!</v>
      </c>
    </row>
    <row r="204" spans="1:14" s="20" customFormat="1" hidden="1">
      <c r="A204" s="162" t="str">
        <f ca="1">(SUMPRODUCT(MID(0&amp;(LEFT(A203,SUM(LEN(A203)-LEN(SUBSTITUTE(A203,{"0","1","2"},""))))),LARGE(INDEX(ISNUMBER(--MID((LEFT(A203,SUM(LEN(A203)-LEN(SUBSTITUTE(A203,{"0","1","2"},""))))),ROW(INDIRECT("1:"&amp;LEN((LEFT(A203,SUM(LEN(A203)-LEN(SUBSTITUTE(A203,{"0","1","2"},"")))))))),1))*ROW(INDIRECT("1:"&amp;LEN((LEFT(A203,SUM(LEN(A203)-LEN(SUBSTITUTE(A203,{"0","1","2"},"")))))))),0),ROW(INDIRECT("1:"&amp;LEN((LEFT(A203,SUM(LEN(A203)-LEN(SUBSTITUTE(A203,{"0","1","2"},"")))))))))+1,1)*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",LEN(A203))),LEN(A203)))),LARGE(INDEX(ISNUMBER(--MID((--TRIM(RIGHT(SUBSTITUTE(LEFT(A203,_xlfn.AGGREGATE(16,6,FIND({0,1,2,3,4,5,6,7,8,9},A203,ROW(INDIRECT("1:"&amp;LEN(A203)))),1))," ",REPT(" ",LEN(A203))),LEN(A203)))),ROW(INDIRECT("1:"&amp;LEN((--TRIM(RIGHT(SUBSTITUTE(LEFT(A203,_xlfn.AGGREGATE(16,6,FIND({0,1,2,3,4,5,6,7,8,9},A203,ROW(INDIRECT("1:"&amp;LEN(A203)))),1))," ",REPT(" ",LEN(A203))),LEN(A203))))))),1))*ROW(INDIRECT("1:"&amp;LEN((--TRIM(RIGHT(SUBSTITUTE(LEFT(A203,_xlfn.AGGREGATE(16,6,FIND({0,1,2,3,4,5,6,7,8,9},A203,ROW(INDIRECT("1:"&amp;LEN(A203)))),1))," ",REPT(" ",LEN(A203))),LEN(A203))))))),0),ROW(INDIRECT("1:"&amp;LEN((--TRIM(RIGHT(SUBSTITUTE(LEFT(A203,_xlfn.AGGREGATE(16,6,FIND({0,1,2,3,4,5,6,7,8,9},A203,ROW(INDIRECT("1:"&amp;LEN(A203)))),1))," ",REPT(" ",LEN(A203))),LEN(A203))))))))+1,1)*10^ROW(INDIRECT("1:"&amp;LEN((--TRIM(RIGHT(SUBSTITUTE(LEFT(A203,_xlfn.AGGREGATE(16,6,FIND({0,1,2,3,4,5,6,7,8,9},A203,ROW(INDIRECT("1:"&amp;LEN(A203)))),1))," ",REPT(" ",LEN(A203))),LEN(A203)))))))/10))*1+1</f>
        <v>202 to 502</v>
      </c>
      <c r="B204" s="163"/>
      <c r="C204" s="41"/>
      <c r="D204" s="41"/>
      <c r="E204" s="41">
        <v>0</v>
      </c>
      <c r="F204" s="41" t="e">
        <f>D204*((#REF!)+1)+(IF(E204&lt;101,E204,IF(E204&lt;201,E204/2,IF(E204&lt;=301,E204/3,E204/4))))</f>
        <v>#REF!</v>
      </c>
      <c r="G204" s="162" t="str">
        <f>G203</f>
        <v>2nd to 5th Floor</v>
      </c>
      <c r="H204" s="163"/>
      <c r="I204" s="54"/>
      <c r="K204" s="20" t="e">
        <f t="shared" si="18"/>
        <v>#REF!</v>
      </c>
    </row>
    <row r="205" spans="1:14" s="20" customFormat="1" hidden="1">
      <c r="A205" s="162" t="str">
        <f ca="1">(SUMPRODUCT(MID(0&amp;(LEFT(A204,SUM(LEN(A204)-LEN(SUBSTITUTE(A204,{"0","1","2"},""))))),LARGE(INDEX(ISNUMBER(--MID((LEFT(A204,SUM(LEN(A204)-LEN(SUBSTITUTE(A204,{"0","1","2"},""))))),ROW(INDIRECT("1:"&amp;LEN((LEFT(A204,SUM(LEN(A204)-LEN(SUBSTITUTE(A204,{"0","1","2"},"")))))))),1))*ROW(INDIRECT("1:"&amp;LEN((LEFT(A204,SUM(LEN(A204)-LEN(SUBSTITUTE(A204,{"0","1","2"},"")))))))),0),ROW(INDIRECT("1:"&amp;LEN((LEFT(A204,SUM(LEN(A204)-LEN(SUBSTITUTE(A204,{"0","1","2"},"")))))))))+1,1)*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",LEN(A204))),LEN(A204)))),LARGE(INDEX(ISNUMBER(--MID((--TRIM(RIGHT(SUBSTITUTE(LEFT(A204,_xlfn.AGGREGATE(16,6,FIND({0,1,2,3,4,5,6,7,8,9},A204,ROW(INDIRECT("1:"&amp;LEN(A204)))),1))," ",REPT(" ",LEN(A204))),LEN(A204)))),ROW(INDIRECT("1:"&amp;LEN((--TRIM(RIGHT(SUBSTITUTE(LEFT(A204,_xlfn.AGGREGATE(16,6,FIND({0,1,2,3,4,5,6,7,8,9},A204,ROW(INDIRECT("1:"&amp;LEN(A204)))),1))," ",REPT(" ",LEN(A204))),LEN(A204))))))),1))*ROW(INDIRECT("1:"&amp;LEN((--TRIM(RIGHT(SUBSTITUTE(LEFT(A204,_xlfn.AGGREGATE(16,6,FIND({0,1,2,3,4,5,6,7,8,9},A204,ROW(INDIRECT("1:"&amp;LEN(A204)))),1))," ",REPT(" ",LEN(A204))),LEN(A204))))))),0),ROW(INDIRECT("1:"&amp;LEN((--TRIM(RIGHT(SUBSTITUTE(LEFT(A204,_xlfn.AGGREGATE(16,6,FIND({0,1,2,3,4,5,6,7,8,9},A204,ROW(INDIRECT("1:"&amp;LEN(A204)))),1))," ",REPT(" ",LEN(A204))),LEN(A204))))))))+1,1)*10^ROW(INDIRECT("1:"&amp;LEN((--TRIM(RIGHT(SUBSTITUTE(LEFT(A204,_xlfn.AGGREGATE(16,6,FIND({0,1,2,3,4,5,6,7,8,9},A204,ROW(INDIRECT("1:"&amp;LEN(A204)))),1))," ",REPT(" ",LEN(A204))),LEN(A204)))))))/10))*1+1</f>
        <v>203 to 503</v>
      </c>
      <c r="B205" s="163"/>
      <c r="C205" s="41"/>
      <c r="D205" s="41"/>
      <c r="E205" s="41">
        <v>0</v>
      </c>
      <c r="F205" s="41" t="e">
        <f>D205*((#REF!)+1)+(IF(E205&lt;101,E205,IF(E205&lt;201,E205/2,IF(E205&lt;=301,E205/3,E205/4))))</f>
        <v>#REF!</v>
      </c>
      <c r="G205" s="162" t="str">
        <f>G204</f>
        <v>2nd to 5th Floor</v>
      </c>
      <c r="H205" s="163"/>
      <c r="I205" s="54"/>
      <c r="K205" s="20" t="e">
        <f t="shared" si="18"/>
        <v>#REF!</v>
      </c>
    </row>
    <row r="206" spans="1:14" s="20" customFormat="1" hidden="1">
      <c r="A206" s="162" t="str">
        <f ca="1">(SUMPRODUCT(MID(0&amp;(LEFT(A205,SUM(LEN(A205)-LEN(SUBSTITUTE(A205,{"0","1","2"},""))))),LARGE(INDEX(ISNUMBER(--MID((LEFT(A205,SUM(LEN(A205)-LEN(SUBSTITUTE(A205,{"0","1","2"},""))))),ROW(INDIRECT("1:"&amp;LEN((LEFT(A205,SUM(LEN(A205)-LEN(SUBSTITUTE(A205,{"0","1","2"},"")))))))),1))*ROW(INDIRECT("1:"&amp;LEN((LEFT(A205,SUM(LEN(A205)-LEN(SUBSTITUTE(A205,{"0","1","2"},"")))))))),0),ROW(INDIRECT("1:"&amp;LEN((LEFT(A205,SUM(LEN(A205)-LEN(SUBSTITUTE(A205,{"0","1","2"},"")))))))))+1,1)*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",LEN(A205))),LEN(A205)))),LARGE(INDEX(ISNUMBER(--MID((--TRIM(RIGHT(SUBSTITUTE(LEFT(A205,_xlfn.AGGREGATE(16,6,FIND({0,1,2,3,4,5,6,7,8,9},A205,ROW(INDIRECT("1:"&amp;LEN(A205)))),1))," ",REPT(" ",LEN(A205))),LEN(A205)))),ROW(INDIRECT("1:"&amp;LEN((--TRIM(RIGHT(SUBSTITUTE(LEFT(A205,_xlfn.AGGREGATE(16,6,FIND({0,1,2,3,4,5,6,7,8,9},A205,ROW(INDIRECT("1:"&amp;LEN(A205)))),1))," ",REPT(" ",LEN(A205))),LEN(A205))))))),1))*ROW(INDIRECT("1:"&amp;LEN((--TRIM(RIGHT(SUBSTITUTE(LEFT(A205,_xlfn.AGGREGATE(16,6,FIND({0,1,2,3,4,5,6,7,8,9},A205,ROW(INDIRECT("1:"&amp;LEN(A205)))),1))," ",REPT(" ",LEN(A205))),LEN(A205))))))),0),ROW(INDIRECT("1:"&amp;LEN((--TRIM(RIGHT(SUBSTITUTE(LEFT(A205,_xlfn.AGGREGATE(16,6,FIND({0,1,2,3,4,5,6,7,8,9},A205,ROW(INDIRECT("1:"&amp;LEN(A205)))),1))," ",REPT(" ",LEN(A205))),LEN(A205))))))))+1,1)*10^ROW(INDIRECT("1:"&amp;LEN((--TRIM(RIGHT(SUBSTITUTE(LEFT(A205,_xlfn.AGGREGATE(16,6,FIND({0,1,2,3,4,5,6,7,8,9},A205,ROW(INDIRECT("1:"&amp;LEN(A205)))),1))," ",REPT(" ",LEN(A205))),LEN(A205)))))))/10))*1+1</f>
        <v>204 to 504</v>
      </c>
      <c r="B206" s="163"/>
      <c r="C206" s="41"/>
      <c r="D206" s="41"/>
      <c r="E206" s="41">
        <v>0</v>
      </c>
      <c r="F206" s="41" t="e">
        <f>D206*((#REF!)+1)+(IF(E206&lt;101,E206,IF(E206&lt;201,E206/2,IF(E206&lt;=301,E206/3,E206/4))))</f>
        <v>#REF!</v>
      </c>
      <c r="G206" s="162" t="str">
        <f>G205</f>
        <v>2nd to 5th Floor</v>
      </c>
      <c r="H206" s="163"/>
      <c r="I206" s="54"/>
      <c r="K206" s="20" t="e">
        <f t="shared" si="18"/>
        <v>#REF!</v>
      </c>
    </row>
    <row r="207" spans="1:14" s="20" customFormat="1" hidden="1">
      <c r="A207" s="162" t="str">
        <f ca="1">(SUMPRODUCT(MID(0&amp;(LEFT(A206,SUM(LEN(A206)-LEN(SUBSTITUTE(A206,{"0","1","2"},""))))),LARGE(INDEX(ISNUMBER(--MID((LEFT(A206,SUM(LEN(A206)-LEN(SUBSTITUTE(A206,{"0","1","2"},""))))),ROW(INDIRECT("1:"&amp;LEN((LEFT(A206,SUM(LEN(A206)-LEN(SUBSTITUTE(A206,{"0","1","2"},"")))))))),1))*ROW(INDIRECT("1:"&amp;LEN((LEFT(A206,SUM(LEN(A206)-LEN(SUBSTITUTE(A206,{"0","1","2"},"")))))))),0),ROW(INDIRECT("1:"&amp;LEN((LEFT(A206,SUM(LEN(A206)-LEN(SUBSTITUTE(A206,{"0","1","2"},"")))))))))+1,1)*10^ROW(INDIRECT("1:"&amp;LEN((LEFT(A206,SUM(LEN(A206)-LEN(SUBSTITUTE(A206,{"0","1","2"},""))))))))/10))*1+1&amp;""&amp;" to "&amp;""&amp;(SUMPRODUCT(MID(0&amp;(--TRIM(RIGHT(SUBSTITUTE(LEFT(A206,_xlfn.AGGREGATE(16,6,FIND({0,1,2,3,4,5,6,7,8,9},A206,ROW(INDIRECT("1:"&amp;LEN(A206)))),1))," ",REPT(" ",LEN(A206))),LEN(A206)))),LARGE(INDEX(ISNUMBER(--MID((--TRIM(RIGHT(SUBSTITUTE(LEFT(A206,_xlfn.AGGREGATE(16,6,FIND({0,1,2,3,4,5,6,7,8,9},A206,ROW(INDIRECT("1:"&amp;LEN(A206)))),1))," ",REPT(" ",LEN(A206))),LEN(A206)))),ROW(INDIRECT("1:"&amp;LEN((--TRIM(RIGHT(SUBSTITUTE(LEFT(A206,_xlfn.AGGREGATE(16,6,FIND({0,1,2,3,4,5,6,7,8,9},A206,ROW(INDIRECT("1:"&amp;LEN(A206)))),1))," ",REPT(" ",LEN(A206))),LEN(A206))))))),1))*ROW(INDIRECT("1:"&amp;LEN((--TRIM(RIGHT(SUBSTITUTE(LEFT(A206,_xlfn.AGGREGATE(16,6,FIND({0,1,2,3,4,5,6,7,8,9},A206,ROW(INDIRECT("1:"&amp;LEN(A206)))),1))," ",REPT(" ",LEN(A206))),LEN(A206))))))),0),ROW(INDIRECT("1:"&amp;LEN((--TRIM(RIGHT(SUBSTITUTE(LEFT(A206,_xlfn.AGGREGATE(16,6,FIND({0,1,2,3,4,5,6,7,8,9},A206,ROW(INDIRECT("1:"&amp;LEN(A206)))),1))," ",REPT(" ",LEN(A206))),LEN(A206))))))))+1,1)*10^ROW(INDIRECT("1:"&amp;LEN((--TRIM(RIGHT(SUBSTITUTE(LEFT(A206,_xlfn.AGGREGATE(16,6,FIND({0,1,2,3,4,5,6,7,8,9},A206,ROW(INDIRECT("1:"&amp;LEN(A206)))),1))," ",REPT(" ",LEN(A206))),LEN(A206)))))))/10))*1+1</f>
        <v>205 to 505</v>
      </c>
      <c r="B207" s="163"/>
      <c r="C207" s="41"/>
      <c r="D207" s="41"/>
      <c r="E207" s="41">
        <v>0</v>
      </c>
      <c r="F207" s="41" t="e">
        <f>D207*((#REF!)+1)+(IF(E207&lt;101,E207,IF(E207&lt;201,E207/2,IF(E207&lt;=301,E207/3,E207/4))))</f>
        <v>#REF!</v>
      </c>
      <c r="G207" s="162" t="str">
        <f>G206</f>
        <v>2nd to 5th Floor</v>
      </c>
      <c r="H207" s="163"/>
      <c r="I207" s="54"/>
      <c r="K207" s="20" t="e">
        <f t="shared" si="18"/>
        <v>#REF!</v>
      </c>
    </row>
    <row r="208" spans="1:14" s="20" customFormat="1" hidden="1">
      <c r="A208" s="159" t="s">
        <v>253</v>
      </c>
      <c r="B208" s="160"/>
      <c r="C208" s="160"/>
      <c r="D208" s="160"/>
      <c r="E208" s="160"/>
      <c r="F208" s="160"/>
      <c r="G208" s="160"/>
      <c r="H208" s="161"/>
      <c r="I208" s="54"/>
      <c r="K208" s="20" t="e">
        <f t="shared" si="18"/>
        <v>#DIV/0!</v>
      </c>
    </row>
    <row r="209" spans="1:11" s="20" customFormat="1" hidden="1">
      <c r="A209" s="162" t="str">
        <f ca="1">(SUMPRODUCT(MID(0&amp;(LEFT(A208,SUM(LEN(A208)-LEN(SUBSTITUTE(A208,{"0","1","2"},""))))),LARGE(INDEX(ISNUMBER(--MID((LEFT(A208,SUM(LEN(A208)-LEN(SUBSTITUTE(A208,{"0","1","2"},""))))),ROW(INDIRECT("1:"&amp;LEN((LEFT(A208,SUM(LEN(A208)-LEN(SUBSTITUTE(A208,{"0","1","2"},"")))))))),1))*ROW(INDIRECT("1:"&amp;LEN((LEFT(A208,SUM(LEN(A208)-LEN(SUBSTITUTE(A208,{"0","1","2"},"")))))))),0),ROW(INDIRECT("1:"&amp;LEN((LEFT(A208,SUM(LEN(A208)-LEN(SUBSTITUTE(A208,{"0","1","2"},"")))))))))+1,1)*10^ROW(INDIRECT("1:"&amp;LEN((LEFT(A208,SUM(LEN(A208)-LEN(SUBSTITUTE(A208,{"0","1","2"},""))))))))/10))*100+1&amp;""&amp;" &amp; "&amp;""&amp;(SUMPRODUCT(MID(0&amp;(--TRIM(RIGHT(SUBSTITUTE(LEFT(A208,_xlfn.AGGREGATE(16,6,FIND({0,1,2,3,4,5,6,7,8,9},A208,ROW(INDIRECT("1:"&amp;LEN(A208)))),1))," ",REPT(" ",LEN(A208))),LEN(A208)))),LARGE(INDEX(ISNUMBER(--MID((--TRIM(RIGHT(SUBSTITUTE(LEFT(A208,_xlfn.AGGREGATE(16,6,FIND({0,1,2,3,4,5,6,7,8,9},A208,ROW(INDIRECT("1:"&amp;LEN(A208)))),1))," ",REPT(" ",LEN(A208))),LEN(A208)))),ROW(INDIRECT("1:"&amp;LEN((--TRIM(RIGHT(SUBSTITUTE(LEFT(A208,_xlfn.AGGREGATE(16,6,FIND({0,1,2,3,4,5,6,7,8,9},A208,ROW(INDIRECT("1:"&amp;LEN(A208)))),1))," ",REPT(" ",LEN(A208))),LEN(A208))))))),1))*ROW(INDIRECT("1:"&amp;LEN((--TRIM(RIGHT(SUBSTITUTE(LEFT(A208,_xlfn.AGGREGATE(16,6,FIND({0,1,2,3,4,5,6,7,8,9},A208,ROW(INDIRECT("1:"&amp;LEN(A208)))),1))," ",REPT(" ",LEN(A208))),LEN(A208))))))),0),ROW(INDIRECT("1:"&amp;LEN((--TRIM(RIGHT(SUBSTITUTE(LEFT(A208,_xlfn.AGGREGATE(16,6,FIND({0,1,2,3,4,5,6,7,8,9},A208,ROW(INDIRECT("1:"&amp;LEN(A208)))),1))," ",REPT(" ",LEN(A208))),LEN(A208))))))))+1,1)*10^ROW(INDIRECT("1:"&amp;LEN((--TRIM(RIGHT(SUBSTITUTE(LEFT(A208,_xlfn.AGGREGATE(16,6,FIND({0,1,2,3,4,5,6,7,8,9},A208,ROW(INDIRECT("1:"&amp;LEN(A208)))),1))," ",REPT(" ",LEN(A208))),LEN(A208)))))))/10))*100+1</f>
        <v>201 &amp; 501</v>
      </c>
      <c r="B209" s="163"/>
      <c r="C209" s="41"/>
      <c r="D209" s="41"/>
      <c r="E209" s="41">
        <v>0</v>
      </c>
      <c r="F209" s="41" t="e">
        <f>D209*((#REF!)+1)+(IF(E209&lt;101,E209,IF(E209&lt;201,E209/2,IF(E209&lt;=301,E209/3,E209/4))))</f>
        <v>#REF!</v>
      </c>
      <c r="G209" s="162" t="str">
        <f>A208</f>
        <v>2nd &amp; 5th Floor</v>
      </c>
      <c r="H209" s="163"/>
      <c r="I209" s="54"/>
      <c r="K209" s="20" t="e">
        <f t="shared" si="18"/>
        <v>#REF!</v>
      </c>
    </row>
    <row r="210" spans="1:11" s="20" customFormat="1" hidden="1">
      <c r="A210" s="162" t="str">
        <f ca="1">(SUMPRODUCT(MID(0&amp;(LEFT(A209,SUM(LEN(A209)-LEN(SUBSTITUTE(A209,{"0","1","2"},""))))),LARGE(INDEX(ISNUMBER(--MID((LEFT(A209,SUM(LEN(A209)-LEN(SUBSTITUTE(A209,{"0","1","2"},""))))),ROW(INDIRECT("1:"&amp;LEN((LEFT(A209,SUM(LEN(A209)-LEN(SUBSTITUTE(A209,{"0","1","2"},"")))))))),1))*ROW(INDIRECT("1:"&amp;LEN((LEFT(A209,SUM(LEN(A209)-LEN(SUBSTITUTE(A209,{"0","1","2"},"")))))))),0),ROW(INDIRECT("1:"&amp;LEN((LEFT(A209,SUM(LEN(A209)-LEN(SUBSTITUTE(A209,{"0","1","2"},"")))))))))+1,1)*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",LEN(A209))),LEN(A209)))),LARGE(INDEX(ISNUMBER(--MID((--TRIM(RIGHT(SUBSTITUTE(LEFT(A209,_xlfn.AGGREGATE(16,6,FIND({0,1,2,3,4,5,6,7,8,9},A209,ROW(INDIRECT("1:"&amp;LEN(A209)))),1))," ",REPT(" ",LEN(A209))),LEN(A209)))),ROW(INDIRECT("1:"&amp;LEN((--TRIM(RIGHT(SUBSTITUTE(LEFT(A209,_xlfn.AGGREGATE(16,6,FIND({0,1,2,3,4,5,6,7,8,9},A209,ROW(INDIRECT("1:"&amp;LEN(A209)))),1))," ",REPT(" ",LEN(A209))),LEN(A209))))))),1))*ROW(INDIRECT("1:"&amp;LEN((--TRIM(RIGHT(SUBSTITUTE(LEFT(A209,_xlfn.AGGREGATE(16,6,FIND({0,1,2,3,4,5,6,7,8,9},A209,ROW(INDIRECT("1:"&amp;LEN(A209)))),1))," ",REPT(" ",LEN(A209))),LEN(A209))))))),0),ROW(INDIRECT("1:"&amp;LEN((--TRIM(RIGHT(SUBSTITUTE(LEFT(A209,_xlfn.AGGREGATE(16,6,FIND({0,1,2,3,4,5,6,7,8,9},A209,ROW(INDIRECT("1:"&amp;LEN(A209)))),1))," ",REPT(" ",LEN(A209))),LEN(A209))))))))+1,1)*10^ROW(INDIRECT("1:"&amp;LEN((--TRIM(RIGHT(SUBSTITUTE(LEFT(A209,_xlfn.AGGREGATE(16,6,FIND({0,1,2,3,4,5,6,7,8,9},A209,ROW(INDIRECT("1:"&amp;LEN(A209)))),1))," ",REPT(" ",LEN(A209))),LEN(A209)))))))/10))*1+1</f>
        <v>202 &amp; 502</v>
      </c>
      <c r="B210" s="163"/>
      <c r="C210" s="41"/>
      <c r="D210" s="41"/>
      <c r="E210" s="41">
        <v>0</v>
      </c>
      <c r="F210" s="41" t="e">
        <f>D210*((#REF!)+1)+(IF(E210&lt;101,E210,IF(E210&lt;201,E210/2,IF(E210&lt;=301,E210/3,E210/4))))</f>
        <v>#REF!</v>
      </c>
      <c r="G210" s="162" t="str">
        <f t="shared" ref="G210:G213" si="19">G209</f>
        <v>2nd &amp; 5th Floor</v>
      </c>
      <c r="H210" s="163"/>
      <c r="I210" s="54"/>
      <c r="K210" s="20" t="e">
        <f t="shared" si="18"/>
        <v>#REF!</v>
      </c>
    </row>
    <row r="211" spans="1:11" s="20" customFormat="1" hidden="1">
      <c r="A211" s="162" t="str">
        <f ca="1">(SUMPRODUCT(MID(0&amp;(LEFT(A210,SUM(LEN(A210)-LEN(SUBSTITUTE(A210,{"0","1","2"},""))))),LARGE(INDEX(ISNUMBER(--MID((LEFT(A210,SUM(LEN(A210)-LEN(SUBSTITUTE(A210,{"0","1","2"},""))))),ROW(INDIRECT("1:"&amp;LEN((LEFT(A210,SUM(LEN(A210)-LEN(SUBSTITUTE(A210,{"0","1","2"},"")))))))),1))*ROW(INDIRECT("1:"&amp;LEN((LEFT(A210,SUM(LEN(A210)-LEN(SUBSTITUTE(A210,{"0","1","2"},"")))))))),0),ROW(INDIRECT("1:"&amp;LEN((LEFT(A210,SUM(LEN(A210)-LEN(SUBSTITUTE(A210,{"0","1","2"},"")))))))))+1,1)*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",LEN(A210))),LEN(A210)))),LARGE(INDEX(ISNUMBER(--MID((--TRIM(RIGHT(SUBSTITUTE(LEFT(A210,_xlfn.AGGREGATE(16,6,FIND({0,1,2,3,4,5,6,7,8,9},A210,ROW(INDIRECT("1:"&amp;LEN(A210)))),1))," ",REPT(" ",LEN(A210))),LEN(A210)))),ROW(INDIRECT("1:"&amp;LEN((--TRIM(RIGHT(SUBSTITUTE(LEFT(A210,_xlfn.AGGREGATE(16,6,FIND({0,1,2,3,4,5,6,7,8,9},A210,ROW(INDIRECT("1:"&amp;LEN(A210)))),1))," ",REPT(" ",LEN(A210))),LEN(A210))))))),1))*ROW(INDIRECT("1:"&amp;LEN((--TRIM(RIGHT(SUBSTITUTE(LEFT(A210,_xlfn.AGGREGATE(16,6,FIND({0,1,2,3,4,5,6,7,8,9},A210,ROW(INDIRECT("1:"&amp;LEN(A210)))),1))," ",REPT(" ",LEN(A210))),LEN(A210))))))),0),ROW(INDIRECT("1:"&amp;LEN((--TRIM(RIGHT(SUBSTITUTE(LEFT(A210,_xlfn.AGGREGATE(16,6,FIND({0,1,2,3,4,5,6,7,8,9},A210,ROW(INDIRECT("1:"&amp;LEN(A210)))),1))," ",REPT(" ",LEN(A210))),LEN(A210))))))))+1,1)*10^ROW(INDIRECT("1:"&amp;LEN((--TRIM(RIGHT(SUBSTITUTE(LEFT(A210,_xlfn.AGGREGATE(16,6,FIND({0,1,2,3,4,5,6,7,8,9},A210,ROW(INDIRECT("1:"&amp;LEN(A210)))),1))," ",REPT(" ",LEN(A210))),LEN(A210)))))))/10))*1+1</f>
        <v>203 &amp; 503</v>
      </c>
      <c r="B211" s="163"/>
      <c r="C211" s="41"/>
      <c r="D211" s="41"/>
      <c r="E211" s="41">
        <v>0</v>
      </c>
      <c r="F211" s="41" t="e">
        <f>D211*((#REF!)+1)+(IF(E211&lt;101,E211,IF(E211&lt;201,E211/2,IF(E211&lt;=301,E211/3,E211/4))))</f>
        <v>#REF!</v>
      </c>
      <c r="G211" s="162" t="str">
        <f t="shared" si="19"/>
        <v>2nd &amp; 5th Floor</v>
      </c>
      <c r="H211" s="163"/>
      <c r="I211" s="54"/>
      <c r="K211" s="20" t="e">
        <f t="shared" si="18"/>
        <v>#REF!</v>
      </c>
    </row>
    <row r="212" spans="1:11" s="20" customFormat="1" hidden="1">
      <c r="A212" s="162" t="str">
        <f ca="1">(SUMPRODUCT(MID(0&amp;(LEFT(A211,SUM(LEN(A211)-LEN(SUBSTITUTE(A211,{"0","1","2"},""))))),LARGE(INDEX(ISNUMBER(--MID((LEFT(A211,SUM(LEN(A211)-LEN(SUBSTITUTE(A211,{"0","1","2"},""))))),ROW(INDIRECT("1:"&amp;LEN((LEFT(A211,SUM(LEN(A211)-LEN(SUBSTITUTE(A211,{"0","1","2"},"")))))))),1))*ROW(INDIRECT("1:"&amp;LEN((LEFT(A211,SUM(LEN(A211)-LEN(SUBSTITUTE(A211,{"0","1","2"},"")))))))),0),ROW(INDIRECT("1:"&amp;LEN((LEFT(A211,SUM(LEN(A211)-LEN(SUBSTITUTE(A211,{"0","1","2"},"")))))))))+1,1)*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",LEN(A211))),LEN(A211)))),LARGE(INDEX(ISNUMBER(--MID((--TRIM(RIGHT(SUBSTITUTE(LEFT(A211,_xlfn.AGGREGATE(16,6,FIND({0,1,2,3,4,5,6,7,8,9},A211,ROW(INDIRECT("1:"&amp;LEN(A211)))),1))," ",REPT(" ",LEN(A211))),LEN(A211)))),ROW(INDIRECT("1:"&amp;LEN((--TRIM(RIGHT(SUBSTITUTE(LEFT(A211,_xlfn.AGGREGATE(16,6,FIND({0,1,2,3,4,5,6,7,8,9},A211,ROW(INDIRECT("1:"&amp;LEN(A211)))),1))," ",REPT(" ",LEN(A211))),LEN(A211))))))),1))*ROW(INDIRECT("1:"&amp;LEN((--TRIM(RIGHT(SUBSTITUTE(LEFT(A211,_xlfn.AGGREGATE(16,6,FIND({0,1,2,3,4,5,6,7,8,9},A211,ROW(INDIRECT("1:"&amp;LEN(A211)))),1))," ",REPT(" ",LEN(A211))),LEN(A211))))))),0),ROW(INDIRECT("1:"&amp;LEN((--TRIM(RIGHT(SUBSTITUTE(LEFT(A211,_xlfn.AGGREGATE(16,6,FIND({0,1,2,3,4,5,6,7,8,9},A211,ROW(INDIRECT("1:"&amp;LEN(A211)))),1))," ",REPT(" ",LEN(A211))),LEN(A211))))))))+1,1)*10^ROW(INDIRECT("1:"&amp;LEN((--TRIM(RIGHT(SUBSTITUTE(LEFT(A211,_xlfn.AGGREGATE(16,6,FIND({0,1,2,3,4,5,6,7,8,9},A211,ROW(INDIRECT("1:"&amp;LEN(A211)))),1))," ",REPT(" ",LEN(A211))),LEN(A211)))))))/10))*1+1</f>
        <v>204 &amp; 504</v>
      </c>
      <c r="B212" s="163"/>
      <c r="C212" s="41"/>
      <c r="D212" s="41"/>
      <c r="E212" s="41">
        <v>0</v>
      </c>
      <c r="F212" s="41" t="e">
        <f>D212*((#REF!)+1)+(IF(E212&lt;101,E212,IF(E212&lt;201,E212/2,IF(E212&lt;=301,E212/3,E212/4))))</f>
        <v>#REF!</v>
      </c>
      <c r="G212" s="162" t="str">
        <f t="shared" si="19"/>
        <v>2nd &amp; 5th Floor</v>
      </c>
      <c r="H212" s="163"/>
      <c r="I212" s="54"/>
      <c r="K212" s="20" t="e">
        <f t="shared" si="18"/>
        <v>#REF!</v>
      </c>
    </row>
    <row r="213" spans="1:11" s="20" customFormat="1" hidden="1">
      <c r="A213" s="162" t="str">
        <f ca="1">(SUMPRODUCT(MID(0&amp;(LEFT(A212,SUM(LEN(A212)-LEN(SUBSTITUTE(A212,{"0","1","2"},""))))),LARGE(INDEX(ISNUMBER(--MID((LEFT(A212,SUM(LEN(A212)-LEN(SUBSTITUTE(A212,{"0","1","2"},""))))),ROW(INDIRECT("1:"&amp;LEN((LEFT(A212,SUM(LEN(A212)-LEN(SUBSTITUTE(A212,{"0","1","2"},"")))))))),1))*ROW(INDIRECT("1:"&amp;LEN((LEFT(A212,SUM(LEN(A212)-LEN(SUBSTITUTE(A212,{"0","1","2"},"")))))))),0),ROW(INDIRECT("1:"&amp;LEN((LEFT(A212,SUM(LEN(A212)-LEN(SUBSTITUTE(A212,{"0","1","2"},"")))))))))+1,1)*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",LEN(A212))),LEN(A212)))),LARGE(INDEX(ISNUMBER(--MID((--TRIM(RIGHT(SUBSTITUTE(LEFT(A212,_xlfn.AGGREGATE(16,6,FIND({0,1,2,3,4,5,6,7,8,9},A212,ROW(INDIRECT("1:"&amp;LEN(A212)))),1))," ",REPT(" ",LEN(A212))),LEN(A212)))),ROW(INDIRECT("1:"&amp;LEN((--TRIM(RIGHT(SUBSTITUTE(LEFT(A212,_xlfn.AGGREGATE(16,6,FIND({0,1,2,3,4,5,6,7,8,9},A212,ROW(INDIRECT("1:"&amp;LEN(A212)))),1))," ",REPT(" ",LEN(A212))),LEN(A212))))))),1))*ROW(INDIRECT("1:"&amp;LEN((--TRIM(RIGHT(SUBSTITUTE(LEFT(A212,_xlfn.AGGREGATE(16,6,FIND({0,1,2,3,4,5,6,7,8,9},A212,ROW(INDIRECT("1:"&amp;LEN(A212)))),1))," ",REPT(" ",LEN(A212))),LEN(A212))))))),0),ROW(INDIRECT("1:"&amp;LEN((--TRIM(RIGHT(SUBSTITUTE(LEFT(A212,_xlfn.AGGREGATE(16,6,FIND({0,1,2,3,4,5,6,7,8,9},A212,ROW(INDIRECT("1:"&amp;LEN(A212)))),1))," ",REPT(" ",LEN(A212))),LEN(A212))))))))+1,1)*10^ROW(INDIRECT("1:"&amp;LEN((--TRIM(RIGHT(SUBSTITUTE(LEFT(A212,_xlfn.AGGREGATE(16,6,FIND({0,1,2,3,4,5,6,7,8,9},A212,ROW(INDIRECT("1:"&amp;LEN(A212)))),1))," ",REPT(" ",LEN(A212))),LEN(A212)))))))/10))*1+1</f>
        <v>205 &amp; 505</v>
      </c>
      <c r="B213" s="163"/>
      <c r="C213" s="41"/>
      <c r="D213" s="41"/>
      <c r="E213" s="41">
        <v>0</v>
      </c>
      <c r="F213" s="41" t="e">
        <f>D213*((#REF!)+1)+(IF(E213&lt;101,E213,IF(E213&lt;201,E213/2,IF(E213&lt;=301,E213/3,E213/4))))</f>
        <v>#REF!</v>
      </c>
      <c r="G213" s="162" t="str">
        <f t="shared" si="19"/>
        <v>2nd &amp; 5th Floor</v>
      </c>
      <c r="H213" s="163"/>
      <c r="I213" s="54"/>
      <c r="K213" s="20" t="e">
        <f t="shared" si="18"/>
        <v>#REF!</v>
      </c>
    </row>
    <row r="214" spans="1:11" s="19" customFormat="1">
      <c r="A214" s="191" t="s">
        <v>254</v>
      </c>
      <c r="B214" s="191"/>
      <c r="C214" s="191"/>
      <c r="D214" s="191"/>
      <c r="E214" s="191"/>
      <c r="F214" s="191"/>
      <c r="G214" s="191"/>
      <c r="H214" s="191"/>
      <c r="K214" s="20" t="e">
        <f t="shared" si="18"/>
        <v>#DIV/0!</v>
      </c>
    </row>
    <row r="215" spans="1:11" s="19" customFormat="1">
      <c r="A215" s="36" t="s">
        <v>255</v>
      </c>
      <c r="B215" s="185" t="s">
        <v>295</v>
      </c>
      <c r="C215" s="186"/>
      <c r="D215" s="186"/>
      <c r="E215" s="186"/>
      <c r="F215" s="186"/>
      <c r="G215" s="186"/>
      <c r="H215" s="187"/>
    </row>
    <row r="216" spans="1:11" s="19" customFormat="1">
      <c r="A216" s="36" t="s">
        <v>255</v>
      </c>
      <c r="B216" s="185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216" s="186"/>
      <c r="D216" s="186"/>
      <c r="E216" s="186"/>
      <c r="F216" s="186"/>
      <c r="G216" s="186"/>
      <c r="H216" s="187"/>
    </row>
    <row r="217" spans="1:11" s="19" customFormat="1" hidden="1">
      <c r="A217" s="36" t="s">
        <v>255</v>
      </c>
      <c r="B217" s="185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7" s="186"/>
      <c r="D217" s="186"/>
      <c r="E217" s="186"/>
      <c r="F217" s="186"/>
      <c r="G217" s="186"/>
      <c r="H217" s="187"/>
    </row>
    <row r="218" spans="1:11" s="19" customFormat="1">
      <c r="A218" s="36" t="s">
        <v>255</v>
      </c>
      <c r="B218" s="188" t="s">
        <v>256</v>
      </c>
      <c r="C218" s="189"/>
      <c r="D218" s="189"/>
      <c r="E218" s="189"/>
      <c r="F218" s="189"/>
      <c r="G218" s="189"/>
      <c r="H218" s="190"/>
    </row>
    <row r="219" spans="1:11" s="19" customFormat="1">
      <c r="A219" s="36" t="s">
        <v>255</v>
      </c>
      <c r="B219" s="188" t="s">
        <v>257</v>
      </c>
      <c r="C219" s="189"/>
      <c r="D219" s="189"/>
      <c r="E219" s="189"/>
      <c r="F219" s="189"/>
      <c r="G219" s="189"/>
      <c r="H219" s="190"/>
    </row>
    <row r="220" spans="1:11" s="19" customFormat="1">
      <c r="A220" s="36" t="s">
        <v>255</v>
      </c>
      <c r="B220" s="188" t="s">
        <v>258</v>
      </c>
      <c r="C220" s="189"/>
      <c r="D220" s="189"/>
      <c r="E220" s="189"/>
      <c r="F220" s="189"/>
      <c r="G220" s="189"/>
      <c r="H220" s="190"/>
    </row>
    <row r="221" spans="1:11" s="19" customFormat="1">
      <c r="A221" s="36" t="s">
        <v>255</v>
      </c>
      <c r="B221" s="188" t="s">
        <v>259</v>
      </c>
      <c r="C221" s="189"/>
      <c r="D221" s="189"/>
      <c r="E221" s="189"/>
      <c r="F221" s="189"/>
      <c r="G221" s="189"/>
      <c r="H221" s="190"/>
    </row>
    <row r="222" spans="1:11" s="19" customFormat="1" ht="34.5" customHeight="1">
      <c r="A222" s="36" t="s">
        <v>255</v>
      </c>
      <c r="B222" s="188" t="s">
        <v>260</v>
      </c>
      <c r="C222" s="189"/>
      <c r="D222" s="189"/>
      <c r="E222" s="189"/>
      <c r="F222" s="189"/>
      <c r="G222" s="189"/>
      <c r="H222" s="190"/>
    </row>
    <row r="223" spans="1:11" s="19" customFormat="1">
      <c r="A223" s="36" t="s">
        <v>255</v>
      </c>
      <c r="B223" s="188" t="s">
        <v>261</v>
      </c>
      <c r="C223" s="189"/>
      <c r="D223" s="189"/>
      <c r="E223" s="189"/>
      <c r="F223" s="189"/>
      <c r="G223" s="189"/>
      <c r="H223" s="190"/>
    </row>
    <row r="224" spans="1:11" s="19" customFormat="1" ht="32.25" customHeight="1">
      <c r="A224" s="36" t="s">
        <v>255</v>
      </c>
      <c r="B224" s="193" t="s">
        <v>262</v>
      </c>
      <c r="C224" s="194"/>
      <c r="D224" s="194"/>
      <c r="E224" s="194"/>
      <c r="F224" s="194"/>
      <c r="G224" s="194"/>
      <c r="H224" s="195"/>
    </row>
    <row r="225" spans="1:8">
      <c r="A225" s="98" t="s">
        <v>263</v>
      </c>
      <c r="B225" s="98"/>
      <c r="C225" s="98"/>
      <c r="D225" s="98"/>
      <c r="E225" s="98"/>
      <c r="F225" s="98"/>
      <c r="G225" s="98"/>
      <c r="H225" s="98"/>
    </row>
    <row r="226" spans="1:8">
      <c r="A226" s="65" t="s">
        <v>264</v>
      </c>
      <c r="B226" s="65"/>
      <c r="C226" s="65"/>
      <c r="D226" s="65"/>
      <c r="E226" s="65"/>
      <c r="F226" s="65"/>
      <c r="G226" s="65"/>
      <c r="H226" s="65"/>
    </row>
    <row r="227" spans="1:8" ht="15.75" customHeight="1">
      <c r="A227" s="196" t="s">
        <v>265</v>
      </c>
      <c r="B227" s="196"/>
      <c r="C227" s="196"/>
      <c r="D227" s="196"/>
      <c r="E227" s="196"/>
      <c r="F227" s="196"/>
      <c r="G227" s="196"/>
      <c r="H227" s="196"/>
    </row>
    <row r="228" spans="1:8">
      <c r="A228" s="65" t="s">
        <v>266</v>
      </c>
      <c r="B228" s="65"/>
      <c r="C228" s="65"/>
      <c r="D228" s="65"/>
      <c r="E228" s="65"/>
      <c r="F228" s="65"/>
      <c r="G228" s="65"/>
      <c r="H228" s="65"/>
    </row>
    <row r="229" spans="1:8">
      <c r="A229" s="65" t="s">
        <v>267</v>
      </c>
      <c r="B229" s="65"/>
      <c r="C229" s="65"/>
      <c r="D229" s="65"/>
      <c r="E229" s="65"/>
      <c r="F229" s="65"/>
      <c r="G229" s="65"/>
      <c r="H229" s="65"/>
    </row>
    <row r="230" spans="1:8">
      <c r="A230" s="65" t="s">
        <v>268</v>
      </c>
      <c r="B230" s="65"/>
      <c r="C230" s="65"/>
      <c r="D230" s="65"/>
      <c r="E230" s="65"/>
      <c r="F230" s="65"/>
      <c r="G230" s="65"/>
      <c r="H230" s="65"/>
    </row>
    <row r="231" spans="1:8">
      <c r="A231" s="68" t="s">
        <v>269</v>
      </c>
      <c r="B231" s="68"/>
      <c r="C231" s="68"/>
      <c r="D231" s="68"/>
      <c r="E231" s="68"/>
      <c r="F231" s="68"/>
      <c r="G231" s="68"/>
      <c r="H231" s="68"/>
    </row>
    <row r="232" spans="1:8">
      <c r="A232" s="197" t="s">
        <v>270</v>
      </c>
      <c r="B232" s="197"/>
      <c r="C232" s="197" t="s">
        <v>297</v>
      </c>
      <c r="D232" s="197"/>
      <c r="E232" s="197" t="s">
        <v>271</v>
      </c>
      <c r="F232" s="197"/>
      <c r="G232" s="197" t="s">
        <v>296</v>
      </c>
      <c r="H232" s="197"/>
    </row>
    <row r="233" spans="1:8">
      <c r="A233" s="192" t="s">
        <v>272</v>
      </c>
      <c r="B233" s="192"/>
      <c r="C233" s="192"/>
      <c r="D233" s="192"/>
      <c r="E233" s="192"/>
      <c r="F233" s="192"/>
      <c r="G233" s="192"/>
      <c r="H233" s="192"/>
    </row>
    <row r="234" spans="1:8">
      <c r="A234" s="192"/>
      <c r="B234" s="192"/>
      <c r="C234" s="192"/>
      <c r="D234" s="192"/>
      <c r="E234" s="192"/>
      <c r="F234" s="192"/>
      <c r="G234" s="192"/>
      <c r="H234" s="192"/>
    </row>
    <row r="235" spans="1:8">
      <c r="A235" s="192"/>
      <c r="B235" s="192"/>
      <c r="C235" s="192"/>
      <c r="D235" s="192"/>
      <c r="E235" s="192"/>
      <c r="F235" s="192"/>
      <c r="G235" s="192"/>
      <c r="H235" s="192"/>
    </row>
    <row r="236" spans="1:8">
      <c r="A236" s="192"/>
      <c r="B236" s="192"/>
      <c r="C236" s="192"/>
      <c r="D236" s="192"/>
      <c r="E236" s="192"/>
      <c r="F236" s="192"/>
      <c r="G236" s="192"/>
      <c r="H236" s="192"/>
    </row>
    <row r="237" spans="1:8">
      <c r="A237" s="55" t="s">
        <v>273</v>
      </c>
      <c r="B237" s="56"/>
      <c r="C237" s="56"/>
      <c r="D237" s="55" t="str">
        <f>E8</f>
        <v>Sai World Empire Phase IV</v>
      </c>
      <c r="F237" s="56"/>
      <c r="G237" s="56"/>
      <c r="H237" s="56"/>
    </row>
    <row r="238" spans="1:8">
      <c r="A238" s="56"/>
      <c r="B238" s="56"/>
      <c r="C238" s="56"/>
      <c r="D238" s="56"/>
      <c r="E238" s="56"/>
      <c r="F238" s="56"/>
      <c r="G238" s="56"/>
      <c r="H238" s="56"/>
    </row>
    <row r="239" spans="1:8">
      <c r="A239" s="56"/>
      <c r="B239" s="56"/>
      <c r="C239" s="56"/>
      <c r="D239" s="56"/>
      <c r="E239" s="56"/>
      <c r="F239" s="56"/>
      <c r="G239" s="56"/>
      <c r="H239" s="56"/>
    </row>
    <row r="240" spans="1:8" ht="15" customHeight="1"/>
    <row r="280" spans="1:1">
      <c r="A280" s="57" t="s">
        <v>274</v>
      </c>
    </row>
    <row r="323" spans="1:9">
      <c r="A323" s="57" t="s">
        <v>275</v>
      </c>
    </row>
    <row r="325" spans="1:9">
      <c r="I325" s="15"/>
    </row>
  </sheetData>
  <mergeCells count="467">
    <mergeCell ref="A22:D23"/>
    <mergeCell ref="E22:H23"/>
    <mergeCell ref="A233:H236"/>
    <mergeCell ref="G146:H152"/>
    <mergeCell ref="G122:H128"/>
    <mergeCell ref="G130:H136"/>
    <mergeCell ref="G138:H144"/>
    <mergeCell ref="G162:H168"/>
    <mergeCell ref="G170:H176"/>
    <mergeCell ref="G178:H184"/>
    <mergeCell ref="B224:H224"/>
    <mergeCell ref="A225:H225"/>
    <mergeCell ref="A226:H226"/>
    <mergeCell ref="A227:H227"/>
    <mergeCell ref="A228:H228"/>
    <mergeCell ref="A229:H229"/>
    <mergeCell ref="A230:H230"/>
    <mergeCell ref="A231:H231"/>
    <mergeCell ref="A232:B232"/>
    <mergeCell ref="C232:D232"/>
    <mergeCell ref="E232:F232"/>
    <mergeCell ref="G232:H232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A210:B210"/>
    <mergeCell ref="G210:H210"/>
    <mergeCell ref="A211:B211"/>
    <mergeCell ref="G211:H211"/>
    <mergeCell ref="A212:B212"/>
    <mergeCell ref="G212:H212"/>
    <mergeCell ref="A213:B213"/>
    <mergeCell ref="G213:H213"/>
    <mergeCell ref="A214:H214"/>
    <mergeCell ref="A205:B205"/>
    <mergeCell ref="G205:H205"/>
    <mergeCell ref="A206:B206"/>
    <mergeCell ref="G206:H206"/>
    <mergeCell ref="A207:B207"/>
    <mergeCell ref="G207:H207"/>
    <mergeCell ref="A208:H208"/>
    <mergeCell ref="A209:B209"/>
    <mergeCell ref="G209:H209"/>
    <mergeCell ref="A200:B200"/>
    <mergeCell ref="G200:H200"/>
    <mergeCell ref="A201:B201"/>
    <mergeCell ref="G201:H201"/>
    <mergeCell ref="A202:H202"/>
    <mergeCell ref="A203:B203"/>
    <mergeCell ref="G203:H203"/>
    <mergeCell ref="A204:B204"/>
    <mergeCell ref="G204:H204"/>
    <mergeCell ref="A195:B195"/>
    <mergeCell ref="G195:H195"/>
    <mergeCell ref="A196:H196"/>
    <mergeCell ref="A197:B197"/>
    <mergeCell ref="G197:H197"/>
    <mergeCell ref="A198:B198"/>
    <mergeCell ref="G198:H198"/>
    <mergeCell ref="A199:B199"/>
    <mergeCell ref="G199:H199"/>
    <mergeCell ref="A190:H190"/>
    <mergeCell ref="L190:M190"/>
    <mergeCell ref="A191:B191"/>
    <mergeCell ref="G191:H191"/>
    <mergeCell ref="A192:B192"/>
    <mergeCell ref="G192:H192"/>
    <mergeCell ref="A193:B193"/>
    <mergeCell ref="G193:H193"/>
    <mergeCell ref="A194:B194"/>
    <mergeCell ref="G194:H194"/>
    <mergeCell ref="A187:B187"/>
    <mergeCell ref="G187:H187"/>
    <mergeCell ref="L187:M187"/>
    <mergeCell ref="A188:B188"/>
    <mergeCell ref="G188:H188"/>
    <mergeCell ref="L188:M188"/>
    <mergeCell ref="A189:B189"/>
    <mergeCell ref="G189:H189"/>
    <mergeCell ref="L189:M189"/>
    <mergeCell ref="A182:B182"/>
    <mergeCell ref="L182:M182"/>
    <mergeCell ref="A183:B183"/>
    <mergeCell ref="C183:F183"/>
    <mergeCell ref="L183:M183"/>
    <mergeCell ref="A184:B184"/>
    <mergeCell ref="L184:M184"/>
    <mergeCell ref="A185:H185"/>
    <mergeCell ref="A186:B186"/>
    <mergeCell ref="G186:H186"/>
    <mergeCell ref="L186:M186"/>
    <mergeCell ref="A177:H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67:B167"/>
    <mergeCell ref="C167:F167"/>
    <mergeCell ref="L167:M167"/>
    <mergeCell ref="A168:B168"/>
    <mergeCell ref="L168:M168"/>
    <mergeCell ref="A169:H169"/>
    <mergeCell ref="A170:B170"/>
    <mergeCell ref="L170:M170"/>
    <mergeCell ref="A171:B171"/>
    <mergeCell ref="L171:M17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H161"/>
    <mergeCell ref="G154:H160"/>
    <mergeCell ref="A152:B152"/>
    <mergeCell ref="L152:M152"/>
    <mergeCell ref="A153:H153"/>
    <mergeCell ref="A154:B154"/>
    <mergeCell ref="L154:M154"/>
    <mergeCell ref="A155:B155"/>
    <mergeCell ref="L155:M155"/>
    <mergeCell ref="A156:B156"/>
    <mergeCell ref="L156:M15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C151:F151"/>
    <mergeCell ref="L151:M151"/>
    <mergeCell ref="A142:B142"/>
    <mergeCell ref="L142:M142"/>
    <mergeCell ref="A143:B143"/>
    <mergeCell ref="C143:F143"/>
    <mergeCell ref="L143:M143"/>
    <mergeCell ref="A144:B144"/>
    <mergeCell ref="L144:M144"/>
    <mergeCell ref="A145:H145"/>
    <mergeCell ref="A146:B146"/>
    <mergeCell ref="L146:M146"/>
    <mergeCell ref="A137:H137"/>
    <mergeCell ref="A138:B138"/>
    <mergeCell ref="L138:M138"/>
    <mergeCell ref="A139:B139"/>
    <mergeCell ref="L139:M139"/>
    <mergeCell ref="A140:B140"/>
    <mergeCell ref="L140:M140"/>
    <mergeCell ref="A141:B141"/>
    <mergeCell ref="L141:M14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27:B127"/>
    <mergeCell ref="L127:M127"/>
    <mergeCell ref="A128:B128"/>
    <mergeCell ref="L128:M128"/>
    <mergeCell ref="A129:H129"/>
    <mergeCell ref="A130:B130"/>
    <mergeCell ref="L130:M130"/>
    <mergeCell ref="A131:B131"/>
    <mergeCell ref="L131:M131"/>
    <mergeCell ref="L122:M122"/>
    <mergeCell ref="A123:B123"/>
    <mergeCell ref="L123:M123"/>
    <mergeCell ref="A124:B124"/>
    <mergeCell ref="L124:M124"/>
    <mergeCell ref="A125:B125"/>
    <mergeCell ref="L125:M125"/>
    <mergeCell ref="A126:B126"/>
    <mergeCell ref="L126:M126"/>
    <mergeCell ref="A114:H114"/>
    <mergeCell ref="G115:H115"/>
    <mergeCell ref="A116:H116"/>
    <mergeCell ref="A117:H117"/>
    <mergeCell ref="A118:H118"/>
    <mergeCell ref="A119:H119"/>
    <mergeCell ref="A120:H120"/>
    <mergeCell ref="A121:H121"/>
    <mergeCell ref="A122:B122"/>
    <mergeCell ref="L110:M110"/>
    <mergeCell ref="A111:B111"/>
    <mergeCell ref="G111:H111"/>
    <mergeCell ref="L111:M111"/>
    <mergeCell ref="A112:B112"/>
    <mergeCell ref="G112:H112"/>
    <mergeCell ref="L112:M112"/>
    <mergeCell ref="A113:B113"/>
    <mergeCell ref="G113:H113"/>
    <mergeCell ref="L113:M113"/>
    <mergeCell ref="A106:H106"/>
    <mergeCell ref="A109:H109"/>
    <mergeCell ref="A110:B110"/>
    <mergeCell ref="G110:H110"/>
    <mergeCell ref="A107:A108"/>
    <mergeCell ref="B107:B108"/>
    <mergeCell ref="C107:C108"/>
    <mergeCell ref="D107:D108"/>
    <mergeCell ref="E107:E108"/>
    <mergeCell ref="G107:H108"/>
    <mergeCell ref="A103:B103"/>
    <mergeCell ref="C103:D103"/>
    <mergeCell ref="E103:F103"/>
    <mergeCell ref="G103:H103"/>
    <mergeCell ref="A104:B104"/>
    <mergeCell ref="C104:D104"/>
    <mergeCell ref="E104:F104"/>
    <mergeCell ref="G104:H104"/>
    <mergeCell ref="A105:H105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97:B97"/>
    <mergeCell ref="C97:D97"/>
    <mergeCell ref="E97:F97"/>
    <mergeCell ref="G97:H97"/>
    <mergeCell ref="A98:B98"/>
    <mergeCell ref="C98:D98"/>
    <mergeCell ref="E98:F98"/>
    <mergeCell ref="G98:H98"/>
    <mergeCell ref="A99:H99"/>
    <mergeCell ref="A94:H94"/>
    <mergeCell ref="A95:B95"/>
    <mergeCell ref="C95:D95"/>
    <mergeCell ref="E95:F95"/>
    <mergeCell ref="G95:H95"/>
    <mergeCell ref="A96:B96"/>
    <mergeCell ref="C96:D96"/>
    <mergeCell ref="E96:F96"/>
    <mergeCell ref="G96:H96"/>
    <mergeCell ref="A89:E89"/>
    <mergeCell ref="F89:H89"/>
    <mergeCell ref="A90:E90"/>
    <mergeCell ref="F90:H90"/>
    <mergeCell ref="A91:E91"/>
    <mergeCell ref="F91:H91"/>
    <mergeCell ref="A92:E92"/>
    <mergeCell ref="F92:H92"/>
    <mergeCell ref="A93:E93"/>
    <mergeCell ref="F93:H9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0:E80"/>
    <mergeCell ref="E70:F79"/>
    <mergeCell ref="F80:H80"/>
    <mergeCell ref="A81:E81"/>
    <mergeCell ref="F81:H81"/>
    <mergeCell ref="A82:E82"/>
    <mergeCell ref="F82:H82"/>
    <mergeCell ref="A83:E83"/>
    <mergeCell ref="F83:H83"/>
    <mergeCell ref="A66:B66"/>
    <mergeCell ref="C66:H66"/>
    <mergeCell ref="A68:B68"/>
    <mergeCell ref="C68:H68"/>
    <mergeCell ref="A69:B69"/>
    <mergeCell ref="E69:F69"/>
    <mergeCell ref="G69:H69"/>
    <mergeCell ref="A70:B70"/>
    <mergeCell ref="A71:B71"/>
    <mergeCell ref="G70:H79"/>
    <mergeCell ref="A72:B72"/>
    <mergeCell ref="A73:B73"/>
    <mergeCell ref="A74:B74"/>
    <mergeCell ref="A75:B75"/>
    <mergeCell ref="A76:B76"/>
    <mergeCell ref="A77:B77"/>
    <mergeCell ref="A78:B78"/>
    <mergeCell ref="A79:B79"/>
    <mergeCell ref="A61:C61"/>
    <mergeCell ref="D61:H61"/>
    <mergeCell ref="A62:C62"/>
    <mergeCell ref="D62:H62"/>
    <mergeCell ref="A63:C63"/>
    <mergeCell ref="D63:H63"/>
    <mergeCell ref="A64:C64"/>
    <mergeCell ref="D64:H64"/>
    <mergeCell ref="A65:C65"/>
    <mergeCell ref="D65:H6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C51:E51"/>
    <mergeCell ref="G51:H51"/>
    <mergeCell ref="C52:H52"/>
    <mergeCell ref="A53:B53"/>
    <mergeCell ref="C53:E53"/>
    <mergeCell ref="G53:H53"/>
    <mergeCell ref="A54:H54"/>
    <mergeCell ref="A55:C55"/>
    <mergeCell ref="D55:H55"/>
    <mergeCell ref="A51:B52"/>
    <mergeCell ref="A46:D46"/>
    <mergeCell ref="E46:H46"/>
    <mergeCell ref="A47:H47"/>
    <mergeCell ref="A48:B48"/>
    <mergeCell ref="C48:H48"/>
    <mergeCell ref="A49:B49"/>
    <mergeCell ref="C49:E49"/>
    <mergeCell ref="G49:H49"/>
    <mergeCell ref="A50:B50"/>
    <mergeCell ref="C50:E50"/>
    <mergeCell ref="G50:H5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36:B36"/>
    <mergeCell ref="C36:E36"/>
    <mergeCell ref="F36:H36"/>
    <mergeCell ref="A37:H37"/>
    <mergeCell ref="A38:B38"/>
    <mergeCell ref="C38:H38"/>
    <mergeCell ref="A39:B39"/>
    <mergeCell ref="C39:H39"/>
    <mergeCell ref="A40:H40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29:D29"/>
    <mergeCell ref="E29:H29"/>
    <mergeCell ref="A30:D30"/>
    <mergeCell ref="E30:H30"/>
    <mergeCell ref="A31:D31"/>
    <mergeCell ref="E31:H31"/>
    <mergeCell ref="A32:B32"/>
    <mergeCell ref="C32:E32"/>
    <mergeCell ref="F32:H32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5:B15"/>
    <mergeCell ref="C15:H15"/>
    <mergeCell ref="A16:B16"/>
    <mergeCell ref="C16:H16"/>
    <mergeCell ref="A17:B17"/>
    <mergeCell ref="C17:H17"/>
    <mergeCell ref="A18:B18"/>
    <mergeCell ref="C18:D18"/>
    <mergeCell ref="E18:F18"/>
    <mergeCell ref="G18:H18"/>
    <mergeCell ref="A11:D11"/>
    <mergeCell ref="E11:H11"/>
    <mergeCell ref="A12:D12"/>
    <mergeCell ref="E12:H12"/>
    <mergeCell ref="A13:D13"/>
    <mergeCell ref="E13:H13"/>
    <mergeCell ref="A14:D14"/>
    <mergeCell ref="E14:H14"/>
    <mergeCell ref="I14:P14"/>
    <mergeCell ref="I12:L12"/>
    <mergeCell ref="A7:D7"/>
    <mergeCell ref="E7:H7"/>
    <mergeCell ref="A8:D8"/>
    <mergeCell ref="E8:H8"/>
    <mergeCell ref="A9:D9"/>
    <mergeCell ref="E9:H9"/>
    <mergeCell ref="A10:D10"/>
    <mergeCell ref="E10:H10"/>
    <mergeCell ref="I10:L10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dataValidations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7 F115">
      <formula1>"Saleable area Loading :,Builder Saleable area"</formula1>
    </dataValidation>
    <dataValidation type="list" allowBlank="1" showInputMessage="1" showErrorMessage="1" sqref="F108">
      <formula1>"45%,50%,55%,60%"</formula1>
    </dataValidation>
    <dataValidation type="list" allowBlank="1" showInputMessage="1" showErrorMessage="1" sqref="B115">
      <formula1>"Flat No. (Sale Plan),Sale / Rehab,Sale / Mhada"</formula1>
    </dataValidation>
    <dataValidation type="list" allowBlank="1" showInputMessage="1" showErrorMessage="1" sqref="B107:B108">
      <formula1>"Shop No. (Sale Plan),Sale / Rehab,Sale / Mhada"</formula1>
    </dataValidation>
    <dataValidation type="list" allowBlank="1" showInputMessage="1" showErrorMessage="1" sqref="E107:E108">
      <formula1>"Attached Loft area,Attached Terrace area,Attached Mezzanine area"</formula1>
    </dataValidation>
  </dataValidation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36" max="16383" man="1"/>
    <brk id="279" max="16383" man="1"/>
    <brk id="32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45" zoomScale="85" zoomScaleNormal="85" workbookViewId="0">
      <selection activeCell="E156" sqref="E156"/>
    </sheetView>
  </sheetViews>
  <sheetFormatPr defaultColWidth="8.7109375" defaultRowHeight="15"/>
  <cols>
    <col min="1" max="1" width="8.7109375" style="3"/>
    <col min="2" max="2" width="22.140625" style="3" customWidth="1"/>
    <col min="3" max="3" width="37" style="3" customWidth="1"/>
    <col min="4" max="5" width="11.42578125" style="3" customWidth="1"/>
    <col min="6" max="6" width="14" style="3" customWidth="1"/>
    <col min="7" max="7" width="20" style="3" customWidth="1"/>
    <col min="8" max="8" width="16.42578125" style="3" customWidth="1"/>
    <col min="9" max="16384" width="8.7109375" style="3"/>
  </cols>
  <sheetData>
    <row r="1" spans="1:9" ht="15" customHeight="1"/>
    <row r="2" spans="1:9" ht="15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"/>
      <c r="B3" s="198" t="s">
        <v>276</v>
      </c>
      <c r="C3" s="198"/>
      <c r="D3" s="198"/>
      <c r="E3" s="198"/>
      <c r="F3" s="198"/>
      <c r="G3" s="198"/>
      <c r="H3" s="198"/>
    </row>
    <row r="4" spans="1:9">
      <c r="A4" s="4"/>
      <c r="B4" s="5" t="s">
        <v>277</v>
      </c>
      <c r="C4" s="5" t="s">
        <v>278</v>
      </c>
      <c r="D4" s="5" t="s">
        <v>279</v>
      </c>
      <c r="E4" s="5" t="s">
        <v>280</v>
      </c>
      <c r="F4" s="5" t="s">
        <v>281</v>
      </c>
      <c r="G4" s="5" t="s">
        <v>282</v>
      </c>
      <c r="H4" s="5" t="s">
        <v>283</v>
      </c>
    </row>
    <row r="5" spans="1:9" ht="15" customHeight="1">
      <c r="A5" s="4"/>
      <c r="B5" s="6" t="s">
        <v>284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>
      <c r="A6" s="4"/>
      <c r="B6" s="6" t="s">
        <v>284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>
      <c r="A7" s="4"/>
      <c r="B7" s="6" t="s">
        <v>284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>
      <c r="A8" s="4"/>
      <c r="B8" s="6" t="s">
        <v>284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>
      <c r="A9" s="4"/>
      <c r="B9" s="6" t="s">
        <v>284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>
      <c r="A10" s="4"/>
      <c r="B10" s="6" t="s">
        <v>285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>
      <c r="A11" s="4"/>
      <c r="B11" s="6" t="s">
        <v>285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>
      <c r="A12" s="4"/>
      <c r="B12" s="11" t="s">
        <v>286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>
      <c r="B13" s="11" t="s">
        <v>287</v>
      </c>
      <c r="C13" s="6"/>
      <c r="D13" s="6"/>
      <c r="E13" s="6"/>
      <c r="F13" s="13"/>
      <c r="G13" s="11"/>
      <c r="H13" s="11"/>
      <c r="I13" s="14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28" zoomScale="130" zoomScaleNormal="130" workbookViewId="0">
      <selection activeCell="C32" sqref="C32"/>
    </sheetView>
  </sheetViews>
  <sheetFormatPr defaultColWidth="9" defaultRowHeight="15"/>
  <cols>
    <col min="4" max="4" width="11" customWidth="1"/>
    <col min="5" max="5" width="10.42578125" customWidth="1"/>
    <col min="8" max="8" width="10.5703125" customWidth="1"/>
  </cols>
  <sheetData>
    <row r="3" spans="2:11">
      <c r="J3">
        <v>1</v>
      </c>
      <c r="K3">
        <v>2</v>
      </c>
    </row>
    <row r="4" spans="2:11">
      <c r="B4" s="1"/>
      <c r="C4" s="1" t="s">
        <v>64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J4" t="s">
        <v>22</v>
      </c>
      <c r="K4" t="s">
        <v>35</v>
      </c>
    </row>
    <row r="5" spans="2:11">
      <c r="B5" s="1"/>
      <c r="C5" s="1"/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</row>
    <row r="6" spans="2:11">
      <c r="B6" s="1"/>
      <c r="C6" s="1"/>
      <c r="D6" s="2" t="s">
        <v>33</v>
      </c>
      <c r="E6" s="2" t="s">
        <v>34</v>
      </c>
      <c r="F6" s="2" t="s">
        <v>35</v>
      </c>
      <c r="G6" s="2" t="s">
        <v>36</v>
      </c>
      <c r="H6" s="2" t="s">
        <v>37</v>
      </c>
    </row>
    <row r="7" spans="2:11">
      <c r="B7" s="1"/>
      <c r="C7" s="1"/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</row>
    <row r="8" spans="2:11">
      <c r="B8" s="1"/>
      <c r="C8" s="1"/>
      <c r="D8" s="2" t="s">
        <v>46</v>
      </c>
      <c r="E8" s="2" t="s">
        <v>47</v>
      </c>
      <c r="F8" s="2"/>
      <c r="G8" s="2" t="s">
        <v>48</v>
      </c>
      <c r="H8" s="2" t="s">
        <v>49</v>
      </c>
    </row>
    <row r="9" spans="2:11">
      <c r="B9" s="1"/>
      <c r="C9" s="1"/>
      <c r="D9" s="2" t="s">
        <v>52</v>
      </c>
      <c r="E9" s="2" t="s">
        <v>20</v>
      </c>
      <c r="F9" s="2"/>
      <c r="G9" s="2" t="s">
        <v>53</v>
      </c>
      <c r="H9" s="2" t="s">
        <v>54</v>
      </c>
    </row>
    <row r="10" spans="2:11">
      <c r="B10" s="1"/>
      <c r="C10" s="1"/>
      <c r="D10" s="2" t="s">
        <v>58</v>
      </c>
      <c r="E10" s="2" t="s">
        <v>59</v>
      </c>
      <c r="F10" s="2"/>
      <c r="G10" s="2" t="s">
        <v>60</v>
      </c>
      <c r="H10" s="2" t="s">
        <v>61</v>
      </c>
    </row>
    <row r="11" spans="2:11">
      <c r="B11" s="1"/>
      <c r="C11" s="1"/>
      <c r="D11" s="2" t="s">
        <v>65</v>
      </c>
      <c r="E11" s="2" t="s">
        <v>66</v>
      </c>
      <c r="F11" s="2"/>
      <c r="G11" s="2" t="s">
        <v>67</v>
      </c>
      <c r="H11" s="2" t="s">
        <v>68</v>
      </c>
    </row>
    <row r="12" spans="2:11">
      <c r="B12" s="1"/>
      <c r="C12" s="1"/>
      <c r="D12" s="2"/>
      <c r="E12" s="2"/>
      <c r="F12" s="2"/>
      <c r="G12" s="2" t="s">
        <v>71</v>
      </c>
      <c r="H12" s="2" t="s">
        <v>72</v>
      </c>
    </row>
    <row r="13" spans="2:11">
      <c r="B13" s="1"/>
      <c r="C13" s="1"/>
      <c r="D13" s="2"/>
      <c r="E13" s="2"/>
      <c r="F13" s="2"/>
      <c r="G13" s="2" t="s">
        <v>77</v>
      </c>
      <c r="H13" s="2" t="s">
        <v>78</v>
      </c>
    </row>
    <row r="14" spans="2:11">
      <c r="B14" s="1"/>
      <c r="C14" s="1"/>
      <c r="D14" s="2"/>
      <c r="E14" s="2"/>
      <c r="F14" s="2"/>
      <c r="G14" s="2" t="s">
        <v>81</v>
      </c>
      <c r="H14" s="2" t="s">
        <v>82</v>
      </c>
    </row>
    <row r="15" spans="2:11">
      <c r="B15" s="1"/>
      <c r="C15" s="1"/>
      <c r="D15" s="2"/>
      <c r="E15" s="2"/>
      <c r="F15" s="2"/>
      <c r="G15" s="2" t="s">
        <v>83</v>
      </c>
      <c r="H15" s="2" t="s">
        <v>84</v>
      </c>
    </row>
    <row r="16" spans="2:11">
      <c r="B16" s="1"/>
      <c r="C16" s="1"/>
      <c r="D16" s="2"/>
      <c r="E16" s="2"/>
      <c r="F16" s="2"/>
      <c r="G16" s="2" t="s">
        <v>87</v>
      </c>
      <c r="H16" s="2" t="s">
        <v>88</v>
      </c>
    </row>
    <row r="17" spans="2:8">
      <c r="B17" s="1"/>
      <c r="C17" s="1"/>
      <c r="D17" s="2"/>
      <c r="E17" s="2"/>
      <c r="F17" s="2"/>
      <c r="G17" s="2" t="s">
        <v>90</v>
      </c>
      <c r="H17" s="2" t="s">
        <v>91</v>
      </c>
    </row>
    <row r="18" spans="2:8">
      <c r="B18" s="1"/>
      <c r="C18" s="1"/>
      <c r="D18" s="2"/>
      <c r="E18" s="2"/>
      <c r="F18" s="2"/>
      <c r="G18" s="2" t="s">
        <v>94</v>
      </c>
      <c r="H18" s="2" t="s">
        <v>95</v>
      </c>
    </row>
    <row r="24" spans="2:8">
      <c r="C24" t="s">
        <v>288</v>
      </c>
    </row>
    <row r="25" spans="2:8">
      <c r="C25" t="s">
        <v>289</v>
      </c>
    </row>
    <row r="26" spans="2:8">
      <c r="C26" t="s">
        <v>290</v>
      </c>
    </row>
    <row r="27" spans="2:8">
      <c r="C27" t="s">
        <v>291</v>
      </c>
    </row>
    <row r="28" spans="2:8">
      <c r="C28" t="s">
        <v>292</v>
      </c>
    </row>
    <row r="29" spans="2:8">
      <c r="C29" t="s">
        <v>293</v>
      </c>
    </row>
    <row r="30" spans="2:8">
      <c r="C30" t="s">
        <v>288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2025-09-19T09:58:35Z</cp:lastPrinted>
  <dcterms:created xsi:type="dcterms:W3CDTF">2019-07-16T09:29:00Z</dcterms:created>
  <dcterms:modified xsi:type="dcterms:W3CDTF">2025-09-19T10:01:51Z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BEEF89C5923C463BB83B828520406A78_12</vt:lpwstr>
  </property>
  <property fmtid="{D5CDD505-2E9C-101B-9397-08002B2CF9AE}" pid="3" name="KSOProductBuildVer">
    <vt:lpwstr>1033-12.2.0.17562</vt:lpwstr>
  </property>
</Properties>
</file>