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APF\25-26\Sep 2025\AXIS\Dump Revised\"/>
    </mc:Choice>
  </mc:AlternateContent>
  <bookViews>
    <workbookView xWindow="0" yWindow="0" windowWidth="20490" windowHeight="7320"/>
  </bookViews>
  <sheets>
    <sheet name="Report (2)" sheetId="1" r:id="rId1"/>
    <sheet name="VALUATION" sheetId="5" r:id="rId2"/>
    <sheet name="NOTE" sheetId="6" r:id="rId3"/>
    <sheet name="A &amp; B%" sheetId="2" r:id="rId4"/>
    <sheet name="B2" sheetId="7" r:id="rId5"/>
    <sheet name="C% (2)" sheetId="4" r:id="rId6"/>
    <sheet name="Flat detail" sheetId="3" r:id="rId7"/>
  </sheets>
  <definedNames>
    <definedName name="_xlnm.Print_Area" localSheetId="0">'Report (2)'!$A$1:$J$288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83" i="1" l="1"/>
  <c r="L82" i="1"/>
  <c r="L81" i="1"/>
  <c r="L80" i="1"/>
  <c r="I73" i="1"/>
  <c r="L78" i="1" l="1"/>
  <c r="L79" i="1" s="1"/>
  <c r="L84" i="1" s="1"/>
  <c r="L85" i="1" s="1"/>
  <c r="C77" i="1" s="1"/>
  <c r="D84" i="1"/>
  <c r="D82" i="1"/>
  <c r="D80" i="1"/>
  <c r="D78" i="1"/>
  <c r="L76" i="1"/>
  <c r="L77" i="1"/>
  <c r="C76" i="1" s="1"/>
  <c r="L75" i="1"/>
  <c r="D85" i="1"/>
  <c r="D83" i="1"/>
  <c r="D81" i="1"/>
  <c r="D79" i="1"/>
  <c r="F3" i="1"/>
  <c r="K137" i="1"/>
  <c r="D138" i="1"/>
  <c r="F76" i="1" l="1"/>
  <c r="D77" i="1"/>
  <c r="H76" i="1"/>
  <c r="D76" i="1"/>
  <c r="G112" i="1"/>
  <c r="G113" i="1"/>
  <c r="G114" i="1"/>
  <c r="I191" i="1"/>
  <c r="Q182" i="1"/>
  <c r="A182" i="1" s="1"/>
  <c r="Q183" i="1"/>
  <c r="A183" i="1" s="1"/>
  <c r="Q184" i="1"/>
  <c r="A184" i="1" s="1"/>
  <c r="Q185" i="1"/>
  <c r="A185" i="1" s="1"/>
  <c r="Q186" i="1"/>
  <c r="A186" i="1" s="1"/>
  <c r="Q187" i="1"/>
  <c r="A187" i="1" s="1"/>
  <c r="Q188" i="1"/>
  <c r="A188" i="1" s="1"/>
  <c r="Q189" i="1"/>
  <c r="A189" i="1" s="1"/>
  <c r="Q181" i="1"/>
  <c r="A181" i="1" s="1"/>
  <c r="Q180" i="1"/>
  <c r="A180" i="1" s="1"/>
  <c r="Q171" i="1"/>
  <c r="A171" i="1" s="1"/>
  <c r="Q172" i="1"/>
  <c r="A172" i="1" s="1"/>
  <c r="Q173" i="1"/>
  <c r="A173" i="1" s="1"/>
  <c r="Q174" i="1"/>
  <c r="A174" i="1" s="1"/>
  <c r="Q175" i="1"/>
  <c r="A175" i="1" s="1"/>
  <c r="Q176" i="1"/>
  <c r="A176" i="1" s="1"/>
  <c r="Q177" i="1"/>
  <c r="A177" i="1" s="1"/>
  <c r="Q178" i="1"/>
  <c r="A178" i="1" s="1"/>
  <c r="Q170" i="1"/>
  <c r="A170" i="1" s="1"/>
  <c r="Q169" i="1"/>
  <c r="A169" i="1" s="1"/>
  <c r="Q149" i="1"/>
  <c r="A149" i="1" s="1"/>
  <c r="Q150" i="1"/>
  <c r="A150" i="1" s="1"/>
  <c r="Q151" i="1"/>
  <c r="A151" i="1" s="1"/>
  <c r="Q152" i="1"/>
  <c r="A152" i="1" s="1"/>
  <c r="Q153" i="1"/>
  <c r="A153" i="1" s="1"/>
  <c r="Q154" i="1"/>
  <c r="A154" i="1" s="1"/>
  <c r="Q155" i="1"/>
  <c r="A155" i="1" s="1"/>
  <c r="Q148" i="1"/>
  <c r="A148" i="1" s="1"/>
  <c r="Q147" i="1"/>
  <c r="A147" i="1" s="1"/>
  <c r="Q138" i="1"/>
  <c r="A138" i="1" s="1"/>
  <c r="Q139" i="1"/>
  <c r="A139" i="1" s="1"/>
  <c r="Q140" i="1"/>
  <c r="A140" i="1" s="1"/>
  <c r="Q141" i="1"/>
  <c r="A141" i="1" s="1"/>
  <c r="Q142" i="1"/>
  <c r="A142" i="1" s="1"/>
  <c r="Q143" i="1"/>
  <c r="A143" i="1" s="1"/>
  <c r="Q144" i="1"/>
  <c r="A144" i="1" s="1"/>
  <c r="Q145" i="1"/>
  <c r="A145" i="1" s="1"/>
  <c r="Q137" i="1"/>
  <c r="A137" i="1" s="1"/>
  <c r="Q129" i="1"/>
  <c r="A129" i="1" s="1"/>
  <c r="Q128" i="1"/>
  <c r="A128" i="1" s="1"/>
  <c r="Q127" i="1"/>
  <c r="A127" i="1" s="1"/>
  <c r="F199" i="1"/>
  <c r="D199" i="1"/>
  <c r="K199" i="1" s="1"/>
  <c r="F198" i="1"/>
  <c r="D198" i="1"/>
  <c r="K198" i="1" s="1"/>
  <c r="D197" i="1"/>
  <c r="K197" i="1" s="1"/>
  <c r="F196" i="1"/>
  <c r="D196" i="1"/>
  <c r="K196" i="1" s="1"/>
  <c r="D195" i="1"/>
  <c r="K195" i="1" s="1"/>
  <c r="D194" i="1"/>
  <c r="K194" i="1" s="1"/>
  <c r="D193" i="1"/>
  <c r="K193" i="1" s="1"/>
  <c r="D192" i="1"/>
  <c r="K192" i="1" s="1"/>
  <c r="D191" i="1"/>
  <c r="K191" i="1" s="1"/>
  <c r="F189" i="1"/>
  <c r="D189" i="1"/>
  <c r="K189" i="1" s="1"/>
  <c r="F188" i="1"/>
  <c r="D188" i="1"/>
  <c r="K188" i="1" s="1"/>
  <c r="D187" i="1"/>
  <c r="K187" i="1" s="1"/>
  <c r="F186" i="1"/>
  <c r="D186" i="1"/>
  <c r="K186" i="1" s="1"/>
  <c r="D185" i="1"/>
  <c r="K185" i="1" s="1"/>
  <c r="D184" i="1"/>
  <c r="K184" i="1" s="1"/>
  <c r="D182" i="1"/>
  <c r="K182" i="1" s="1"/>
  <c r="D181" i="1"/>
  <c r="K181" i="1" s="1"/>
  <c r="D180" i="1"/>
  <c r="K180" i="1" s="1"/>
  <c r="D183" i="1"/>
  <c r="K183" i="1" s="1"/>
  <c r="D176" i="1"/>
  <c r="K176" i="1" s="1"/>
  <c r="F178" i="1"/>
  <c r="D178" i="1"/>
  <c r="K178" i="1" s="1"/>
  <c r="D177" i="1"/>
  <c r="K177" i="1" s="1"/>
  <c r="F177" i="1"/>
  <c r="F176" i="1"/>
  <c r="F175" i="1"/>
  <c r="D175" i="1"/>
  <c r="K175" i="1" s="1"/>
  <c r="F174" i="1"/>
  <c r="D174" i="1"/>
  <c r="K174" i="1" s="1"/>
  <c r="F173" i="1"/>
  <c r="D173" i="1"/>
  <c r="K173" i="1" s="1"/>
  <c r="F172" i="1"/>
  <c r="F171" i="1"/>
  <c r="D171" i="1"/>
  <c r="K171" i="1" s="1"/>
  <c r="D170" i="1"/>
  <c r="F169" i="1"/>
  <c r="D169" i="1"/>
  <c r="K169" i="1" s="1"/>
  <c r="D172" i="1"/>
  <c r="K172" i="1" s="1"/>
  <c r="F164" i="1"/>
  <c r="D164" i="1"/>
  <c r="K164" i="1" s="1"/>
  <c r="D163" i="1"/>
  <c r="K163" i="1" s="1"/>
  <c r="D162" i="1"/>
  <c r="K162" i="1" s="1"/>
  <c r="D161" i="1"/>
  <c r="K161" i="1" s="1"/>
  <c r="D160" i="1"/>
  <c r="K160" i="1" s="1"/>
  <c r="D159" i="1"/>
  <c r="K159" i="1" s="1"/>
  <c r="D158" i="1"/>
  <c r="K158" i="1" s="1"/>
  <c r="D157" i="1"/>
  <c r="K157" i="1" s="1"/>
  <c r="I157" i="1"/>
  <c r="D133" i="1"/>
  <c r="K133" i="1" s="1"/>
  <c r="D132" i="1"/>
  <c r="K132" i="1" s="1"/>
  <c r="D131" i="1"/>
  <c r="K131" i="1" s="1"/>
  <c r="I131" i="1"/>
  <c r="F155" i="1"/>
  <c r="D155" i="1"/>
  <c r="K155" i="1" s="1"/>
  <c r="D154" i="1"/>
  <c r="K154" i="1" s="1"/>
  <c r="D153" i="1"/>
  <c r="K153" i="1" s="1"/>
  <c r="D152" i="1"/>
  <c r="K152" i="1" s="1"/>
  <c r="D151" i="1"/>
  <c r="K151" i="1" s="1"/>
  <c r="D150" i="1"/>
  <c r="K150" i="1" s="1"/>
  <c r="D149" i="1"/>
  <c r="K149" i="1" s="1"/>
  <c r="D148" i="1"/>
  <c r="K148" i="1" s="1"/>
  <c r="D147" i="1"/>
  <c r="K147" i="1" s="1"/>
  <c r="D129" i="1"/>
  <c r="K129" i="1" s="1"/>
  <c r="D128" i="1"/>
  <c r="K128" i="1" s="1"/>
  <c r="D127" i="1"/>
  <c r="K127" i="1" s="1"/>
  <c r="K143" i="1"/>
  <c r="F145" i="1"/>
  <c r="D145" i="1"/>
  <c r="M145" i="1" s="1"/>
  <c r="F144" i="1"/>
  <c r="D144" i="1"/>
  <c r="M144" i="1" s="1"/>
  <c r="F143" i="1"/>
  <c r="D143" i="1"/>
  <c r="M143" i="1" s="1"/>
  <c r="D142" i="1"/>
  <c r="M142" i="1" s="1"/>
  <c r="F142" i="1"/>
  <c r="F141" i="1"/>
  <c r="D141" i="1"/>
  <c r="M141" i="1" s="1"/>
  <c r="F140" i="1"/>
  <c r="D140" i="1"/>
  <c r="M140" i="1" s="1"/>
  <c r="D139" i="1"/>
  <c r="M139" i="1" s="1"/>
  <c r="F138" i="1"/>
  <c r="M138" i="1"/>
  <c r="F137" i="1"/>
  <c r="D137" i="1"/>
  <c r="F125" i="1"/>
  <c r="D125" i="1"/>
  <c r="M125" i="1" s="1"/>
  <c r="F124" i="1"/>
  <c r="D124" i="1"/>
  <c r="M124" i="1" s="1"/>
  <c r="D123" i="1"/>
  <c r="K123" i="1"/>
  <c r="Q124" i="1"/>
  <c r="A124" i="1" s="1"/>
  <c r="Q125" i="1"/>
  <c r="A125" i="1" s="1"/>
  <c r="Q123" i="1"/>
  <c r="A123" i="1" s="1"/>
  <c r="K72" i="1" l="1"/>
  <c r="C74" i="1" s="1"/>
  <c r="D112" i="1"/>
  <c r="M123" i="1"/>
  <c r="C113" i="1"/>
  <c r="C114" i="1"/>
  <c r="G115" i="1"/>
  <c r="D114" i="1"/>
  <c r="C112" i="1"/>
  <c r="K170" i="1"/>
  <c r="M137" i="1"/>
  <c r="D113" i="1"/>
  <c r="L33" i="3"/>
  <c r="I33" i="3"/>
  <c r="E33" i="3"/>
  <c r="L32" i="3"/>
  <c r="I32" i="3"/>
  <c r="E32" i="3"/>
  <c r="L31" i="3"/>
  <c r="I31" i="3"/>
  <c r="E31" i="3"/>
  <c r="L30" i="3"/>
  <c r="I30" i="3"/>
  <c r="E30" i="3"/>
  <c r="L29" i="3"/>
  <c r="I29" i="3"/>
  <c r="E29" i="3"/>
  <c r="L28" i="3"/>
  <c r="I28" i="3"/>
  <c r="E28" i="3"/>
  <c r="L27" i="3"/>
  <c r="I27" i="3"/>
  <c r="D27" i="3"/>
  <c r="E27" i="3" s="1"/>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H15" i="4"/>
  <c r="B16" i="4" s="1"/>
  <c r="G15" i="4"/>
  <c r="B15" i="4" s="1"/>
  <c r="B7" i="4"/>
  <c r="D7" i="4" s="1"/>
  <c r="D6" i="4"/>
  <c r="C5" i="4"/>
  <c r="B12" i="4" s="1"/>
  <c r="G15" i="7"/>
  <c r="G16" i="7" s="1"/>
  <c r="C15" i="7" s="1"/>
  <c r="B7" i="7"/>
  <c r="H16" i="7" s="1"/>
  <c r="C16" i="7" s="1"/>
  <c r="D6" i="7"/>
  <c r="C5" i="7"/>
  <c r="B12" i="7" s="1"/>
  <c r="G15" i="2"/>
  <c r="B15" i="2" s="1"/>
  <c r="B7" i="2"/>
  <c r="H16" i="2" s="1"/>
  <c r="C16" i="2" s="1"/>
  <c r="D6" i="2"/>
  <c r="C5" i="2"/>
  <c r="B12" i="2" s="1"/>
  <c r="H11" i="5"/>
  <c r="I11" i="5" s="1"/>
  <c r="H10" i="5"/>
  <c r="I10" i="5" s="1"/>
  <c r="H9" i="5"/>
  <c r="I9" i="5" s="1"/>
  <c r="H8" i="5"/>
  <c r="I8" i="5" s="1"/>
  <c r="H7" i="5"/>
  <c r="I7" i="5" s="1"/>
  <c r="H6" i="5"/>
  <c r="I6" i="5" s="1"/>
  <c r="H5" i="5"/>
  <c r="I5" i="5" s="1"/>
  <c r="D213" i="1"/>
  <c r="I180" i="1"/>
  <c r="I169" i="1"/>
  <c r="I147" i="1"/>
  <c r="I137" i="1"/>
  <c r="I127" i="1"/>
  <c r="I123" i="1"/>
  <c r="G109" i="1"/>
  <c r="L97" i="1"/>
  <c r="L96" i="1"/>
  <c r="L95" i="1"/>
  <c r="L94" i="1"/>
  <c r="L69" i="1"/>
  <c r="L68" i="1"/>
  <c r="L67" i="1"/>
  <c r="L66" i="1"/>
  <c r="D51" i="1"/>
  <c r="H47" i="1"/>
  <c r="C47" i="1"/>
  <c r="F42" i="1"/>
  <c r="F43" i="1" s="1"/>
  <c r="D53" i="1" s="1"/>
  <c r="C14" i="1"/>
  <c r="F7" i="1"/>
  <c r="I59" i="1"/>
  <c r="I87" i="1"/>
  <c r="L34" i="3" l="1"/>
  <c r="K34" i="3" s="1"/>
  <c r="D115" i="1"/>
  <c r="D7" i="2"/>
  <c r="H15" i="2"/>
  <c r="B16" i="2" s="1"/>
  <c r="B15" i="7"/>
  <c r="G16" i="4"/>
  <c r="C15" i="4" s="1"/>
  <c r="H15" i="7"/>
  <c r="B16" i="7" s="1"/>
  <c r="E34" i="3"/>
  <c r="E36" i="3" s="1"/>
  <c r="G16" i="2"/>
  <c r="C15" i="2" s="1"/>
  <c r="D7" i="7"/>
  <c r="I34" i="3"/>
  <c r="H34" i="3" s="1"/>
  <c r="D70" i="1"/>
  <c r="D68" i="1"/>
  <c r="D66" i="1"/>
  <c r="D64" i="1"/>
  <c r="L62" i="1"/>
  <c r="L63" i="1"/>
  <c r="C62" i="1" s="1"/>
  <c r="D62" i="1" s="1"/>
  <c r="L61" i="1"/>
  <c r="L64" i="1"/>
  <c r="L65" i="1" s="1"/>
  <c r="L70" i="1" s="1"/>
  <c r="L71" i="1" s="1"/>
  <c r="C63" i="1" s="1"/>
  <c r="D71" i="1"/>
  <c r="D69" i="1"/>
  <c r="D67" i="1"/>
  <c r="D65" i="1"/>
  <c r="L92" i="1"/>
  <c r="L93" i="1" s="1"/>
  <c r="L98" i="1" s="1"/>
  <c r="L99" i="1" s="1"/>
  <c r="L90" i="1"/>
  <c r="D98" i="1"/>
  <c r="D96" i="1"/>
  <c r="D94" i="1"/>
  <c r="D92" i="1"/>
  <c r="L89" i="1"/>
  <c r="D99" i="1"/>
  <c r="D97" i="1"/>
  <c r="D95" i="1"/>
  <c r="D93" i="1"/>
  <c r="D91" i="1"/>
  <c r="L91" i="1"/>
  <c r="C90" i="1" s="1"/>
  <c r="H90" i="1" s="1"/>
  <c r="F90" i="1"/>
  <c r="I12" i="5"/>
  <c r="M16" i="7"/>
  <c r="C21" i="7" s="1"/>
  <c r="M15" i="7"/>
  <c r="B21" i="7" s="1"/>
  <c r="D12" i="7"/>
  <c r="M16" i="4"/>
  <c r="C21" i="4" s="1"/>
  <c r="M15" i="4"/>
  <c r="B21" i="4" s="1"/>
  <c r="D12" i="4"/>
  <c r="D12" i="2"/>
  <c r="M16" i="2"/>
  <c r="C21" i="2" s="1"/>
  <c r="M15" i="2"/>
  <c r="B21" i="2" s="1"/>
  <c r="B9" i="2"/>
  <c r="B11" i="2"/>
  <c r="B9" i="7"/>
  <c r="B11" i="7"/>
  <c r="B9" i="4"/>
  <c r="B11" i="4"/>
  <c r="H16" i="4"/>
  <c r="C16" i="4" s="1"/>
  <c r="B8" i="2"/>
  <c r="B10" i="2"/>
  <c r="B8" i="7"/>
  <c r="B10" i="7"/>
  <c r="B8" i="4"/>
  <c r="B10" i="4"/>
  <c r="D34" i="3" l="1"/>
  <c r="D36" i="3" s="1"/>
  <c r="C115" i="1"/>
  <c r="D90" i="1"/>
  <c r="K86" i="1" s="1"/>
  <c r="C88" i="1" s="1"/>
  <c r="F62" i="1"/>
  <c r="K58" i="1" s="1"/>
  <c r="C60" i="1" s="1"/>
  <c r="D63" i="1"/>
  <c r="D8" i="7"/>
  <c r="I16" i="7"/>
  <c r="C17" i="7" s="1"/>
  <c r="I15" i="7"/>
  <c r="B17" i="7" s="1"/>
  <c r="D11" i="4"/>
  <c r="L16" i="4"/>
  <c r="C20" i="4" s="1"/>
  <c r="L15" i="4"/>
  <c r="B20" i="4" s="1"/>
  <c r="D11" i="2"/>
  <c r="L15" i="2"/>
  <c r="B20" i="2" s="1"/>
  <c r="L16" i="2"/>
  <c r="C20" i="2" s="1"/>
  <c r="H62" i="1"/>
  <c r="K15" i="4"/>
  <c r="B19" i="4" s="1"/>
  <c r="K16" i="4"/>
  <c r="C19" i="4" s="1"/>
  <c r="D10" i="4"/>
  <c r="K15" i="2"/>
  <c r="B19" i="2" s="1"/>
  <c r="D10" i="2"/>
  <c r="K16" i="2"/>
  <c r="C19" i="2" s="1"/>
  <c r="J16" i="4"/>
  <c r="C18" i="4" s="1"/>
  <c r="J15" i="4"/>
  <c r="B18" i="4" s="1"/>
  <c r="D9" i="4"/>
  <c r="J16" i="2"/>
  <c r="C18" i="2" s="1"/>
  <c r="J15" i="2"/>
  <c r="B18" i="2" s="1"/>
  <c r="D9" i="2"/>
  <c r="I16" i="4"/>
  <c r="C17" i="4" s="1"/>
  <c r="I15" i="4"/>
  <c r="B17" i="4" s="1"/>
  <c r="D8" i="4"/>
  <c r="D8" i="2"/>
  <c r="I16" i="2"/>
  <c r="C17" i="2" s="1"/>
  <c r="I15" i="2"/>
  <c r="B17" i="2" s="1"/>
  <c r="D11" i="7"/>
  <c r="L16" i="7"/>
  <c r="C20" i="7" s="1"/>
  <c r="L15" i="7"/>
  <c r="B20" i="7" s="1"/>
  <c r="K15" i="7"/>
  <c r="B19" i="7" s="1"/>
  <c r="D10" i="7"/>
  <c r="K16" i="7"/>
  <c r="C19" i="7" s="1"/>
  <c r="J16" i="7"/>
  <c r="C18" i="7" s="1"/>
  <c r="J15" i="7"/>
  <c r="B18" i="7" s="1"/>
  <c r="D9" i="7"/>
  <c r="C22" i="2" l="1"/>
  <c r="C22" i="4"/>
  <c r="B22" i="2"/>
  <c r="B22" i="4"/>
  <c r="B22" i="7"/>
  <c r="C22" i="7"/>
</calcChain>
</file>

<file path=xl/sharedStrings.xml><?xml version="1.0" encoding="utf-8"?>
<sst xmlns="http://schemas.openxmlformats.org/spreadsheetml/2006/main" count="685" uniqueCount="286">
  <si>
    <t xml:space="preserve">Valuation Report </t>
  </si>
  <si>
    <t>Date:</t>
  </si>
  <si>
    <t>CPC Name:</t>
  </si>
  <si>
    <t>Date Of Property Visit</t>
  </si>
  <si>
    <t>Name of the builder group</t>
  </si>
  <si>
    <t>Name of the builder company</t>
  </si>
  <si>
    <t>Name of the Project</t>
  </si>
  <si>
    <t>Name / No of the Building</t>
  </si>
  <si>
    <t>Docouments Provided</t>
  </si>
  <si>
    <t>Approved Layout, Approved Building Plan, CC</t>
  </si>
  <si>
    <t>RERA No.</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</si>
  <si>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</si>
  <si>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</si>
  <si>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</si>
  <si>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</si>
  <si>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</si>
  <si>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</si>
  <si>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</si>
  <si>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</si>
  <si>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</si>
  <si>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</si>
  <si>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</si>
  <si>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Middle Class</t>
  </si>
  <si>
    <t>Nature of land with topographical condtion</t>
  </si>
  <si>
    <t>Plane</t>
  </si>
  <si>
    <t xml:space="preserve">Nature of the locality </t>
  </si>
  <si>
    <t>Developing</t>
  </si>
  <si>
    <t>Quality of infrastructure in vicinity</t>
  </si>
  <si>
    <t>Good</t>
  </si>
  <si>
    <t>Boundaries</t>
  </si>
  <si>
    <t>East</t>
  </si>
  <si>
    <t>West</t>
  </si>
  <si>
    <t>South</t>
  </si>
  <si>
    <t>North</t>
  </si>
  <si>
    <t>As per deed</t>
  </si>
  <si>
    <t>NA</t>
  </si>
  <si>
    <t>At site</t>
  </si>
  <si>
    <t>Does the boundaries at site match, as mentioned in the Docoumentation: NA</t>
  </si>
  <si>
    <t>Type of Structure : RCC Frame Structure</t>
  </si>
  <si>
    <t xml:space="preserve">Latitude &amp; Longitude </t>
  </si>
  <si>
    <t>Approval details:</t>
  </si>
  <si>
    <t xml:space="preserve">Approved usage of the Property:                                                                                                                                             </t>
  </si>
  <si>
    <t xml:space="preserve">(Restrictive Covenants in regard to Land Use, if any)    </t>
  </si>
  <si>
    <t>No</t>
  </si>
  <si>
    <t>Area Statement Details :</t>
  </si>
  <si>
    <t>Total land area of the project in Sq. Mt.</t>
  </si>
  <si>
    <t>Permissible FSI</t>
  </si>
  <si>
    <t>Permissible TDR/Paid FSI</t>
  </si>
  <si>
    <t>Total FSI availaible for the project</t>
  </si>
  <si>
    <t>Total Approved Builtup area of the project in Sq. Mt.</t>
  </si>
  <si>
    <t>Total number of Buildings</t>
  </si>
  <si>
    <t xml:space="preserve">Approval Detail : Plan approval </t>
  </si>
  <si>
    <t xml:space="preserve">Layout Approval No     </t>
  </si>
  <si>
    <t>Dated</t>
  </si>
  <si>
    <t xml:space="preserve">Approved Floor plan No.  </t>
  </si>
  <si>
    <t>Commencement Certificate No.</t>
  </si>
  <si>
    <t xml:space="preserve">O. Certificate No.: </t>
  </si>
  <si>
    <t xml:space="preserve">Date of approval: </t>
  </si>
  <si>
    <t xml:space="preserve">Commencement date of construction </t>
  </si>
  <si>
    <t>Expected Completion</t>
  </si>
  <si>
    <t>Building wise Construction details</t>
  </si>
  <si>
    <t>Approved area of the building in Sq.Mt</t>
  </si>
  <si>
    <t>Approved no of units</t>
  </si>
  <si>
    <t>Approved no of Floors</t>
  </si>
  <si>
    <t>Quality of construction: Good</t>
  </si>
  <si>
    <t>Type of Work</t>
  </si>
  <si>
    <t>Plinth</t>
  </si>
  <si>
    <t>RCC</t>
  </si>
  <si>
    <t>Plaster</t>
  </si>
  <si>
    <t>Flooring</t>
  </si>
  <si>
    <t>Finishing</t>
  </si>
  <si>
    <t>Violations Observed if any : NA</t>
  </si>
  <si>
    <t>Recommended Rates of the Property :</t>
  </si>
  <si>
    <t xml:space="preserve">Recommended rate of Parking </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</si>
  <si>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</si>
  <si>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</si>
  <si>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</si>
  <si>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</si>
  <si>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</si>
  <si>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</si>
  <si>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</si>
  <si>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</si>
  <si>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</si>
  <si>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</si>
  <si>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</si>
  <si>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PLC Y/N</t>
  </si>
  <si>
    <t>Floor</t>
  </si>
  <si>
    <t>N</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</si>
  <si>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</si>
  <si>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</si>
  <si>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</si>
  <si>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</si>
  <si>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</si>
  <si>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</si>
  <si>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</si>
  <si>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</si>
  <si>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</si>
  <si>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</si>
  <si>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Particulars</t>
  </si>
  <si>
    <t>plinth</t>
  </si>
  <si>
    <t>slab</t>
  </si>
  <si>
    <t>rcc</t>
  </si>
  <si>
    <t>Bricks</t>
  </si>
  <si>
    <t>Wood &amp; painting</t>
  </si>
  <si>
    <t>Progress</t>
  </si>
  <si>
    <t xml:space="preserve">Bricks </t>
  </si>
  <si>
    <t xml:space="preserve">Recommended </t>
  </si>
  <si>
    <t>plaster</t>
  </si>
  <si>
    <t>Recommended</t>
  </si>
  <si>
    <t>total</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</si>
  <si>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</si>
  <si>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</si>
  <si>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</si>
  <si>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</si>
  <si>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</si>
  <si>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</si>
  <si>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</si>
  <si>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</si>
  <si>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</si>
  <si>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</si>
  <si>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</si>
  <si>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</si>
  <si>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</si>
  <si>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</si>
  <si>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</si>
  <si>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</si>
  <si>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</si>
  <si>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</si>
  <si>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</si>
  <si>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</si>
  <si>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</si>
  <si>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</si>
  <si>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</si>
  <si>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Basement</t>
  </si>
  <si>
    <t>Podium</t>
  </si>
  <si>
    <t>Ground</t>
  </si>
  <si>
    <t>Upper Floor</t>
  </si>
  <si>
    <t>Locality/Village</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</si>
  <si>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</si>
  <si>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</si>
  <si>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</si>
  <si>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Excavation in process</t>
  </si>
  <si>
    <t>Excavation Completed</t>
  </si>
  <si>
    <t>Footing in Process</t>
  </si>
  <si>
    <t>Footing Completed</t>
  </si>
  <si>
    <t>Plinth in process</t>
  </si>
  <si>
    <t>Plinth completed</t>
  </si>
  <si>
    <t>NA
Approved upto :</t>
  </si>
  <si>
    <t>Flat/Shop No.</t>
  </si>
  <si>
    <t>Accessibility to the Project from the City: (Proximity to civic amenities like school, hospital, market, etc.)</t>
  </si>
  <si>
    <t xml:space="preserve">total floor </t>
  </si>
  <si>
    <t>Parking</t>
  </si>
  <si>
    <t>Rate</t>
  </si>
  <si>
    <t>Palghar</t>
  </si>
  <si>
    <t>100000/-</t>
  </si>
  <si>
    <t>Ulwe, karanjade</t>
  </si>
  <si>
    <t>200000/-</t>
  </si>
  <si>
    <t>Panvel</t>
  </si>
  <si>
    <t>300000/-</t>
  </si>
  <si>
    <t>Mumbai - G + 15</t>
  </si>
  <si>
    <t>500000/-</t>
  </si>
  <si>
    <t>Mumbai - G + 25</t>
  </si>
  <si>
    <t>800000/-</t>
  </si>
  <si>
    <t>Mumbai - G + 35</t>
  </si>
  <si>
    <t>1000000/-</t>
  </si>
  <si>
    <t>Thane - G + 7</t>
  </si>
  <si>
    <t>Thane - G + 15</t>
  </si>
  <si>
    <t>400000/-</t>
  </si>
  <si>
    <t>Thane - G + 25</t>
  </si>
  <si>
    <t>600000/-</t>
  </si>
  <si>
    <t>Inspected By :</t>
  </si>
  <si>
    <t>Report Prepared By :</t>
  </si>
  <si>
    <t>Authorized Signatory
Name &amp; Seal of the agency</t>
  </si>
  <si>
    <t>Axis Sanpada</t>
  </si>
  <si>
    <t>Sarvam</t>
  </si>
  <si>
    <t>P52000023662</t>
  </si>
  <si>
    <t>Survey No</t>
  </si>
  <si>
    <t>Raigad</t>
  </si>
  <si>
    <t>A Wing</t>
  </si>
  <si>
    <t>1BHK</t>
  </si>
  <si>
    <t>Ground Floor for Parking</t>
  </si>
  <si>
    <t>B Wing</t>
  </si>
  <si>
    <t>2BHK</t>
  </si>
  <si>
    <t>1RK</t>
  </si>
  <si>
    <t>C Wing</t>
  </si>
  <si>
    <t>Material laying at Site: Bricks, Cement &amp; Steel etc.</t>
  </si>
  <si>
    <t>Dhanashree</t>
  </si>
  <si>
    <t xml:space="preserve">Residential </t>
  </si>
  <si>
    <t>Taloja River</t>
  </si>
  <si>
    <t>Open Plot</t>
  </si>
  <si>
    <t>Building</t>
  </si>
  <si>
    <t>Arihant Anaika</t>
  </si>
  <si>
    <t>Building No.1 (A &amp; B Wing)
Building No.2 (C Wing)</t>
  </si>
  <si>
    <t>Building No.1</t>
  </si>
  <si>
    <t>Building No.2</t>
  </si>
  <si>
    <t>Blg No.1 (A Wing)</t>
  </si>
  <si>
    <t>Blg No.1 (B Wing)</t>
  </si>
  <si>
    <t>Blg No.2 (C Wing)</t>
  </si>
  <si>
    <t>No. of Flats</t>
  </si>
  <si>
    <t>Ghot Road</t>
  </si>
  <si>
    <t>Taloja Panchnand</t>
  </si>
  <si>
    <t>Koyana Velhe</t>
  </si>
  <si>
    <t>Builder Saleable area</t>
  </si>
  <si>
    <t>15/10/2020.</t>
  </si>
  <si>
    <t>Market Research Data</t>
  </si>
  <si>
    <t>Source</t>
  </si>
  <si>
    <t>Distance from proposed property</t>
  </si>
  <si>
    <t>Net Carpet</t>
  </si>
  <si>
    <t>Saleable Area</t>
  </si>
  <si>
    <t>Rate 
(on Saleable Area)</t>
  </si>
  <si>
    <t>Market Value</t>
  </si>
  <si>
    <t>Housing</t>
  </si>
  <si>
    <t>Proptiger</t>
  </si>
  <si>
    <t>Average</t>
  </si>
  <si>
    <t xml:space="preserve">Valuation Adopted </t>
  </si>
  <si>
    <t>OLD APF</t>
  </si>
  <si>
    <t>Rate has not Changed</t>
  </si>
  <si>
    <t>35/2, 35/3, 36/2</t>
  </si>
  <si>
    <t>Pratiksha</t>
  </si>
  <si>
    <t>Development Charges</t>
  </si>
  <si>
    <t>2,00,000/-</t>
  </si>
  <si>
    <t>Construction details:</t>
  </si>
  <si>
    <t>Floors</t>
  </si>
  <si>
    <t xml:space="preserve">Stage of construction: </t>
  </si>
  <si>
    <t>All work Completed. OC Received.</t>
  </si>
  <si>
    <t>Slab/Floor</t>
  </si>
  <si>
    <t>Complition %</t>
  </si>
  <si>
    <t>Progress %</t>
  </si>
  <si>
    <t>Disbursement %</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</si>
  <si>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</si>
  <si>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</si>
  <si>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</si>
  <si>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</si>
  <si>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</si>
  <si>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</si>
  <si>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</si>
  <si>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</si>
  <si>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</si>
  <si>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</si>
  <si>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</si>
  <si>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</si>
  <si>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</si>
  <si>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</si>
  <si>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</si>
  <si>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</si>
  <si>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s</t>
  </si>
  <si>
    <t>1st, 3rd, 5th, 7th, 9th &amp; 11th Floor for Residential</t>
  </si>
  <si>
    <t>2nd, 4th, 6th &amp; 10th Floor</t>
  </si>
  <si>
    <t>8th Floor (Part Refuge Area)</t>
  </si>
  <si>
    <t>1st, 3rd, 5th, 7th 9th &amp; 11th Floor for Residential</t>
  </si>
  <si>
    <t>3.4 Km from Taloja Panchnand Railway Station</t>
  </si>
  <si>
    <t>PMP/NRV/16194/JK-2177/2021</t>
  </si>
  <si>
    <t>Flats = 240</t>
  </si>
  <si>
    <t>Blg No.2 (C Wing) = G/St + 1st to 11th Floor.</t>
  </si>
  <si>
    <t xml:space="preserve">PMC/TP/Koyanavele/35/2,35/3&amp;36/2/21-21/16194/2177/2021
</t>
  </si>
  <si>
    <t>Valid Up to: 
Blg No.1 (A &amp; B Wing) &amp; Blg No.2 (C Wing) = G/St + 1st to 11th Floor.</t>
  </si>
  <si>
    <t>Blg No.1 (A &amp; B Wing) &amp; Blg No.2 (C Wing) = G/St + 1st to 11th Floor.</t>
  </si>
  <si>
    <t>Proposed no of Floors</t>
  </si>
  <si>
    <t>By Akash Sir</t>
  </si>
  <si>
    <t>Rate has been changed from 4500/- to 5100/- (on 03/02/2022).</t>
  </si>
  <si>
    <t>3 Wings</t>
  </si>
  <si>
    <t>Recommended rate of the flat Per Sq. Ft. ( on Saleable area)</t>
  </si>
  <si>
    <t>54,000/-</t>
  </si>
  <si>
    <t>Maintenance Charges @ 36 Months</t>
  </si>
  <si>
    <t xml:space="preserve">Other  Charges </t>
  </si>
  <si>
    <t>Smith Pal Sir</t>
  </si>
  <si>
    <t>Grill &amp; Society Formation Charges</t>
  </si>
  <si>
    <t>110000/-</t>
  </si>
  <si>
    <t>Blg No.1 (B Wing) = G/St + 1st to 11th Floor.</t>
  </si>
  <si>
    <t>https://goo.gl/maps/7S5N8KKg2r9mmtwz5</t>
  </si>
  <si>
    <t>19.082347,73.112256</t>
  </si>
  <si>
    <t>Location Link</t>
  </si>
  <si>
    <t>Contact Details ( Name &amp; Contact No.)</t>
  </si>
  <si>
    <t>Site Meet Person Contact Details ( Name &amp; Contact No.)</t>
  </si>
  <si>
    <t>Office No. 1031, Wing J, Akshar Business Park, Plot No. 03 Sector 25, Near APMC Market,
Vashi, Navi Mumbai, Maharashtra 400703 TEL: 022-46090378/79/80                                                                                                                                          E mail : vsjcapf@gmail.com. Web site : www.vsjadon.com</t>
  </si>
  <si>
    <t>5100 to 5300</t>
  </si>
  <si>
    <t>Blg No.1 (A &amp; B Wing) = G/St + 1st to 11th Floor.</t>
  </si>
  <si>
    <t>Mr. Ajay 9513446092</t>
  </si>
  <si>
    <t>Sunil Peravi</t>
  </si>
  <si>
    <t>Pranita Mhatre</t>
  </si>
  <si>
    <t>M/s. Ashtvinayak Homes</t>
  </si>
  <si>
    <t>Projected life of the structure: 60 Years</t>
  </si>
  <si>
    <t>Completed</t>
  </si>
  <si>
    <t>Material laying at Site: NA</t>
  </si>
  <si>
    <t>1. Wing A, B &amp; C = All work completed. Please provide OC.
2. We considered Saleable area as per Builder Area Sheet.
3. We considered Carpet area as per Approved Plan.
4. We considered Gross carpet area = Net carpet + Enclose balcony + Balcony.
5. We have considered rate by verifying it from market inquire.
6. Car parking is subjected to authentic documentation.
7. We have updated Revised Approved CC &amp; Plans ( on 08/01/2022).
8. Recommended Rates/Other Charges of the Property have been revised on 12/04/2024.</t>
  </si>
  <si>
    <t xml:space="preserve">Wheather the construction is as per approved Building plan :Yes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</si>
</sst>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
  </numFmts>
  <fonts count="23" x14ac:knownFonts="1">
    <font>
      <sz val="11"/>
      <color rgb="FF000000"/>
      <name val="Calibri"/>
      <family val="2"/>
    </font>
    <font>
      <sz val="11"/>
      <color theme="1"/>
      <name val="Calibri"/>
      <family val="2"/>
      <scheme val="minor"/>
    </font>
    <font>
      <sz val="11"/>
      <color theme="1"/>
      <name val="Calibri"/>
      <family val="2"/>
      <scheme val="minor"/>
    </font>
    <font>
      <b/>
      <sz val="11"/>
      <color indexed="8"/>
      <name val="Times New Roman"/>
      <family val="1"/>
    </font>
    <font>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sz val="11"/>
      <color rgb="FF000000"/>
      <name val="Calibri"/>
      <family val="2"/>
    </font>
    <font>
      <b/>
      <sz val="11.5"/>
      <color indexed="8"/>
      <name val="Times New Roman"/>
      <family val="1"/>
    </font>
    <font>
      <sz val="12"/>
      <name val="Times New Roman"/>
      <family val="1"/>
    </font>
    <font>
      <b/>
      <sz val="12"/>
      <name val="Times New Roman"/>
      <family val="1"/>
    </font>
    <font>
      <b/>
      <sz val="11"/>
      <color rgb="FF000000"/>
      <name val="Times New Roman"/>
      <family val="1"/>
    </font>
    <font>
      <sz val="11"/>
      <color rgb="FF000000"/>
      <name val="Times New Roman"/>
      <family val="1"/>
    </font>
    <font>
      <b/>
      <sz val="11"/>
      <color theme="1"/>
      <name val="Times New Roman"/>
      <family val="1"/>
    </font>
    <font>
      <sz val="11"/>
      <name val="Times New Roman"/>
      <family val="1"/>
    </font>
    <font>
      <b/>
      <sz val="11"/>
      <name val="Calibri"/>
      <family val="2"/>
      <scheme val="minor"/>
    </font>
    <font>
      <sz val="11"/>
      <name val="Calibri"/>
      <family val="2"/>
    </font>
    <font>
      <sz val="11"/>
      <name val="Calibri"/>
      <family val="2"/>
      <scheme val="minor"/>
    </font>
    <font>
      <u/>
      <sz val="11"/>
      <color theme="10"/>
      <name val="Calibri"/>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xf numFmtId="0" fontId="2" fillId="0" borderId="0"/>
    <xf numFmtId="0" fontId="5" fillId="0" borderId="0"/>
    <xf numFmtId="0" fontId="1" fillId="0" borderId="0"/>
    <xf numFmtId="9" fontId="11" fillId="0" borderId="0" applyFont="0" applyFill="0" applyBorder="0" applyAlignment="0" applyProtection="0"/>
    <xf numFmtId="0" fontId="5" fillId="0" borderId="0"/>
    <xf numFmtId="0" fontId="22" fillId="0" borderId="0" applyNumberFormat="0" applyFill="0" applyBorder="0" applyAlignment="0" applyProtection="0"/>
  </cellStyleXfs>
  <cellXfs count="232">
    <xf numFmtId="0" fontId="0" fillId="0" borderId="0" xfId="0"/>
    <xf numFmtId="0" fontId="7" fillId="0" borderId="0" xfId="0" applyFont="1" applyAlignment="1">
      <alignment horizontal="center" vertical="center"/>
    </xf>
    <xf numFmtId="1" fontId="8" fillId="0" borderId="4" xfId="1" applyNumberFormat="1" applyFont="1" applyBorder="1" applyAlignment="1">
      <alignment horizontal="center" vertical="top" wrapText="1"/>
    </xf>
    <xf numFmtId="0" fontId="7" fillId="0" borderId="0" xfId="1" applyFont="1" applyAlignment="1">
      <alignment horizontal="center" vertical="center"/>
    </xf>
    <xf numFmtId="1" fontId="6" fillId="0" borderId="4" xfId="1" applyNumberFormat="1" applyFont="1" applyBorder="1" applyAlignment="1">
      <alignment horizontal="center" vertical="center" wrapText="1"/>
    </xf>
    <xf numFmtId="0" fontId="0" fillId="3" borderId="4" xfId="0" applyFill="1" applyBorder="1"/>
    <xf numFmtId="0" fontId="0" fillId="0" borderId="9" xfId="0" applyBorder="1"/>
    <xf numFmtId="0" fontId="9" fillId="0" borderId="4" xfId="0" applyFont="1" applyBorder="1"/>
    <xf numFmtId="0" fontId="9" fillId="0" borderId="4" xfId="0" applyFont="1" applyBorder="1" applyAlignment="1">
      <alignment horizontal="center"/>
    </xf>
    <xf numFmtId="0" fontId="0" fillId="0" borderId="4" xfId="0" applyBorder="1"/>
    <xf numFmtId="0" fontId="10" fillId="0" borderId="4" xfId="0" applyFont="1" applyBorder="1" applyAlignment="1">
      <alignment horizontal="center" vertical="center"/>
    </xf>
    <xf numFmtId="0" fontId="7" fillId="0" borderId="4" xfId="0" applyFont="1" applyBorder="1" applyAlignment="1">
      <alignment horizontal="center" vertical="center"/>
    </xf>
    <xf numFmtId="0" fontId="7" fillId="0" borderId="0" xfId="1" applyFont="1"/>
    <xf numFmtId="0" fontId="6" fillId="2" borderId="4" xfId="1" applyFont="1" applyFill="1" applyBorder="1" applyAlignment="1">
      <alignment vertical="top"/>
    </xf>
    <xf numFmtId="0" fontId="6" fillId="0" borderId="0" xfId="2" applyFont="1"/>
    <xf numFmtId="1" fontId="3" fillId="0" borderId="4" xfId="1" applyNumberFormat="1" applyFont="1" applyBorder="1" applyAlignment="1">
      <alignment horizontal="center" vertical="top" wrapText="1"/>
    </xf>
    <xf numFmtId="0" fontId="7" fillId="0" borderId="0" xfId="0" applyFont="1"/>
    <xf numFmtId="0" fontId="8" fillId="0" borderId="0" xfId="1" applyFont="1" applyAlignment="1">
      <alignment vertical="top"/>
    </xf>
    <xf numFmtId="0" fontId="8" fillId="0" borderId="0" xfId="1" applyFont="1" applyAlignment="1">
      <alignment vertical="top" wrapText="1"/>
    </xf>
    <xf numFmtId="0" fontId="6" fillId="2" borderId="4" xfId="1" applyFont="1" applyFill="1" applyBorder="1" applyAlignment="1">
      <alignment horizontal="left" vertical="top"/>
    </xf>
    <xf numFmtId="0" fontId="16" fillId="0" borderId="0" xfId="0" applyFont="1"/>
    <xf numFmtId="0" fontId="16" fillId="0" borderId="4" xfId="0" applyFont="1" applyBorder="1"/>
    <xf numFmtId="0" fontId="17" fillId="0" borderId="4" xfId="0" applyFont="1" applyBorder="1" applyAlignment="1">
      <alignment horizontal="center"/>
    </xf>
    <xf numFmtId="0" fontId="17" fillId="0" borderId="0" xfId="0" applyFont="1" applyAlignment="1">
      <alignment horizontal="center"/>
    </xf>
    <xf numFmtId="0" fontId="16" fillId="3" borderId="4" xfId="0" applyFont="1" applyFill="1" applyBorder="1"/>
    <xf numFmtId="0" fontId="16" fillId="0" borderId="4" xfId="0" applyFont="1" applyBorder="1" applyAlignment="1">
      <alignment horizontal="center"/>
    </xf>
    <xf numFmtId="0" fontId="16" fillId="3" borderId="4" xfId="0" applyFont="1" applyFill="1" applyBorder="1" applyAlignment="1">
      <alignment horizontal="center"/>
    </xf>
    <xf numFmtId="9" fontId="16" fillId="0" borderId="0" xfId="4" applyFont="1" applyBorder="1"/>
    <xf numFmtId="0" fontId="15" fillId="0" borderId="4" xfId="0" applyFont="1" applyBorder="1" applyAlignment="1">
      <alignment horizontal="center"/>
    </xf>
    <xf numFmtId="0" fontId="16" fillId="0" borderId="0" xfId="0" applyFont="1" applyAlignment="1">
      <alignment wrapText="1"/>
    </xf>
    <xf numFmtId="0" fontId="16" fillId="0" borderId="13" xfId="0" applyFont="1" applyBorder="1"/>
    <xf numFmtId="0" fontId="16" fillId="0" borderId="4" xfId="0" applyFont="1" applyBorder="1" applyAlignment="1">
      <alignment wrapText="1"/>
    </xf>
    <xf numFmtId="9" fontId="16" fillId="0" borderId="4" xfId="4" applyFont="1" applyBorder="1"/>
    <xf numFmtId="9" fontId="16" fillId="0" borderId="0" xfId="0" applyNumberFormat="1" applyFont="1"/>
    <xf numFmtId="0" fontId="16" fillId="0" borderId="0" xfId="0" applyFont="1" applyAlignment="1">
      <alignment horizontal="right"/>
    </xf>
    <xf numFmtId="1" fontId="6" fillId="0" borderId="0" xfId="1" applyNumberFormat="1" applyFont="1" applyAlignment="1">
      <alignment horizontal="center" vertical="center" wrapText="1"/>
    </xf>
    <xf numFmtId="0" fontId="5" fillId="0" borderId="0" xfId="5"/>
    <xf numFmtId="0" fontId="9" fillId="0" borderId="4" xfId="0" applyFont="1" applyBorder="1" applyAlignment="1">
      <alignment horizontal="center" vertical="top" wrapText="1"/>
    </xf>
    <xf numFmtId="0" fontId="20" fillId="0" borderId="4" xfId="0" applyFont="1" applyBorder="1" applyAlignment="1">
      <alignment horizontal="center"/>
    </xf>
    <xf numFmtId="1" fontId="20" fillId="0" borderId="4" xfId="0" applyNumberFormat="1" applyFont="1" applyBorder="1" applyAlignment="1">
      <alignment horizontal="center"/>
    </xf>
    <xf numFmtId="0" fontId="21" fillId="0" borderId="4" xfId="0" applyFont="1" applyBorder="1" applyAlignment="1">
      <alignment horizontal="center"/>
    </xf>
    <xf numFmtId="1" fontId="21" fillId="0" borderId="4" xfId="0" applyNumberFormat="1" applyFont="1" applyBorder="1" applyAlignment="1">
      <alignment horizontal="center"/>
    </xf>
    <xf numFmtId="14" fontId="0" fillId="0" borderId="0" xfId="0" applyNumberFormat="1"/>
    <xf numFmtId="0" fontId="7" fillId="0" borderId="0" xfId="1" applyFont="1" applyProtection="1">
      <protection hidden="1"/>
    </xf>
    <xf numFmtId="0" fontId="13" fillId="0" borderId="18" xfId="1" applyFont="1" applyBorder="1" applyAlignment="1" applyProtection="1">
      <alignment horizontal="center" vertical="top"/>
      <protection locked="0"/>
    </xf>
    <xf numFmtId="0" fontId="13" fillId="0" borderId="4" xfId="1" applyFont="1" applyBorder="1" applyAlignment="1" applyProtection="1">
      <alignment horizontal="center" vertical="top"/>
      <protection locked="0"/>
    </xf>
    <xf numFmtId="0" fontId="16" fillId="0" borderId="0" xfId="0" applyFont="1" applyProtection="1">
      <protection hidden="1"/>
    </xf>
    <xf numFmtId="1" fontId="0" fillId="0" borderId="0" xfId="0" applyNumberFormat="1"/>
    <xf numFmtId="1" fontId="0" fillId="0" borderId="0" xfId="0" applyNumberFormat="1" applyAlignment="1">
      <alignment horizontal="right"/>
    </xf>
    <xf numFmtId="0" fontId="13" fillId="0" borderId="1" xfId="1" applyFont="1" applyBorder="1" applyAlignment="1" applyProtection="1">
      <alignment horizontal="center" vertical="top"/>
      <protection locked="0"/>
    </xf>
    <xf numFmtId="0" fontId="13" fillId="0" borderId="4" xfId="1" applyFont="1" applyBorder="1" applyAlignment="1" applyProtection="1">
      <alignment horizontal="center" vertical="top" wrapText="1"/>
      <protection locked="0"/>
    </xf>
    <xf numFmtId="0" fontId="13" fillId="0" borderId="4" xfId="1" applyFont="1" applyBorder="1" applyAlignment="1" applyProtection="1">
      <alignment horizontal="center" wrapText="1"/>
      <protection locked="0"/>
    </xf>
    <xf numFmtId="1" fontId="13" fillId="0" borderId="4" xfId="1" applyNumberFormat="1" applyFont="1" applyBorder="1" applyAlignment="1" applyProtection="1">
      <alignment horizontal="center" wrapText="1"/>
      <protection locked="0"/>
    </xf>
    <xf numFmtId="0" fontId="13" fillId="0" borderId="23" xfId="1" applyFont="1" applyBorder="1" applyAlignment="1" applyProtection="1">
      <alignment horizontal="center" wrapText="1"/>
      <protection locked="0"/>
    </xf>
    <xf numFmtId="0" fontId="7" fillId="0" borderId="4" xfId="1" applyFont="1" applyBorder="1" applyAlignment="1">
      <alignment horizontal="center" vertical="center"/>
    </xf>
    <xf numFmtId="0" fontId="7" fillId="3" borderId="0" xfId="1" applyFont="1" applyFill="1"/>
    <xf numFmtId="14" fontId="7" fillId="3" borderId="0" xfId="1" applyNumberFormat="1" applyFont="1" applyFill="1"/>
    <xf numFmtId="0" fontId="13" fillId="0" borderId="4" xfId="1" applyFont="1" applyBorder="1" applyAlignment="1" applyProtection="1">
      <alignment horizontal="center" vertical="top" wrapText="1"/>
      <protection locked="0"/>
    </xf>
    <xf numFmtId="0" fontId="13" fillId="0" borderId="4" xfId="1" applyFont="1" applyBorder="1" applyAlignment="1" applyProtection="1">
      <alignment horizontal="center" vertical="top"/>
      <protection locked="0"/>
    </xf>
    <xf numFmtId="0" fontId="6" fillId="0" borderId="1" xfId="1" applyFont="1" applyBorder="1" applyAlignment="1">
      <alignment horizontal="left" vertical="top"/>
    </xf>
    <xf numFmtId="0" fontId="6" fillId="0" borderId="2" xfId="1" applyFont="1" applyBorder="1" applyAlignment="1">
      <alignment horizontal="left" vertical="top"/>
    </xf>
    <xf numFmtId="0" fontId="6" fillId="0" borderId="1" xfId="1" applyFont="1" applyBorder="1" applyAlignment="1">
      <alignment horizontal="left" vertical="top" wrapText="1"/>
    </xf>
    <xf numFmtId="0" fontId="6" fillId="0" borderId="2" xfId="1" applyFont="1" applyBorder="1" applyAlignment="1">
      <alignment horizontal="left" vertical="top" wrapText="1"/>
    </xf>
    <xf numFmtId="0" fontId="6" fillId="0" borderId="3" xfId="1" applyFont="1" applyBorder="1" applyAlignment="1">
      <alignment horizontal="left" vertical="top" wrapText="1"/>
    </xf>
    <xf numFmtId="0" fontId="13" fillId="0" borderId="4" xfId="1" applyFont="1" applyBorder="1" applyAlignment="1" applyProtection="1">
      <alignment horizontal="center" vertical="top"/>
      <protection locked="0"/>
    </xf>
    <xf numFmtId="9" fontId="13" fillId="2" borderId="4" xfId="1" applyNumberFormat="1" applyFont="1" applyFill="1" applyBorder="1" applyAlignment="1" applyProtection="1">
      <alignment horizontal="center" vertical="center" wrapText="1"/>
      <protection hidden="1"/>
    </xf>
    <xf numFmtId="0" fontId="13" fillId="0" borderId="4" xfId="1" applyFont="1" applyBorder="1" applyAlignment="1" applyProtection="1">
      <alignment horizontal="center" vertical="top" wrapText="1"/>
      <protection locked="0"/>
    </xf>
    <xf numFmtId="0" fontId="14" fillId="0" borderId="4" xfId="1" applyFont="1" applyBorder="1" applyAlignment="1" applyProtection="1">
      <alignment horizontal="left" vertical="top"/>
      <protection locked="0"/>
    </xf>
    <xf numFmtId="0" fontId="6" fillId="0" borderId="3" xfId="1" applyFont="1" applyBorder="1" applyAlignment="1">
      <alignment horizontal="left" vertical="top"/>
    </xf>
    <xf numFmtId="0" fontId="22" fillId="0" borderId="1" xfId="6" applyBorder="1" applyAlignment="1">
      <alignment horizontal="left" vertical="top"/>
    </xf>
    <xf numFmtId="0" fontId="6" fillId="0" borderId="5" xfId="1" applyFont="1" applyBorder="1" applyAlignment="1">
      <alignment horizontal="left" vertical="top" wrapText="1"/>
    </xf>
    <xf numFmtId="0" fontId="6" fillId="0" borderId="7" xfId="1" applyFont="1" applyBorder="1" applyAlignment="1">
      <alignment horizontal="left" vertical="top" wrapText="1"/>
    </xf>
    <xf numFmtId="0" fontId="6" fillId="0" borderId="8" xfId="1" applyFont="1" applyBorder="1" applyAlignment="1">
      <alignment horizontal="left" vertical="top" wrapText="1"/>
    </xf>
    <xf numFmtId="0" fontId="6" fillId="0" borderId="10" xfId="1" applyFont="1" applyBorder="1" applyAlignment="1">
      <alignment horizontal="left" vertical="top" wrapText="1"/>
    </xf>
    <xf numFmtId="0" fontId="6" fillId="2" borderId="1" xfId="1" applyFont="1" applyFill="1" applyBorder="1" applyAlignment="1">
      <alignment horizontal="left" vertical="top" wrapText="1"/>
    </xf>
    <xf numFmtId="0" fontId="6" fillId="2" borderId="2" xfId="1" applyFont="1" applyFill="1" applyBorder="1" applyAlignment="1">
      <alignment horizontal="left" vertical="top" wrapText="1"/>
    </xf>
    <xf numFmtId="0" fontId="6" fillId="2" borderId="3" xfId="1" applyFont="1" applyFill="1" applyBorder="1" applyAlignment="1">
      <alignment horizontal="left" vertical="top" wrapText="1"/>
    </xf>
    <xf numFmtId="0" fontId="13" fillId="0" borderId="1" xfId="1" applyFont="1" applyBorder="1" applyAlignment="1">
      <alignment horizontal="left" vertical="top" wrapText="1"/>
    </xf>
    <xf numFmtId="0" fontId="13" fillId="0" borderId="2" xfId="1" applyFont="1" applyBorder="1" applyAlignment="1">
      <alignment horizontal="left" vertical="top" wrapText="1"/>
    </xf>
    <xf numFmtId="0" fontId="13" fillId="0" borderId="3" xfId="1" applyFont="1" applyBorder="1" applyAlignment="1">
      <alignment horizontal="left" vertical="top" wrapText="1"/>
    </xf>
    <xf numFmtId="0" fontId="13" fillId="0" borderId="1" xfId="1" applyFont="1" applyBorder="1" applyAlignment="1">
      <alignment horizontal="left" vertical="top"/>
    </xf>
    <xf numFmtId="0" fontId="13" fillId="0" borderId="2" xfId="1" applyFont="1" applyBorder="1" applyAlignment="1">
      <alignment horizontal="left" vertical="top"/>
    </xf>
    <xf numFmtId="0" fontId="14" fillId="0" borderId="14" xfId="1" applyFont="1" applyBorder="1" applyAlignment="1" applyProtection="1">
      <alignment horizontal="center" vertical="top" wrapText="1"/>
      <protection locked="0"/>
    </xf>
    <xf numFmtId="0" fontId="14" fillId="0" borderId="15" xfId="1" applyFont="1" applyBorder="1" applyAlignment="1" applyProtection="1">
      <alignment horizontal="center" vertical="top" wrapText="1"/>
      <protection locked="0"/>
    </xf>
    <xf numFmtId="0" fontId="14" fillId="0" borderId="16" xfId="1" applyFont="1" applyBorder="1" applyAlignment="1" applyProtection="1">
      <alignment horizontal="left" vertical="top" wrapText="1"/>
      <protection locked="0"/>
    </xf>
    <xf numFmtId="0" fontId="14" fillId="0" borderId="17" xfId="1" applyFont="1" applyBorder="1" applyAlignment="1" applyProtection="1">
      <alignment horizontal="left" vertical="top" wrapText="1"/>
      <protection locked="0"/>
    </xf>
    <xf numFmtId="0" fontId="13" fillId="0" borderId="19" xfId="1" applyFont="1" applyBorder="1" applyAlignment="1" applyProtection="1">
      <alignment horizontal="center" vertical="top"/>
      <protection locked="0"/>
    </xf>
    <xf numFmtId="0" fontId="8" fillId="0" borderId="1" xfId="1" applyFont="1" applyBorder="1" applyAlignment="1">
      <alignment vertical="top"/>
    </xf>
    <xf numFmtId="0" fontId="8" fillId="0" borderId="2" xfId="1" applyFont="1" applyBorder="1" applyAlignment="1">
      <alignment vertical="top"/>
    </xf>
    <xf numFmtId="0" fontId="8" fillId="0" borderId="3" xfId="1" applyFont="1" applyBorder="1" applyAlignment="1">
      <alignment vertical="top"/>
    </xf>
    <xf numFmtId="0" fontId="6" fillId="0" borderId="1" xfId="1" applyFont="1" applyBorder="1" applyAlignment="1">
      <alignment horizontal="center" vertical="top"/>
    </xf>
    <xf numFmtId="0" fontId="6" fillId="0" borderId="3" xfId="1" applyFont="1" applyBorder="1" applyAlignment="1">
      <alignment horizontal="center" vertical="top"/>
    </xf>
    <xf numFmtId="0" fontId="13" fillId="0" borderId="1" xfId="1" applyFont="1" applyBorder="1" applyAlignment="1">
      <alignment horizontal="center" vertical="top" wrapText="1"/>
    </xf>
    <xf numFmtId="0" fontId="13" fillId="0" borderId="3" xfId="1" applyFont="1" applyBorder="1" applyAlignment="1">
      <alignment horizontal="center" vertical="top" wrapText="1"/>
    </xf>
    <xf numFmtId="0" fontId="13" fillId="0" borderId="2" xfId="1" applyFont="1" applyBorder="1" applyAlignment="1">
      <alignment horizontal="center" vertical="top" wrapText="1"/>
    </xf>
    <xf numFmtId="0" fontId="13" fillId="0" borderId="3" xfId="1" applyFont="1" applyBorder="1" applyAlignment="1">
      <alignment horizontal="left" vertical="top"/>
    </xf>
    <xf numFmtId="0" fontId="14" fillId="0" borderId="4" xfId="1" applyFont="1" applyBorder="1" applyAlignment="1" applyProtection="1">
      <alignment horizontal="center" vertical="top" wrapText="1"/>
      <protection locked="0"/>
    </xf>
    <xf numFmtId="0" fontId="14" fillId="0" borderId="4" xfId="1" applyFont="1" applyBorder="1" applyAlignment="1" applyProtection="1">
      <alignment horizontal="left" vertical="top" wrapText="1"/>
      <protection locked="0"/>
    </xf>
    <xf numFmtId="1" fontId="6" fillId="0" borderId="4" xfId="1" applyNumberFormat="1" applyFont="1" applyBorder="1" applyAlignment="1">
      <alignment horizontal="center" vertical="center" wrapText="1"/>
    </xf>
    <xf numFmtId="1" fontId="8" fillId="0" borderId="1" xfId="1" applyNumberFormat="1" applyFont="1" applyBorder="1" applyAlignment="1">
      <alignment horizontal="center" vertical="center" wrapText="1"/>
    </xf>
    <xf numFmtId="1" fontId="8" fillId="0" borderId="2" xfId="1" applyNumberFormat="1" applyFont="1" applyBorder="1" applyAlignment="1">
      <alignment horizontal="center" vertical="center" wrapText="1"/>
    </xf>
    <xf numFmtId="1" fontId="8" fillId="0" borderId="3" xfId="1" applyNumberFormat="1" applyFont="1" applyBorder="1" applyAlignment="1">
      <alignment horizontal="center" vertical="center" wrapText="1"/>
    </xf>
    <xf numFmtId="1" fontId="6" fillId="0" borderId="1" xfId="1" applyNumberFormat="1" applyFont="1" applyBorder="1" applyAlignment="1">
      <alignment horizontal="center" vertical="center" wrapText="1"/>
    </xf>
    <xf numFmtId="1" fontId="6" fillId="0" borderId="3" xfId="1" applyNumberFormat="1" applyFont="1" applyBorder="1" applyAlignment="1">
      <alignment horizontal="center" vertical="center" wrapText="1"/>
    </xf>
    <xf numFmtId="1" fontId="6" fillId="0" borderId="5" xfId="1" applyNumberFormat="1" applyFont="1" applyBorder="1" applyAlignment="1">
      <alignment horizontal="center" vertical="center" wrapText="1"/>
    </xf>
    <xf numFmtId="1" fontId="6" fillId="0" borderId="7" xfId="1" applyNumberFormat="1" applyFont="1" applyBorder="1" applyAlignment="1">
      <alignment horizontal="center" vertical="center" wrapText="1"/>
    </xf>
    <xf numFmtId="1" fontId="6" fillId="0" borderId="11" xfId="1" applyNumberFormat="1" applyFont="1" applyBorder="1" applyAlignment="1">
      <alignment horizontal="center" vertical="center" wrapText="1"/>
    </xf>
    <xf numFmtId="1" fontId="6" fillId="0" borderId="12" xfId="1" applyNumberFormat="1" applyFont="1" applyBorder="1" applyAlignment="1">
      <alignment horizontal="center" vertical="center" wrapText="1"/>
    </xf>
    <xf numFmtId="1" fontId="6" fillId="0" borderId="8" xfId="1" applyNumberFormat="1" applyFont="1" applyBorder="1" applyAlignment="1">
      <alignment horizontal="center" vertical="center" wrapText="1"/>
    </xf>
    <xf numFmtId="1" fontId="6" fillId="0" borderId="10" xfId="1" applyNumberFormat="1" applyFont="1" applyBorder="1" applyAlignment="1">
      <alignment horizontal="center" vertical="center" wrapText="1"/>
    </xf>
    <xf numFmtId="0" fontId="13" fillId="0" borderId="18" xfId="1" applyFont="1" applyBorder="1" applyAlignment="1" applyProtection="1">
      <alignment horizontal="center" vertical="top"/>
      <protection locked="0"/>
    </xf>
    <xf numFmtId="0" fontId="13" fillId="0" borderId="1" xfId="1" applyFont="1" applyBorder="1" applyAlignment="1" applyProtection="1">
      <alignment horizontal="center" vertical="top"/>
      <protection locked="0"/>
    </xf>
    <xf numFmtId="1" fontId="14" fillId="0" borderId="1" xfId="1" applyNumberFormat="1" applyFont="1" applyBorder="1" applyAlignment="1">
      <alignment horizontal="center" vertical="center" wrapText="1"/>
    </xf>
    <xf numFmtId="1" fontId="14" fillId="0" borderId="2" xfId="1" applyNumberFormat="1" applyFont="1" applyBorder="1" applyAlignment="1">
      <alignment horizontal="center" vertical="center" wrapText="1"/>
    </xf>
    <xf numFmtId="1" fontId="14" fillId="0" borderId="3" xfId="1" applyNumberFormat="1" applyFont="1" applyBorder="1" applyAlignment="1">
      <alignment horizontal="center" vertical="center" wrapText="1"/>
    </xf>
    <xf numFmtId="1" fontId="14" fillId="0" borderId="4" xfId="1" applyNumberFormat="1" applyFont="1" applyBorder="1" applyAlignment="1">
      <alignment horizontal="center" vertical="center" wrapText="1"/>
    </xf>
    <xf numFmtId="0" fontId="13" fillId="0" borderId="21" xfId="1" applyFont="1" applyBorder="1" applyAlignment="1" applyProtection="1">
      <alignment horizontal="center" vertical="top"/>
      <protection locked="0"/>
    </xf>
    <xf numFmtId="0" fontId="13" fillId="0" borderId="22" xfId="1" applyFont="1" applyBorder="1" applyAlignment="1" applyProtection="1">
      <alignment horizontal="center" vertical="top"/>
      <protection locked="0"/>
    </xf>
    <xf numFmtId="9" fontId="13" fillId="2" borderId="23" xfId="1" applyNumberFormat="1" applyFont="1" applyFill="1" applyBorder="1" applyAlignment="1" applyProtection="1">
      <alignment horizontal="center" vertical="center" wrapText="1"/>
      <protection hidden="1"/>
    </xf>
    <xf numFmtId="9" fontId="13" fillId="2" borderId="19" xfId="1" applyNumberFormat="1" applyFont="1" applyFill="1" applyBorder="1" applyAlignment="1" applyProtection="1">
      <alignment horizontal="center" vertical="center" wrapText="1"/>
      <protection hidden="1"/>
    </xf>
    <xf numFmtId="9" fontId="13" fillId="2" borderId="24" xfId="1" applyNumberFormat="1" applyFont="1" applyFill="1" applyBorder="1" applyAlignment="1" applyProtection="1">
      <alignment horizontal="center" vertical="center" wrapText="1"/>
      <protection hidden="1"/>
    </xf>
    <xf numFmtId="0" fontId="14" fillId="0" borderId="18" xfId="1" applyFont="1" applyBorder="1" applyAlignment="1" applyProtection="1">
      <alignment horizontal="left" vertical="top"/>
      <protection locked="0"/>
    </xf>
    <xf numFmtId="0" fontId="14" fillId="0" borderId="1" xfId="1" applyFont="1" applyBorder="1" applyAlignment="1" applyProtection="1">
      <alignment horizontal="left" vertical="top"/>
      <protection locked="0"/>
    </xf>
    <xf numFmtId="0" fontId="14" fillId="0" borderId="19" xfId="1" applyFont="1" applyBorder="1" applyAlignment="1" applyProtection="1">
      <alignment horizontal="left" vertical="top" wrapText="1"/>
      <protection locked="0"/>
    </xf>
    <xf numFmtId="0" fontId="13" fillId="0" borderId="20" xfId="1" applyFont="1" applyBorder="1" applyAlignment="1" applyProtection="1">
      <alignment horizontal="center" vertical="top"/>
      <protection locked="0"/>
    </xf>
    <xf numFmtId="0" fontId="13" fillId="0" borderId="2" xfId="1" applyFont="1" applyBorder="1" applyAlignment="1" applyProtection="1">
      <alignment horizontal="center" vertical="top"/>
      <protection locked="0"/>
    </xf>
    <xf numFmtId="0" fontId="13" fillId="0" borderId="19" xfId="1" applyFont="1" applyBorder="1" applyAlignment="1" applyProtection="1">
      <alignment horizontal="center" vertical="top" wrapText="1"/>
      <protection locked="0"/>
    </xf>
    <xf numFmtId="0" fontId="13" fillId="0" borderId="18"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1" fontId="6" fillId="0" borderId="1" xfId="0" applyNumberFormat="1" applyFont="1" applyBorder="1" applyAlignment="1">
      <alignment horizontal="center" vertical="center" wrapText="1"/>
    </xf>
    <xf numFmtId="1" fontId="6" fillId="0" borderId="3" xfId="0" applyNumberFormat="1" applyFont="1" applyBorder="1" applyAlignment="1">
      <alignment horizontal="center" vertical="center" wrapText="1"/>
    </xf>
    <xf numFmtId="1" fontId="7" fillId="0" borderId="1" xfId="0" applyNumberFormat="1" applyFont="1" applyBorder="1" applyAlignment="1">
      <alignment horizontal="center" vertical="top" wrapText="1"/>
    </xf>
    <xf numFmtId="1" fontId="7" fillId="0" borderId="2" xfId="0" applyNumberFormat="1" applyFont="1" applyBorder="1" applyAlignment="1">
      <alignment horizontal="center" vertical="top" wrapText="1"/>
    </xf>
    <xf numFmtId="1" fontId="7" fillId="0" borderId="3" xfId="0" applyNumberFormat="1" applyFont="1" applyBorder="1" applyAlignment="1">
      <alignment horizontal="center" vertical="top" wrapText="1"/>
    </xf>
    <xf numFmtId="1" fontId="8" fillId="0" borderId="4" xfId="1" applyNumberFormat="1" applyFont="1" applyBorder="1" applyAlignment="1">
      <alignment horizontal="center" vertical="center" wrapText="1"/>
    </xf>
    <xf numFmtId="1" fontId="8" fillId="0" borderId="1" xfId="0" applyNumberFormat="1" applyFont="1" applyBorder="1" applyAlignment="1">
      <alignment horizontal="center" vertical="center" wrapText="1"/>
    </xf>
    <xf numFmtId="1" fontId="8" fillId="0" borderId="2" xfId="0" applyNumberFormat="1" applyFont="1" applyBorder="1" applyAlignment="1">
      <alignment horizontal="center" vertical="center" wrapText="1"/>
    </xf>
    <xf numFmtId="1" fontId="14" fillId="0" borderId="1" xfId="0" applyNumberFormat="1" applyFont="1" applyBorder="1" applyAlignment="1">
      <alignment horizontal="center" vertical="top" wrapText="1"/>
    </xf>
    <xf numFmtId="1" fontId="14" fillId="0" borderId="2" xfId="0" applyNumberFormat="1" applyFont="1" applyBorder="1" applyAlignment="1">
      <alignment horizontal="center" vertical="top" wrapText="1"/>
    </xf>
    <xf numFmtId="1" fontId="14" fillId="0" borderId="3" xfId="0" applyNumberFormat="1" applyFont="1" applyBorder="1" applyAlignment="1">
      <alignment horizontal="center" vertical="top" wrapText="1"/>
    </xf>
    <xf numFmtId="1" fontId="8" fillId="0" borderId="1" xfId="0" applyNumberFormat="1" applyFont="1" applyBorder="1" applyAlignment="1">
      <alignment horizontal="center" vertical="top" wrapText="1"/>
    </xf>
    <xf numFmtId="1" fontId="8" fillId="0" borderId="2" xfId="0" applyNumberFormat="1" applyFont="1" applyBorder="1" applyAlignment="1">
      <alignment horizontal="center" vertical="top" wrapText="1"/>
    </xf>
    <xf numFmtId="1" fontId="8" fillId="0" borderId="3" xfId="0" applyNumberFormat="1" applyFont="1" applyBorder="1" applyAlignment="1">
      <alignment horizontal="center" vertical="top" wrapText="1"/>
    </xf>
    <xf numFmtId="0" fontId="8" fillId="0" borderId="1" xfId="1" applyFont="1" applyBorder="1" applyAlignment="1">
      <alignment horizontal="center" vertical="top"/>
    </xf>
    <xf numFmtId="0" fontId="8" fillId="0" borderId="2" xfId="1" applyFont="1" applyBorder="1" applyAlignment="1">
      <alignment horizontal="center" vertical="top"/>
    </xf>
    <xf numFmtId="0" fontId="8" fillId="0" borderId="3" xfId="1" applyFont="1" applyBorder="1" applyAlignment="1">
      <alignment horizontal="center" vertical="top"/>
    </xf>
    <xf numFmtId="0" fontId="8" fillId="0" borderId="1" xfId="1" applyFont="1" applyBorder="1" applyAlignment="1">
      <alignment horizontal="left" vertical="top"/>
    </xf>
    <xf numFmtId="0" fontId="8" fillId="0" borderId="2" xfId="1" applyFont="1" applyBorder="1" applyAlignment="1">
      <alignment horizontal="left" vertical="top"/>
    </xf>
    <xf numFmtId="0" fontId="8" fillId="0" borderId="3" xfId="1" applyFont="1" applyBorder="1" applyAlignment="1">
      <alignment horizontal="left" vertical="top"/>
    </xf>
    <xf numFmtId="0" fontId="6" fillId="2" borderId="1" xfId="1" applyFont="1" applyFill="1" applyBorder="1" applyAlignment="1">
      <alignment horizontal="left" vertical="top"/>
    </xf>
    <xf numFmtId="0" fontId="6" fillId="2" borderId="2" xfId="1" applyFont="1" applyFill="1" applyBorder="1" applyAlignment="1">
      <alignment horizontal="left" vertical="top"/>
    </xf>
    <xf numFmtId="0" fontId="6" fillId="2" borderId="3" xfId="1" applyFont="1" applyFill="1" applyBorder="1" applyAlignment="1">
      <alignment horizontal="left" vertical="top"/>
    </xf>
    <xf numFmtId="1" fontId="8" fillId="0" borderId="3" xfId="0" applyNumberFormat="1" applyFont="1" applyBorder="1" applyAlignment="1">
      <alignment horizontal="center" vertical="center" wrapText="1"/>
    </xf>
    <xf numFmtId="0" fontId="10" fillId="0" borderId="1" xfId="0" applyFont="1" applyBorder="1" applyAlignment="1">
      <alignment horizontal="center" vertical="top" wrapText="1"/>
    </xf>
    <xf numFmtId="0" fontId="10" fillId="0" borderId="2" xfId="0" applyFont="1" applyBorder="1" applyAlignment="1">
      <alignment horizontal="center" vertical="top" wrapText="1"/>
    </xf>
    <xf numFmtId="0" fontId="10" fillId="0" borderId="3" xfId="0" applyFont="1" applyBorder="1" applyAlignment="1">
      <alignment horizontal="center" vertical="top" wrapText="1"/>
    </xf>
    <xf numFmtId="0" fontId="8" fillId="0" borderId="1" xfId="1" applyFont="1" applyBorder="1" applyAlignment="1">
      <alignment horizontal="left" vertical="top" wrapText="1"/>
    </xf>
    <xf numFmtId="0" fontId="8" fillId="2" borderId="1" xfId="1" applyFont="1" applyFill="1" applyBorder="1" applyAlignment="1">
      <alignment horizontal="left" vertical="top"/>
    </xf>
    <xf numFmtId="0" fontId="8" fillId="2" borderId="2" xfId="1" applyFont="1" applyFill="1" applyBorder="1" applyAlignment="1">
      <alignment horizontal="left" vertical="top"/>
    </xf>
    <xf numFmtId="0" fontId="8" fillId="2" borderId="3" xfId="1" applyFont="1" applyFill="1" applyBorder="1" applyAlignment="1">
      <alignment horizontal="left" vertical="top"/>
    </xf>
    <xf numFmtId="0" fontId="14" fillId="0" borderId="1" xfId="1" applyFont="1" applyBorder="1" applyAlignment="1">
      <alignment horizontal="left" vertical="top"/>
    </xf>
    <xf numFmtId="0" fontId="14" fillId="0" borderId="3" xfId="1" applyFont="1" applyBorder="1" applyAlignment="1">
      <alignment horizontal="left" vertical="top"/>
    </xf>
    <xf numFmtId="0" fontId="14" fillId="0" borderId="1" xfId="1" applyFont="1" applyBorder="1" applyAlignment="1">
      <alignment horizontal="left" vertical="top" wrapText="1"/>
    </xf>
    <xf numFmtId="0" fontId="14" fillId="0" borderId="2" xfId="1" applyFont="1" applyBorder="1" applyAlignment="1">
      <alignment horizontal="left" vertical="top" wrapText="1"/>
    </xf>
    <xf numFmtId="0" fontId="14" fillId="0" borderId="3" xfId="1" applyFont="1" applyBorder="1" applyAlignment="1">
      <alignment horizontal="left" vertical="top" wrapText="1"/>
    </xf>
    <xf numFmtId="1" fontId="6" fillId="0" borderId="0" xfId="1" applyNumberFormat="1" applyFont="1" applyAlignment="1">
      <alignment horizontal="center" vertical="center" wrapText="1"/>
    </xf>
    <xf numFmtId="0" fontId="10" fillId="0" borderId="0" xfId="1" applyFont="1" applyAlignment="1">
      <alignment horizontal="left"/>
    </xf>
    <xf numFmtId="0" fontId="14" fillId="0" borderId="4" xfId="2" applyFont="1" applyBorder="1" applyAlignment="1">
      <alignment horizontal="left" vertical="top" wrapText="1"/>
    </xf>
    <xf numFmtId="0" fontId="6" fillId="0" borderId="1" xfId="1" applyFont="1" applyBorder="1" applyAlignment="1">
      <alignment vertical="top"/>
    </xf>
    <xf numFmtId="0" fontId="6" fillId="0" borderId="2" xfId="1" applyFont="1" applyBorder="1" applyAlignment="1">
      <alignment vertical="top"/>
    </xf>
    <xf numFmtId="0" fontId="6" fillId="0" borderId="3" xfId="1" applyFont="1" applyBorder="1" applyAlignment="1">
      <alignment vertical="top"/>
    </xf>
    <xf numFmtId="0" fontId="8" fillId="0" borderId="0" xfId="1" applyFont="1" applyAlignment="1">
      <alignment horizontal="left" vertical="top"/>
    </xf>
    <xf numFmtId="0" fontId="8" fillId="0" borderId="4" xfId="1" applyFont="1" applyBorder="1" applyAlignment="1">
      <alignment horizontal="center" vertical="top" wrapText="1"/>
    </xf>
    <xf numFmtId="0" fontId="4" fillId="0" borderId="4" xfId="1" applyFont="1" applyBorder="1" applyAlignment="1">
      <alignment horizontal="center" vertical="top" wrapText="1"/>
    </xf>
    <xf numFmtId="0" fontId="18" fillId="0" borderId="4" xfId="1" applyFont="1" applyBorder="1" applyAlignment="1">
      <alignment horizontal="center" vertical="top" wrapText="1"/>
    </xf>
    <xf numFmtId="1" fontId="8" fillId="0" borderId="4" xfId="0" applyNumberFormat="1" applyFont="1" applyBorder="1" applyAlignment="1">
      <alignment horizontal="left" vertical="top" wrapText="1"/>
    </xf>
    <xf numFmtId="1" fontId="8" fillId="0" borderId="1" xfId="1" applyNumberFormat="1" applyFont="1" applyBorder="1" applyAlignment="1">
      <alignment horizontal="center" vertical="top" wrapText="1"/>
    </xf>
    <xf numFmtId="1" fontId="8" fillId="0" borderId="3" xfId="1" applyNumberFormat="1" applyFont="1" applyBorder="1" applyAlignment="1">
      <alignment horizontal="center" vertical="top" wrapText="1"/>
    </xf>
    <xf numFmtId="0" fontId="6" fillId="0" borderId="4" xfId="1" applyFont="1" applyBorder="1" applyAlignment="1">
      <alignment horizontal="left" vertical="top"/>
    </xf>
    <xf numFmtId="14" fontId="6" fillId="0" borderId="4" xfId="1" applyNumberFormat="1" applyFont="1" applyBorder="1" applyAlignment="1">
      <alignment horizontal="center" vertical="top"/>
    </xf>
    <xf numFmtId="0" fontId="7" fillId="0" borderId="3" xfId="1" applyFont="1" applyBorder="1" applyAlignment="1">
      <alignment horizontal="left"/>
    </xf>
    <xf numFmtId="14" fontId="13" fillId="0" borderId="1" xfId="1" applyNumberFormat="1" applyFont="1" applyBorder="1" applyAlignment="1">
      <alignment horizontal="left" vertical="top"/>
    </xf>
    <xf numFmtId="165" fontId="6" fillId="0" borderId="4" xfId="1" applyNumberFormat="1" applyFont="1" applyBorder="1" applyAlignment="1">
      <alignment horizontal="left" vertical="top" wrapText="1"/>
    </xf>
    <xf numFmtId="14" fontId="6" fillId="0" borderId="1" xfId="1" applyNumberFormat="1" applyFont="1" applyBorder="1" applyAlignment="1">
      <alignment horizontal="left" vertical="top" wrapText="1"/>
    </xf>
    <xf numFmtId="14" fontId="6" fillId="0" borderId="2" xfId="1" applyNumberFormat="1" applyFont="1" applyBorder="1" applyAlignment="1">
      <alignment horizontal="left" vertical="top" wrapText="1"/>
    </xf>
    <xf numFmtId="14" fontId="6" fillId="0" borderId="3" xfId="1" applyNumberFormat="1" applyFont="1" applyBorder="1" applyAlignment="1">
      <alignment horizontal="left" vertical="top" wrapText="1"/>
    </xf>
    <xf numFmtId="164" fontId="6" fillId="0" borderId="4" xfId="1" applyNumberFormat="1" applyFont="1" applyBorder="1" applyAlignment="1">
      <alignment horizontal="left" vertical="top"/>
    </xf>
    <xf numFmtId="164" fontId="6" fillId="0" borderId="1" xfId="1" applyNumberFormat="1" applyFont="1" applyBorder="1" applyAlignment="1">
      <alignment horizontal="left" vertical="top"/>
    </xf>
    <xf numFmtId="164" fontId="6" fillId="0" borderId="2" xfId="1" applyNumberFormat="1" applyFont="1" applyBorder="1" applyAlignment="1">
      <alignment horizontal="left" vertical="top"/>
    </xf>
    <xf numFmtId="164" fontId="6" fillId="0" borderId="3" xfId="1" applyNumberFormat="1" applyFont="1" applyBorder="1" applyAlignment="1">
      <alignment horizontal="left" vertical="top"/>
    </xf>
    <xf numFmtId="165" fontId="6" fillId="0" borderId="1" xfId="1" applyNumberFormat="1" applyFont="1" applyBorder="1" applyAlignment="1">
      <alignment horizontal="left" vertical="top"/>
    </xf>
    <xf numFmtId="165" fontId="6" fillId="0" borderId="2" xfId="1" applyNumberFormat="1" applyFont="1" applyBorder="1" applyAlignment="1">
      <alignment horizontal="left" vertical="top"/>
    </xf>
    <xf numFmtId="165" fontId="6" fillId="0" borderId="3" xfId="1" applyNumberFormat="1" applyFont="1" applyBorder="1" applyAlignment="1">
      <alignment horizontal="left" vertical="top"/>
    </xf>
    <xf numFmtId="0" fontId="13" fillId="0" borderId="4" xfId="1" applyFont="1" applyBorder="1" applyAlignment="1">
      <alignment horizontal="left" vertical="top"/>
    </xf>
    <xf numFmtId="0" fontId="7" fillId="0" borderId="1" xfId="1" applyFont="1" applyBorder="1" applyAlignment="1" applyProtection="1">
      <alignment horizontal="left" vertical="center" wrapText="1"/>
      <protection locked="0"/>
    </xf>
    <xf numFmtId="0" fontId="7" fillId="0" borderId="2" xfId="1" applyFont="1" applyBorder="1" applyAlignment="1" applyProtection="1">
      <alignment horizontal="left" vertical="center" wrapText="1"/>
      <protection locked="0"/>
    </xf>
    <xf numFmtId="0" fontId="7" fillId="0" borderId="3" xfId="1" applyFont="1" applyBorder="1" applyAlignment="1" applyProtection="1">
      <alignment horizontal="left" vertical="center" wrapText="1"/>
      <protection locked="0"/>
    </xf>
    <xf numFmtId="0" fontId="6" fillId="2" borderId="4" xfId="1" applyFont="1" applyFill="1" applyBorder="1" applyAlignment="1">
      <alignment horizontal="left" vertical="top"/>
    </xf>
    <xf numFmtId="0" fontId="6" fillId="0" borderId="4" xfId="1" applyFont="1" applyBorder="1" applyAlignment="1">
      <alignment horizontal="left" vertical="top" wrapText="1"/>
    </xf>
    <xf numFmtId="0" fontId="13" fillId="0" borderId="4" xfId="1" applyFont="1" applyBorder="1" applyAlignment="1">
      <alignment horizontal="left"/>
    </xf>
    <xf numFmtId="14" fontId="6" fillId="0" borderId="1" xfId="1" applyNumberFormat="1" applyFont="1" applyBorder="1" applyAlignment="1">
      <alignment horizontal="left" vertical="top"/>
    </xf>
    <xf numFmtId="14" fontId="6" fillId="0" borderId="2" xfId="1" applyNumberFormat="1" applyFont="1" applyBorder="1" applyAlignment="1">
      <alignment horizontal="left" vertical="top"/>
    </xf>
    <xf numFmtId="14" fontId="6" fillId="0" borderId="3" xfId="1" applyNumberFormat="1" applyFont="1" applyBorder="1" applyAlignment="1">
      <alignment horizontal="left" vertical="top"/>
    </xf>
    <xf numFmtId="0" fontId="12" fillId="0" borderId="1" xfId="1" applyFont="1" applyBorder="1" applyAlignment="1">
      <alignment horizontal="center" vertical="top" wrapText="1"/>
    </xf>
    <xf numFmtId="0" fontId="12" fillId="0" borderId="2" xfId="1" applyFont="1" applyBorder="1" applyAlignment="1">
      <alignment horizontal="center" vertical="top" wrapText="1"/>
    </xf>
    <xf numFmtId="0" fontId="12" fillId="0" borderId="3" xfId="1" applyFont="1" applyBorder="1" applyAlignment="1">
      <alignment horizontal="center" vertical="top" wrapText="1"/>
    </xf>
    <xf numFmtId="0" fontId="7" fillId="0" borderId="1" xfId="1" applyFont="1" applyBorder="1" applyAlignment="1">
      <alignment horizontal="center" vertical="top"/>
    </xf>
    <xf numFmtId="0" fontId="7" fillId="0" borderId="3" xfId="1" applyFont="1" applyBorder="1" applyAlignment="1">
      <alignment horizontal="center" vertical="top"/>
    </xf>
    <xf numFmtId="0" fontId="6" fillId="0" borderId="6" xfId="1" applyFont="1" applyBorder="1" applyAlignment="1">
      <alignment horizontal="left" vertical="top" wrapText="1"/>
    </xf>
    <xf numFmtId="0" fontId="6" fillId="0" borderId="9" xfId="1" applyFont="1" applyBorder="1" applyAlignment="1">
      <alignment horizontal="left" vertical="top" wrapText="1"/>
    </xf>
    <xf numFmtId="0" fontId="6" fillId="0" borderId="5" xfId="1" applyFont="1" applyBorder="1" applyAlignment="1">
      <alignment horizontal="left" vertical="top"/>
    </xf>
    <xf numFmtId="0" fontId="6" fillId="0" borderId="6" xfId="1" applyFont="1" applyBorder="1" applyAlignment="1">
      <alignment horizontal="left" vertical="top"/>
    </xf>
    <xf numFmtId="0" fontId="6" fillId="0" borderId="7" xfId="1" applyFont="1" applyBorder="1" applyAlignment="1">
      <alignment horizontal="left" vertical="top"/>
    </xf>
    <xf numFmtId="0" fontId="6" fillId="0" borderId="8" xfId="1" applyFont="1" applyBorder="1" applyAlignment="1">
      <alignment horizontal="left" vertical="top"/>
    </xf>
    <xf numFmtId="0" fontId="6" fillId="0" borderId="9" xfId="1" applyFont="1" applyBorder="1" applyAlignment="1">
      <alignment horizontal="left" vertical="top"/>
    </xf>
    <xf numFmtId="0" fontId="6" fillId="0" borderId="10" xfId="1" applyFont="1" applyBorder="1" applyAlignment="1">
      <alignment horizontal="left" vertical="top"/>
    </xf>
    <xf numFmtId="0" fontId="13" fillId="0" borderId="4" xfId="1" applyFont="1" applyBorder="1" applyAlignment="1" applyProtection="1">
      <alignment horizontal="left" vertical="center" wrapText="1"/>
      <protection locked="0"/>
    </xf>
    <xf numFmtId="0" fontId="6" fillId="0" borderId="1" xfId="1" applyFont="1" applyBorder="1" applyAlignment="1">
      <alignment horizontal="center" vertical="top" wrapText="1"/>
    </xf>
    <xf numFmtId="0" fontId="6" fillId="0" borderId="3" xfId="1" applyFont="1" applyBorder="1" applyAlignment="1">
      <alignment horizontal="center" vertical="top" wrapText="1"/>
    </xf>
    <xf numFmtId="0" fontId="8" fillId="0" borderId="4" xfId="1" applyFont="1" applyBorder="1" applyAlignment="1">
      <alignment horizontal="left" vertical="top"/>
    </xf>
    <xf numFmtId="14" fontId="6" fillId="2" borderId="1" xfId="1" applyNumberFormat="1" applyFont="1" applyFill="1" applyBorder="1" applyAlignment="1">
      <alignment horizontal="left" vertical="top"/>
    </xf>
    <xf numFmtId="0" fontId="9" fillId="0" borderId="4" xfId="0" applyFont="1" applyBorder="1" applyAlignment="1">
      <alignment horizontal="center"/>
    </xf>
    <xf numFmtId="0" fontId="9" fillId="0" borderId="4" xfId="0" applyFont="1" applyBorder="1" applyAlignment="1">
      <alignment horizontal="center" vertical="top" wrapText="1"/>
    </xf>
    <xf numFmtId="0" fontId="19" fillId="0" borderId="4" xfId="0" applyFont="1" applyBorder="1" applyAlignment="1">
      <alignment horizontal="center" vertical="top" wrapText="1"/>
    </xf>
    <xf numFmtId="0" fontId="9" fillId="0" borderId="1" xfId="0" applyFont="1" applyBorder="1" applyAlignment="1">
      <alignment horizontal="center"/>
    </xf>
    <xf numFmtId="0" fontId="9" fillId="0" borderId="2" xfId="0" applyFont="1" applyBorder="1" applyAlignment="1">
      <alignment horizontal="center"/>
    </xf>
    <xf numFmtId="0" fontId="9" fillId="0" borderId="3" xfId="0" applyFont="1" applyBorder="1" applyAlignment="1">
      <alignment horizontal="center"/>
    </xf>
    <xf numFmtId="0" fontId="16" fillId="0" borderId="4" xfId="0" applyFont="1" applyBorder="1" applyAlignment="1">
      <alignment horizontal="center"/>
    </xf>
    <xf numFmtId="0" fontId="16" fillId="3" borderId="4" xfId="0" applyFont="1" applyFill="1" applyBorder="1" applyAlignment="1">
      <alignment horizontal="center"/>
    </xf>
    <xf numFmtId="0" fontId="16" fillId="0" borderId="4" xfId="0" applyFont="1" applyBorder="1" applyAlignment="1">
      <alignment horizontal="left"/>
    </xf>
    <xf numFmtId="0" fontId="15" fillId="0" borderId="4" xfId="0" applyFont="1" applyBorder="1" applyAlignment="1">
      <alignment horizontal="center"/>
    </xf>
    <xf numFmtId="0" fontId="0" fillId="3" borderId="4" xfId="0" applyFill="1" applyBorder="1" applyAlignment="1">
      <alignment horizontal="center" wrapText="1"/>
    </xf>
  </cellXfs>
  <cellStyles count="7">
    <cellStyle name="Excel Built-in Normal" xfId="2"/>
    <cellStyle name="Excel Built-in Normal 2" xfId="5"/>
    <cellStyle name="Hyperlink" xfId="6" builtinId="8"/>
    <cellStyle name="Normal" xfId="0" builtinId="0"/>
    <cellStyle name="Normal 2" xfId="3"/>
    <cellStyle name="Normal 3" xfId="1"/>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jpe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jpe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0.png"/><Relationship Id="rId2" Type="http://schemas.openxmlformats.org/officeDocument/2006/relationships/image" Target="../media/image29.png"/><Relationship Id="rId1" Type="http://schemas.openxmlformats.org/officeDocument/2006/relationships/image" Target="../media/image28.png"/></Relationships>
</file>

<file path=xl/drawings/_rels/drawing3.xml.rels><?xml version="1.0" encoding="UTF-8" standalone="yes"?>
<Relationships xmlns="http://schemas.openxmlformats.org/package/2006/relationships"><Relationship Id="rId2" Type="http://schemas.openxmlformats.org/officeDocument/2006/relationships/image" Target="../media/image32.jpeg"/><Relationship Id="rId1" Type="http://schemas.openxmlformats.org/officeDocument/2006/relationships/image" Target="../media/image31.jpeg"/></Relationships>
</file>

<file path=xl/drawings/_rels/drawing4.xml.rels><?xml version="1.0" encoding="UTF-8" standalone="yes"?>
<Relationships xmlns="http://schemas.openxmlformats.org/package/2006/relationships"><Relationship Id="rId3" Type="http://schemas.openxmlformats.org/officeDocument/2006/relationships/image" Target="../media/image35.jpeg"/><Relationship Id="rId2" Type="http://schemas.openxmlformats.org/officeDocument/2006/relationships/image" Target="../media/image34.jpeg"/><Relationship Id="rId1" Type="http://schemas.openxmlformats.org/officeDocument/2006/relationships/image" Target="../media/image33.jpeg"/><Relationship Id="rId4" Type="http://schemas.openxmlformats.org/officeDocument/2006/relationships/image" Target="../media/image36.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4.jpeg"/><Relationship Id="rId1" Type="http://schemas.openxmlformats.org/officeDocument/2006/relationships/image" Target="../media/image3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7.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7.png"/><Relationship Id="rId1" Type="http://schemas.openxmlformats.org/officeDocument/2006/relationships/image" Target="../media/image26.png"/></Relationships>
</file>

<file path=xl/drawings/drawing1.xml><?xml version="1.0" encoding="utf-8"?>
<xdr:wsDr xmlns:xdr="http://schemas.openxmlformats.org/drawingml/2006/spreadsheetDrawing" xmlns:a="http://schemas.openxmlformats.org/drawingml/2006/main">
  <xdr:twoCellAnchor editAs="oneCell">
    <xdr:from>
      <xdr:col>1</xdr:col>
      <xdr:colOff>22973</xdr:colOff>
      <xdr:row>271</xdr:row>
      <xdr:rowOff>96252</xdr:rowOff>
    </xdr:from>
    <xdr:to>
      <xdr:col>8</xdr:col>
      <xdr:colOff>153780</xdr:colOff>
      <xdr:row>285</xdr:row>
      <xdr:rowOff>152370</xdr:rowOff>
    </xdr:to>
    <xdr:pic>
      <xdr:nvPicPr>
        <xdr:cNvPr id="17" name="Picture 16">
          <a:extLst>
            <a:ext uri="{FF2B5EF4-FFF2-40B4-BE49-F238E27FC236}">
              <a16:creationId xmlns:a16="http://schemas.microsoft.com/office/drawing/2014/main" id="{00000000-0008-0000-0000-000011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832598" y="58341627"/>
          <a:ext cx="4636132" cy="2856468"/>
        </a:xfrm>
        <a:prstGeom prst="rect">
          <a:avLst/>
        </a:prstGeom>
        <a:ln>
          <a:solidFill>
            <a:schemeClr val="tx1"/>
          </a:solidFill>
        </a:ln>
      </xdr:spPr>
    </xdr:pic>
    <xdr:clientData/>
  </xdr:twoCellAnchor>
  <xdr:twoCellAnchor editAs="oneCell">
    <xdr:from>
      <xdr:col>0</xdr:col>
      <xdr:colOff>851649</xdr:colOff>
      <xdr:row>256</xdr:row>
      <xdr:rowOff>123263</xdr:rowOff>
    </xdr:from>
    <xdr:to>
      <xdr:col>8</xdr:col>
      <xdr:colOff>141684</xdr:colOff>
      <xdr:row>271</xdr:row>
      <xdr:rowOff>11292</xdr:rowOff>
    </xdr:to>
    <xdr:pic>
      <xdr:nvPicPr>
        <xdr:cNvPr id="18" name="Picture 17">
          <a:extLst>
            <a:ext uri="{FF2B5EF4-FFF2-40B4-BE49-F238E27FC236}">
              <a16:creationId xmlns:a16="http://schemas.microsoft.com/office/drawing/2014/main" id="{00000000-0008-0000-0000-000012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851649" y="55132939"/>
          <a:ext cx="5005035" cy="2880000"/>
        </a:xfrm>
        <a:prstGeom prst="rect">
          <a:avLst/>
        </a:prstGeom>
        <a:ln>
          <a:solidFill>
            <a:schemeClr val="tx1"/>
          </a:solidFill>
        </a:ln>
      </xdr:spPr>
    </xdr:pic>
    <xdr:clientData/>
  </xdr:twoCellAnchor>
  <xdr:twoCellAnchor>
    <xdr:from>
      <xdr:col>12</xdr:col>
      <xdr:colOff>0</xdr:colOff>
      <xdr:row>211</xdr:row>
      <xdr:rowOff>0</xdr:rowOff>
    </xdr:from>
    <xdr:to>
      <xdr:col>12</xdr:col>
      <xdr:colOff>596574</xdr:colOff>
      <xdr:row>211</xdr:row>
      <xdr:rowOff>264560</xdr:rowOff>
    </xdr:to>
    <xdr:sp macro="" textlink="">
      <xdr:nvSpPr>
        <xdr:cNvPr id="22" name="TextBox 21"/>
        <xdr:cNvSpPr txBox="1"/>
      </xdr:nvSpPr>
      <xdr:spPr>
        <a:xfrm>
          <a:off x="8743950" y="46170850"/>
          <a:ext cx="59657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100"/>
            <a:t>B Wing</a:t>
          </a:r>
        </a:p>
      </xdr:txBody>
    </xdr:sp>
    <xdr:clientData/>
  </xdr:twoCellAnchor>
  <xdr:twoCellAnchor>
    <xdr:from>
      <xdr:col>10</xdr:col>
      <xdr:colOff>604404</xdr:colOff>
      <xdr:row>211</xdr:row>
      <xdr:rowOff>379267</xdr:rowOff>
    </xdr:from>
    <xdr:to>
      <xdr:col>19</xdr:col>
      <xdr:colOff>347505</xdr:colOff>
      <xdr:row>249</xdr:row>
      <xdr:rowOff>26842</xdr:rowOff>
    </xdr:to>
    <xdr:grpSp>
      <xdr:nvGrpSpPr>
        <xdr:cNvPr id="6" name="Group 5"/>
        <xdr:cNvGrpSpPr/>
      </xdr:nvGrpSpPr>
      <xdr:grpSpPr>
        <a:xfrm>
          <a:off x="7119504" y="46394542"/>
          <a:ext cx="6229626" cy="7505700"/>
          <a:chOff x="142875" y="47434499"/>
          <a:chExt cx="6229626" cy="7505700"/>
        </a:xfrm>
      </xdr:grpSpPr>
      <xdr:pic>
        <xdr:nvPicPr>
          <xdr:cNvPr id="20" name="Picture 19" descr="https://vsjcllp.vsjadon.com/upload/insp-236428-1525.jp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a:ext>
            </a:extLst>
          </a:blip>
          <a:srcRect/>
          <a:stretch>
            <a:fillRect/>
          </a:stretch>
        </xdr:blipFill>
        <xdr:spPr bwMode="auto">
          <a:xfrm>
            <a:off x="4886325" y="52968524"/>
            <a:ext cx="1477217" cy="19716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3" name="Picture 22" descr="https://vsjcllp.vsjadon.com/upload/insp-236428-845.jp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a:ext>
            </a:extLst>
          </a:blip>
          <a:srcRect/>
          <a:stretch>
            <a:fillRect/>
          </a:stretch>
        </xdr:blipFill>
        <xdr:spPr bwMode="auto">
          <a:xfrm>
            <a:off x="2276475" y="50225325"/>
            <a:ext cx="1981200" cy="264435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4" name="Picture 23" descr="https://vsjcllp.vsjadon.com/upload/insp-236428-844.jpg"/>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bwMode="auto">
          <a:xfrm>
            <a:off x="1781175" y="52958999"/>
            <a:ext cx="1477217" cy="19716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5" name="Picture 24" descr="https://vsjcllp.vsjadon.com/upload/insp-236428-847.jp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bwMode="auto">
          <a:xfrm>
            <a:off x="209550" y="50225325"/>
            <a:ext cx="1981200" cy="264435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6" name="Picture 25" descr="https://vsjcllp.vsjadon.com/upload/insp-236428-861.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4352925" y="50225325"/>
            <a:ext cx="1981200" cy="264435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2" name="Picture 41" descr="https://vsjcllp.vsjadon.com/upload/insp-236428-931.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3333750" y="52958999"/>
            <a:ext cx="1477217" cy="19716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3" name="Picture 42" descr="https://vsjcllp.vsjadon.com/upload/insp-236428-871.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209550" y="52958999"/>
            <a:ext cx="1477217" cy="19716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nvGrpSpPr>
          <xdr:cNvPr id="5" name="Group 4"/>
          <xdr:cNvGrpSpPr/>
        </xdr:nvGrpSpPr>
        <xdr:grpSpPr>
          <a:xfrm>
            <a:off x="142875" y="47434499"/>
            <a:ext cx="2019576" cy="2695575"/>
            <a:chOff x="142875" y="47434499"/>
            <a:chExt cx="2019576" cy="2695575"/>
          </a:xfrm>
        </xdr:grpSpPr>
        <xdr:pic>
          <xdr:nvPicPr>
            <xdr:cNvPr id="40" name="Picture 39" descr="https://vsjcllp.vsjadon.com/upload/insp-236428-880.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142875" y="47434499"/>
              <a:ext cx="2019576" cy="26955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46" name="TextBox 45"/>
            <xdr:cNvSpPr txBox="1"/>
          </xdr:nvSpPr>
          <xdr:spPr>
            <a:xfrm>
              <a:off x="1095375" y="47453549"/>
              <a:ext cx="569825" cy="2688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100"/>
                <a:t>A Wing</a:t>
              </a:r>
            </a:p>
          </xdr:txBody>
        </xdr:sp>
      </xdr:grpSp>
      <xdr:grpSp>
        <xdr:nvGrpSpPr>
          <xdr:cNvPr id="3" name="Group 2"/>
          <xdr:cNvGrpSpPr/>
        </xdr:nvGrpSpPr>
        <xdr:grpSpPr>
          <a:xfrm>
            <a:off x="2247900" y="47434499"/>
            <a:ext cx="2019576" cy="2695575"/>
            <a:chOff x="2247900" y="47434499"/>
            <a:chExt cx="2019576" cy="2695575"/>
          </a:xfrm>
        </xdr:grpSpPr>
        <xdr:pic>
          <xdr:nvPicPr>
            <xdr:cNvPr id="41" name="Picture 40" descr="https://vsjcllp.vsjadon.com/upload/insp-236428-883.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2247900" y="47434499"/>
              <a:ext cx="2019576" cy="26955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47" name="TextBox 46"/>
            <xdr:cNvSpPr txBox="1"/>
          </xdr:nvSpPr>
          <xdr:spPr>
            <a:xfrm>
              <a:off x="3686175" y="47434499"/>
              <a:ext cx="569825" cy="2688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100"/>
                <a:t>B Wing</a:t>
              </a:r>
            </a:p>
          </xdr:txBody>
        </xdr:sp>
      </xdr:grpSp>
      <xdr:grpSp>
        <xdr:nvGrpSpPr>
          <xdr:cNvPr id="2" name="Group 1"/>
          <xdr:cNvGrpSpPr/>
        </xdr:nvGrpSpPr>
        <xdr:grpSpPr>
          <a:xfrm>
            <a:off x="4352925" y="47434499"/>
            <a:ext cx="2019576" cy="2695575"/>
            <a:chOff x="4352925" y="47434499"/>
            <a:chExt cx="2019576" cy="2695575"/>
          </a:xfrm>
        </xdr:grpSpPr>
        <xdr:pic>
          <xdr:nvPicPr>
            <xdr:cNvPr id="21" name="Picture 20" descr="https://vsjcllp.vsjadon.com/upload/insp-236428-843.jp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a:ext>
              </a:extLst>
            </a:blip>
            <a:srcRect/>
            <a:stretch>
              <a:fillRect/>
            </a:stretch>
          </xdr:blipFill>
          <xdr:spPr bwMode="auto">
            <a:xfrm>
              <a:off x="4352925" y="47434499"/>
              <a:ext cx="2019576" cy="26955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48" name="TextBox 47"/>
            <xdr:cNvSpPr txBox="1"/>
          </xdr:nvSpPr>
          <xdr:spPr>
            <a:xfrm>
              <a:off x="4371975" y="47453549"/>
              <a:ext cx="638175" cy="2857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100"/>
                <a:t>C Wing</a:t>
              </a:r>
            </a:p>
          </xdr:txBody>
        </xdr:sp>
      </xdr:grpSp>
    </xdr:grpSp>
    <xdr:clientData/>
  </xdr:twoCellAnchor>
  <xdr:twoCellAnchor>
    <xdr:from>
      <xdr:col>0</xdr:col>
      <xdr:colOff>242277</xdr:colOff>
      <xdr:row>213</xdr:row>
      <xdr:rowOff>114299</xdr:rowOff>
    </xdr:from>
    <xdr:to>
      <xdr:col>9</xdr:col>
      <xdr:colOff>242457</xdr:colOff>
      <xdr:row>254</xdr:row>
      <xdr:rowOff>144303</xdr:rowOff>
    </xdr:to>
    <xdr:grpSp>
      <xdr:nvGrpSpPr>
        <xdr:cNvPr id="27" name="Group 26"/>
        <xdr:cNvGrpSpPr/>
      </xdr:nvGrpSpPr>
      <xdr:grpSpPr>
        <a:xfrm>
          <a:off x="242277" y="46786799"/>
          <a:ext cx="6058080" cy="8231029"/>
          <a:chOff x="-338494" y="656338"/>
          <a:chExt cx="7598349" cy="9554405"/>
        </a:xfrm>
      </xdr:grpSpPr>
      <xdr:pic>
        <xdr:nvPicPr>
          <xdr:cNvPr id="28" name="Picture 27" descr="https://vsjcllp.vsjadon.com/upload/insp-246868-1525.jp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3460034" y="8385280"/>
            <a:ext cx="1361456" cy="181716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9" name="Picture 28" descr="https://vsjcllp.vsjadon.com/upload/insp-246868-843.jpg"/>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4755043" y="656338"/>
            <a:ext cx="2391601" cy="31921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0" name="Picture 29" descr="https://vsjcllp.vsjadon.com/upload/insp-246868-844.jpg"/>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331754" y="679987"/>
            <a:ext cx="2391601" cy="31921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1" name="Picture 30" descr="https://vsjcllp.vsjadon.com/upload/insp-246868-862.jpg"/>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2202708" y="672944"/>
            <a:ext cx="2391601" cy="31921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2" name="Picture 31" descr="https://vsjcllp.vsjadon.com/upload/insp-246868-871.jpg"/>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338494" y="3985154"/>
            <a:ext cx="1805136" cy="240935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3" name="Picture 32" descr="https://vsjcllp.vsjadon.com/upload/insp-246868-877.jpg"/>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4017537" y="6507762"/>
            <a:ext cx="1334180" cy="178076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4" name="Picture 33" descr="https://vsjcllp.vsjadon.com/upload/insp-246868-940.jpg"/>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3507364" y="3985154"/>
            <a:ext cx="1805136" cy="240935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5" name="Picture 34" descr="https://vsjcllp.vsjadon.com/upload/insp-246868-1022.jpg"/>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5487533" y="6527112"/>
            <a:ext cx="1334180" cy="178076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6" name="Picture 35" descr="https://vsjcllp.vsjadon.com/upload/insp-246868-880.jpg"/>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5454719" y="3981387"/>
            <a:ext cx="1805136" cy="240935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7" name="Picture 36" descr="https://vsjcllp.vsjadon.com/upload/insp-246868-883.jpg"/>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1576627" y="3985154"/>
            <a:ext cx="1805136" cy="240935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8" name="Picture 37" descr="https://vsjcllp.vsjadon.com/upload/insp-246868-931.jpg"/>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1960409" y="8393574"/>
            <a:ext cx="1361456" cy="181716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9" name="Picture 38" descr="https://vsjcllp.vsjadon.com/upload/insp-246868-925.jpg"/>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1522520" y="6507762"/>
            <a:ext cx="2372152" cy="178076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4" name="Picture 43" descr="https://vsjcllp.vsjadon.com/upload/insp-246868-919.jpg"/>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90836" y="6488411"/>
            <a:ext cx="1334180" cy="178076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xdr:colOff>
      <xdr:row>14</xdr:row>
      <xdr:rowOff>0</xdr:rowOff>
    </xdr:from>
    <xdr:to>
      <xdr:col>7</xdr:col>
      <xdr:colOff>133435</xdr:colOff>
      <xdr:row>32</xdr:row>
      <xdr:rowOff>171000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581026" y="4200525"/>
          <a:ext cx="6391359" cy="3600000"/>
        </a:xfrm>
        <a:prstGeom prst="rect">
          <a:avLst/>
        </a:prstGeom>
      </xdr:spPr>
    </xdr:pic>
    <xdr:clientData/>
  </xdr:twoCellAnchor>
  <xdr:twoCellAnchor editAs="oneCell">
    <xdr:from>
      <xdr:col>8</xdr:col>
      <xdr:colOff>0</xdr:colOff>
      <xdr:row>14</xdr:row>
      <xdr:rowOff>0</xdr:rowOff>
    </xdr:from>
    <xdr:to>
      <xdr:col>18</xdr:col>
      <xdr:colOff>19649</xdr:colOff>
      <xdr:row>32</xdr:row>
      <xdr:rowOff>171000</xdr:rowOff>
    </xdr:to>
    <xdr:pic>
      <xdr:nvPicPr>
        <xdr:cNvPr id="8" name="Picture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2"/>
        <a:stretch>
          <a:fillRect/>
        </a:stretch>
      </xdr:blipFill>
      <xdr:spPr>
        <a:xfrm>
          <a:off x="7134225" y="4200525"/>
          <a:ext cx="6734774" cy="3600000"/>
        </a:xfrm>
        <a:prstGeom prst="rect">
          <a:avLst/>
        </a:prstGeom>
        <a:ln>
          <a:solidFill>
            <a:schemeClr val="tx1"/>
          </a:solidFill>
        </a:ln>
      </xdr:spPr>
    </xdr:pic>
    <xdr:clientData/>
  </xdr:twoCellAnchor>
  <xdr:twoCellAnchor editAs="oneCell">
    <xdr:from>
      <xdr:col>8</xdr:col>
      <xdr:colOff>0</xdr:colOff>
      <xdr:row>33</xdr:row>
      <xdr:rowOff>93895</xdr:rowOff>
    </xdr:from>
    <xdr:to>
      <xdr:col>18</xdr:col>
      <xdr:colOff>19649</xdr:colOff>
      <xdr:row>52</xdr:row>
      <xdr:rowOff>74395</xdr:rowOff>
    </xdr:to>
    <xdr:pic>
      <xdr:nvPicPr>
        <xdr:cNvPr id="9" name="Picture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3"/>
        <a:stretch>
          <a:fillRect/>
        </a:stretch>
      </xdr:blipFill>
      <xdr:spPr>
        <a:xfrm>
          <a:off x="7134225" y="7913920"/>
          <a:ext cx="6734774" cy="3600000"/>
        </a:xfrm>
        <a:prstGeom prst="rect">
          <a:avLst/>
        </a:prstGeom>
        <a:ln>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3</xdr:row>
      <xdr:rowOff>0</xdr:rowOff>
    </xdr:from>
    <xdr:to>
      <xdr:col>7</xdr:col>
      <xdr:colOff>382230</xdr:colOff>
      <xdr:row>27</xdr:row>
      <xdr:rowOff>0</xdr:rowOff>
    </xdr:to>
    <xdr:pic>
      <xdr:nvPicPr>
        <xdr:cNvPr id="2" name="Picture 1" descr="G:\Pratu Office\Pratu Office Work\AXIS Apf\March 2021\AXIS27349 - OLD -  Sarvam\insp-51397-874.jp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62100" y="571500"/>
          <a:ext cx="3430230" cy="4572000"/>
        </a:xfrm>
        <a:prstGeom prst="rect">
          <a:avLst/>
        </a:prstGeom>
        <a:noFill/>
      </xdr:spPr>
    </xdr:pic>
    <xdr:clientData/>
  </xdr:twoCellAnchor>
  <xdr:twoCellAnchor editAs="oneCell">
    <xdr:from>
      <xdr:col>7</xdr:col>
      <xdr:colOff>583474</xdr:colOff>
      <xdr:row>3</xdr:row>
      <xdr:rowOff>0</xdr:rowOff>
    </xdr:from>
    <xdr:to>
      <xdr:col>13</xdr:col>
      <xdr:colOff>356104</xdr:colOff>
      <xdr:row>27</xdr:row>
      <xdr:rowOff>0</xdr:rowOff>
    </xdr:to>
    <xdr:pic>
      <xdr:nvPicPr>
        <xdr:cNvPr id="3" name="Picture 2" descr="G:\Pratu Office\Pratu Office Work\AXIS Apf\March 2021\AXIS27349 - OLD -  Sarvam\insp-51397-880.jpg">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193574" y="571500"/>
          <a:ext cx="3430230" cy="457200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0</xdr:colOff>
      <xdr:row>6</xdr:row>
      <xdr:rowOff>0</xdr:rowOff>
    </xdr:from>
    <xdr:to>
      <xdr:col>11</xdr:col>
      <xdr:colOff>401381</xdr:colOff>
      <xdr:row>25</xdr:row>
      <xdr:rowOff>64500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96125" y="952500"/>
          <a:ext cx="1620581" cy="2160000"/>
        </a:xfrm>
        <a:prstGeom prst="rect">
          <a:avLst/>
        </a:prstGeom>
        <a:ln>
          <a:solidFill>
            <a:schemeClr val="tx1"/>
          </a:solidFill>
        </a:ln>
      </xdr:spPr>
    </xdr:pic>
    <xdr:clientData/>
  </xdr:twoCellAnchor>
  <xdr:twoCellAnchor editAs="oneCell">
    <xdr:from>
      <xdr:col>11</xdr:col>
      <xdr:colOff>585686</xdr:colOff>
      <xdr:row>6</xdr:row>
      <xdr:rowOff>0</xdr:rowOff>
    </xdr:from>
    <xdr:to>
      <xdr:col>14</xdr:col>
      <xdr:colOff>377467</xdr:colOff>
      <xdr:row>25</xdr:row>
      <xdr:rowOff>64500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901011" y="952500"/>
          <a:ext cx="1620581" cy="2160000"/>
        </a:xfrm>
        <a:prstGeom prst="rect">
          <a:avLst/>
        </a:prstGeom>
        <a:ln>
          <a:solidFill>
            <a:schemeClr val="tx1"/>
          </a:solidFill>
        </a:ln>
      </xdr:spPr>
    </xdr:pic>
    <xdr:clientData/>
  </xdr:twoCellAnchor>
  <xdr:twoCellAnchor editAs="oneCell">
    <xdr:from>
      <xdr:col>5</xdr:col>
      <xdr:colOff>0</xdr:colOff>
      <xdr:row>26</xdr:row>
      <xdr:rowOff>0</xdr:rowOff>
    </xdr:from>
    <xdr:to>
      <xdr:col>7</xdr:col>
      <xdr:colOff>296606</xdr:colOff>
      <xdr:row>37</xdr:row>
      <xdr:rowOff>64500</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4048125" y="3238500"/>
          <a:ext cx="1620581" cy="2160000"/>
        </a:xfrm>
        <a:prstGeom prst="rect">
          <a:avLst/>
        </a:prstGeom>
        <a:ln>
          <a:solidFill>
            <a:schemeClr val="tx1"/>
          </a:solidFill>
        </a:ln>
      </xdr:spPr>
    </xdr:pic>
    <xdr:clientData/>
  </xdr:twoCellAnchor>
  <xdr:twoCellAnchor editAs="oneCell">
    <xdr:from>
      <xdr:col>7</xdr:col>
      <xdr:colOff>375070</xdr:colOff>
      <xdr:row>26</xdr:row>
      <xdr:rowOff>0</xdr:rowOff>
    </xdr:from>
    <xdr:to>
      <xdr:col>9</xdr:col>
      <xdr:colOff>271626</xdr:colOff>
      <xdr:row>37</xdr:row>
      <xdr:rowOff>64500</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5747170" y="3238500"/>
          <a:ext cx="1620581" cy="2160000"/>
        </a:xfrm>
        <a:prstGeom prst="rect">
          <a:avLst/>
        </a:prstGeom>
        <a:ln>
          <a:solidFill>
            <a:schemeClr val="tx1"/>
          </a:solid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0</xdr:colOff>
      <xdr:row>6</xdr:row>
      <xdr:rowOff>0</xdr:rowOff>
    </xdr:from>
    <xdr:to>
      <xdr:col>11</xdr:col>
      <xdr:colOff>401381</xdr:colOff>
      <xdr:row>25</xdr:row>
      <xdr:rowOff>64500</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96125" y="952500"/>
          <a:ext cx="1620581" cy="2160000"/>
        </a:xfrm>
        <a:prstGeom prst="rect">
          <a:avLst/>
        </a:prstGeom>
        <a:ln>
          <a:solidFill>
            <a:schemeClr val="tx1"/>
          </a:solidFill>
        </a:ln>
      </xdr:spPr>
    </xdr:pic>
    <xdr:clientData/>
  </xdr:twoCellAnchor>
  <xdr:twoCellAnchor editAs="oneCell">
    <xdr:from>
      <xdr:col>11</xdr:col>
      <xdr:colOff>585686</xdr:colOff>
      <xdr:row>6</xdr:row>
      <xdr:rowOff>0</xdr:rowOff>
    </xdr:from>
    <xdr:to>
      <xdr:col>14</xdr:col>
      <xdr:colOff>377467</xdr:colOff>
      <xdr:row>25</xdr:row>
      <xdr:rowOff>64500</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901011" y="952500"/>
          <a:ext cx="1620581" cy="2160000"/>
        </a:xfrm>
        <a:prstGeom prst="rect">
          <a:avLst/>
        </a:prstGeom>
        <a:ln>
          <a:solidFill>
            <a:schemeClr val="tx1"/>
          </a:solid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40</xdr:row>
      <xdr:rowOff>0</xdr:rowOff>
    </xdr:from>
    <xdr:to>
      <xdr:col>20</xdr:col>
      <xdr:colOff>607974</xdr:colOff>
      <xdr:row>78</xdr:row>
      <xdr:rowOff>75286</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7620000"/>
          <a:ext cx="13009524" cy="731428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7S5N8KKg2r9mmtwz5"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71"/>
  <sheetViews>
    <sheetView tabSelected="1" view="pageBreakPreview" topLeftCell="A47" zoomScaleNormal="100" zoomScaleSheetLayoutView="100" zoomScalePageLayoutView="85" workbookViewId="0">
      <selection activeCell="K56" sqref="K56"/>
    </sheetView>
  </sheetViews>
  <sheetFormatPr defaultRowHeight="15.75" x14ac:dyDescent="0.25"/>
  <cols>
    <col min="1" max="1" width="12.140625" style="12" customWidth="1"/>
    <col min="2" max="2" width="11.28515625" style="12" customWidth="1"/>
    <col min="3" max="3" width="13.7109375" style="12" customWidth="1"/>
    <col min="4" max="4" width="7.28515625" style="12" customWidth="1"/>
    <col min="5" max="5" width="5.5703125" style="12" customWidth="1"/>
    <col min="6" max="6" width="9.85546875" style="12" customWidth="1"/>
    <col min="7" max="7" width="10.140625" style="12" customWidth="1"/>
    <col min="8" max="8" width="9.7109375" style="12" customWidth="1"/>
    <col min="9" max="9" width="11.140625" style="12" customWidth="1"/>
    <col min="10" max="10" width="6.85546875" style="12" customWidth="1"/>
    <col min="11" max="11" width="18.28515625" style="12" customWidth="1"/>
    <col min="12" max="12" width="9.140625" style="12"/>
    <col min="13" max="13" width="15" style="12" customWidth="1"/>
    <col min="14" max="256" width="9.140625" style="12"/>
    <col min="257" max="257" width="8.7109375" style="12" customWidth="1"/>
    <col min="258" max="258" width="9.85546875" style="12" customWidth="1"/>
    <col min="259" max="259" width="14.42578125" style="12" customWidth="1"/>
    <col min="260" max="260" width="7.28515625" style="12" customWidth="1"/>
    <col min="261" max="261" width="5.5703125" style="12" customWidth="1"/>
    <col min="262" max="262" width="9" style="12" customWidth="1"/>
    <col min="263" max="264" width="9.85546875" style="12" customWidth="1"/>
    <col min="265" max="265" width="11.140625" style="12" customWidth="1"/>
    <col min="266" max="266" width="2.85546875" style="12" customWidth="1"/>
    <col min="267" max="267" width="3.5703125" style="12" customWidth="1"/>
    <col min="268" max="512" width="9.140625" style="12"/>
    <col min="513" max="513" width="8.7109375" style="12" customWidth="1"/>
    <col min="514" max="514" width="9.85546875" style="12" customWidth="1"/>
    <col min="515" max="515" width="14.42578125" style="12" customWidth="1"/>
    <col min="516" max="516" width="7.28515625" style="12" customWidth="1"/>
    <col min="517" max="517" width="5.5703125" style="12" customWidth="1"/>
    <col min="518" max="518" width="9" style="12" customWidth="1"/>
    <col min="519" max="520" width="9.85546875" style="12" customWidth="1"/>
    <col min="521" max="521" width="11.140625" style="12" customWidth="1"/>
    <col min="522" max="522" width="2.85546875" style="12" customWidth="1"/>
    <col min="523" max="523" width="3.5703125" style="12" customWidth="1"/>
    <col min="524" max="768" width="9.140625" style="12"/>
    <col min="769" max="769" width="8.7109375" style="12" customWidth="1"/>
    <col min="770" max="770" width="9.85546875" style="12" customWidth="1"/>
    <col min="771" max="771" width="14.42578125" style="12" customWidth="1"/>
    <col min="772" max="772" width="7.28515625" style="12" customWidth="1"/>
    <col min="773" max="773" width="5.5703125" style="12" customWidth="1"/>
    <col min="774" max="774" width="9" style="12" customWidth="1"/>
    <col min="775" max="776" width="9.85546875" style="12" customWidth="1"/>
    <col min="777" max="777" width="11.140625" style="12" customWidth="1"/>
    <col min="778" max="778" width="2.85546875" style="12" customWidth="1"/>
    <col min="779" max="779" width="3.5703125" style="12" customWidth="1"/>
    <col min="780" max="1024" width="9.140625" style="12"/>
    <col min="1025" max="1025" width="8.7109375" style="12" customWidth="1"/>
    <col min="1026" max="1026" width="9.85546875" style="12" customWidth="1"/>
    <col min="1027" max="1027" width="14.42578125" style="12" customWidth="1"/>
    <col min="1028" max="1028" width="7.28515625" style="12" customWidth="1"/>
    <col min="1029" max="1029" width="5.5703125" style="12" customWidth="1"/>
    <col min="1030" max="1030" width="9" style="12" customWidth="1"/>
    <col min="1031" max="1032" width="9.85546875" style="12" customWidth="1"/>
    <col min="1033" max="1033" width="11.140625" style="12" customWidth="1"/>
    <col min="1034" max="1034" width="2.85546875" style="12" customWidth="1"/>
    <col min="1035" max="1035" width="3.5703125" style="12" customWidth="1"/>
    <col min="1036" max="1280" width="9.140625" style="12"/>
    <col min="1281" max="1281" width="8.7109375" style="12" customWidth="1"/>
    <col min="1282" max="1282" width="9.85546875" style="12" customWidth="1"/>
    <col min="1283" max="1283" width="14.42578125" style="12" customWidth="1"/>
    <col min="1284" max="1284" width="7.28515625" style="12" customWidth="1"/>
    <col min="1285" max="1285" width="5.5703125" style="12" customWidth="1"/>
    <col min="1286" max="1286" width="9" style="12" customWidth="1"/>
    <col min="1287" max="1288" width="9.85546875" style="12" customWidth="1"/>
    <col min="1289" max="1289" width="11.140625" style="12" customWidth="1"/>
    <col min="1290" max="1290" width="2.85546875" style="12" customWidth="1"/>
    <col min="1291" max="1291" width="3.5703125" style="12" customWidth="1"/>
    <col min="1292" max="1536" width="9.140625" style="12"/>
    <col min="1537" max="1537" width="8.7109375" style="12" customWidth="1"/>
    <col min="1538" max="1538" width="9.85546875" style="12" customWidth="1"/>
    <col min="1539" max="1539" width="14.42578125" style="12" customWidth="1"/>
    <col min="1540" max="1540" width="7.28515625" style="12" customWidth="1"/>
    <col min="1541" max="1541" width="5.5703125" style="12" customWidth="1"/>
    <col min="1542" max="1542" width="9" style="12" customWidth="1"/>
    <col min="1543" max="1544" width="9.85546875" style="12" customWidth="1"/>
    <col min="1545" max="1545" width="11.140625" style="12" customWidth="1"/>
    <col min="1546" max="1546" width="2.85546875" style="12" customWidth="1"/>
    <col min="1547" max="1547" width="3.5703125" style="12" customWidth="1"/>
    <col min="1548" max="1792" width="9.140625" style="12"/>
    <col min="1793" max="1793" width="8.7109375" style="12" customWidth="1"/>
    <col min="1794" max="1794" width="9.85546875" style="12" customWidth="1"/>
    <col min="1795" max="1795" width="14.42578125" style="12" customWidth="1"/>
    <col min="1796" max="1796" width="7.28515625" style="12" customWidth="1"/>
    <col min="1797" max="1797" width="5.5703125" style="12" customWidth="1"/>
    <col min="1798" max="1798" width="9" style="12" customWidth="1"/>
    <col min="1799" max="1800" width="9.85546875" style="12" customWidth="1"/>
    <col min="1801" max="1801" width="11.140625" style="12" customWidth="1"/>
    <col min="1802" max="1802" width="2.85546875" style="12" customWidth="1"/>
    <col min="1803" max="1803" width="3.5703125" style="12" customWidth="1"/>
    <col min="1804" max="2048" width="9.140625" style="12"/>
    <col min="2049" max="2049" width="8.7109375" style="12" customWidth="1"/>
    <col min="2050" max="2050" width="9.85546875" style="12" customWidth="1"/>
    <col min="2051" max="2051" width="14.42578125" style="12" customWidth="1"/>
    <col min="2052" max="2052" width="7.28515625" style="12" customWidth="1"/>
    <col min="2053" max="2053" width="5.5703125" style="12" customWidth="1"/>
    <col min="2054" max="2054" width="9" style="12" customWidth="1"/>
    <col min="2055" max="2056" width="9.85546875" style="12" customWidth="1"/>
    <col min="2057" max="2057" width="11.140625" style="12" customWidth="1"/>
    <col min="2058" max="2058" width="2.85546875" style="12" customWidth="1"/>
    <col min="2059" max="2059" width="3.5703125" style="12" customWidth="1"/>
    <col min="2060" max="2304" width="9.140625" style="12"/>
    <col min="2305" max="2305" width="8.7109375" style="12" customWidth="1"/>
    <col min="2306" max="2306" width="9.85546875" style="12" customWidth="1"/>
    <col min="2307" max="2307" width="14.42578125" style="12" customWidth="1"/>
    <col min="2308" max="2308" width="7.28515625" style="12" customWidth="1"/>
    <col min="2309" max="2309" width="5.5703125" style="12" customWidth="1"/>
    <col min="2310" max="2310" width="9" style="12" customWidth="1"/>
    <col min="2311" max="2312" width="9.85546875" style="12" customWidth="1"/>
    <col min="2313" max="2313" width="11.140625" style="12" customWidth="1"/>
    <col min="2314" max="2314" width="2.85546875" style="12" customWidth="1"/>
    <col min="2315" max="2315" width="3.5703125" style="12" customWidth="1"/>
    <col min="2316" max="2560" width="9.140625" style="12"/>
    <col min="2561" max="2561" width="8.7109375" style="12" customWidth="1"/>
    <col min="2562" max="2562" width="9.85546875" style="12" customWidth="1"/>
    <col min="2563" max="2563" width="14.42578125" style="12" customWidth="1"/>
    <col min="2564" max="2564" width="7.28515625" style="12" customWidth="1"/>
    <col min="2565" max="2565" width="5.5703125" style="12" customWidth="1"/>
    <col min="2566" max="2566" width="9" style="12" customWidth="1"/>
    <col min="2567" max="2568" width="9.85546875" style="12" customWidth="1"/>
    <col min="2569" max="2569" width="11.140625" style="12" customWidth="1"/>
    <col min="2570" max="2570" width="2.85546875" style="12" customWidth="1"/>
    <col min="2571" max="2571" width="3.5703125" style="12" customWidth="1"/>
    <col min="2572" max="2816" width="9.140625" style="12"/>
    <col min="2817" max="2817" width="8.7109375" style="12" customWidth="1"/>
    <col min="2818" max="2818" width="9.85546875" style="12" customWidth="1"/>
    <col min="2819" max="2819" width="14.42578125" style="12" customWidth="1"/>
    <col min="2820" max="2820" width="7.28515625" style="12" customWidth="1"/>
    <col min="2821" max="2821" width="5.5703125" style="12" customWidth="1"/>
    <col min="2822" max="2822" width="9" style="12" customWidth="1"/>
    <col min="2823" max="2824" width="9.85546875" style="12" customWidth="1"/>
    <col min="2825" max="2825" width="11.140625" style="12" customWidth="1"/>
    <col min="2826" max="2826" width="2.85546875" style="12" customWidth="1"/>
    <col min="2827" max="2827" width="3.5703125" style="12" customWidth="1"/>
    <col min="2828" max="3072" width="9.140625" style="12"/>
    <col min="3073" max="3073" width="8.7109375" style="12" customWidth="1"/>
    <col min="3074" max="3074" width="9.85546875" style="12" customWidth="1"/>
    <col min="3075" max="3075" width="14.42578125" style="12" customWidth="1"/>
    <col min="3076" max="3076" width="7.28515625" style="12" customWidth="1"/>
    <col min="3077" max="3077" width="5.5703125" style="12" customWidth="1"/>
    <col min="3078" max="3078" width="9" style="12" customWidth="1"/>
    <col min="3079" max="3080" width="9.85546875" style="12" customWidth="1"/>
    <col min="3081" max="3081" width="11.140625" style="12" customWidth="1"/>
    <col min="3082" max="3082" width="2.85546875" style="12" customWidth="1"/>
    <col min="3083" max="3083" width="3.5703125" style="12" customWidth="1"/>
    <col min="3084" max="3328" width="9.140625" style="12"/>
    <col min="3329" max="3329" width="8.7109375" style="12" customWidth="1"/>
    <col min="3330" max="3330" width="9.85546875" style="12" customWidth="1"/>
    <col min="3331" max="3331" width="14.42578125" style="12" customWidth="1"/>
    <col min="3332" max="3332" width="7.28515625" style="12" customWidth="1"/>
    <col min="3333" max="3333" width="5.5703125" style="12" customWidth="1"/>
    <col min="3334" max="3334" width="9" style="12" customWidth="1"/>
    <col min="3335" max="3336" width="9.85546875" style="12" customWidth="1"/>
    <col min="3337" max="3337" width="11.140625" style="12" customWidth="1"/>
    <col min="3338" max="3338" width="2.85546875" style="12" customWidth="1"/>
    <col min="3339" max="3339" width="3.5703125" style="12" customWidth="1"/>
    <col min="3340" max="3584" width="9.140625" style="12"/>
    <col min="3585" max="3585" width="8.7109375" style="12" customWidth="1"/>
    <col min="3586" max="3586" width="9.85546875" style="12" customWidth="1"/>
    <col min="3587" max="3587" width="14.42578125" style="12" customWidth="1"/>
    <col min="3588" max="3588" width="7.28515625" style="12" customWidth="1"/>
    <col min="3589" max="3589" width="5.5703125" style="12" customWidth="1"/>
    <col min="3590" max="3590" width="9" style="12" customWidth="1"/>
    <col min="3591" max="3592" width="9.85546875" style="12" customWidth="1"/>
    <col min="3593" max="3593" width="11.140625" style="12" customWidth="1"/>
    <col min="3594" max="3594" width="2.85546875" style="12" customWidth="1"/>
    <col min="3595" max="3595" width="3.5703125" style="12" customWidth="1"/>
    <col min="3596" max="3840" width="9.140625" style="12"/>
    <col min="3841" max="3841" width="8.7109375" style="12" customWidth="1"/>
    <col min="3842" max="3842" width="9.85546875" style="12" customWidth="1"/>
    <col min="3843" max="3843" width="14.42578125" style="12" customWidth="1"/>
    <col min="3844" max="3844" width="7.28515625" style="12" customWidth="1"/>
    <col min="3845" max="3845" width="5.5703125" style="12" customWidth="1"/>
    <col min="3846" max="3846" width="9" style="12" customWidth="1"/>
    <col min="3847" max="3848" width="9.85546875" style="12" customWidth="1"/>
    <col min="3849" max="3849" width="11.140625" style="12" customWidth="1"/>
    <col min="3850" max="3850" width="2.85546875" style="12" customWidth="1"/>
    <col min="3851" max="3851" width="3.5703125" style="12" customWidth="1"/>
    <col min="3852" max="4096" width="9.140625" style="12"/>
    <col min="4097" max="4097" width="8.7109375" style="12" customWidth="1"/>
    <col min="4098" max="4098" width="9.85546875" style="12" customWidth="1"/>
    <col min="4099" max="4099" width="14.42578125" style="12" customWidth="1"/>
    <col min="4100" max="4100" width="7.28515625" style="12" customWidth="1"/>
    <col min="4101" max="4101" width="5.5703125" style="12" customWidth="1"/>
    <col min="4102" max="4102" width="9" style="12" customWidth="1"/>
    <col min="4103" max="4104" width="9.85546875" style="12" customWidth="1"/>
    <col min="4105" max="4105" width="11.140625" style="12" customWidth="1"/>
    <col min="4106" max="4106" width="2.85546875" style="12" customWidth="1"/>
    <col min="4107" max="4107" width="3.5703125" style="12" customWidth="1"/>
    <col min="4108" max="4352" width="9.140625" style="12"/>
    <col min="4353" max="4353" width="8.7109375" style="12" customWidth="1"/>
    <col min="4354" max="4354" width="9.85546875" style="12" customWidth="1"/>
    <col min="4355" max="4355" width="14.42578125" style="12" customWidth="1"/>
    <col min="4356" max="4356" width="7.28515625" style="12" customWidth="1"/>
    <col min="4357" max="4357" width="5.5703125" style="12" customWidth="1"/>
    <col min="4358" max="4358" width="9" style="12" customWidth="1"/>
    <col min="4359" max="4360" width="9.85546875" style="12" customWidth="1"/>
    <col min="4361" max="4361" width="11.140625" style="12" customWidth="1"/>
    <col min="4362" max="4362" width="2.85546875" style="12" customWidth="1"/>
    <col min="4363" max="4363" width="3.5703125" style="12" customWidth="1"/>
    <col min="4364" max="4608" width="9.140625" style="12"/>
    <col min="4609" max="4609" width="8.7109375" style="12" customWidth="1"/>
    <col min="4610" max="4610" width="9.85546875" style="12" customWidth="1"/>
    <col min="4611" max="4611" width="14.42578125" style="12" customWidth="1"/>
    <col min="4612" max="4612" width="7.28515625" style="12" customWidth="1"/>
    <col min="4613" max="4613" width="5.5703125" style="12" customWidth="1"/>
    <col min="4614" max="4614" width="9" style="12" customWidth="1"/>
    <col min="4615" max="4616" width="9.85546875" style="12" customWidth="1"/>
    <col min="4617" max="4617" width="11.140625" style="12" customWidth="1"/>
    <col min="4618" max="4618" width="2.85546875" style="12" customWidth="1"/>
    <col min="4619" max="4619" width="3.5703125" style="12" customWidth="1"/>
    <col min="4620" max="4864" width="9.140625" style="12"/>
    <col min="4865" max="4865" width="8.7109375" style="12" customWidth="1"/>
    <col min="4866" max="4866" width="9.85546875" style="12" customWidth="1"/>
    <col min="4867" max="4867" width="14.42578125" style="12" customWidth="1"/>
    <col min="4868" max="4868" width="7.28515625" style="12" customWidth="1"/>
    <col min="4869" max="4869" width="5.5703125" style="12" customWidth="1"/>
    <col min="4870" max="4870" width="9" style="12" customWidth="1"/>
    <col min="4871" max="4872" width="9.85546875" style="12" customWidth="1"/>
    <col min="4873" max="4873" width="11.140625" style="12" customWidth="1"/>
    <col min="4874" max="4874" width="2.85546875" style="12" customWidth="1"/>
    <col min="4875" max="4875" width="3.5703125" style="12" customWidth="1"/>
    <col min="4876" max="5120" width="9.140625" style="12"/>
    <col min="5121" max="5121" width="8.7109375" style="12" customWidth="1"/>
    <col min="5122" max="5122" width="9.85546875" style="12" customWidth="1"/>
    <col min="5123" max="5123" width="14.42578125" style="12" customWidth="1"/>
    <col min="5124" max="5124" width="7.28515625" style="12" customWidth="1"/>
    <col min="5125" max="5125" width="5.5703125" style="12" customWidth="1"/>
    <col min="5126" max="5126" width="9" style="12" customWidth="1"/>
    <col min="5127" max="5128" width="9.85546875" style="12" customWidth="1"/>
    <col min="5129" max="5129" width="11.140625" style="12" customWidth="1"/>
    <col min="5130" max="5130" width="2.85546875" style="12" customWidth="1"/>
    <col min="5131" max="5131" width="3.5703125" style="12" customWidth="1"/>
    <col min="5132" max="5376" width="9.140625" style="12"/>
    <col min="5377" max="5377" width="8.7109375" style="12" customWidth="1"/>
    <col min="5378" max="5378" width="9.85546875" style="12" customWidth="1"/>
    <col min="5379" max="5379" width="14.42578125" style="12" customWidth="1"/>
    <col min="5380" max="5380" width="7.28515625" style="12" customWidth="1"/>
    <col min="5381" max="5381" width="5.5703125" style="12" customWidth="1"/>
    <col min="5382" max="5382" width="9" style="12" customWidth="1"/>
    <col min="5383" max="5384" width="9.85546875" style="12" customWidth="1"/>
    <col min="5385" max="5385" width="11.140625" style="12" customWidth="1"/>
    <col min="5386" max="5386" width="2.85546875" style="12" customWidth="1"/>
    <col min="5387" max="5387" width="3.5703125" style="12" customWidth="1"/>
    <col min="5388" max="5632" width="9.140625" style="12"/>
    <col min="5633" max="5633" width="8.7109375" style="12" customWidth="1"/>
    <col min="5634" max="5634" width="9.85546875" style="12" customWidth="1"/>
    <col min="5635" max="5635" width="14.42578125" style="12" customWidth="1"/>
    <col min="5636" max="5636" width="7.28515625" style="12" customWidth="1"/>
    <col min="5637" max="5637" width="5.5703125" style="12" customWidth="1"/>
    <col min="5638" max="5638" width="9" style="12" customWidth="1"/>
    <col min="5639" max="5640" width="9.85546875" style="12" customWidth="1"/>
    <col min="5641" max="5641" width="11.140625" style="12" customWidth="1"/>
    <col min="5642" max="5642" width="2.85546875" style="12" customWidth="1"/>
    <col min="5643" max="5643" width="3.5703125" style="12" customWidth="1"/>
    <col min="5644" max="5888" width="9.140625" style="12"/>
    <col min="5889" max="5889" width="8.7109375" style="12" customWidth="1"/>
    <col min="5890" max="5890" width="9.85546875" style="12" customWidth="1"/>
    <col min="5891" max="5891" width="14.42578125" style="12" customWidth="1"/>
    <col min="5892" max="5892" width="7.28515625" style="12" customWidth="1"/>
    <col min="5893" max="5893" width="5.5703125" style="12" customWidth="1"/>
    <col min="5894" max="5894" width="9" style="12" customWidth="1"/>
    <col min="5895" max="5896" width="9.85546875" style="12" customWidth="1"/>
    <col min="5897" max="5897" width="11.140625" style="12" customWidth="1"/>
    <col min="5898" max="5898" width="2.85546875" style="12" customWidth="1"/>
    <col min="5899" max="5899" width="3.5703125" style="12" customWidth="1"/>
    <col min="5900" max="6144" width="9.140625" style="12"/>
    <col min="6145" max="6145" width="8.7109375" style="12" customWidth="1"/>
    <col min="6146" max="6146" width="9.85546875" style="12" customWidth="1"/>
    <col min="6147" max="6147" width="14.42578125" style="12" customWidth="1"/>
    <col min="6148" max="6148" width="7.28515625" style="12" customWidth="1"/>
    <col min="6149" max="6149" width="5.5703125" style="12" customWidth="1"/>
    <col min="6150" max="6150" width="9" style="12" customWidth="1"/>
    <col min="6151" max="6152" width="9.85546875" style="12" customWidth="1"/>
    <col min="6153" max="6153" width="11.140625" style="12" customWidth="1"/>
    <col min="6154" max="6154" width="2.85546875" style="12" customWidth="1"/>
    <col min="6155" max="6155" width="3.5703125" style="12" customWidth="1"/>
    <col min="6156" max="6400" width="9.140625" style="12"/>
    <col min="6401" max="6401" width="8.7109375" style="12" customWidth="1"/>
    <col min="6402" max="6402" width="9.85546875" style="12" customWidth="1"/>
    <col min="6403" max="6403" width="14.42578125" style="12" customWidth="1"/>
    <col min="6404" max="6404" width="7.28515625" style="12" customWidth="1"/>
    <col min="6405" max="6405" width="5.5703125" style="12" customWidth="1"/>
    <col min="6406" max="6406" width="9" style="12" customWidth="1"/>
    <col min="6407" max="6408" width="9.85546875" style="12" customWidth="1"/>
    <col min="6409" max="6409" width="11.140625" style="12" customWidth="1"/>
    <col min="6410" max="6410" width="2.85546875" style="12" customWidth="1"/>
    <col min="6411" max="6411" width="3.5703125" style="12" customWidth="1"/>
    <col min="6412" max="6656" width="9.140625" style="12"/>
    <col min="6657" max="6657" width="8.7109375" style="12" customWidth="1"/>
    <col min="6658" max="6658" width="9.85546875" style="12" customWidth="1"/>
    <col min="6659" max="6659" width="14.42578125" style="12" customWidth="1"/>
    <col min="6660" max="6660" width="7.28515625" style="12" customWidth="1"/>
    <col min="6661" max="6661" width="5.5703125" style="12" customWidth="1"/>
    <col min="6662" max="6662" width="9" style="12" customWidth="1"/>
    <col min="6663" max="6664" width="9.85546875" style="12" customWidth="1"/>
    <col min="6665" max="6665" width="11.140625" style="12" customWidth="1"/>
    <col min="6666" max="6666" width="2.85546875" style="12" customWidth="1"/>
    <col min="6667" max="6667" width="3.5703125" style="12" customWidth="1"/>
    <col min="6668" max="6912" width="9.140625" style="12"/>
    <col min="6913" max="6913" width="8.7109375" style="12" customWidth="1"/>
    <col min="6914" max="6914" width="9.85546875" style="12" customWidth="1"/>
    <col min="6915" max="6915" width="14.42578125" style="12" customWidth="1"/>
    <col min="6916" max="6916" width="7.28515625" style="12" customWidth="1"/>
    <col min="6917" max="6917" width="5.5703125" style="12" customWidth="1"/>
    <col min="6918" max="6918" width="9" style="12" customWidth="1"/>
    <col min="6919" max="6920" width="9.85546875" style="12" customWidth="1"/>
    <col min="6921" max="6921" width="11.140625" style="12" customWidth="1"/>
    <col min="6922" max="6922" width="2.85546875" style="12" customWidth="1"/>
    <col min="6923" max="6923" width="3.5703125" style="12" customWidth="1"/>
    <col min="6924" max="7168" width="9.140625" style="12"/>
    <col min="7169" max="7169" width="8.7109375" style="12" customWidth="1"/>
    <col min="7170" max="7170" width="9.85546875" style="12" customWidth="1"/>
    <col min="7171" max="7171" width="14.42578125" style="12" customWidth="1"/>
    <col min="7172" max="7172" width="7.28515625" style="12" customWidth="1"/>
    <col min="7173" max="7173" width="5.5703125" style="12" customWidth="1"/>
    <col min="7174" max="7174" width="9" style="12" customWidth="1"/>
    <col min="7175" max="7176" width="9.85546875" style="12" customWidth="1"/>
    <col min="7177" max="7177" width="11.140625" style="12" customWidth="1"/>
    <col min="7178" max="7178" width="2.85546875" style="12" customWidth="1"/>
    <col min="7179" max="7179" width="3.5703125" style="12" customWidth="1"/>
    <col min="7180" max="7424" width="9.140625" style="12"/>
    <col min="7425" max="7425" width="8.7109375" style="12" customWidth="1"/>
    <col min="7426" max="7426" width="9.85546875" style="12" customWidth="1"/>
    <col min="7427" max="7427" width="14.42578125" style="12" customWidth="1"/>
    <col min="7428" max="7428" width="7.28515625" style="12" customWidth="1"/>
    <col min="7429" max="7429" width="5.5703125" style="12" customWidth="1"/>
    <col min="7430" max="7430" width="9" style="12" customWidth="1"/>
    <col min="7431" max="7432" width="9.85546875" style="12" customWidth="1"/>
    <col min="7433" max="7433" width="11.140625" style="12" customWidth="1"/>
    <col min="7434" max="7434" width="2.85546875" style="12" customWidth="1"/>
    <col min="7435" max="7435" width="3.5703125" style="12" customWidth="1"/>
    <col min="7436" max="7680" width="9.140625" style="12"/>
    <col min="7681" max="7681" width="8.7109375" style="12" customWidth="1"/>
    <col min="7682" max="7682" width="9.85546875" style="12" customWidth="1"/>
    <col min="7683" max="7683" width="14.42578125" style="12" customWidth="1"/>
    <col min="7684" max="7684" width="7.28515625" style="12" customWidth="1"/>
    <col min="7685" max="7685" width="5.5703125" style="12" customWidth="1"/>
    <col min="7686" max="7686" width="9" style="12" customWidth="1"/>
    <col min="7687" max="7688" width="9.85546875" style="12" customWidth="1"/>
    <col min="7689" max="7689" width="11.140625" style="12" customWidth="1"/>
    <col min="7690" max="7690" width="2.85546875" style="12" customWidth="1"/>
    <col min="7691" max="7691" width="3.5703125" style="12" customWidth="1"/>
    <col min="7692" max="7936" width="9.140625" style="12"/>
    <col min="7937" max="7937" width="8.7109375" style="12" customWidth="1"/>
    <col min="7938" max="7938" width="9.85546875" style="12" customWidth="1"/>
    <col min="7939" max="7939" width="14.42578125" style="12" customWidth="1"/>
    <col min="7940" max="7940" width="7.28515625" style="12" customWidth="1"/>
    <col min="7941" max="7941" width="5.5703125" style="12" customWidth="1"/>
    <col min="7942" max="7942" width="9" style="12" customWidth="1"/>
    <col min="7943" max="7944" width="9.85546875" style="12" customWidth="1"/>
    <col min="7945" max="7945" width="11.140625" style="12" customWidth="1"/>
    <col min="7946" max="7946" width="2.85546875" style="12" customWidth="1"/>
    <col min="7947" max="7947" width="3.5703125" style="12" customWidth="1"/>
    <col min="7948" max="8192" width="9.140625" style="12"/>
    <col min="8193" max="8193" width="8.7109375" style="12" customWidth="1"/>
    <col min="8194" max="8194" width="9.85546875" style="12" customWidth="1"/>
    <col min="8195" max="8195" width="14.42578125" style="12" customWidth="1"/>
    <col min="8196" max="8196" width="7.28515625" style="12" customWidth="1"/>
    <col min="8197" max="8197" width="5.5703125" style="12" customWidth="1"/>
    <col min="8198" max="8198" width="9" style="12" customWidth="1"/>
    <col min="8199" max="8200" width="9.85546875" style="12" customWidth="1"/>
    <col min="8201" max="8201" width="11.140625" style="12" customWidth="1"/>
    <col min="8202" max="8202" width="2.85546875" style="12" customWidth="1"/>
    <col min="8203" max="8203" width="3.5703125" style="12" customWidth="1"/>
    <col min="8204" max="8448" width="9.140625" style="12"/>
    <col min="8449" max="8449" width="8.7109375" style="12" customWidth="1"/>
    <col min="8450" max="8450" width="9.85546875" style="12" customWidth="1"/>
    <col min="8451" max="8451" width="14.42578125" style="12" customWidth="1"/>
    <col min="8452" max="8452" width="7.28515625" style="12" customWidth="1"/>
    <col min="8453" max="8453" width="5.5703125" style="12" customWidth="1"/>
    <col min="8454" max="8454" width="9" style="12" customWidth="1"/>
    <col min="8455" max="8456" width="9.85546875" style="12" customWidth="1"/>
    <col min="8457" max="8457" width="11.140625" style="12" customWidth="1"/>
    <col min="8458" max="8458" width="2.85546875" style="12" customWidth="1"/>
    <col min="8459" max="8459" width="3.5703125" style="12" customWidth="1"/>
    <col min="8460" max="8704" width="9.140625" style="12"/>
    <col min="8705" max="8705" width="8.7109375" style="12" customWidth="1"/>
    <col min="8706" max="8706" width="9.85546875" style="12" customWidth="1"/>
    <col min="8707" max="8707" width="14.42578125" style="12" customWidth="1"/>
    <col min="8708" max="8708" width="7.28515625" style="12" customWidth="1"/>
    <col min="8709" max="8709" width="5.5703125" style="12" customWidth="1"/>
    <col min="8710" max="8710" width="9" style="12" customWidth="1"/>
    <col min="8711" max="8712" width="9.85546875" style="12" customWidth="1"/>
    <col min="8713" max="8713" width="11.140625" style="12" customWidth="1"/>
    <col min="8714" max="8714" width="2.85546875" style="12" customWidth="1"/>
    <col min="8715" max="8715" width="3.5703125" style="12" customWidth="1"/>
    <col min="8716" max="8960" width="9.140625" style="12"/>
    <col min="8961" max="8961" width="8.7109375" style="12" customWidth="1"/>
    <col min="8962" max="8962" width="9.85546875" style="12" customWidth="1"/>
    <col min="8963" max="8963" width="14.42578125" style="12" customWidth="1"/>
    <col min="8964" max="8964" width="7.28515625" style="12" customWidth="1"/>
    <col min="8965" max="8965" width="5.5703125" style="12" customWidth="1"/>
    <col min="8966" max="8966" width="9" style="12" customWidth="1"/>
    <col min="8967" max="8968" width="9.85546875" style="12" customWidth="1"/>
    <col min="8969" max="8969" width="11.140625" style="12" customWidth="1"/>
    <col min="8970" max="8970" width="2.85546875" style="12" customWidth="1"/>
    <col min="8971" max="8971" width="3.5703125" style="12" customWidth="1"/>
    <col min="8972" max="9216" width="9.140625" style="12"/>
    <col min="9217" max="9217" width="8.7109375" style="12" customWidth="1"/>
    <col min="9218" max="9218" width="9.85546875" style="12" customWidth="1"/>
    <col min="9219" max="9219" width="14.42578125" style="12" customWidth="1"/>
    <col min="9220" max="9220" width="7.28515625" style="12" customWidth="1"/>
    <col min="9221" max="9221" width="5.5703125" style="12" customWidth="1"/>
    <col min="9222" max="9222" width="9" style="12" customWidth="1"/>
    <col min="9223" max="9224" width="9.85546875" style="12" customWidth="1"/>
    <col min="9225" max="9225" width="11.140625" style="12" customWidth="1"/>
    <col min="9226" max="9226" width="2.85546875" style="12" customWidth="1"/>
    <col min="9227" max="9227" width="3.5703125" style="12" customWidth="1"/>
    <col min="9228" max="9472" width="9.140625" style="12"/>
    <col min="9473" max="9473" width="8.7109375" style="12" customWidth="1"/>
    <col min="9474" max="9474" width="9.85546875" style="12" customWidth="1"/>
    <col min="9475" max="9475" width="14.42578125" style="12" customWidth="1"/>
    <col min="9476" max="9476" width="7.28515625" style="12" customWidth="1"/>
    <col min="9477" max="9477" width="5.5703125" style="12" customWidth="1"/>
    <col min="9478" max="9478" width="9" style="12" customWidth="1"/>
    <col min="9479" max="9480" width="9.85546875" style="12" customWidth="1"/>
    <col min="9481" max="9481" width="11.140625" style="12" customWidth="1"/>
    <col min="9482" max="9482" width="2.85546875" style="12" customWidth="1"/>
    <col min="9483" max="9483" width="3.5703125" style="12" customWidth="1"/>
    <col min="9484" max="9728" width="9.140625" style="12"/>
    <col min="9729" max="9729" width="8.7109375" style="12" customWidth="1"/>
    <col min="9730" max="9730" width="9.85546875" style="12" customWidth="1"/>
    <col min="9731" max="9731" width="14.42578125" style="12" customWidth="1"/>
    <col min="9732" max="9732" width="7.28515625" style="12" customWidth="1"/>
    <col min="9733" max="9733" width="5.5703125" style="12" customWidth="1"/>
    <col min="9734" max="9734" width="9" style="12" customWidth="1"/>
    <col min="9735" max="9736" width="9.85546875" style="12" customWidth="1"/>
    <col min="9737" max="9737" width="11.140625" style="12" customWidth="1"/>
    <col min="9738" max="9738" width="2.85546875" style="12" customWidth="1"/>
    <col min="9739" max="9739" width="3.5703125" style="12" customWidth="1"/>
    <col min="9740" max="9984" width="9.140625" style="12"/>
    <col min="9985" max="9985" width="8.7109375" style="12" customWidth="1"/>
    <col min="9986" max="9986" width="9.85546875" style="12" customWidth="1"/>
    <col min="9987" max="9987" width="14.42578125" style="12" customWidth="1"/>
    <col min="9988" max="9988" width="7.28515625" style="12" customWidth="1"/>
    <col min="9989" max="9989" width="5.5703125" style="12" customWidth="1"/>
    <col min="9990" max="9990" width="9" style="12" customWidth="1"/>
    <col min="9991" max="9992" width="9.85546875" style="12" customWidth="1"/>
    <col min="9993" max="9993" width="11.140625" style="12" customWidth="1"/>
    <col min="9994" max="9994" width="2.85546875" style="12" customWidth="1"/>
    <col min="9995" max="9995" width="3.5703125" style="12" customWidth="1"/>
    <col min="9996" max="10240" width="9.140625" style="12"/>
    <col min="10241" max="10241" width="8.7109375" style="12" customWidth="1"/>
    <col min="10242" max="10242" width="9.85546875" style="12" customWidth="1"/>
    <col min="10243" max="10243" width="14.42578125" style="12" customWidth="1"/>
    <col min="10244" max="10244" width="7.28515625" style="12" customWidth="1"/>
    <col min="10245" max="10245" width="5.5703125" style="12" customWidth="1"/>
    <col min="10246" max="10246" width="9" style="12" customWidth="1"/>
    <col min="10247" max="10248" width="9.85546875" style="12" customWidth="1"/>
    <col min="10249" max="10249" width="11.140625" style="12" customWidth="1"/>
    <col min="10250" max="10250" width="2.85546875" style="12" customWidth="1"/>
    <col min="10251" max="10251" width="3.5703125" style="12" customWidth="1"/>
    <col min="10252" max="10496" width="9.140625" style="12"/>
    <col min="10497" max="10497" width="8.7109375" style="12" customWidth="1"/>
    <col min="10498" max="10498" width="9.85546875" style="12" customWidth="1"/>
    <col min="10499" max="10499" width="14.42578125" style="12" customWidth="1"/>
    <col min="10500" max="10500" width="7.28515625" style="12" customWidth="1"/>
    <col min="10501" max="10501" width="5.5703125" style="12" customWidth="1"/>
    <col min="10502" max="10502" width="9" style="12" customWidth="1"/>
    <col min="10503" max="10504" width="9.85546875" style="12" customWidth="1"/>
    <col min="10505" max="10505" width="11.140625" style="12" customWidth="1"/>
    <col min="10506" max="10506" width="2.85546875" style="12" customWidth="1"/>
    <col min="10507" max="10507" width="3.5703125" style="12" customWidth="1"/>
    <col min="10508" max="10752" width="9.140625" style="12"/>
    <col min="10753" max="10753" width="8.7109375" style="12" customWidth="1"/>
    <col min="10754" max="10754" width="9.85546875" style="12" customWidth="1"/>
    <col min="10755" max="10755" width="14.42578125" style="12" customWidth="1"/>
    <col min="10756" max="10756" width="7.28515625" style="12" customWidth="1"/>
    <col min="10757" max="10757" width="5.5703125" style="12" customWidth="1"/>
    <col min="10758" max="10758" width="9" style="12" customWidth="1"/>
    <col min="10759" max="10760" width="9.85546875" style="12" customWidth="1"/>
    <col min="10761" max="10761" width="11.140625" style="12" customWidth="1"/>
    <col min="10762" max="10762" width="2.85546875" style="12" customWidth="1"/>
    <col min="10763" max="10763" width="3.5703125" style="12" customWidth="1"/>
    <col min="10764" max="11008" width="9.140625" style="12"/>
    <col min="11009" max="11009" width="8.7109375" style="12" customWidth="1"/>
    <col min="11010" max="11010" width="9.85546875" style="12" customWidth="1"/>
    <col min="11011" max="11011" width="14.42578125" style="12" customWidth="1"/>
    <col min="11012" max="11012" width="7.28515625" style="12" customWidth="1"/>
    <col min="11013" max="11013" width="5.5703125" style="12" customWidth="1"/>
    <col min="11014" max="11014" width="9" style="12" customWidth="1"/>
    <col min="11015" max="11016" width="9.85546875" style="12" customWidth="1"/>
    <col min="11017" max="11017" width="11.140625" style="12" customWidth="1"/>
    <col min="11018" max="11018" width="2.85546875" style="12" customWidth="1"/>
    <col min="11019" max="11019" width="3.5703125" style="12" customWidth="1"/>
    <col min="11020" max="11264" width="9.140625" style="12"/>
    <col min="11265" max="11265" width="8.7109375" style="12" customWidth="1"/>
    <col min="11266" max="11266" width="9.85546875" style="12" customWidth="1"/>
    <col min="11267" max="11267" width="14.42578125" style="12" customWidth="1"/>
    <col min="11268" max="11268" width="7.28515625" style="12" customWidth="1"/>
    <col min="11269" max="11269" width="5.5703125" style="12" customWidth="1"/>
    <col min="11270" max="11270" width="9" style="12" customWidth="1"/>
    <col min="11271" max="11272" width="9.85546875" style="12" customWidth="1"/>
    <col min="11273" max="11273" width="11.140625" style="12" customWidth="1"/>
    <col min="11274" max="11274" width="2.85546875" style="12" customWidth="1"/>
    <col min="11275" max="11275" width="3.5703125" style="12" customWidth="1"/>
    <col min="11276" max="11520" width="9.140625" style="12"/>
    <col min="11521" max="11521" width="8.7109375" style="12" customWidth="1"/>
    <col min="11522" max="11522" width="9.85546875" style="12" customWidth="1"/>
    <col min="11523" max="11523" width="14.42578125" style="12" customWidth="1"/>
    <col min="11524" max="11524" width="7.28515625" style="12" customWidth="1"/>
    <col min="11525" max="11525" width="5.5703125" style="12" customWidth="1"/>
    <col min="11526" max="11526" width="9" style="12" customWidth="1"/>
    <col min="11527" max="11528" width="9.85546875" style="12" customWidth="1"/>
    <col min="11529" max="11529" width="11.140625" style="12" customWidth="1"/>
    <col min="11530" max="11530" width="2.85546875" style="12" customWidth="1"/>
    <col min="11531" max="11531" width="3.5703125" style="12" customWidth="1"/>
    <col min="11532" max="11776" width="9.140625" style="12"/>
    <col min="11777" max="11777" width="8.7109375" style="12" customWidth="1"/>
    <col min="11778" max="11778" width="9.85546875" style="12" customWidth="1"/>
    <col min="11779" max="11779" width="14.42578125" style="12" customWidth="1"/>
    <col min="11780" max="11780" width="7.28515625" style="12" customWidth="1"/>
    <col min="11781" max="11781" width="5.5703125" style="12" customWidth="1"/>
    <col min="11782" max="11782" width="9" style="12" customWidth="1"/>
    <col min="11783" max="11784" width="9.85546875" style="12" customWidth="1"/>
    <col min="11785" max="11785" width="11.140625" style="12" customWidth="1"/>
    <col min="11786" max="11786" width="2.85546875" style="12" customWidth="1"/>
    <col min="11787" max="11787" width="3.5703125" style="12" customWidth="1"/>
    <col min="11788" max="12032" width="9.140625" style="12"/>
    <col min="12033" max="12033" width="8.7109375" style="12" customWidth="1"/>
    <col min="12034" max="12034" width="9.85546875" style="12" customWidth="1"/>
    <col min="12035" max="12035" width="14.42578125" style="12" customWidth="1"/>
    <col min="12036" max="12036" width="7.28515625" style="12" customWidth="1"/>
    <col min="12037" max="12037" width="5.5703125" style="12" customWidth="1"/>
    <col min="12038" max="12038" width="9" style="12" customWidth="1"/>
    <col min="12039" max="12040" width="9.85546875" style="12" customWidth="1"/>
    <col min="12041" max="12041" width="11.140625" style="12" customWidth="1"/>
    <col min="12042" max="12042" width="2.85546875" style="12" customWidth="1"/>
    <col min="12043" max="12043" width="3.5703125" style="12" customWidth="1"/>
    <col min="12044" max="12288" width="9.140625" style="12"/>
    <col min="12289" max="12289" width="8.7109375" style="12" customWidth="1"/>
    <col min="12290" max="12290" width="9.85546875" style="12" customWidth="1"/>
    <col min="12291" max="12291" width="14.42578125" style="12" customWidth="1"/>
    <col min="12292" max="12292" width="7.28515625" style="12" customWidth="1"/>
    <col min="12293" max="12293" width="5.5703125" style="12" customWidth="1"/>
    <col min="12294" max="12294" width="9" style="12" customWidth="1"/>
    <col min="12295" max="12296" width="9.85546875" style="12" customWidth="1"/>
    <col min="12297" max="12297" width="11.140625" style="12" customWidth="1"/>
    <col min="12298" max="12298" width="2.85546875" style="12" customWidth="1"/>
    <col min="12299" max="12299" width="3.5703125" style="12" customWidth="1"/>
    <col min="12300" max="12544" width="9.140625" style="12"/>
    <col min="12545" max="12545" width="8.7109375" style="12" customWidth="1"/>
    <col min="12546" max="12546" width="9.85546875" style="12" customWidth="1"/>
    <col min="12547" max="12547" width="14.42578125" style="12" customWidth="1"/>
    <col min="12548" max="12548" width="7.28515625" style="12" customWidth="1"/>
    <col min="12549" max="12549" width="5.5703125" style="12" customWidth="1"/>
    <col min="12550" max="12550" width="9" style="12" customWidth="1"/>
    <col min="12551" max="12552" width="9.85546875" style="12" customWidth="1"/>
    <col min="12553" max="12553" width="11.140625" style="12" customWidth="1"/>
    <col min="12554" max="12554" width="2.85546875" style="12" customWidth="1"/>
    <col min="12555" max="12555" width="3.5703125" style="12" customWidth="1"/>
    <col min="12556" max="12800" width="9.140625" style="12"/>
    <col min="12801" max="12801" width="8.7109375" style="12" customWidth="1"/>
    <col min="12802" max="12802" width="9.85546875" style="12" customWidth="1"/>
    <col min="12803" max="12803" width="14.42578125" style="12" customWidth="1"/>
    <col min="12804" max="12804" width="7.28515625" style="12" customWidth="1"/>
    <col min="12805" max="12805" width="5.5703125" style="12" customWidth="1"/>
    <col min="12806" max="12806" width="9" style="12" customWidth="1"/>
    <col min="12807" max="12808" width="9.85546875" style="12" customWidth="1"/>
    <col min="12809" max="12809" width="11.140625" style="12" customWidth="1"/>
    <col min="12810" max="12810" width="2.85546875" style="12" customWidth="1"/>
    <col min="12811" max="12811" width="3.5703125" style="12" customWidth="1"/>
    <col min="12812" max="13056" width="9.140625" style="12"/>
    <col min="13057" max="13057" width="8.7109375" style="12" customWidth="1"/>
    <col min="13058" max="13058" width="9.85546875" style="12" customWidth="1"/>
    <col min="13059" max="13059" width="14.42578125" style="12" customWidth="1"/>
    <col min="13060" max="13060" width="7.28515625" style="12" customWidth="1"/>
    <col min="13061" max="13061" width="5.5703125" style="12" customWidth="1"/>
    <col min="13062" max="13062" width="9" style="12" customWidth="1"/>
    <col min="13063" max="13064" width="9.85546875" style="12" customWidth="1"/>
    <col min="13065" max="13065" width="11.140625" style="12" customWidth="1"/>
    <col min="13066" max="13066" width="2.85546875" style="12" customWidth="1"/>
    <col min="13067" max="13067" width="3.5703125" style="12" customWidth="1"/>
    <col min="13068" max="13312" width="9.140625" style="12"/>
    <col min="13313" max="13313" width="8.7109375" style="12" customWidth="1"/>
    <col min="13314" max="13314" width="9.85546875" style="12" customWidth="1"/>
    <col min="13315" max="13315" width="14.42578125" style="12" customWidth="1"/>
    <col min="13316" max="13316" width="7.28515625" style="12" customWidth="1"/>
    <col min="13317" max="13317" width="5.5703125" style="12" customWidth="1"/>
    <col min="13318" max="13318" width="9" style="12" customWidth="1"/>
    <col min="13319" max="13320" width="9.85546875" style="12" customWidth="1"/>
    <col min="13321" max="13321" width="11.140625" style="12" customWidth="1"/>
    <col min="13322" max="13322" width="2.85546875" style="12" customWidth="1"/>
    <col min="13323" max="13323" width="3.5703125" style="12" customWidth="1"/>
    <col min="13324" max="13568" width="9.140625" style="12"/>
    <col min="13569" max="13569" width="8.7109375" style="12" customWidth="1"/>
    <col min="13570" max="13570" width="9.85546875" style="12" customWidth="1"/>
    <col min="13571" max="13571" width="14.42578125" style="12" customWidth="1"/>
    <col min="13572" max="13572" width="7.28515625" style="12" customWidth="1"/>
    <col min="13573" max="13573" width="5.5703125" style="12" customWidth="1"/>
    <col min="13574" max="13574" width="9" style="12" customWidth="1"/>
    <col min="13575" max="13576" width="9.85546875" style="12" customWidth="1"/>
    <col min="13577" max="13577" width="11.140625" style="12" customWidth="1"/>
    <col min="13578" max="13578" width="2.85546875" style="12" customWidth="1"/>
    <col min="13579" max="13579" width="3.5703125" style="12" customWidth="1"/>
    <col min="13580" max="13824" width="9.140625" style="12"/>
    <col min="13825" max="13825" width="8.7109375" style="12" customWidth="1"/>
    <col min="13826" max="13826" width="9.85546875" style="12" customWidth="1"/>
    <col min="13827" max="13827" width="14.42578125" style="12" customWidth="1"/>
    <col min="13828" max="13828" width="7.28515625" style="12" customWidth="1"/>
    <col min="13829" max="13829" width="5.5703125" style="12" customWidth="1"/>
    <col min="13830" max="13830" width="9" style="12" customWidth="1"/>
    <col min="13831" max="13832" width="9.85546875" style="12" customWidth="1"/>
    <col min="13833" max="13833" width="11.140625" style="12" customWidth="1"/>
    <col min="13834" max="13834" width="2.85546875" style="12" customWidth="1"/>
    <col min="13835" max="13835" width="3.5703125" style="12" customWidth="1"/>
    <col min="13836" max="14080" width="9.140625" style="12"/>
    <col min="14081" max="14081" width="8.7109375" style="12" customWidth="1"/>
    <col min="14082" max="14082" width="9.85546875" style="12" customWidth="1"/>
    <col min="14083" max="14083" width="14.42578125" style="12" customWidth="1"/>
    <col min="14084" max="14084" width="7.28515625" style="12" customWidth="1"/>
    <col min="14085" max="14085" width="5.5703125" style="12" customWidth="1"/>
    <col min="14086" max="14086" width="9" style="12" customWidth="1"/>
    <col min="14087" max="14088" width="9.85546875" style="12" customWidth="1"/>
    <col min="14089" max="14089" width="11.140625" style="12" customWidth="1"/>
    <col min="14090" max="14090" width="2.85546875" style="12" customWidth="1"/>
    <col min="14091" max="14091" width="3.5703125" style="12" customWidth="1"/>
    <col min="14092" max="14336" width="9.140625" style="12"/>
    <col min="14337" max="14337" width="8.7109375" style="12" customWidth="1"/>
    <col min="14338" max="14338" width="9.85546875" style="12" customWidth="1"/>
    <col min="14339" max="14339" width="14.42578125" style="12" customWidth="1"/>
    <col min="14340" max="14340" width="7.28515625" style="12" customWidth="1"/>
    <col min="14341" max="14341" width="5.5703125" style="12" customWidth="1"/>
    <col min="14342" max="14342" width="9" style="12" customWidth="1"/>
    <col min="14343" max="14344" width="9.85546875" style="12" customWidth="1"/>
    <col min="14345" max="14345" width="11.140625" style="12" customWidth="1"/>
    <col min="14346" max="14346" width="2.85546875" style="12" customWidth="1"/>
    <col min="14347" max="14347" width="3.5703125" style="12" customWidth="1"/>
    <col min="14348" max="14592" width="9.140625" style="12"/>
    <col min="14593" max="14593" width="8.7109375" style="12" customWidth="1"/>
    <col min="14594" max="14594" width="9.85546875" style="12" customWidth="1"/>
    <col min="14595" max="14595" width="14.42578125" style="12" customWidth="1"/>
    <col min="14596" max="14596" width="7.28515625" style="12" customWidth="1"/>
    <col min="14597" max="14597" width="5.5703125" style="12" customWidth="1"/>
    <col min="14598" max="14598" width="9" style="12" customWidth="1"/>
    <col min="14599" max="14600" width="9.85546875" style="12" customWidth="1"/>
    <col min="14601" max="14601" width="11.140625" style="12" customWidth="1"/>
    <col min="14602" max="14602" width="2.85546875" style="12" customWidth="1"/>
    <col min="14603" max="14603" width="3.5703125" style="12" customWidth="1"/>
    <col min="14604" max="14848" width="9.140625" style="12"/>
    <col min="14849" max="14849" width="8.7109375" style="12" customWidth="1"/>
    <col min="14850" max="14850" width="9.85546875" style="12" customWidth="1"/>
    <col min="14851" max="14851" width="14.42578125" style="12" customWidth="1"/>
    <col min="14852" max="14852" width="7.28515625" style="12" customWidth="1"/>
    <col min="14853" max="14853" width="5.5703125" style="12" customWidth="1"/>
    <col min="14854" max="14854" width="9" style="12" customWidth="1"/>
    <col min="14855" max="14856" width="9.85546875" style="12" customWidth="1"/>
    <col min="14857" max="14857" width="11.140625" style="12" customWidth="1"/>
    <col min="14858" max="14858" width="2.85546875" style="12" customWidth="1"/>
    <col min="14859" max="14859" width="3.5703125" style="12" customWidth="1"/>
    <col min="14860" max="15104" width="9.140625" style="12"/>
    <col min="15105" max="15105" width="8.7109375" style="12" customWidth="1"/>
    <col min="15106" max="15106" width="9.85546875" style="12" customWidth="1"/>
    <col min="15107" max="15107" width="14.42578125" style="12" customWidth="1"/>
    <col min="15108" max="15108" width="7.28515625" style="12" customWidth="1"/>
    <col min="15109" max="15109" width="5.5703125" style="12" customWidth="1"/>
    <col min="15110" max="15110" width="9" style="12" customWidth="1"/>
    <col min="15111" max="15112" width="9.85546875" style="12" customWidth="1"/>
    <col min="15113" max="15113" width="11.140625" style="12" customWidth="1"/>
    <col min="15114" max="15114" width="2.85546875" style="12" customWidth="1"/>
    <col min="15115" max="15115" width="3.5703125" style="12" customWidth="1"/>
    <col min="15116" max="15360" width="9.140625" style="12"/>
    <col min="15361" max="15361" width="8.7109375" style="12" customWidth="1"/>
    <col min="15362" max="15362" width="9.85546875" style="12" customWidth="1"/>
    <col min="15363" max="15363" width="14.42578125" style="12" customWidth="1"/>
    <col min="15364" max="15364" width="7.28515625" style="12" customWidth="1"/>
    <col min="15365" max="15365" width="5.5703125" style="12" customWidth="1"/>
    <col min="15366" max="15366" width="9" style="12" customWidth="1"/>
    <col min="15367" max="15368" width="9.85546875" style="12" customWidth="1"/>
    <col min="15369" max="15369" width="11.140625" style="12" customWidth="1"/>
    <col min="15370" max="15370" width="2.85546875" style="12" customWidth="1"/>
    <col min="15371" max="15371" width="3.5703125" style="12" customWidth="1"/>
    <col min="15372" max="15616" width="9.140625" style="12"/>
    <col min="15617" max="15617" width="8.7109375" style="12" customWidth="1"/>
    <col min="15618" max="15618" width="9.85546875" style="12" customWidth="1"/>
    <col min="15619" max="15619" width="14.42578125" style="12" customWidth="1"/>
    <col min="15620" max="15620" width="7.28515625" style="12" customWidth="1"/>
    <col min="15621" max="15621" width="5.5703125" style="12" customWidth="1"/>
    <col min="15622" max="15622" width="9" style="12" customWidth="1"/>
    <col min="15623" max="15624" width="9.85546875" style="12" customWidth="1"/>
    <col min="15625" max="15625" width="11.140625" style="12" customWidth="1"/>
    <col min="15626" max="15626" width="2.85546875" style="12" customWidth="1"/>
    <col min="15627" max="15627" width="3.5703125" style="12" customWidth="1"/>
    <col min="15628" max="15872" width="9.140625" style="12"/>
    <col min="15873" max="15873" width="8.7109375" style="12" customWidth="1"/>
    <col min="15874" max="15874" width="9.85546875" style="12" customWidth="1"/>
    <col min="15875" max="15875" width="14.42578125" style="12" customWidth="1"/>
    <col min="15876" max="15876" width="7.28515625" style="12" customWidth="1"/>
    <col min="15877" max="15877" width="5.5703125" style="12" customWidth="1"/>
    <col min="15878" max="15878" width="9" style="12" customWidth="1"/>
    <col min="15879" max="15880" width="9.85546875" style="12" customWidth="1"/>
    <col min="15881" max="15881" width="11.140625" style="12" customWidth="1"/>
    <col min="15882" max="15882" width="2.85546875" style="12" customWidth="1"/>
    <col min="15883" max="15883" width="3.5703125" style="12" customWidth="1"/>
    <col min="15884" max="16128" width="9.140625" style="12"/>
    <col min="16129" max="16129" width="8.7109375" style="12" customWidth="1"/>
    <col min="16130" max="16130" width="9.85546875" style="12" customWidth="1"/>
    <col min="16131" max="16131" width="14.42578125" style="12" customWidth="1"/>
    <col min="16132" max="16132" width="7.28515625" style="12" customWidth="1"/>
    <col min="16133" max="16133" width="5.5703125" style="12" customWidth="1"/>
    <col min="16134" max="16134" width="9" style="12" customWidth="1"/>
    <col min="16135" max="16136" width="9.85546875" style="12" customWidth="1"/>
    <col min="16137" max="16137" width="11.140625" style="12" customWidth="1"/>
    <col min="16138" max="16138" width="2.85546875" style="12" customWidth="1"/>
    <col min="16139" max="16139" width="3.5703125" style="12" customWidth="1"/>
    <col min="16140" max="16384" width="9.140625" style="12"/>
  </cols>
  <sheetData>
    <row r="1" spans="1:10" ht="46.5" customHeight="1" x14ac:dyDescent="0.25">
      <c r="A1" s="203" t="s">
        <v>274</v>
      </c>
      <c r="B1" s="204"/>
      <c r="C1" s="204"/>
      <c r="D1" s="204"/>
      <c r="E1" s="204"/>
      <c r="F1" s="204"/>
      <c r="G1" s="204"/>
      <c r="H1" s="204"/>
      <c r="I1" s="204"/>
      <c r="J1" s="205"/>
    </row>
    <row r="2" spans="1:10" ht="16.5" customHeight="1" x14ac:dyDescent="0.25">
      <c r="A2" s="143" t="s">
        <v>0</v>
      </c>
      <c r="B2" s="144"/>
      <c r="C2" s="144"/>
      <c r="D2" s="144"/>
      <c r="E2" s="144"/>
      <c r="F2" s="144"/>
      <c r="G2" s="144"/>
      <c r="H2" s="144"/>
      <c r="I2" s="144"/>
      <c r="J2" s="145"/>
    </row>
    <row r="3" spans="1:10" x14ac:dyDescent="0.25">
      <c r="A3" s="59" t="s">
        <v>1</v>
      </c>
      <c r="B3" s="60"/>
      <c r="C3" s="60"/>
      <c r="D3" s="60"/>
      <c r="E3" s="68"/>
      <c r="F3" s="200" t="str">
        <f ca="1">TEXT(TODAY(),"DD/MM/YYYY")</f>
        <v>30/09/2025</v>
      </c>
      <c r="G3" s="201"/>
      <c r="H3" s="201"/>
      <c r="I3" s="201"/>
      <c r="J3" s="202"/>
    </row>
    <row r="4" spans="1:10" ht="15" customHeight="1" x14ac:dyDescent="0.25">
      <c r="A4" s="59" t="s">
        <v>2</v>
      </c>
      <c r="B4" s="60"/>
      <c r="C4" s="60"/>
      <c r="D4" s="60"/>
      <c r="E4" s="68"/>
      <c r="F4" s="194" t="s">
        <v>173</v>
      </c>
      <c r="G4" s="195"/>
      <c r="H4" s="195"/>
      <c r="I4" s="195"/>
      <c r="J4" s="196"/>
    </row>
    <row r="5" spans="1:10" x14ac:dyDescent="0.25">
      <c r="A5" s="59" t="s">
        <v>3</v>
      </c>
      <c r="B5" s="60"/>
      <c r="C5" s="60"/>
      <c r="D5" s="60"/>
      <c r="E5" s="68"/>
      <c r="F5" s="200">
        <v>45908</v>
      </c>
      <c r="G5" s="201"/>
      <c r="H5" s="201"/>
      <c r="I5" s="201"/>
      <c r="J5" s="202"/>
    </row>
    <row r="6" spans="1:10" ht="16.5" customHeight="1" x14ac:dyDescent="0.25">
      <c r="A6" s="59" t="s">
        <v>4</v>
      </c>
      <c r="B6" s="60"/>
      <c r="C6" s="60"/>
      <c r="D6" s="60"/>
      <c r="E6" s="68"/>
      <c r="F6" s="61" t="s">
        <v>280</v>
      </c>
      <c r="G6" s="62"/>
      <c r="H6" s="62"/>
      <c r="I6" s="62"/>
      <c r="J6" s="63"/>
    </row>
    <row r="7" spans="1:10" ht="15" customHeight="1" x14ac:dyDescent="0.25">
      <c r="A7" s="59" t="s">
        <v>5</v>
      </c>
      <c r="B7" s="60"/>
      <c r="C7" s="60"/>
      <c r="D7" s="60"/>
      <c r="E7" s="68"/>
      <c r="F7" s="61" t="str">
        <f>F6</f>
        <v>M/s. Ashtvinayak Homes</v>
      </c>
      <c r="G7" s="62"/>
      <c r="H7" s="62"/>
      <c r="I7" s="62"/>
      <c r="J7" s="63"/>
    </row>
    <row r="8" spans="1:10" x14ac:dyDescent="0.25">
      <c r="A8" s="59" t="s">
        <v>6</v>
      </c>
      <c r="B8" s="60"/>
      <c r="C8" s="60"/>
      <c r="D8" s="60"/>
      <c r="E8" s="68"/>
      <c r="F8" s="146" t="s">
        <v>174</v>
      </c>
      <c r="G8" s="147"/>
      <c r="H8" s="147"/>
      <c r="I8" s="147"/>
      <c r="J8" s="148"/>
    </row>
    <row r="9" spans="1:10" x14ac:dyDescent="0.25">
      <c r="A9" s="59" t="s">
        <v>272</v>
      </c>
      <c r="B9" s="60"/>
      <c r="C9" s="60"/>
      <c r="D9" s="60"/>
      <c r="E9" s="68"/>
      <c r="F9" s="59">
        <v>2740078500</v>
      </c>
      <c r="G9" s="60"/>
      <c r="H9" s="60"/>
      <c r="I9" s="60"/>
      <c r="J9" s="68"/>
    </row>
    <row r="10" spans="1:10" x14ac:dyDescent="0.25">
      <c r="A10" s="59" t="s">
        <v>273</v>
      </c>
      <c r="B10" s="60"/>
      <c r="C10" s="60"/>
      <c r="D10" s="60"/>
      <c r="E10" s="68"/>
      <c r="F10" s="59" t="s">
        <v>277</v>
      </c>
      <c r="G10" s="60"/>
      <c r="H10" s="60"/>
      <c r="I10" s="60"/>
      <c r="J10" s="68"/>
    </row>
    <row r="11" spans="1:10" ht="33" customHeight="1" x14ac:dyDescent="0.25">
      <c r="A11" s="59" t="s">
        <v>7</v>
      </c>
      <c r="B11" s="60"/>
      <c r="C11" s="60"/>
      <c r="D11" s="60"/>
      <c r="E11" s="68"/>
      <c r="F11" s="77" t="s">
        <v>192</v>
      </c>
      <c r="G11" s="78"/>
      <c r="H11" s="78"/>
      <c r="I11" s="78"/>
      <c r="J11" s="79"/>
    </row>
    <row r="12" spans="1:10" ht="16.5" customHeight="1" x14ac:dyDescent="0.25">
      <c r="A12" s="59" t="s">
        <v>8</v>
      </c>
      <c r="B12" s="60"/>
      <c r="C12" s="60"/>
      <c r="D12" s="60"/>
      <c r="E12" s="68"/>
      <c r="F12" s="77" t="s">
        <v>9</v>
      </c>
      <c r="G12" s="78"/>
      <c r="H12" s="78"/>
      <c r="I12" s="78"/>
      <c r="J12" s="79"/>
    </row>
    <row r="13" spans="1:10" x14ac:dyDescent="0.25">
      <c r="A13" s="59" t="s">
        <v>10</v>
      </c>
      <c r="B13" s="60"/>
      <c r="C13" s="60"/>
      <c r="D13" s="60"/>
      <c r="E13" s="68"/>
      <c r="F13" s="59" t="s">
        <v>175</v>
      </c>
      <c r="G13" s="60"/>
      <c r="H13" s="60"/>
      <c r="I13" s="60"/>
      <c r="J13" s="68"/>
    </row>
    <row r="14" spans="1:10" ht="31.5" customHeight="1" x14ac:dyDescent="0.25">
      <c r="A14" s="198" t="s">
        <v>11</v>
      </c>
      <c r="B14" s="198"/>
      <c r="C14" s="61" t="str">
        <f>CONCATENATE((IF(OR(F8="",F8="NA"),"",F8)),", ",(IF(OR(A15="",A15="NA"),"",A15)),".",(IF(OR(C15="",C15="NA"),"",C15)),", ",(IF(OR(C16="",C16="NA"),"",C16)),", ",(IF(OR(H16="",H16="NA"),"",H16)),", ",(IF(OR(C17="",C17="NA"),"",C17)),", ",(IF(OR(C18="",C18="NA"),"",C18)),", ",(IF(OR(H17="",H17="NA"),"",H17)),".")</f>
        <v>Sarvam, Survey No.35/2, 35/3, 36/2, Ghot Road, Koyana Velhe, Taloja Panchnand, Panvel, Raigad.</v>
      </c>
      <c r="D14" s="62"/>
      <c r="E14" s="62"/>
      <c r="F14" s="62"/>
      <c r="G14" s="62"/>
      <c r="H14" s="62"/>
      <c r="I14" s="62"/>
      <c r="J14" s="63"/>
    </row>
    <row r="15" spans="1:10" ht="15.75" customHeight="1" x14ac:dyDescent="0.25">
      <c r="A15" s="61" t="s">
        <v>176</v>
      </c>
      <c r="B15" s="63"/>
      <c r="C15" s="77" t="s">
        <v>217</v>
      </c>
      <c r="D15" s="78"/>
      <c r="E15" s="78"/>
      <c r="F15" s="78"/>
      <c r="G15" s="78"/>
      <c r="H15" s="78"/>
      <c r="I15" s="78"/>
      <c r="J15" s="79"/>
    </row>
    <row r="16" spans="1:10" ht="15.75" customHeight="1" x14ac:dyDescent="0.25">
      <c r="A16" s="61" t="s">
        <v>12</v>
      </c>
      <c r="B16" s="63"/>
      <c r="C16" s="193" t="s">
        <v>199</v>
      </c>
      <c r="D16" s="193"/>
      <c r="E16" s="193"/>
      <c r="F16" s="70" t="s">
        <v>137</v>
      </c>
      <c r="G16" s="71"/>
      <c r="H16" s="77" t="s">
        <v>201</v>
      </c>
      <c r="I16" s="78"/>
      <c r="J16" s="79"/>
    </row>
    <row r="17" spans="1:10" x14ac:dyDescent="0.25">
      <c r="A17" s="178" t="s">
        <v>14</v>
      </c>
      <c r="B17" s="178"/>
      <c r="C17" s="193" t="s">
        <v>200</v>
      </c>
      <c r="D17" s="193"/>
      <c r="E17" s="193"/>
      <c r="F17" s="70" t="s">
        <v>13</v>
      </c>
      <c r="G17" s="71"/>
      <c r="H17" s="199" t="s">
        <v>177</v>
      </c>
      <c r="I17" s="199"/>
      <c r="J17" s="199"/>
    </row>
    <row r="18" spans="1:10" x14ac:dyDescent="0.25">
      <c r="A18" s="178" t="s">
        <v>138</v>
      </c>
      <c r="B18" s="178"/>
      <c r="C18" s="77" t="s">
        <v>157</v>
      </c>
      <c r="D18" s="78"/>
      <c r="E18" s="79"/>
      <c r="F18" s="70" t="s">
        <v>15</v>
      </c>
      <c r="G18" s="71"/>
      <c r="H18" s="77">
        <v>410208</v>
      </c>
      <c r="I18" s="78"/>
      <c r="J18" s="79"/>
    </row>
    <row r="19" spans="1:10" ht="32.25" customHeight="1" x14ac:dyDescent="0.25">
      <c r="A19" s="178" t="s">
        <v>16</v>
      </c>
      <c r="B19" s="178"/>
      <c r="C19" s="197" t="s">
        <v>191</v>
      </c>
      <c r="D19" s="197"/>
      <c r="E19" s="197"/>
      <c r="F19" s="198" t="s">
        <v>17</v>
      </c>
      <c r="G19" s="198"/>
      <c r="H19" s="78" t="s">
        <v>250</v>
      </c>
      <c r="I19" s="78"/>
      <c r="J19" s="79"/>
    </row>
    <row r="20" spans="1:10" ht="15" customHeight="1" x14ac:dyDescent="0.25">
      <c r="A20" s="70" t="s">
        <v>149</v>
      </c>
      <c r="B20" s="208"/>
      <c r="C20" s="208"/>
      <c r="D20" s="208"/>
      <c r="E20" s="71"/>
      <c r="F20" s="210" t="s">
        <v>18</v>
      </c>
      <c r="G20" s="211"/>
      <c r="H20" s="211"/>
      <c r="I20" s="211"/>
      <c r="J20" s="212"/>
    </row>
    <row r="21" spans="1:10" ht="18.75" customHeight="1" x14ac:dyDescent="0.25">
      <c r="A21" s="72"/>
      <c r="B21" s="209"/>
      <c r="C21" s="209"/>
      <c r="D21" s="209"/>
      <c r="E21" s="73"/>
      <c r="F21" s="213"/>
      <c r="G21" s="214"/>
      <c r="H21" s="214"/>
      <c r="I21" s="214"/>
      <c r="J21" s="215"/>
    </row>
    <row r="22" spans="1:10" ht="15" customHeight="1" x14ac:dyDescent="0.25">
      <c r="A22" s="70" t="s">
        <v>19</v>
      </c>
      <c r="B22" s="208"/>
      <c r="C22" s="208"/>
      <c r="D22" s="208"/>
      <c r="E22" s="71"/>
      <c r="F22" s="70" t="s">
        <v>20</v>
      </c>
      <c r="G22" s="208"/>
      <c r="H22" s="208"/>
      <c r="I22" s="208"/>
      <c r="J22" s="71"/>
    </row>
    <row r="23" spans="1:10" x14ac:dyDescent="0.25">
      <c r="A23" s="72"/>
      <c r="B23" s="209"/>
      <c r="C23" s="209"/>
      <c r="D23" s="209"/>
      <c r="E23" s="73"/>
      <c r="F23" s="72"/>
      <c r="G23" s="209"/>
      <c r="H23" s="209"/>
      <c r="I23" s="209"/>
      <c r="J23" s="73"/>
    </row>
    <row r="24" spans="1:10" ht="15" customHeight="1" x14ac:dyDescent="0.25">
      <c r="A24" s="59" t="s">
        <v>21</v>
      </c>
      <c r="B24" s="60"/>
      <c r="C24" s="60"/>
      <c r="D24" s="60"/>
      <c r="E24" s="68"/>
      <c r="F24" s="194" t="s">
        <v>22</v>
      </c>
      <c r="G24" s="195"/>
      <c r="H24" s="195"/>
      <c r="I24" s="195"/>
      <c r="J24" s="196"/>
    </row>
    <row r="25" spans="1:10" x14ac:dyDescent="0.25">
      <c r="A25" s="59" t="s">
        <v>23</v>
      </c>
      <c r="B25" s="60"/>
      <c r="C25" s="60"/>
      <c r="D25" s="60"/>
      <c r="E25" s="68"/>
      <c r="F25" s="194" t="s">
        <v>24</v>
      </c>
      <c r="G25" s="195"/>
      <c r="H25" s="195"/>
      <c r="I25" s="195"/>
      <c r="J25" s="196"/>
    </row>
    <row r="26" spans="1:10" ht="15" customHeight="1" x14ac:dyDescent="0.25">
      <c r="A26" s="59" t="s">
        <v>25</v>
      </c>
      <c r="B26" s="60"/>
      <c r="C26" s="60"/>
      <c r="D26" s="60"/>
      <c r="E26" s="68"/>
      <c r="F26" s="194" t="s">
        <v>26</v>
      </c>
      <c r="G26" s="195"/>
      <c r="H26" s="195"/>
      <c r="I26" s="195"/>
      <c r="J26" s="196"/>
    </row>
    <row r="27" spans="1:10" x14ac:dyDescent="0.25">
      <c r="A27" s="59" t="s">
        <v>27</v>
      </c>
      <c r="B27" s="60"/>
      <c r="C27" s="60"/>
      <c r="D27" s="60"/>
      <c r="E27" s="68"/>
      <c r="F27" s="194" t="s">
        <v>28</v>
      </c>
      <c r="G27" s="195"/>
      <c r="H27" s="195"/>
      <c r="I27" s="195"/>
      <c r="J27" s="196"/>
    </row>
    <row r="28" spans="1:10" x14ac:dyDescent="0.25">
      <c r="A28" s="206" t="s">
        <v>29</v>
      </c>
      <c r="B28" s="207"/>
      <c r="C28" s="206" t="s">
        <v>30</v>
      </c>
      <c r="D28" s="207"/>
      <c r="E28" s="206" t="s">
        <v>31</v>
      </c>
      <c r="F28" s="207"/>
      <c r="G28" s="206" t="s">
        <v>33</v>
      </c>
      <c r="H28" s="207"/>
      <c r="I28" s="206" t="s">
        <v>32</v>
      </c>
      <c r="J28" s="207"/>
    </row>
    <row r="29" spans="1:10" x14ac:dyDescent="0.25">
      <c r="A29" s="90" t="s">
        <v>34</v>
      </c>
      <c r="B29" s="91"/>
      <c r="C29" s="90" t="s">
        <v>35</v>
      </c>
      <c r="D29" s="91"/>
      <c r="E29" s="90" t="s">
        <v>35</v>
      </c>
      <c r="F29" s="91"/>
      <c r="G29" s="90" t="s">
        <v>35</v>
      </c>
      <c r="H29" s="91"/>
      <c r="I29" s="90" t="s">
        <v>35</v>
      </c>
      <c r="J29" s="91"/>
    </row>
    <row r="30" spans="1:10" x14ac:dyDescent="0.25">
      <c r="A30" s="90" t="s">
        <v>36</v>
      </c>
      <c r="B30" s="91"/>
      <c r="C30" s="217" t="s">
        <v>189</v>
      </c>
      <c r="D30" s="218"/>
      <c r="E30" s="217" t="s">
        <v>12</v>
      </c>
      <c r="F30" s="218"/>
      <c r="G30" s="217" t="s">
        <v>188</v>
      </c>
      <c r="H30" s="218"/>
      <c r="I30" s="217" t="s">
        <v>190</v>
      </c>
      <c r="J30" s="218"/>
    </row>
    <row r="31" spans="1:10" x14ac:dyDescent="0.25">
      <c r="A31" s="59" t="s">
        <v>37</v>
      </c>
      <c r="B31" s="60"/>
      <c r="C31" s="60"/>
      <c r="D31" s="60"/>
      <c r="E31" s="60"/>
      <c r="F31" s="60"/>
      <c r="G31" s="60"/>
      <c r="H31" s="60"/>
      <c r="I31" s="60"/>
      <c r="J31" s="68"/>
    </row>
    <row r="32" spans="1:10" x14ac:dyDescent="0.25">
      <c r="A32" s="59" t="s">
        <v>38</v>
      </c>
      <c r="B32" s="60"/>
      <c r="C32" s="60"/>
      <c r="D32" s="60"/>
      <c r="E32" s="60"/>
      <c r="F32" s="60"/>
      <c r="G32" s="60"/>
      <c r="H32" s="60"/>
      <c r="I32" s="60"/>
      <c r="J32" s="68"/>
    </row>
    <row r="33" spans="1:10" x14ac:dyDescent="0.25">
      <c r="A33" s="59" t="s">
        <v>39</v>
      </c>
      <c r="B33" s="68"/>
      <c r="C33" s="146" t="s">
        <v>270</v>
      </c>
      <c r="D33" s="147"/>
      <c r="E33" s="147"/>
      <c r="F33" s="147"/>
      <c r="G33" s="147"/>
      <c r="H33" s="147"/>
      <c r="I33" s="147"/>
      <c r="J33" s="148"/>
    </row>
    <row r="34" spans="1:10" x14ac:dyDescent="0.25">
      <c r="A34" s="59" t="s">
        <v>271</v>
      </c>
      <c r="B34" s="68"/>
      <c r="C34" s="69" t="s">
        <v>269</v>
      </c>
      <c r="D34" s="60"/>
      <c r="E34" s="60"/>
      <c r="F34" s="60"/>
      <c r="G34" s="60"/>
      <c r="H34" s="60"/>
      <c r="I34" s="60"/>
      <c r="J34" s="68"/>
    </row>
    <row r="35" spans="1:10" x14ac:dyDescent="0.25">
      <c r="A35" s="219" t="s">
        <v>40</v>
      </c>
      <c r="B35" s="219"/>
      <c r="C35" s="219"/>
      <c r="D35" s="219"/>
      <c r="E35" s="219"/>
      <c r="F35" s="219"/>
      <c r="G35" s="219"/>
      <c r="H35" s="219"/>
      <c r="I35" s="219"/>
      <c r="J35" s="219"/>
    </row>
    <row r="36" spans="1:10" ht="15" customHeight="1" x14ac:dyDescent="0.25">
      <c r="A36" s="198" t="s">
        <v>41</v>
      </c>
      <c r="B36" s="198"/>
      <c r="C36" s="198"/>
      <c r="D36" s="198"/>
      <c r="E36" s="198"/>
      <c r="F36" s="216" t="s">
        <v>187</v>
      </c>
      <c r="G36" s="216"/>
      <c r="H36" s="216"/>
      <c r="I36" s="216"/>
      <c r="J36" s="216"/>
    </row>
    <row r="37" spans="1:10" ht="15" customHeight="1" x14ac:dyDescent="0.25">
      <c r="A37" s="198" t="s">
        <v>42</v>
      </c>
      <c r="B37" s="198"/>
      <c r="C37" s="198"/>
      <c r="D37" s="198"/>
      <c r="E37" s="198"/>
      <c r="F37" s="198" t="s">
        <v>43</v>
      </c>
      <c r="G37" s="198"/>
      <c r="H37" s="198"/>
      <c r="I37" s="198"/>
      <c r="J37" s="198"/>
    </row>
    <row r="38" spans="1:10" x14ac:dyDescent="0.25">
      <c r="A38" s="219" t="s">
        <v>44</v>
      </c>
      <c r="B38" s="219"/>
      <c r="C38" s="219"/>
      <c r="D38" s="219"/>
      <c r="E38" s="219"/>
      <c r="F38" s="219"/>
      <c r="G38" s="219"/>
      <c r="H38" s="219"/>
      <c r="I38" s="219"/>
      <c r="J38" s="219"/>
    </row>
    <row r="39" spans="1:10" x14ac:dyDescent="0.25">
      <c r="A39" s="178" t="s">
        <v>45</v>
      </c>
      <c r="B39" s="178"/>
      <c r="C39" s="178"/>
      <c r="D39" s="178"/>
      <c r="E39" s="178"/>
      <c r="F39" s="182">
        <v>7411.6450000000004</v>
      </c>
      <c r="G39" s="182"/>
      <c r="H39" s="182"/>
      <c r="I39" s="182"/>
      <c r="J39" s="182"/>
    </row>
    <row r="40" spans="1:10" x14ac:dyDescent="0.25">
      <c r="A40" s="178" t="s">
        <v>46</v>
      </c>
      <c r="B40" s="178"/>
      <c r="C40" s="178"/>
      <c r="D40" s="178"/>
      <c r="E40" s="178"/>
      <c r="F40" s="186">
        <v>1.1000000000000001</v>
      </c>
      <c r="G40" s="186"/>
      <c r="H40" s="186"/>
      <c r="I40" s="186"/>
      <c r="J40" s="186"/>
    </row>
    <row r="41" spans="1:10" x14ac:dyDescent="0.25">
      <c r="A41" s="178" t="s">
        <v>47</v>
      </c>
      <c r="B41" s="178"/>
      <c r="C41" s="178"/>
      <c r="D41" s="178"/>
      <c r="E41" s="178"/>
      <c r="F41" s="186">
        <v>0</v>
      </c>
      <c r="G41" s="186"/>
      <c r="H41" s="186"/>
      <c r="I41" s="186"/>
      <c r="J41" s="186"/>
    </row>
    <row r="42" spans="1:10" x14ac:dyDescent="0.25">
      <c r="A42" s="59" t="s">
        <v>48</v>
      </c>
      <c r="B42" s="60"/>
      <c r="C42" s="60"/>
      <c r="D42" s="60"/>
      <c r="E42" s="68"/>
      <c r="F42" s="187">
        <f>F40+F41</f>
        <v>1.1000000000000001</v>
      </c>
      <c r="G42" s="188"/>
      <c r="H42" s="188"/>
      <c r="I42" s="188"/>
      <c r="J42" s="189"/>
    </row>
    <row r="43" spans="1:10" x14ac:dyDescent="0.25">
      <c r="A43" s="59" t="s">
        <v>49</v>
      </c>
      <c r="B43" s="60"/>
      <c r="C43" s="60"/>
      <c r="D43" s="60"/>
      <c r="E43" s="68"/>
      <c r="F43" s="190">
        <f>F39*F42</f>
        <v>8152.8095000000012</v>
      </c>
      <c r="G43" s="191"/>
      <c r="H43" s="191"/>
      <c r="I43" s="191"/>
      <c r="J43" s="192"/>
    </row>
    <row r="44" spans="1:10" x14ac:dyDescent="0.25">
      <c r="A44" s="59" t="s">
        <v>50</v>
      </c>
      <c r="B44" s="60"/>
      <c r="C44" s="60"/>
      <c r="D44" s="60"/>
      <c r="E44" s="68"/>
      <c r="F44" s="80" t="s">
        <v>260</v>
      </c>
      <c r="G44" s="81"/>
      <c r="H44" s="81"/>
      <c r="I44" s="81"/>
      <c r="J44" s="95"/>
    </row>
    <row r="45" spans="1:10" x14ac:dyDescent="0.25">
      <c r="A45" s="146" t="s">
        <v>51</v>
      </c>
      <c r="B45" s="147"/>
      <c r="C45" s="147"/>
      <c r="D45" s="147"/>
      <c r="E45" s="147"/>
      <c r="F45" s="147"/>
      <c r="G45" s="147"/>
      <c r="H45" s="147"/>
      <c r="I45" s="147"/>
      <c r="J45" s="148"/>
    </row>
    <row r="46" spans="1:10" x14ac:dyDescent="0.25">
      <c r="A46" s="61" t="s">
        <v>52</v>
      </c>
      <c r="B46" s="63"/>
      <c r="C46" s="74" t="s">
        <v>251</v>
      </c>
      <c r="D46" s="75"/>
      <c r="E46" s="75"/>
      <c r="F46" s="76"/>
      <c r="G46" s="19" t="s">
        <v>53</v>
      </c>
      <c r="H46" s="183">
        <v>44496</v>
      </c>
      <c r="I46" s="62"/>
      <c r="J46" s="63"/>
    </row>
    <row r="47" spans="1:10" x14ac:dyDescent="0.25">
      <c r="A47" s="61" t="s">
        <v>54</v>
      </c>
      <c r="B47" s="63"/>
      <c r="C47" s="74" t="str">
        <f>C46</f>
        <v>PMP/NRV/16194/JK-2177/2021</v>
      </c>
      <c r="D47" s="75"/>
      <c r="E47" s="75"/>
      <c r="F47" s="76"/>
      <c r="G47" s="19" t="s">
        <v>53</v>
      </c>
      <c r="H47" s="183">
        <f>H46</f>
        <v>44496</v>
      </c>
      <c r="I47" s="184"/>
      <c r="J47" s="185"/>
    </row>
    <row r="48" spans="1:10" ht="33.75" customHeight="1" x14ac:dyDescent="0.25">
      <c r="A48" s="70" t="s">
        <v>55</v>
      </c>
      <c r="B48" s="71"/>
      <c r="C48" s="74" t="s">
        <v>254</v>
      </c>
      <c r="D48" s="150"/>
      <c r="E48" s="150"/>
      <c r="F48" s="151"/>
      <c r="G48" s="13" t="s">
        <v>53</v>
      </c>
      <c r="H48" s="220">
        <v>44496</v>
      </c>
      <c r="I48" s="150"/>
      <c r="J48" s="151"/>
    </row>
    <row r="49" spans="1:20" ht="33" customHeight="1" x14ac:dyDescent="0.25">
      <c r="A49" s="72"/>
      <c r="B49" s="73"/>
      <c r="C49" s="74" t="s">
        <v>255</v>
      </c>
      <c r="D49" s="75"/>
      <c r="E49" s="75"/>
      <c r="F49" s="75"/>
      <c r="G49" s="75"/>
      <c r="H49" s="75"/>
      <c r="I49" s="75"/>
      <c r="J49" s="76"/>
    </row>
    <row r="50" spans="1:20" ht="15" customHeight="1" x14ac:dyDescent="0.25">
      <c r="A50" s="61" t="s">
        <v>56</v>
      </c>
      <c r="B50" s="63"/>
      <c r="C50" s="74" t="s">
        <v>147</v>
      </c>
      <c r="D50" s="150"/>
      <c r="E50" s="150"/>
      <c r="F50" s="151" t="s">
        <v>57</v>
      </c>
      <c r="G50" s="19" t="s">
        <v>53</v>
      </c>
      <c r="H50" s="61" t="s">
        <v>35</v>
      </c>
      <c r="I50" s="62" t="s">
        <v>35</v>
      </c>
      <c r="J50" s="63"/>
    </row>
    <row r="51" spans="1:20" x14ac:dyDescent="0.25">
      <c r="A51" s="178" t="s">
        <v>58</v>
      </c>
      <c r="B51" s="178"/>
      <c r="C51" s="178"/>
      <c r="D51" s="179">
        <f>H48</f>
        <v>44496</v>
      </c>
      <c r="E51" s="179"/>
      <c r="F51" s="59" t="s">
        <v>59</v>
      </c>
      <c r="G51" s="180"/>
      <c r="H51" s="181" t="s">
        <v>282</v>
      </c>
      <c r="I51" s="81"/>
      <c r="J51" s="95"/>
      <c r="K51" s="181">
        <v>46022</v>
      </c>
      <c r="L51" s="81"/>
      <c r="M51" s="95"/>
    </row>
    <row r="52" spans="1:20" x14ac:dyDescent="0.25">
      <c r="A52" s="87" t="s">
        <v>60</v>
      </c>
      <c r="B52" s="88"/>
      <c r="C52" s="88"/>
      <c r="D52" s="88"/>
      <c r="E52" s="88"/>
      <c r="F52" s="88"/>
      <c r="G52" s="88"/>
      <c r="H52" s="88"/>
      <c r="I52" s="88"/>
      <c r="J52" s="89"/>
    </row>
    <row r="53" spans="1:20" x14ac:dyDescent="0.25">
      <c r="A53" s="59" t="s">
        <v>61</v>
      </c>
      <c r="B53" s="60"/>
      <c r="C53" s="68"/>
      <c r="D53" s="90">
        <f>F43</f>
        <v>8152.8095000000012</v>
      </c>
      <c r="E53" s="91"/>
      <c r="F53" s="92" t="s">
        <v>62</v>
      </c>
      <c r="G53" s="93"/>
      <c r="H53" s="92" t="s">
        <v>252</v>
      </c>
      <c r="I53" s="94"/>
      <c r="J53" s="93"/>
    </row>
    <row r="54" spans="1:20" x14ac:dyDescent="0.25">
      <c r="A54" s="80" t="s">
        <v>63</v>
      </c>
      <c r="B54" s="81"/>
      <c r="C54" s="77" t="s">
        <v>256</v>
      </c>
      <c r="D54" s="78"/>
      <c r="E54" s="78"/>
      <c r="F54" s="78"/>
      <c r="G54" s="78"/>
      <c r="H54" s="78"/>
      <c r="I54" s="78"/>
      <c r="J54" s="79"/>
    </row>
    <row r="55" spans="1:20" x14ac:dyDescent="0.25">
      <c r="A55" s="80" t="s">
        <v>257</v>
      </c>
      <c r="B55" s="81"/>
      <c r="C55" s="77" t="s">
        <v>256</v>
      </c>
      <c r="D55" s="78"/>
      <c r="E55" s="78"/>
      <c r="F55" s="78"/>
      <c r="G55" s="78"/>
      <c r="H55" s="78"/>
      <c r="I55" s="78"/>
      <c r="J55" s="79"/>
    </row>
    <row r="56" spans="1:20" ht="15.75" customHeight="1" x14ac:dyDescent="0.25">
      <c r="A56" s="59" t="s">
        <v>64</v>
      </c>
      <c r="B56" s="60"/>
      <c r="C56" s="60"/>
      <c r="D56" s="61" t="s">
        <v>281</v>
      </c>
      <c r="E56" s="62"/>
      <c r="F56" s="62"/>
      <c r="G56" s="62"/>
      <c r="H56" s="62"/>
      <c r="I56" s="62"/>
      <c r="J56" s="63"/>
    </row>
    <row r="57" spans="1:20" ht="16.5" thickBot="1" x14ac:dyDescent="0.3">
      <c r="A57" s="80" t="s">
        <v>283</v>
      </c>
      <c r="B57" s="81"/>
      <c r="C57" s="81"/>
      <c r="D57" s="81"/>
      <c r="E57" s="81"/>
      <c r="F57" s="81"/>
      <c r="G57" s="81"/>
      <c r="H57" s="81"/>
      <c r="I57" s="81"/>
      <c r="J57" s="95"/>
      <c r="K57" s="80" t="s">
        <v>185</v>
      </c>
      <c r="L57" s="81"/>
      <c r="M57" s="81"/>
      <c r="N57" s="81"/>
      <c r="O57" s="81"/>
      <c r="P57" s="81"/>
      <c r="Q57" s="81"/>
      <c r="R57" s="81"/>
      <c r="S57" s="81"/>
      <c r="T57" s="95"/>
    </row>
    <row r="58" spans="1:20" customFormat="1" x14ac:dyDescent="0.25">
      <c r="A58" s="82" t="s">
        <v>221</v>
      </c>
      <c r="B58" s="83"/>
      <c r="C58" s="84" t="s">
        <v>276</v>
      </c>
      <c r="D58" s="84"/>
      <c r="E58" s="84"/>
      <c r="F58" s="84"/>
      <c r="G58" s="84"/>
      <c r="H58" s="84"/>
      <c r="I58" s="84"/>
      <c r="J58" s="85"/>
      <c r="K58" s="43" t="str">
        <f ca="1">(IF(F62&gt;99%,"All work completed. Please provide OC.",IF(F62&gt;89.8%,"Plinth, RCC, Brick, Plaster, Flooring, Painting work Completed. Finishing work is in process.",IF(F62&lt;94%,(IF(C62=0,"Work not yet Started.",IF(D62=25%,"Piling work in process",IF(D62=50%,"Excavation work in process",IF(D62=100%,"Excavation work Completed. ","0")))&amp;(IF(C63=0%,"",IF(C63=L64,"Footing work is process",IF(C63=L65,"Footing work Completed",IF(C63=L66,"1st Basement Completed",IF(C63=L67,"1st &amp; 2nd Basement Completed",IF(C63=L68,"1st to 3rd Basement Completed",IF(C63=L69,"1st to 4th Basement Completed",IF(C63=L70,"Plinth work is process",IF(C63=L71,"Plinth work completed","0")))))))))))&amp;(IF(C64=(D59+G59+I59),", RCC Slab",IF(C64&gt;0,", RCC upto "&amp;C64&amp;" Slab",""))&amp;(IF(C65=I59,", Brickwork",IF(C65&gt;0,", Brickwork upto "&amp;C65&amp;" Floor",""))&amp;(IF(C66=I59,", Internal Plaster",IF(C66&gt;0,", Internal Plaster upto "&amp;C66&amp;" Floor",""))&amp;(IF(C67=I59,", External Plaster",IF(C67&gt;0,", External Plaster upto "&amp;C67&amp;" Floor",""))&amp;(IF(C68=I59,", Flooring",IF(C68&gt;0,", Flooring upto "&amp;C68&amp;" Floor",""))&amp;(IF(C69=I59,", Painting",IF(C69&gt;0,", Painting upto "&amp;C69&amp;" Floor",""))&amp;(IF(C70&gt;0,", Finishing upto "&amp;C70&amp;" Floor","")&amp;(IF(C64&gt;0.5," Completed",""))))))))))))))</f>
        <v>All work completed. Please provide OC.</v>
      </c>
      <c r="L58" s="43"/>
    </row>
    <row r="59" spans="1:20" customFormat="1" x14ac:dyDescent="0.25">
      <c r="A59" s="44" t="s">
        <v>133</v>
      </c>
      <c r="B59" s="49">
        <v>0</v>
      </c>
      <c r="C59" s="45" t="s">
        <v>135</v>
      </c>
      <c r="D59" s="45">
        <v>1</v>
      </c>
      <c r="E59" s="64" t="s">
        <v>134</v>
      </c>
      <c r="F59" s="64"/>
      <c r="G59" s="45">
        <v>0</v>
      </c>
      <c r="H59" s="45" t="s">
        <v>222</v>
      </c>
      <c r="I59" s="64">
        <f ca="1">--TRIM(RIGHT(SUBSTITUTE(LEFT(C58,_xlfn.AGGREGATE(16,6,FIND({0,1,2,3,4,5,6,7,8,9},C58,ROW(INDIRECT("1:"&amp;LEN(C58)))),1))," ",REPT(" ",LEN(C58))),LEN(C58)))</f>
        <v>11</v>
      </c>
      <c r="J59" s="86"/>
      <c r="K59" s="43"/>
      <c r="L59" s="43"/>
    </row>
    <row r="60" spans="1:20" customFormat="1" x14ac:dyDescent="0.25">
      <c r="A60" s="121" t="s">
        <v>223</v>
      </c>
      <c r="B60" s="122"/>
      <c r="C60" s="97" t="str">
        <f ca="1">K58</f>
        <v>All work completed. Please provide OC.</v>
      </c>
      <c r="D60" s="97"/>
      <c r="E60" s="97"/>
      <c r="F60" s="97"/>
      <c r="G60" s="97"/>
      <c r="H60" s="97"/>
      <c r="I60" s="97"/>
      <c r="J60" s="123"/>
      <c r="K60" s="43" t="s">
        <v>224</v>
      </c>
      <c r="L60" s="43"/>
    </row>
    <row r="61" spans="1:20" customFormat="1" ht="15.75" customHeight="1" x14ac:dyDescent="0.25">
      <c r="A61" s="124" t="s">
        <v>65</v>
      </c>
      <c r="B61" s="125"/>
      <c r="C61" s="50" t="s">
        <v>225</v>
      </c>
      <c r="D61" s="66" t="s">
        <v>226</v>
      </c>
      <c r="E61" s="66"/>
      <c r="F61" s="66" t="s">
        <v>227</v>
      </c>
      <c r="G61" s="66"/>
      <c r="H61" s="66" t="s">
        <v>228</v>
      </c>
      <c r="I61" s="66"/>
      <c r="J61" s="126"/>
      <c r="K61" s="46" t="s">
        <v>229</v>
      </c>
      <c r="L61" s="12">
        <f ca="1">I59*25%</f>
        <v>2.75</v>
      </c>
    </row>
    <row r="62" spans="1:20" customFormat="1" ht="15.75" customHeight="1" x14ac:dyDescent="0.25">
      <c r="A62" s="64" t="s">
        <v>230</v>
      </c>
      <c r="B62" s="64"/>
      <c r="C62" s="51">
        <f ca="1">L63</f>
        <v>11</v>
      </c>
      <c r="D62" s="65">
        <f ca="1">((100/I59)*C62)/100</f>
        <v>1.0000000000000002</v>
      </c>
      <c r="E62" s="65"/>
      <c r="F62" s="65">
        <f ca="1">(((C63/I59*10)+(40/(D59+G59+I59)*C64)+(7.5/(I59)*C65)+(7.5/(I59)*C66)+(10/I59*C67)+(10/I59*C68)+(5/I59*C69)+(5/I59*C70)+(5/I59*C71))/100)</f>
        <v>1</v>
      </c>
      <c r="G62" s="65"/>
      <c r="H62" s="65">
        <f ca="1">((((C62/I59)*20)+((C63/I59)*25)+(30/(I59+G59+D59)*C64)+(5/I59*C65)+(5/I59*C66)+(5/I59*C67)+(5/I59*C68)+(0/I59*C69)+(0/I59*C70)+(5/I59*C71))/100)</f>
        <v>1</v>
      </c>
      <c r="I62" s="65"/>
      <c r="J62" s="65"/>
      <c r="K62" s="46" t="s">
        <v>141</v>
      </c>
      <c r="L62" s="46">
        <f ca="1">I59*50%</f>
        <v>5.5</v>
      </c>
    </row>
    <row r="63" spans="1:20" customFormat="1" x14ac:dyDescent="0.25">
      <c r="A63" s="64" t="s">
        <v>66</v>
      </c>
      <c r="B63" s="64"/>
      <c r="C63" s="52">
        <f ca="1">L71</f>
        <v>11</v>
      </c>
      <c r="D63" s="65">
        <f ca="1">((100/I59)*C63)/100</f>
        <v>1.0000000000000002</v>
      </c>
      <c r="E63" s="65"/>
      <c r="F63" s="65"/>
      <c r="G63" s="65"/>
      <c r="H63" s="65"/>
      <c r="I63" s="65"/>
      <c r="J63" s="65"/>
      <c r="K63" s="46" t="s">
        <v>142</v>
      </c>
      <c r="L63" s="46">
        <f ca="1">I59</f>
        <v>11</v>
      </c>
    </row>
    <row r="64" spans="1:20" customFormat="1" ht="15.75" customHeight="1" x14ac:dyDescent="0.25">
      <c r="A64" s="64" t="s">
        <v>231</v>
      </c>
      <c r="B64" s="64"/>
      <c r="C64" s="52">
        <v>12</v>
      </c>
      <c r="D64" s="65">
        <f ca="1">((100/(D59+G59+I59))*C64)/100</f>
        <v>1</v>
      </c>
      <c r="E64" s="65"/>
      <c r="F64" s="65"/>
      <c r="G64" s="65"/>
      <c r="H64" s="65"/>
      <c r="I64" s="65"/>
      <c r="J64" s="65"/>
      <c r="K64" s="46" t="s">
        <v>143</v>
      </c>
      <c r="L64" s="47">
        <f ca="1">(IF(B59&gt;1,(I59/(B59+2)),I59/4))</f>
        <v>2.75</v>
      </c>
      <c r="O64" t="s">
        <v>245</v>
      </c>
    </row>
    <row r="65" spans="1:15" customFormat="1" ht="15.75" customHeight="1" x14ac:dyDescent="0.25">
      <c r="A65" s="64" t="s">
        <v>232</v>
      </c>
      <c r="B65" s="64" t="s">
        <v>233</v>
      </c>
      <c r="C65" s="51">
        <v>11</v>
      </c>
      <c r="D65" s="65">
        <f ca="1">((100/I59)*C65)/100</f>
        <v>1.0000000000000002</v>
      </c>
      <c r="E65" s="65"/>
      <c r="F65" s="65"/>
      <c r="G65" s="65"/>
      <c r="H65" s="65"/>
      <c r="I65" s="65"/>
      <c r="J65" s="65"/>
      <c r="K65" s="46" t="s">
        <v>144</v>
      </c>
      <c r="L65" s="47">
        <f ca="1">(IF(B59&gt;1,(I59/(B59+2)+L64),I59/4+L64))</f>
        <v>5.5</v>
      </c>
    </row>
    <row r="66" spans="1:15" customFormat="1" ht="15.75" customHeight="1" x14ac:dyDescent="0.25">
      <c r="A66" s="64" t="s">
        <v>234</v>
      </c>
      <c r="B66" s="64" t="s">
        <v>233</v>
      </c>
      <c r="C66" s="51">
        <v>11</v>
      </c>
      <c r="D66" s="65">
        <f ca="1">((100/I59)*C66)/100</f>
        <v>1.0000000000000002</v>
      </c>
      <c r="E66" s="65"/>
      <c r="F66" s="65"/>
      <c r="G66" s="65"/>
      <c r="H66" s="65"/>
      <c r="I66" s="65"/>
      <c r="J66" s="65"/>
      <c r="K66" s="46" t="s">
        <v>235</v>
      </c>
      <c r="L66" s="47">
        <f>(IF(B59&gt;1,(I59/(B59+2)+L65),0))</f>
        <v>0</v>
      </c>
    </row>
    <row r="67" spans="1:15" customFormat="1" ht="15.75" customHeight="1" x14ac:dyDescent="0.25">
      <c r="A67" s="64" t="s">
        <v>236</v>
      </c>
      <c r="B67" s="64" t="s">
        <v>237</v>
      </c>
      <c r="C67" s="51">
        <v>11</v>
      </c>
      <c r="D67" s="65">
        <f ca="1">((100/(I59))*C67)/100</f>
        <v>1.0000000000000002</v>
      </c>
      <c r="E67" s="65"/>
      <c r="F67" s="65"/>
      <c r="G67" s="65"/>
      <c r="H67" s="65"/>
      <c r="I67" s="65"/>
      <c r="J67" s="65"/>
      <c r="K67" s="46" t="s">
        <v>238</v>
      </c>
      <c r="L67" s="47">
        <f>(IF(B59&gt;2,(I59/(B59+2)+L66),0))</f>
        <v>0</v>
      </c>
    </row>
    <row r="68" spans="1:15" customFormat="1" ht="15.75" customHeight="1" x14ac:dyDescent="0.25">
      <c r="A68" s="64" t="s">
        <v>239</v>
      </c>
      <c r="B68" s="64" t="s">
        <v>239</v>
      </c>
      <c r="C68" s="51">
        <v>11</v>
      </c>
      <c r="D68" s="65">
        <f ca="1">((100/I59)*C68)/100</f>
        <v>1.0000000000000002</v>
      </c>
      <c r="E68" s="65"/>
      <c r="F68" s="65"/>
      <c r="G68" s="65"/>
      <c r="H68" s="65"/>
      <c r="I68" s="65"/>
      <c r="J68" s="65"/>
      <c r="K68" s="46" t="s">
        <v>240</v>
      </c>
      <c r="L68" s="48">
        <f>(IF(B59&gt;3,(I59/(B59+2)+L67),0))</f>
        <v>0</v>
      </c>
    </row>
    <row r="69" spans="1:15" customFormat="1" ht="15.75" customHeight="1" x14ac:dyDescent="0.25">
      <c r="A69" s="64" t="s">
        <v>241</v>
      </c>
      <c r="B69" s="64"/>
      <c r="C69" s="51">
        <v>11</v>
      </c>
      <c r="D69" s="65">
        <f ca="1">((100/I59)*C69)/100</f>
        <v>1.0000000000000002</v>
      </c>
      <c r="E69" s="65"/>
      <c r="F69" s="65"/>
      <c r="G69" s="65"/>
      <c r="H69" s="65"/>
      <c r="I69" s="65"/>
      <c r="J69" s="65"/>
      <c r="K69" s="46" t="s">
        <v>242</v>
      </c>
      <c r="L69" s="47">
        <f>(IF(B59&gt;4,(I59/(B59+2)+L68),0))</f>
        <v>0</v>
      </c>
    </row>
    <row r="70" spans="1:15" customFormat="1" ht="15.75" customHeight="1" x14ac:dyDescent="0.25">
      <c r="A70" s="66" t="s">
        <v>243</v>
      </c>
      <c r="B70" s="66" t="s">
        <v>243</v>
      </c>
      <c r="C70" s="51">
        <v>11</v>
      </c>
      <c r="D70" s="65">
        <f ca="1">((100/(I59))*C70)/100</f>
        <v>1.0000000000000002</v>
      </c>
      <c r="E70" s="65"/>
      <c r="F70" s="65"/>
      <c r="G70" s="65"/>
      <c r="H70" s="65"/>
      <c r="I70" s="65"/>
      <c r="J70" s="65"/>
      <c r="K70" s="46" t="s">
        <v>145</v>
      </c>
      <c r="L70" s="47">
        <f ca="1">(IF(B59=1,(I59/(B59+3)+L65),IF(B59=0,(I59/4+L65),IF(B59&gt;1,0))))</f>
        <v>8.25</v>
      </c>
    </row>
    <row r="71" spans="1:15" customFormat="1" ht="16.5" customHeight="1" x14ac:dyDescent="0.25">
      <c r="A71" s="64" t="s">
        <v>244</v>
      </c>
      <c r="B71" s="64"/>
      <c r="C71" s="51">
        <v>11</v>
      </c>
      <c r="D71" s="65">
        <f ca="1">((100/(I59))*C71)/100</f>
        <v>1.0000000000000002</v>
      </c>
      <c r="E71" s="65"/>
      <c r="F71" s="65"/>
      <c r="G71" s="65"/>
      <c r="H71" s="65"/>
      <c r="I71" s="65"/>
      <c r="J71" s="65"/>
      <c r="K71" s="46" t="s">
        <v>146</v>
      </c>
      <c r="L71" s="47">
        <f ca="1">(IF(B59&gt;1.5,(I59/(B59+2)+L65+MAX(0,L66-L65)+MAX(0,L67-L66)+MAX(0,L68-L67)+MAX(0,L69-L68)+MAX(0,L70-L69)),IF(B59=1,(I59/(B59+3)+L70),IF(B59=0,I59/4+L70))))</f>
        <v>11</v>
      </c>
    </row>
    <row r="72" spans="1:15" customFormat="1" hidden="1" x14ac:dyDescent="0.25">
      <c r="A72" s="96" t="s">
        <v>221</v>
      </c>
      <c r="B72" s="96"/>
      <c r="C72" s="97" t="s">
        <v>268</v>
      </c>
      <c r="D72" s="97"/>
      <c r="E72" s="97"/>
      <c r="F72" s="97"/>
      <c r="G72" s="97"/>
      <c r="H72" s="97"/>
      <c r="I72" s="97"/>
      <c r="J72" s="97"/>
      <c r="K72" s="43" t="str">
        <f ca="1">(IF(F76&gt;99%,"All work completed. Please provide OC.",IF(F76&gt;89.8%,"Plinth, RCC, Brick, Plaster, Flooring, Painting work Completed. Finishing work is in process.",IF(F76&lt;94%,(IF(C76=0,"Work not yet Started.",IF(D76=25%,"Piling work in process",IF(D76=50%,"Excavation work in process",IF(D76=100%,"Excavation work Completed. ","0")))&amp;(IF(C77=0%,"",IF(C77=L78,"Footing work is process",IF(C77=L79,"Footing work Completed",IF(C77=L80,"1st Basement Completed",IF(C77=L81,"1st &amp; 2nd Basement Completed",IF(C77=L82,"1st to 3rd Basement Completed",IF(C77=L83,"1st to 4th Basement Completed",IF(C77=L84,"Plinth work is process",IF(C77=L85,"Plinth work completed","0")))))))))))&amp;(IF(C78=(D73+G73+I73),", RCC Slab",IF(C78&gt;0,", RCC upto "&amp;C78&amp;" Slab",""))&amp;(IF(C79=I73,", Brickwork",IF(C79&gt;0,", Brickwork upto "&amp;C79&amp;" Floor",""))&amp;(IF(C80=I73,", Internal Plaster",IF(C80&gt;0,", Internal Plaster upto "&amp;C80&amp;" Floor",""))&amp;(IF(C81=I73,", External Plaster",IF(C81&gt;0,", External Plaster upto "&amp;C81&amp;" Floor",""))&amp;(IF(C82=I73,", Flooring",IF(C82&gt;0,", Flooring upto "&amp;C82&amp;" Floor",""))&amp;(IF(C83=I73,", Painting",IF(C83&gt;0,", Painting upto "&amp;C83&amp;" Floor",""))&amp;(IF(C84&gt;0,", Finishing upto "&amp;C84&amp;" Floor","")&amp;(IF(C78&gt;0.5," Completed",""))))))))))))))</f>
        <v>Excavation work Completed. Plinth work completed, RCC Slab, Brickwork, Internal Plaster, External Plaster, Flooring upto 9 Floor, Painting upto 8 Floor Completed</v>
      </c>
      <c r="L72" s="43"/>
    </row>
    <row r="73" spans="1:15" customFormat="1" hidden="1" x14ac:dyDescent="0.25">
      <c r="A73" s="58" t="s">
        <v>133</v>
      </c>
      <c r="B73" s="58">
        <v>0</v>
      </c>
      <c r="C73" s="58" t="s">
        <v>135</v>
      </c>
      <c r="D73" s="58">
        <v>1</v>
      </c>
      <c r="E73" s="64" t="s">
        <v>134</v>
      </c>
      <c r="F73" s="64"/>
      <c r="G73" s="58">
        <v>0</v>
      </c>
      <c r="H73" s="58" t="s">
        <v>222</v>
      </c>
      <c r="I73" s="64">
        <f ca="1">--TRIM(RIGHT(SUBSTITUTE(LEFT(C72,_xlfn.AGGREGATE(16,6,FIND({0,1,2,3,4,5,6,7,8,9},C72,ROW(INDIRECT("1:"&amp;LEN(C72)))),1))," ",REPT(" ",LEN(C72))),LEN(C72)))</f>
        <v>11</v>
      </c>
      <c r="J73" s="64"/>
      <c r="K73" s="43"/>
      <c r="L73" s="43"/>
    </row>
    <row r="74" spans="1:15" customFormat="1" ht="47.45" hidden="1" customHeight="1" x14ac:dyDescent="0.25">
      <c r="A74" s="67" t="s">
        <v>223</v>
      </c>
      <c r="B74" s="67"/>
      <c r="C74" s="97" t="str">
        <f ca="1">K72</f>
        <v>Excavation work Completed. Plinth work completed, RCC Slab, Brickwork, Internal Plaster, External Plaster, Flooring upto 9 Floor, Painting upto 8 Floor Completed</v>
      </c>
      <c r="D74" s="97"/>
      <c r="E74" s="97"/>
      <c r="F74" s="97"/>
      <c r="G74" s="97"/>
      <c r="H74" s="97"/>
      <c r="I74" s="97"/>
      <c r="J74" s="97"/>
      <c r="K74" s="43" t="s">
        <v>224</v>
      </c>
      <c r="L74" s="43"/>
    </row>
    <row r="75" spans="1:15" customFormat="1" ht="15.75" hidden="1" customHeight="1" x14ac:dyDescent="0.25">
      <c r="A75" s="64" t="s">
        <v>65</v>
      </c>
      <c r="B75" s="64"/>
      <c r="C75" s="57" t="s">
        <v>225</v>
      </c>
      <c r="D75" s="66" t="s">
        <v>226</v>
      </c>
      <c r="E75" s="66"/>
      <c r="F75" s="66" t="s">
        <v>227</v>
      </c>
      <c r="G75" s="66"/>
      <c r="H75" s="66" t="s">
        <v>228</v>
      </c>
      <c r="I75" s="66"/>
      <c r="J75" s="66"/>
      <c r="K75" s="46" t="s">
        <v>229</v>
      </c>
      <c r="L75" s="12">
        <f ca="1">I73*25%</f>
        <v>2.75</v>
      </c>
    </row>
    <row r="76" spans="1:15" customFormat="1" ht="15.75" hidden="1" customHeight="1" x14ac:dyDescent="0.25">
      <c r="A76" s="64" t="s">
        <v>230</v>
      </c>
      <c r="B76" s="64"/>
      <c r="C76" s="51">
        <f ca="1">L77</f>
        <v>11</v>
      </c>
      <c r="D76" s="65">
        <f ca="1">((100/I73)*C76)/100</f>
        <v>1.0000000000000002</v>
      </c>
      <c r="E76" s="65"/>
      <c r="F76" s="65">
        <f ca="1">(((C77/I73*10)+(40/(D73+G73+I73)*C78)+(7.5/(I73)*C79)+(7.5/(I73)*C80)+(10/I73*C81)+(10/I73*C82)+(5/I73*C83)+(5/I73*C84)+(5/I73*C85))/100)</f>
        <v>0.86818181818181828</v>
      </c>
      <c r="G76" s="65"/>
      <c r="H76" s="65">
        <f ca="1">((((C76/I73)*20)+((C77/I73)*25)+(30/(I73+G73+D73)*C78)+(5/I73*C79)+(5/I73*C80)+(5/I73*C81)+(5/I73*C82)+(0/I73*C83)+(0/I73*C84)+(5/I73*C85))/100)</f>
        <v>0.94090909090909092</v>
      </c>
      <c r="I76" s="65"/>
      <c r="J76" s="65"/>
      <c r="K76" s="46" t="s">
        <v>141</v>
      </c>
      <c r="L76" s="46">
        <f ca="1">I73*50%</f>
        <v>5.5</v>
      </c>
    </row>
    <row r="77" spans="1:15" customFormat="1" hidden="1" x14ac:dyDescent="0.25">
      <c r="A77" s="64" t="s">
        <v>66</v>
      </c>
      <c r="B77" s="64"/>
      <c r="C77" s="52">
        <f ca="1">L85</f>
        <v>11</v>
      </c>
      <c r="D77" s="65">
        <f ca="1">((100/I73)*C77)/100</f>
        <v>1.0000000000000002</v>
      </c>
      <c r="E77" s="65"/>
      <c r="F77" s="65"/>
      <c r="G77" s="65"/>
      <c r="H77" s="65"/>
      <c r="I77" s="65"/>
      <c r="J77" s="65"/>
      <c r="K77" s="46" t="s">
        <v>142</v>
      </c>
      <c r="L77" s="46">
        <f ca="1">I73</f>
        <v>11</v>
      </c>
    </row>
    <row r="78" spans="1:15" customFormat="1" ht="15.75" hidden="1" customHeight="1" x14ac:dyDescent="0.25">
      <c r="A78" s="64" t="s">
        <v>231</v>
      </c>
      <c r="B78" s="64"/>
      <c r="C78" s="52">
        <v>12</v>
      </c>
      <c r="D78" s="65">
        <f ca="1">((100/(D73+G73+I73))*C78)/100</f>
        <v>1</v>
      </c>
      <c r="E78" s="65"/>
      <c r="F78" s="65"/>
      <c r="G78" s="65"/>
      <c r="H78" s="65"/>
      <c r="I78" s="65"/>
      <c r="J78" s="65"/>
      <c r="K78" s="46" t="s">
        <v>143</v>
      </c>
      <c r="L78" s="47">
        <f ca="1">(IF(B73&gt;1,(I73/(B73+2)),I73/4))</f>
        <v>2.75</v>
      </c>
      <c r="O78" t="s">
        <v>245</v>
      </c>
    </row>
    <row r="79" spans="1:15" customFormat="1" ht="15.75" hidden="1" customHeight="1" x14ac:dyDescent="0.25">
      <c r="A79" s="64" t="s">
        <v>232</v>
      </c>
      <c r="B79" s="64" t="s">
        <v>233</v>
      </c>
      <c r="C79" s="51">
        <v>11</v>
      </c>
      <c r="D79" s="65">
        <f ca="1">((100/I73)*C79)/100</f>
        <v>1.0000000000000002</v>
      </c>
      <c r="E79" s="65"/>
      <c r="F79" s="65"/>
      <c r="G79" s="65"/>
      <c r="H79" s="65"/>
      <c r="I79" s="65"/>
      <c r="J79" s="65"/>
      <c r="K79" s="46" t="s">
        <v>144</v>
      </c>
      <c r="L79" s="47">
        <f ca="1">(IF(B73&gt;1,(I73/(B73+2)+L78),I73/4+L78))</f>
        <v>5.5</v>
      </c>
    </row>
    <row r="80" spans="1:15" customFormat="1" ht="15.75" hidden="1" customHeight="1" x14ac:dyDescent="0.25">
      <c r="A80" s="64" t="s">
        <v>234</v>
      </c>
      <c r="B80" s="64" t="s">
        <v>233</v>
      </c>
      <c r="C80" s="51">
        <v>11</v>
      </c>
      <c r="D80" s="65">
        <f ca="1">((100/I73)*C80)/100</f>
        <v>1.0000000000000002</v>
      </c>
      <c r="E80" s="65"/>
      <c r="F80" s="65"/>
      <c r="G80" s="65"/>
      <c r="H80" s="65"/>
      <c r="I80" s="65"/>
      <c r="J80" s="65"/>
      <c r="K80" s="46" t="s">
        <v>235</v>
      </c>
      <c r="L80" s="47">
        <f>(IF(B73&gt;1,(I73/(B73+2)+L79),0))</f>
        <v>0</v>
      </c>
    </row>
    <row r="81" spans="1:12" customFormat="1" ht="15.75" hidden="1" customHeight="1" x14ac:dyDescent="0.25">
      <c r="A81" s="64" t="s">
        <v>236</v>
      </c>
      <c r="B81" s="64" t="s">
        <v>237</v>
      </c>
      <c r="C81" s="51">
        <v>11</v>
      </c>
      <c r="D81" s="65">
        <f ca="1">((100/(I73))*C81)/100</f>
        <v>1.0000000000000002</v>
      </c>
      <c r="E81" s="65"/>
      <c r="F81" s="65"/>
      <c r="G81" s="65"/>
      <c r="H81" s="65"/>
      <c r="I81" s="65"/>
      <c r="J81" s="65"/>
      <c r="K81" s="46" t="s">
        <v>238</v>
      </c>
      <c r="L81" s="47">
        <f>(IF(B73&gt;2,(I73/(B73+2)+L80),0))</f>
        <v>0</v>
      </c>
    </row>
    <row r="82" spans="1:12" customFormat="1" ht="15.75" hidden="1" customHeight="1" x14ac:dyDescent="0.25">
      <c r="A82" s="64" t="s">
        <v>239</v>
      </c>
      <c r="B82" s="64" t="s">
        <v>239</v>
      </c>
      <c r="C82" s="51">
        <v>9</v>
      </c>
      <c r="D82" s="65">
        <f ca="1">((100/I73)*C82)/100</f>
        <v>0.81818181818181823</v>
      </c>
      <c r="E82" s="65"/>
      <c r="F82" s="65"/>
      <c r="G82" s="65"/>
      <c r="H82" s="65"/>
      <c r="I82" s="65"/>
      <c r="J82" s="65"/>
      <c r="K82" s="46" t="s">
        <v>240</v>
      </c>
      <c r="L82" s="48">
        <f>(IF(B73&gt;3,(I73/(B73+2)+L81),0))</f>
        <v>0</v>
      </c>
    </row>
    <row r="83" spans="1:12" customFormat="1" ht="15.75" hidden="1" customHeight="1" x14ac:dyDescent="0.25">
      <c r="A83" s="64" t="s">
        <v>241</v>
      </c>
      <c r="B83" s="64"/>
      <c r="C83" s="51">
        <v>8</v>
      </c>
      <c r="D83" s="65">
        <f ca="1">((100/I73)*C83)/100</f>
        <v>0.72727272727272729</v>
      </c>
      <c r="E83" s="65"/>
      <c r="F83" s="65"/>
      <c r="G83" s="65"/>
      <c r="H83" s="65"/>
      <c r="I83" s="65"/>
      <c r="J83" s="65"/>
      <c r="K83" s="46" t="s">
        <v>242</v>
      </c>
      <c r="L83" s="47">
        <f>(IF(B73&gt;4,(I73/(B73+2)+L82),0))</f>
        <v>0</v>
      </c>
    </row>
    <row r="84" spans="1:12" customFormat="1" ht="15.75" hidden="1" customHeight="1" x14ac:dyDescent="0.25">
      <c r="A84" s="66" t="s">
        <v>243</v>
      </c>
      <c r="B84" s="66" t="s">
        <v>243</v>
      </c>
      <c r="C84" s="51">
        <v>0</v>
      </c>
      <c r="D84" s="65">
        <f ca="1">((100/(I73))*C84)/100</f>
        <v>0</v>
      </c>
      <c r="E84" s="65"/>
      <c r="F84" s="65"/>
      <c r="G84" s="65"/>
      <c r="H84" s="65"/>
      <c r="I84" s="65"/>
      <c r="J84" s="65"/>
      <c r="K84" s="46" t="s">
        <v>145</v>
      </c>
      <c r="L84" s="47">
        <f ca="1">(IF(B73=1,(I73/(B73+3)+L79),IF(B73=0,(I73/4+L79),IF(B73&gt;1,0))))</f>
        <v>8.25</v>
      </c>
    </row>
    <row r="85" spans="1:12" customFormat="1" ht="16.5" hidden="1" customHeight="1" thickBot="1" x14ac:dyDescent="0.3">
      <c r="A85" s="64" t="s">
        <v>244</v>
      </c>
      <c r="B85" s="64"/>
      <c r="C85" s="51">
        <v>0</v>
      </c>
      <c r="D85" s="65">
        <f ca="1">((100/(I73))*C85)/100</f>
        <v>0</v>
      </c>
      <c r="E85" s="65"/>
      <c r="F85" s="65"/>
      <c r="G85" s="65"/>
      <c r="H85" s="65"/>
      <c r="I85" s="65"/>
      <c r="J85" s="65"/>
      <c r="K85" s="46" t="s">
        <v>146</v>
      </c>
      <c r="L85" s="47">
        <f ca="1">(IF(B73&gt;1.5,(I73/(B73+2)+L79+MAX(0,L80-L79)+MAX(0,L81-L80)+MAX(0,L82-L81)+MAX(0,L83-L82)+MAX(0,L84-L83)),IF(B73=1,(I73/(B73+3)+L84),IF(B73=0,I73/4+L84))))</f>
        <v>11</v>
      </c>
    </row>
    <row r="86" spans="1:12" customFormat="1" x14ac:dyDescent="0.25">
      <c r="A86" s="96" t="s">
        <v>221</v>
      </c>
      <c r="B86" s="96"/>
      <c r="C86" s="97" t="s">
        <v>253</v>
      </c>
      <c r="D86" s="97"/>
      <c r="E86" s="97"/>
      <c r="F86" s="97"/>
      <c r="G86" s="97"/>
      <c r="H86" s="97"/>
      <c r="I86" s="97"/>
      <c r="J86" s="97"/>
      <c r="K86" s="43" t="str">
        <f ca="1">(IF(F90&gt;99%,"All work completed. Please provide OC.",IF(F90&gt;89.8%,"Plinth, RCC, Brick, Plaster, Flooring, Painting work Completed. Finishing work is in process.",IF(F90&lt;94%,(IF(C90=0,"Work not yet Started.",IF(D90=25%,"Piling work in process",IF(D90=50%,"Excavation work in process",IF(D90=100%,"Excavation work Completed. ","0")))&amp;(IF(C91=0%,"",IF(C91=L92,"Footing work is process",IF(C91=L93,"Footing work Completed",IF(C91=L94,"1st Basement Completed",IF(C91=L95,"1st &amp; 2nd Basement Completed",IF(C91=L96,"1st to 3rd Basement Completed",IF(C91=L97,"1st to 4th Basement Completed",IF(C91=L98,"Plinth work is process",IF(C91=L99,"Plinth work completed","0")))))))))))&amp;(IF(C92=(D87+G87+I87),", RCC Slab",IF(C92&gt;0,", RCC upto "&amp;C92&amp;" Slab",""))&amp;(IF(C93=I87,", Brickwork",IF(C93&gt;0,", Brickwork upto "&amp;C93&amp;" Floor",""))&amp;(IF(C94=I87,", Internal Plaster",IF(C94&gt;0,", Internal Plaster upto "&amp;C94&amp;" Floor",""))&amp;(IF(C95=I87,", External Plaster",IF(C95&gt;0,", External Plaster upto "&amp;C95&amp;" Floor",""))&amp;(IF(C96=I87,", Flooring",IF(C96&gt;0,", Flooring upto "&amp;C96&amp;" Floor",""))&amp;(IF(C97=I87,", Painting",IF(C97&gt;0,", Painting upto "&amp;C97&amp;" Floor",""))&amp;(IF(C98&gt;0,", Finishing upto "&amp;C98&amp;" Floor","")&amp;(IF(C92&gt;0.5," Completed",""))))))))))))))</f>
        <v>All work completed. Please provide OC.</v>
      </c>
      <c r="L86" s="43"/>
    </row>
    <row r="87" spans="1:12" customFormat="1" x14ac:dyDescent="0.25">
      <c r="A87" s="58" t="s">
        <v>133</v>
      </c>
      <c r="B87" s="58">
        <v>0</v>
      </c>
      <c r="C87" s="58" t="s">
        <v>135</v>
      </c>
      <c r="D87" s="58">
        <v>1</v>
      </c>
      <c r="E87" s="64" t="s">
        <v>134</v>
      </c>
      <c r="F87" s="64"/>
      <c r="G87" s="58">
        <v>0</v>
      </c>
      <c r="H87" s="58" t="s">
        <v>222</v>
      </c>
      <c r="I87" s="64">
        <f ca="1">--TRIM(RIGHT(SUBSTITUTE(LEFT(C86,_xlfn.AGGREGATE(16,6,FIND({0,1,2,3,4,5,6,7,8,9},C86,ROW(INDIRECT("1:"&amp;LEN(C86)))),1))," ",REPT(" ",LEN(C86))),LEN(C86)))</f>
        <v>11</v>
      </c>
      <c r="J87" s="64"/>
      <c r="K87" s="43"/>
      <c r="L87" s="43"/>
    </row>
    <row r="88" spans="1:12" customFormat="1" x14ac:dyDescent="0.25">
      <c r="A88" s="67" t="s">
        <v>223</v>
      </c>
      <c r="B88" s="67"/>
      <c r="C88" s="97" t="str">
        <f ca="1">K86</f>
        <v>All work completed. Please provide OC.</v>
      </c>
      <c r="D88" s="97"/>
      <c r="E88" s="97"/>
      <c r="F88" s="97"/>
      <c r="G88" s="97"/>
      <c r="H88" s="97"/>
      <c r="I88" s="97"/>
      <c r="J88" s="97"/>
      <c r="K88" s="43" t="s">
        <v>224</v>
      </c>
      <c r="L88" s="43"/>
    </row>
    <row r="89" spans="1:12" customFormat="1" ht="15.75" customHeight="1" x14ac:dyDescent="0.25">
      <c r="A89" s="64" t="s">
        <v>65</v>
      </c>
      <c r="B89" s="64"/>
      <c r="C89" s="57" t="s">
        <v>225</v>
      </c>
      <c r="D89" s="66" t="s">
        <v>226</v>
      </c>
      <c r="E89" s="66"/>
      <c r="F89" s="66" t="s">
        <v>227</v>
      </c>
      <c r="G89" s="66"/>
      <c r="H89" s="66" t="s">
        <v>228</v>
      </c>
      <c r="I89" s="66"/>
      <c r="J89" s="66"/>
      <c r="K89" s="46" t="s">
        <v>229</v>
      </c>
      <c r="L89" s="12">
        <f ca="1">I87*25%</f>
        <v>2.75</v>
      </c>
    </row>
    <row r="90" spans="1:12" customFormat="1" ht="15.75" customHeight="1" x14ac:dyDescent="0.25">
      <c r="A90" s="110" t="s">
        <v>230</v>
      </c>
      <c r="B90" s="111"/>
      <c r="C90" s="51">
        <f ca="1">L91</f>
        <v>11</v>
      </c>
      <c r="D90" s="65">
        <f ca="1">((100/I87)*C90)/100</f>
        <v>1.0000000000000002</v>
      </c>
      <c r="E90" s="65"/>
      <c r="F90" s="65">
        <f ca="1">(((C91/I87*10)+(40/(D87+G87+I87)*C92)+(7.5/(I87)*C93)+(7.5/(I87)*C94)+(10/I87*C95)+(10/I87*C96)+(5/I87*C97)+(5/I87*C98)+(5/I87*C99))/100)</f>
        <v>1</v>
      </c>
      <c r="G90" s="65"/>
      <c r="H90" s="65">
        <f ca="1">((((C90/I87)*20)+((C91/I87)*25)+(30/(I87+G87+D87)*C92)+(5/I87*C93)+(5/I87*C94)+(5/I87*C95)+(5/I87*C96)+(0/I87*C97)+(0/I87*C98)+(5/I87*C99))/100)</f>
        <v>1</v>
      </c>
      <c r="I90" s="65"/>
      <c r="J90" s="119"/>
      <c r="K90" s="46" t="s">
        <v>141</v>
      </c>
      <c r="L90" s="46">
        <f ca="1">I87*50%</f>
        <v>5.5</v>
      </c>
    </row>
    <row r="91" spans="1:12" customFormat="1" x14ac:dyDescent="0.25">
      <c r="A91" s="110" t="s">
        <v>66</v>
      </c>
      <c r="B91" s="111"/>
      <c r="C91" s="52">
        <v>11</v>
      </c>
      <c r="D91" s="65">
        <f ca="1">((100/I87)*C91)/100</f>
        <v>1.0000000000000002</v>
      </c>
      <c r="E91" s="65"/>
      <c r="F91" s="65"/>
      <c r="G91" s="65"/>
      <c r="H91" s="65"/>
      <c r="I91" s="65"/>
      <c r="J91" s="119"/>
      <c r="K91" s="46" t="s">
        <v>142</v>
      </c>
      <c r="L91" s="46">
        <f ca="1">I87</f>
        <v>11</v>
      </c>
    </row>
    <row r="92" spans="1:12" customFormat="1" ht="15.75" customHeight="1" x14ac:dyDescent="0.25">
      <c r="A92" s="110" t="s">
        <v>231</v>
      </c>
      <c r="B92" s="111"/>
      <c r="C92" s="52">
        <v>12</v>
      </c>
      <c r="D92" s="65">
        <f ca="1">((100/(D87+G87+I87))*C92)/100</f>
        <v>1</v>
      </c>
      <c r="E92" s="65"/>
      <c r="F92" s="65"/>
      <c r="G92" s="65"/>
      <c r="H92" s="65"/>
      <c r="I92" s="65"/>
      <c r="J92" s="119"/>
      <c r="K92" s="46" t="s">
        <v>143</v>
      </c>
      <c r="L92" s="47">
        <f ca="1">(IF(B87&gt;1,(I87/(B87+2)),I87/4))</f>
        <v>2.75</v>
      </c>
    </row>
    <row r="93" spans="1:12" customFormat="1" ht="15.75" customHeight="1" x14ac:dyDescent="0.25">
      <c r="A93" s="110" t="s">
        <v>232</v>
      </c>
      <c r="B93" s="111" t="s">
        <v>233</v>
      </c>
      <c r="C93" s="51">
        <v>11</v>
      </c>
      <c r="D93" s="65">
        <f ca="1">((100/I87)*C93)/100</f>
        <v>1.0000000000000002</v>
      </c>
      <c r="E93" s="65"/>
      <c r="F93" s="65"/>
      <c r="G93" s="65"/>
      <c r="H93" s="65"/>
      <c r="I93" s="65"/>
      <c r="J93" s="119"/>
      <c r="K93" s="46" t="s">
        <v>144</v>
      </c>
      <c r="L93" s="47">
        <f ca="1">(IF(B87&gt;1,(I87/(B87+2)+L92),I87/4+L92))</f>
        <v>5.5</v>
      </c>
    </row>
    <row r="94" spans="1:12" customFormat="1" ht="15.75" customHeight="1" x14ac:dyDescent="0.25">
      <c r="A94" s="110" t="s">
        <v>234</v>
      </c>
      <c r="B94" s="111" t="s">
        <v>233</v>
      </c>
      <c r="C94" s="51">
        <v>11</v>
      </c>
      <c r="D94" s="65">
        <f ca="1">((100/I87)*C94)/100</f>
        <v>1.0000000000000002</v>
      </c>
      <c r="E94" s="65"/>
      <c r="F94" s="65"/>
      <c r="G94" s="65"/>
      <c r="H94" s="65"/>
      <c r="I94" s="65"/>
      <c r="J94" s="119"/>
      <c r="K94" s="46" t="s">
        <v>235</v>
      </c>
      <c r="L94" s="47">
        <f>(IF(B87&gt;1,(I87/(B87+2)+L93),0))</f>
        <v>0</v>
      </c>
    </row>
    <row r="95" spans="1:12" customFormat="1" ht="15.75" customHeight="1" x14ac:dyDescent="0.25">
      <c r="A95" s="110" t="s">
        <v>236</v>
      </c>
      <c r="B95" s="111" t="s">
        <v>237</v>
      </c>
      <c r="C95" s="51">
        <v>11</v>
      </c>
      <c r="D95" s="65">
        <f ca="1">((100/(I87))*C95)/100</f>
        <v>1.0000000000000002</v>
      </c>
      <c r="E95" s="65"/>
      <c r="F95" s="65"/>
      <c r="G95" s="65"/>
      <c r="H95" s="65"/>
      <c r="I95" s="65"/>
      <c r="J95" s="119"/>
      <c r="K95" s="46" t="s">
        <v>238</v>
      </c>
      <c r="L95" s="47">
        <f>(IF(B87&gt;2,(I87/(B87+2)+L94),0))</f>
        <v>0</v>
      </c>
    </row>
    <row r="96" spans="1:12" customFormat="1" ht="15.75" customHeight="1" x14ac:dyDescent="0.25">
      <c r="A96" s="110" t="s">
        <v>239</v>
      </c>
      <c r="B96" s="111" t="s">
        <v>239</v>
      </c>
      <c r="C96" s="51">
        <v>11</v>
      </c>
      <c r="D96" s="65">
        <f ca="1">((100/I87)*C96)/100</f>
        <v>1.0000000000000002</v>
      </c>
      <c r="E96" s="65"/>
      <c r="F96" s="65"/>
      <c r="G96" s="65"/>
      <c r="H96" s="65"/>
      <c r="I96" s="65"/>
      <c r="J96" s="119"/>
      <c r="K96" s="46" t="s">
        <v>240</v>
      </c>
      <c r="L96" s="48">
        <f>(IF(B87&gt;3,(I87/(B87+2)+L95),0))</f>
        <v>0</v>
      </c>
    </row>
    <row r="97" spans="1:16" customFormat="1" ht="15.75" customHeight="1" x14ac:dyDescent="0.25">
      <c r="A97" s="110" t="s">
        <v>241</v>
      </c>
      <c r="B97" s="111"/>
      <c r="C97" s="51">
        <v>11</v>
      </c>
      <c r="D97" s="65">
        <f ca="1">((100/I87)*C97)/100</f>
        <v>1.0000000000000002</v>
      </c>
      <c r="E97" s="65"/>
      <c r="F97" s="65"/>
      <c r="G97" s="65"/>
      <c r="H97" s="65"/>
      <c r="I97" s="65"/>
      <c r="J97" s="119"/>
      <c r="K97" s="46" t="s">
        <v>242</v>
      </c>
      <c r="L97" s="47">
        <f>(IF(B87&gt;4,(I87/(B87+2)+L96),0))</f>
        <v>0</v>
      </c>
    </row>
    <row r="98" spans="1:16" customFormat="1" ht="15.75" customHeight="1" x14ac:dyDescent="0.25">
      <c r="A98" s="127" t="s">
        <v>243</v>
      </c>
      <c r="B98" s="128" t="s">
        <v>243</v>
      </c>
      <c r="C98" s="51">
        <v>11</v>
      </c>
      <c r="D98" s="65">
        <f ca="1">((100/(I87))*C98)/100</f>
        <v>1.0000000000000002</v>
      </c>
      <c r="E98" s="65"/>
      <c r="F98" s="65"/>
      <c r="G98" s="65"/>
      <c r="H98" s="65"/>
      <c r="I98" s="65"/>
      <c r="J98" s="119"/>
      <c r="K98" s="46" t="s">
        <v>145</v>
      </c>
      <c r="L98" s="47">
        <f ca="1">(IF(B87=1,(I87/(B87+3)+L93),IF(B87=0,(I87/4+L93),IF(B87&gt;1,0))))</f>
        <v>8.25</v>
      </c>
    </row>
    <row r="99" spans="1:16" customFormat="1" ht="16.5" customHeight="1" thickBot="1" x14ac:dyDescent="0.3">
      <c r="A99" s="116" t="s">
        <v>244</v>
      </c>
      <c r="B99" s="117"/>
      <c r="C99" s="53">
        <v>11</v>
      </c>
      <c r="D99" s="118">
        <f ca="1">((100/(I87))*C99)/100</f>
        <v>1.0000000000000002</v>
      </c>
      <c r="E99" s="118"/>
      <c r="F99" s="118"/>
      <c r="G99" s="118"/>
      <c r="H99" s="118"/>
      <c r="I99" s="118"/>
      <c r="J99" s="120"/>
      <c r="K99" s="46" t="s">
        <v>146</v>
      </c>
      <c r="L99" s="47">
        <f ca="1">(IF(B87&gt;1.5,(I87/(B87+2)+L93+MAX(0,L94-L93)+MAX(0,L95-L94)+MAX(0,L96-L95)+MAX(0,L97-L96)+MAX(0,L98-L97)),IF(B87=1,(I87/(B87+3)+L98),IF(B87=0,I87/4+L98))))</f>
        <v>11</v>
      </c>
    </row>
    <row r="100" spans="1:16" x14ac:dyDescent="0.25">
      <c r="A100" s="80" t="s">
        <v>285</v>
      </c>
      <c r="B100" s="81"/>
      <c r="C100" s="81"/>
      <c r="D100" s="81"/>
      <c r="E100" s="81"/>
      <c r="F100" s="81"/>
      <c r="G100" s="81"/>
      <c r="H100" s="81"/>
      <c r="I100" s="81"/>
      <c r="J100" s="95"/>
    </row>
    <row r="101" spans="1:16" x14ac:dyDescent="0.25">
      <c r="A101" s="80" t="s">
        <v>71</v>
      </c>
      <c r="B101" s="81"/>
      <c r="C101" s="81"/>
      <c r="D101" s="81"/>
      <c r="E101" s="81"/>
      <c r="F101" s="81"/>
      <c r="G101" s="81"/>
      <c r="H101" s="81"/>
      <c r="I101" s="81"/>
      <c r="J101" s="95"/>
    </row>
    <row r="102" spans="1:16" ht="15" customHeight="1" x14ac:dyDescent="0.25">
      <c r="A102" s="160" t="s">
        <v>139</v>
      </c>
      <c r="B102" s="161"/>
      <c r="C102" s="162" t="s">
        <v>140</v>
      </c>
      <c r="D102" s="163"/>
      <c r="E102" s="163"/>
      <c r="F102" s="163"/>
      <c r="G102" s="163"/>
      <c r="H102" s="163"/>
      <c r="I102" s="163"/>
      <c r="J102" s="164"/>
      <c r="K102" s="55" t="s">
        <v>259</v>
      </c>
      <c r="L102" s="55"/>
      <c r="M102" s="55"/>
      <c r="N102" s="55"/>
      <c r="O102" s="55"/>
      <c r="P102" s="12" t="s">
        <v>258</v>
      </c>
    </row>
    <row r="103" spans="1:16" x14ac:dyDescent="0.25">
      <c r="A103" s="146" t="s">
        <v>72</v>
      </c>
      <c r="B103" s="147"/>
      <c r="C103" s="147"/>
      <c r="D103" s="147"/>
      <c r="E103" s="147"/>
      <c r="F103" s="147"/>
      <c r="G103" s="147"/>
      <c r="H103" s="147"/>
      <c r="I103" s="147"/>
      <c r="J103" s="148"/>
      <c r="K103" s="55" t="s">
        <v>264</v>
      </c>
      <c r="L103" s="55" t="s">
        <v>265</v>
      </c>
      <c r="M103" s="56">
        <v>44970</v>
      </c>
      <c r="N103" s="55"/>
      <c r="O103" s="55"/>
    </row>
    <row r="104" spans="1:16" x14ac:dyDescent="0.25">
      <c r="A104" s="156" t="s">
        <v>261</v>
      </c>
      <c r="B104" s="147"/>
      <c r="C104" s="147"/>
      <c r="D104" s="147"/>
      <c r="E104" s="147"/>
      <c r="F104" s="148"/>
      <c r="G104" s="157">
        <v>5300</v>
      </c>
      <c r="H104" s="158"/>
      <c r="I104" s="158"/>
      <c r="J104" s="159"/>
      <c r="K104" s="55" t="s">
        <v>275</v>
      </c>
      <c r="L104" s="55" t="s">
        <v>265</v>
      </c>
      <c r="M104" s="56">
        <v>45394</v>
      </c>
      <c r="N104" s="55"/>
      <c r="O104" s="55"/>
    </row>
    <row r="105" spans="1:16" x14ac:dyDescent="0.25">
      <c r="A105" s="59" t="s">
        <v>219</v>
      </c>
      <c r="B105" s="60"/>
      <c r="C105" s="60"/>
      <c r="D105" s="60"/>
      <c r="E105" s="60"/>
      <c r="F105" s="68"/>
      <c r="G105" s="74" t="s">
        <v>220</v>
      </c>
      <c r="H105" s="75"/>
      <c r="I105" s="75"/>
      <c r="J105" s="76"/>
    </row>
    <row r="106" spans="1:16" x14ac:dyDescent="0.25">
      <c r="A106" s="59" t="s">
        <v>263</v>
      </c>
      <c r="B106" s="60"/>
      <c r="C106" s="60"/>
      <c r="D106" s="60"/>
      <c r="E106" s="60"/>
      <c r="F106" s="68"/>
      <c r="G106" s="74" t="s">
        <v>262</v>
      </c>
      <c r="H106" s="75"/>
      <c r="I106" s="75"/>
      <c r="J106" s="76"/>
    </row>
    <row r="107" spans="1:16" x14ac:dyDescent="0.25">
      <c r="A107" s="59" t="s">
        <v>266</v>
      </c>
      <c r="B107" s="60"/>
      <c r="C107" s="60"/>
      <c r="D107" s="60"/>
      <c r="E107" s="60"/>
      <c r="F107" s="68"/>
      <c r="G107" s="74" t="s">
        <v>267</v>
      </c>
      <c r="H107" s="75"/>
      <c r="I107" s="75"/>
      <c r="J107" s="76"/>
      <c r="K107" s="55"/>
      <c r="L107" s="55"/>
      <c r="M107" s="55"/>
      <c r="N107" s="55"/>
      <c r="O107" s="55"/>
    </row>
    <row r="108" spans="1:16" x14ac:dyDescent="0.25">
      <c r="A108" s="59" t="s">
        <v>73</v>
      </c>
      <c r="B108" s="60"/>
      <c r="C108" s="60"/>
      <c r="D108" s="60"/>
      <c r="E108" s="60"/>
      <c r="F108" s="68"/>
      <c r="G108" s="74" t="s">
        <v>220</v>
      </c>
      <c r="H108" s="75"/>
      <c r="I108" s="75"/>
      <c r="J108" s="76"/>
      <c r="K108" s="55"/>
      <c r="L108" s="55"/>
      <c r="M108" s="55"/>
      <c r="N108" s="55"/>
      <c r="O108" s="55"/>
    </row>
    <row r="109" spans="1:16" s="14" customFormat="1" ht="14.45" customHeight="1" x14ac:dyDescent="0.25">
      <c r="A109" s="146" t="s">
        <v>74</v>
      </c>
      <c r="B109" s="147"/>
      <c r="C109" s="147"/>
      <c r="D109" s="147"/>
      <c r="E109" s="147"/>
      <c r="F109" s="148"/>
      <c r="G109" s="149">
        <f>G104*0.8</f>
        <v>4240</v>
      </c>
      <c r="H109" s="150"/>
      <c r="I109" s="150"/>
      <c r="J109" s="151"/>
    </row>
    <row r="110" spans="1:16" s="1" customFormat="1" x14ac:dyDescent="0.25">
      <c r="A110" s="135" t="s">
        <v>132</v>
      </c>
      <c r="B110" s="136"/>
      <c r="C110" s="136"/>
      <c r="D110" s="136"/>
      <c r="E110" s="136"/>
      <c r="F110" s="136"/>
      <c r="G110" s="136"/>
      <c r="H110" s="136"/>
      <c r="I110" s="136"/>
      <c r="J110" s="152"/>
    </row>
    <row r="111" spans="1:16" s="1" customFormat="1" x14ac:dyDescent="0.25">
      <c r="A111" s="140" t="s">
        <v>75</v>
      </c>
      <c r="B111" s="142"/>
      <c r="C111" s="10" t="s">
        <v>198</v>
      </c>
      <c r="D111" s="153" t="s">
        <v>76</v>
      </c>
      <c r="E111" s="154"/>
      <c r="F111" s="155"/>
      <c r="G111" s="140" t="s">
        <v>77</v>
      </c>
      <c r="H111" s="141"/>
      <c r="I111" s="141"/>
      <c r="J111" s="142"/>
    </row>
    <row r="112" spans="1:16" s="1" customFormat="1" x14ac:dyDescent="0.25">
      <c r="A112" s="129" t="s">
        <v>195</v>
      </c>
      <c r="B112" s="130"/>
      <c r="C112" s="11">
        <f>COUNT(D123:E125)*6+COUNT(D127:E129)*4+COUNT(D131:E133)</f>
        <v>33</v>
      </c>
      <c r="D112" s="131">
        <f>SUM(D123:E125)*6+SUM(D127:E129)*4+SUM(D131:E133)</f>
        <v>14505.200423999999</v>
      </c>
      <c r="E112" s="132"/>
      <c r="F112" s="133"/>
      <c r="G112" s="131">
        <f>SUM(G123:H125)*6+SUM(G127:H129)*4+SUM(G131:H133)</f>
        <v>23730</v>
      </c>
      <c r="H112" s="132"/>
      <c r="I112" s="132"/>
      <c r="J112" s="133"/>
    </row>
    <row r="113" spans="1:17" s="1" customFormat="1" x14ac:dyDescent="0.25">
      <c r="A113" s="129" t="s">
        <v>196</v>
      </c>
      <c r="B113" s="130"/>
      <c r="C113" s="11">
        <f>COUNT(D137:E145)*6+COUNT(D147:E155)*4+COUNT(D157:E164)</f>
        <v>98</v>
      </c>
      <c r="D113" s="131">
        <f>SUM(D137:E145)*6+SUM(D147:E155)*4+SUM(D157:E164)</f>
        <v>39631.115861999999</v>
      </c>
      <c r="E113" s="132"/>
      <c r="F113" s="133"/>
      <c r="G113" s="131">
        <f>SUM(G137:H145)*6+SUM(G147:H155)*4+SUM(G157:H164)</f>
        <v>65830</v>
      </c>
      <c r="H113" s="132"/>
      <c r="I113" s="132"/>
      <c r="J113" s="133"/>
    </row>
    <row r="114" spans="1:17" s="1" customFormat="1" x14ac:dyDescent="0.25">
      <c r="A114" s="129" t="s">
        <v>197</v>
      </c>
      <c r="B114" s="130"/>
      <c r="C114" s="11">
        <f>COUNT(D169:E178)*6+COUNT(D180:E189)*4+COUNT(D191:E199)</f>
        <v>109</v>
      </c>
      <c r="D114" s="131">
        <f>SUM(D169:E178)*6+SUM(D180:E189)*4+SUM(D191:E199)</f>
        <v>42859.616201999997</v>
      </c>
      <c r="E114" s="132"/>
      <c r="F114" s="133"/>
      <c r="G114" s="131">
        <f>SUM(G169:H178)*6+SUM(G180:H189)*4+SUM(G191:H199)</f>
        <v>72260</v>
      </c>
      <c r="H114" s="132"/>
      <c r="I114" s="132"/>
      <c r="J114" s="133"/>
    </row>
    <row r="115" spans="1:17" s="1" customFormat="1" x14ac:dyDescent="0.25">
      <c r="A115" s="135" t="s">
        <v>79</v>
      </c>
      <c r="B115" s="136"/>
      <c r="C115" s="10">
        <f>SUM(C112:C114)</f>
        <v>240</v>
      </c>
      <c r="D115" s="137">
        <f>SUM(D112:F114)</f>
        <v>96995.932487999991</v>
      </c>
      <c r="E115" s="138"/>
      <c r="F115" s="139"/>
      <c r="G115" s="140">
        <f>SUM(G112:I114)</f>
        <v>161820</v>
      </c>
      <c r="H115" s="141"/>
      <c r="I115" s="141"/>
      <c r="J115" s="142"/>
    </row>
    <row r="116" spans="1:17" s="14" customFormat="1" x14ac:dyDescent="0.25">
      <c r="A116" s="143" t="s">
        <v>80</v>
      </c>
      <c r="B116" s="144"/>
      <c r="C116" s="144"/>
      <c r="D116" s="144"/>
      <c r="E116" s="144"/>
      <c r="F116" s="144"/>
      <c r="G116" s="144"/>
      <c r="H116" s="144"/>
      <c r="I116" s="144"/>
      <c r="J116" s="145"/>
    </row>
    <row r="117" spans="1:17" x14ac:dyDescent="0.25">
      <c r="A117" s="143" t="s">
        <v>81</v>
      </c>
      <c r="B117" s="144"/>
      <c r="C117" s="144"/>
      <c r="D117" s="144"/>
      <c r="E117" s="144"/>
      <c r="F117" s="144"/>
      <c r="G117" s="144"/>
      <c r="H117" s="144"/>
      <c r="I117" s="144"/>
      <c r="J117" s="145"/>
    </row>
    <row r="118" spans="1:17" ht="47.25" x14ac:dyDescent="0.25">
      <c r="A118" s="176" t="s">
        <v>148</v>
      </c>
      <c r="B118" s="177"/>
      <c r="C118" s="2" t="s">
        <v>82</v>
      </c>
      <c r="D118" s="176" t="s">
        <v>83</v>
      </c>
      <c r="E118" s="177"/>
      <c r="F118" s="15" t="s">
        <v>84</v>
      </c>
      <c r="G118" s="2" t="s">
        <v>202</v>
      </c>
      <c r="H118" s="2" t="s">
        <v>85</v>
      </c>
      <c r="I118" s="176" t="s">
        <v>86</v>
      </c>
      <c r="J118" s="177"/>
    </row>
    <row r="119" spans="1:17" s="3" customFormat="1" ht="18.75" customHeight="1" x14ac:dyDescent="0.25">
      <c r="A119" s="99" t="s">
        <v>193</v>
      </c>
      <c r="B119" s="100"/>
      <c r="C119" s="100"/>
      <c r="D119" s="100"/>
      <c r="E119" s="100"/>
      <c r="F119" s="100"/>
      <c r="G119" s="100"/>
      <c r="H119" s="100"/>
      <c r="I119" s="100"/>
      <c r="J119" s="101"/>
    </row>
    <row r="120" spans="1:17" s="3" customFormat="1" ht="18.75" customHeight="1" x14ac:dyDescent="0.25">
      <c r="A120" s="99" t="s">
        <v>178</v>
      </c>
      <c r="B120" s="100"/>
      <c r="C120" s="100"/>
      <c r="D120" s="100"/>
      <c r="E120" s="100"/>
      <c r="F120" s="100"/>
      <c r="G120" s="100"/>
      <c r="H120" s="100"/>
      <c r="I120" s="100"/>
      <c r="J120" s="101"/>
    </row>
    <row r="121" spans="1:17" s="3" customFormat="1" ht="18.75" customHeight="1" x14ac:dyDescent="0.25">
      <c r="A121" s="134" t="s">
        <v>180</v>
      </c>
      <c r="B121" s="134"/>
      <c r="C121" s="134"/>
      <c r="D121" s="134"/>
      <c r="E121" s="134"/>
      <c r="F121" s="134"/>
      <c r="G121" s="134"/>
      <c r="H121" s="134"/>
      <c r="I121" s="134"/>
      <c r="J121" s="134"/>
    </row>
    <row r="122" spans="1:17" s="3" customFormat="1" ht="18.75" customHeight="1" x14ac:dyDescent="0.25">
      <c r="A122" s="134" t="s">
        <v>246</v>
      </c>
      <c r="B122" s="134"/>
      <c r="C122" s="134"/>
      <c r="D122" s="134"/>
      <c r="E122" s="134"/>
      <c r="F122" s="134"/>
      <c r="G122" s="134"/>
      <c r="H122" s="134"/>
      <c r="I122" s="134"/>
      <c r="J122" s="134"/>
    </row>
    <row r="123" spans="1:17" s="3" customFormat="1" ht="18.75" customHeight="1" x14ac:dyDescent="0.25">
      <c r="A123" s="98" t="str">
        <f>Q123</f>
        <v>101,…,1101</v>
      </c>
      <c r="B123" s="98"/>
      <c r="C123" s="4" t="s">
        <v>179</v>
      </c>
      <c r="D123" s="98">
        <f>(30.562+3.15*1.3+2.05*1+2.6*1.3+3*1.3)*10.764</f>
        <v>473.476068</v>
      </c>
      <c r="E123" s="98"/>
      <c r="F123" s="4">
        <v>0</v>
      </c>
      <c r="G123" s="4">
        <v>735</v>
      </c>
      <c r="H123" s="4" t="s">
        <v>87</v>
      </c>
      <c r="I123" s="98" t="str">
        <f>A122</f>
        <v>1st, 3rd, 5th, 7th, 9th &amp; 11th Floor for Residential</v>
      </c>
      <c r="J123" s="98"/>
      <c r="K123" s="3">
        <f>(2.85*3.45+1.9*2.8+3.2*2.75+2*1.2+1.2*2.2+1.1*1.2)*10.764</f>
        <v>326.28375</v>
      </c>
      <c r="L123" s="3">
        <v>735</v>
      </c>
      <c r="M123" s="3">
        <f>L123/D123</f>
        <v>1.5523487873520145</v>
      </c>
      <c r="N123" s="3">
        <v>101</v>
      </c>
      <c r="O123" s="3">
        <v>1101</v>
      </c>
      <c r="Q123" s="3" t="str">
        <f>N123&amp;""&amp;",…,"&amp;""&amp;O123</f>
        <v>101,…,1101</v>
      </c>
    </row>
    <row r="124" spans="1:17" s="3" customFormat="1" ht="18.75" customHeight="1" x14ac:dyDescent="0.25">
      <c r="A124" s="98" t="str">
        <f t="shared" ref="A124:A125" si="0">Q124</f>
        <v>102,…,1102</v>
      </c>
      <c r="B124" s="98"/>
      <c r="C124" s="4" t="s">
        <v>179</v>
      </c>
      <c r="D124" s="98">
        <f>(32.727+2.25*1.3+2.85*1.3)*10.764</f>
        <v>423.63874799999991</v>
      </c>
      <c r="E124" s="98"/>
      <c r="F124" s="4">
        <f>(2.7*1.8+0.15*1.35)*10.764</f>
        <v>54.492749999999994</v>
      </c>
      <c r="G124" s="4">
        <v>750</v>
      </c>
      <c r="H124" s="4" t="s">
        <v>87</v>
      </c>
      <c r="I124" s="98"/>
      <c r="J124" s="98"/>
      <c r="L124" s="3">
        <v>750</v>
      </c>
      <c r="M124" s="3">
        <f t="shared" ref="M124:M125" si="1">L124/D124</f>
        <v>1.7703763018391325</v>
      </c>
      <c r="N124" s="3">
        <v>102</v>
      </c>
      <c r="O124" s="3">
        <v>1102</v>
      </c>
      <c r="Q124" s="3" t="str">
        <f t="shared" ref="Q124:Q125" si="2">N124&amp;""&amp;",…,"&amp;""&amp;O124</f>
        <v>102,…,1102</v>
      </c>
    </row>
    <row r="125" spans="1:17" s="3" customFormat="1" ht="18.75" customHeight="1" x14ac:dyDescent="0.25">
      <c r="A125" s="98" t="str">
        <f t="shared" si="0"/>
        <v>103,…,1103</v>
      </c>
      <c r="B125" s="98"/>
      <c r="C125" s="4" t="s">
        <v>179</v>
      </c>
      <c r="D125" s="98">
        <f>(32.727+2.7*1.3+2.25*1.3)*10.764</f>
        <v>421.53976799999987</v>
      </c>
      <c r="E125" s="98"/>
      <c r="F125" s="4">
        <f>(2.7*1.8)*10.764</f>
        <v>52.313040000000001</v>
      </c>
      <c r="G125" s="4">
        <v>745</v>
      </c>
      <c r="H125" s="4" t="s">
        <v>87</v>
      </c>
      <c r="I125" s="98"/>
      <c r="J125" s="98"/>
      <c r="L125" s="3">
        <v>745</v>
      </c>
      <c r="M125" s="3">
        <f t="shared" si="1"/>
        <v>1.7673302889894844</v>
      </c>
      <c r="N125" s="3">
        <v>103</v>
      </c>
      <c r="O125" s="3">
        <v>1103</v>
      </c>
      <c r="Q125" s="3" t="str">
        <f t="shared" si="2"/>
        <v>103,…,1103</v>
      </c>
    </row>
    <row r="126" spans="1:17" s="3" customFormat="1" ht="18.75" customHeight="1" x14ac:dyDescent="0.25">
      <c r="A126" s="112" t="s">
        <v>247</v>
      </c>
      <c r="B126" s="113"/>
      <c r="C126" s="113"/>
      <c r="D126" s="113"/>
      <c r="E126" s="113"/>
      <c r="F126" s="113"/>
      <c r="G126" s="113"/>
      <c r="H126" s="113"/>
      <c r="I126" s="113"/>
      <c r="J126" s="114"/>
    </row>
    <row r="127" spans="1:17" s="3" customFormat="1" ht="18.75" customHeight="1" x14ac:dyDescent="0.25">
      <c r="A127" s="102" t="str">
        <f>Q127</f>
        <v>201,…,1001</v>
      </c>
      <c r="B127" s="103"/>
      <c r="C127" s="4" t="s">
        <v>179</v>
      </c>
      <c r="D127" s="102">
        <f>(30.562+3.15*1.3+2.05*1+2.6*1.3+3*1.3)*10.764</f>
        <v>473.476068</v>
      </c>
      <c r="E127" s="103"/>
      <c r="F127" s="4">
        <v>0</v>
      </c>
      <c r="G127" s="4">
        <v>735</v>
      </c>
      <c r="H127" s="4" t="s">
        <v>87</v>
      </c>
      <c r="I127" s="104" t="str">
        <f>A126</f>
        <v>2nd, 4th, 6th &amp; 10th Floor</v>
      </c>
      <c r="J127" s="105"/>
      <c r="K127" s="3">
        <f>G127/D127</f>
        <v>1.5523487873520145</v>
      </c>
      <c r="N127" s="3">
        <v>201</v>
      </c>
      <c r="O127" s="3">
        <v>1001</v>
      </c>
      <c r="Q127" s="3" t="str">
        <f>N127&amp;""&amp;",…,"&amp;""&amp;O127</f>
        <v>201,…,1001</v>
      </c>
    </row>
    <row r="128" spans="1:17" s="3" customFormat="1" ht="18.75" customHeight="1" x14ac:dyDescent="0.25">
      <c r="A128" s="102" t="str">
        <f t="shared" ref="A128:A129" si="3">Q128</f>
        <v>202,…,1002</v>
      </c>
      <c r="B128" s="103"/>
      <c r="C128" s="4" t="s">
        <v>179</v>
      </c>
      <c r="D128" s="102">
        <f>(32.727+2.25*1.3+2.85*1.3)*10.764</f>
        <v>423.63874799999991</v>
      </c>
      <c r="E128" s="103"/>
      <c r="F128" s="4">
        <v>0</v>
      </c>
      <c r="G128" s="4">
        <v>670</v>
      </c>
      <c r="H128" s="4" t="s">
        <v>87</v>
      </c>
      <c r="I128" s="106"/>
      <c r="J128" s="107"/>
      <c r="K128" s="3">
        <f t="shared" ref="K128:K129" si="4">G128/D128</f>
        <v>1.5815361629762916</v>
      </c>
      <c r="N128" s="3">
        <v>202</v>
      </c>
      <c r="O128" s="3">
        <v>1002</v>
      </c>
      <c r="Q128" s="3" t="str">
        <f>N128&amp;""&amp;",…,"&amp;""&amp;O128</f>
        <v>202,…,1002</v>
      </c>
    </row>
    <row r="129" spans="1:17" s="3" customFormat="1" ht="18.75" customHeight="1" x14ac:dyDescent="0.25">
      <c r="A129" s="102" t="str">
        <f t="shared" si="3"/>
        <v>203,…,1003</v>
      </c>
      <c r="B129" s="103"/>
      <c r="C129" s="4" t="s">
        <v>179</v>
      </c>
      <c r="D129" s="102">
        <f>(32.727+2.25*1.3+2.7*1.3)*10.764</f>
        <v>421.53976799999987</v>
      </c>
      <c r="E129" s="103"/>
      <c r="F129" s="4">
        <v>0</v>
      </c>
      <c r="G129" s="4">
        <v>665</v>
      </c>
      <c r="H129" s="4" t="s">
        <v>87</v>
      </c>
      <c r="I129" s="108"/>
      <c r="J129" s="109"/>
      <c r="K129" s="3">
        <f t="shared" si="4"/>
        <v>1.5775498552724929</v>
      </c>
      <c r="N129" s="3">
        <v>203</v>
      </c>
      <c r="O129" s="3">
        <v>1003</v>
      </c>
      <c r="Q129" s="3" t="str">
        <f>N129&amp;""&amp;",…,"&amp;""&amp;O129</f>
        <v>203,…,1003</v>
      </c>
    </row>
    <row r="130" spans="1:17" s="3" customFormat="1" ht="18.75" customHeight="1" x14ac:dyDescent="0.25">
      <c r="A130" s="112" t="s">
        <v>248</v>
      </c>
      <c r="B130" s="113"/>
      <c r="C130" s="113"/>
      <c r="D130" s="113"/>
      <c r="E130" s="113"/>
      <c r="F130" s="113"/>
      <c r="G130" s="113"/>
      <c r="H130" s="113"/>
      <c r="I130" s="113"/>
      <c r="J130" s="114"/>
    </row>
    <row r="131" spans="1:17" s="3" customFormat="1" ht="18.75" customHeight="1" x14ac:dyDescent="0.25">
      <c r="A131" s="102">
        <v>801</v>
      </c>
      <c r="B131" s="103"/>
      <c r="C131" s="4" t="s">
        <v>179</v>
      </c>
      <c r="D131" s="102">
        <f>(30.562+3.15*1.3+2.05*1+2.6*1.3+3*1.3)*10.764</f>
        <v>473.476068</v>
      </c>
      <c r="E131" s="103"/>
      <c r="F131" s="4">
        <v>0</v>
      </c>
      <c r="G131" s="4">
        <v>735</v>
      </c>
      <c r="H131" s="4" t="s">
        <v>87</v>
      </c>
      <c r="I131" s="104" t="str">
        <f>A130</f>
        <v>8th Floor (Part Refuge Area)</v>
      </c>
      <c r="J131" s="105"/>
      <c r="K131" s="3">
        <f>G131/D131</f>
        <v>1.5523487873520145</v>
      </c>
    </row>
    <row r="132" spans="1:17" s="3" customFormat="1" ht="18.75" customHeight="1" x14ac:dyDescent="0.25">
      <c r="A132" s="102">
        <v>802</v>
      </c>
      <c r="B132" s="103"/>
      <c r="C132" s="4" t="s">
        <v>179</v>
      </c>
      <c r="D132" s="102">
        <f>(32.727+2.25*1.3+2.85*1.3)*10.764</f>
        <v>423.63874799999991</v>
      </c>
      <c r="E132" s="103"/>
      <c r="F132" s="4">
        <v>0</v>
      </c>
      <c r="G132" s="4">
        <v>670</v>
      </c>
      <c r="H132" s="4" t="s">
        <v>87</v>
      </c>
      <c r="I132" s="106"/>
      <c r="J132" s="107"/>
      <c r="K132" s="3">
        <f t="shared" ref="K132:K133" si="5">G132/D132</f>
        <v>1.5815361629762916</v>
      </c>
    </row>
    <row r="133" spans="1:17" s="3" customFormat="1" ht="18.75" customHeight="1" x14ac:dyDescent="0.25">
      <c r="A133" s="102">
        <v>803</v>
      </c>
      <c r="B133" s="103"/>
      <c r="C133" s="4" t="s">
        <v>179</v>
      </c>
      <c r="D133" s="102">
        <f>(32.727+2.25*1.3+2.7*1.3)*10.764</f>
        <v>421.53976799999987</v>
      </c>
      <c r="E133" s="103"/>
      <c r="F133" s="4">
        <v>0</v>
      </c>
      <c r="G133" s="4">
        <v>665</v>
      </c>
      <c r="H133" s="4" t="s">
        <v>87</v>
      </c>
      <c r="I133" s="108"/>
      <c r="J133" s="109"/>
      <c r="K133" s="3">
        <f t="shared" si="5"/>
        <v>1.5775498552724929</v>
      </c>
    </row>
    <row r="134" spans="1:17" s="3" customFormat="1" ht="18.75" customHeight="1" x14ac:dyDescent="0.25">
      <c r="A134" s="99" t="s">
        <v>181</v>
      </c>
      <c r="B134" s="100"/>
      <c r="C134" s="100"/>
      <c r="D134" s="100"/>
      <c r="E134" s="100"/>
      <c r="F134" s="100"/>
      <c r="G134" s="100"/>
      <c r="H134" s="100"/>
      <c r="I134" s="100"/>
      <c r="J134" s="101"/>
    </row>
    <row r="135" spans="1:17" s="3" customFormat="1" ht="18.75" customHeight="1" x14ac:dyDescent="0.25">
      <c r="A135" s="99" t="s">
        <v>180</v>
      </c>
      <c r="B135" s="100"/>
      <c r="C135" s="100"/>
      <c r="D135" s="100"/>
      <c r="E135" s="100"/>
      <c r="F135" s="100"/>
      <c r="G135" s="100"/>
      <c r="H135" s="100"/>
      <c r="I135" s="100"/>
      <c r="J135" s="101"/>
    </row>
    <row r="136" spans="1:17" s="3" customFormat="1" ht="18.75" customHeight="1" x14ac:dyDescent="0.25">
      <c r="A136" s="99" t="s">
        <v>246</v>
      </c>
      <c r="B136" s="100"/>
      <c r="C136" s="100"/>
      <c r="D136" s="100"/>
      <c r="E136" s="100"/>
      <c r="F136" s="100"/>
      <c r="G136" s="100"/>
      <c r="H136" s="100"/>
      <c r="I136" s="100"/>
      <c r="J136" s="101"/>
    </row>
    <row r="137" spans="1:17" s="3" customFormat="1" ht="18.75" customHeight="1" x14ac:dyDescent="0.25">
      <c r="A137" s="102" t="str">
        <f>Q137</f>
        <v>101,…,1101</v>
      </c>
      <c r="B137" s="103"/>
      <c r="C137" s="4" t="s">
        <v>179</v>
      </c>
      <c r="D137" s="102">
        <f>(34.505)*10.764</f>
        <v>371.41181999999998</v>
      </c>
      <c r="E137" s="103"/>
      <c r="F137" s="4">
        <f>(2.7*1.6)*10.764</f>
        <v>46.500480000000003</v>
      </c>
      <c r="G137" s="54">
        <v>655</v>
      </c>
      <c r="H137" s="4" t="s">
        <v>87</v>
      </c>
      <c r="I137" s="104" t="str">
        <f>A136</f>
        <v>1st, 3rd, 5th, 7th, 9th &amp; 11th Floor for Residential</v>
      </c>
      <c r="J137" s="105"/>
      <c r="K137" s="3">
        <f>4500*G137</f>
        <v>2947500</v>
      </c>
      <c r="L137" s="3">
        <v>655</v>
      </c>
      <c r="M137" s="3">
        <f>L137/D137</f>
        <v>1.7635410741639834</v>
      </c>
      <c r="N137" s="3">
        <v>101</v>
      </c>
      <c r="O137" s="3">
        <v>1101</v>
      </c>
      <c r="Q137" s="3" t="str">
        <f>N137&amp;""&amp;",…,"&amp;""&amp;O137</f>
        <v>101,…,1101</v>
      </c>
    </row>
    <row r="138" spans="1:17" s="3" customFormat="1" ht="18.75" customHeight="1" x14ac:dyDescent="0.25">
      <c r="A138" s="102" t="str">
        <f t="shared" ref="A138:A145" si="6">Q138</f>
        <v>102,…,1102</v>
      </c>
      <c r="B138" s="103"/>
      <c r="C138" s="4" t="s">
        <v>182</v>
      </c>
      <c r="D138" s="102">
        <f>(39.567+11.158)*10.764</f>
        <v>546.00389999999993</v>
      </c>
      <c r="E138" s="103"/>
      <c r="F138" s="4">
        <f>(2.75*1.8)*10.764</f>
        <v>53.281799999999997</v>
      </c>
      <c r="G138" s="54">
        <v>935</v>
      </c>
      <c r="H138" s="4" t="s">
        <v>87</v>
      </c>
      <c r="I138" s="106"/>
      <c r="J138" s="107"/>
      <c r="L138" s="3">
        <v>935</v>
      </c>
      <c r="M138" s="3">
        <f t="shared" ref="M138:M145" si="7">L138/D138</f>
        <v>1.7124419807257789</v>
      </c>
      <c r="N138" s="3">
        <v>102</v>
      </c>
      <c r="O138" s="3">
        <v>1102</v>
      </c>
      <c r="Q138" s="3" t="str">
        <f t="shared" ref="Q138:Q155" si="8">N138&amp;""&amp;",…,"&amp;""&amp;O138</f>
        <v>102,…,1102</v>
      </c>
    </row>
    <row r="139" spans="1:17" s="3" customFormat="1" ht="18.75" customHeight="1" x14ac:dyDescent="0.25">
      <c r="A139" s="102" t="str">
        <f t="shared" si="6"/>
        <v>103,…,1103</v>
      </c>
      <c r="B139" s="103"/>
      <c r="C139" s="4" t="s">
        <v>183</v>
      </c>
      <c r="D139" s="102">
        <f>(20.719+2.25*1.1+2*1.9)*10.764</f>
        <v>290.56341600000002</v>
      </c>
      <c r="E139" s="103"/>
      <c r="F139" s="4">
        <v>0</v>
      </c>
      <c r="G139" s="54">
        <v>455</v>
      </c>
      <c r="H139" s="4" t="s">
        <v>87</v>
      </c>
      <c r="I139" s="106"/>
      <c r="J139" s="107"/>
      <c r="L139" s="3">
        <v>455</v>
      </c>
      <c r="M139" s="3">
        <f t="shared" si="7"/>
        <v>1.5659232200106017</v>
      </c>
      <c r="N139" s="3">
        <v>103</v>
      </c>
      <c r="O139" s="3">
        <v>1103</v>
      </c>
      <c r="Q139" s="3" t="str">
        <f t="shared" si="8"/>
        <v>103,…,1103</v>
      </c>
    </row>
    <row r="140" spans="1:17" s="3" customFormat="1" ht="18.75" customHeight="1" x14ac:dyDescent="0.25">
      <c r="A140" s="102" t="str">
        <f t="shared" si="6"/>
        <v>104,…,1104</v>
      </c>
      <c r="B140" s="103"/>
      <c r="C140" s="4" t="s">
        <v>179</v>
      </c>
      <c r="D140" s="102">
        <f>(31.447+2.35*1.3+2.9*1)*10.764</f>
        <v>402.59512799999999</v>
      </c>
      <c r="E140" s="103"/>
      <c r="F140" s="4">
        <f>(2.775*2)*10.764</f>
        <v>59.740199999999994</v>
      </c>
      <c r="G140" s="54">
        <v>715</v>
      </c>
      <c r="H140" s="4" t="s">
        <v>87</v>
      </c>
      <c r="I140" s="106"/>
      <c r="J140" s="107"/>
      <c r="L140" s="3">
        <v>715</v>
      </c>
      <c r="M140" s="3">
        <f t="shared" si="7"/>
        <v>1.7759777758661799</v>
      </c>
      <c r="N140" s="3">
        <v>104</v>
      </c>
      <c r="O140" s="3">
        <v>1104</v>
      </c>
      <c r="Q140" s="3" t="str">
        <f t="shared" si="8"/>
        <v>104,…,1104</v>
      </c>
    </row>
    <row r="141" spans="1:17" s="3" customFormat="1" ht="18.75" customHeight="1" x14ac:dyDescent="0.25">
      <c r="A141" s="102" t="str">
        <f t="shared" si="6"/>
        <v>105,…,1105</v>
      </c>
      <c r="B141" s="103"/>
      <c r="C141" s="4" t="s">
        <v>179</v>
      </c>
      <c r="D141" s="102">
        <f>(32.062+2.25*1.3+3*1.3)*10.764</f>
        <v>418.57966799999991</v>
      </c>
      <c r="E141" s="103"/>
      <c r="F141" s="4">
        <f>(2.775*2)*10.764</f>
        <v>59.740199999999994</v>
      </c>
      <c r="G141" s="54">
        <v>750</v>
      </c>
      <c r="H141" s="4" t="s">
        <v>87</v>
      </c>
      <c r="I141" s="106"/>
      <c r="J141" s="107"/>
      <c r="L141" s="3">
        <v>750</v>
      </c>
      <c r="M141" s="3">
        <f t="shared" si="7"/>
        <v>1.7917736032988592</v>
      </c>
      <c r="N141" s="3">
        <v>105</v>
      </c>
      <c r="O141" s="3">
        <v>1105</v>
      </c>
      <c r="Q141" s="3" t="str">
        <f t="shared" si="8"/>
        <v>105,…,1105</v>
      </c>
    </row>
    <row r="142" spans="1:17" s="3" customFormat="1" ht="18.75" customHeight="1" x14ac:dyDescent="0.25">
      <c r="A142" s="102" t="str">
        <f t="shared" si="6"/>
        <v>106,…,1106</v>
      </c>
      <c r="B142" s="103"/>
      <c r="C142" s="4" t="s">
        <v>179</v>
      </c>
      <c r="D142" s="102">
        <f>(30.317+2.4*1+2.9*1.25)*10.764</f>
        <v>391.18528799999996</v>
      </c>
      <c r="E142" s="103"/>
      <c r="F142" s="4">
        <f>(2.775*1.55)*10.764</f>
        <v>46.298654999999989</v>
      </c>
      <c r="G142" s="54">
        <v>675</v>
      </c>
      <c r="H142" s="4" t="s">
        <v>87</v>
      </c>
      <c r="I142" s="106"/>
      <c r="J142" s="107"/>
      <c r="L142" s="3">
        <v>675</v>
      </c>
      <c r="M142" s="3">
        <f t="shared" si="7"/>
        <v>1.7255250151432078</v>
      </c>
      <c r="N142" s="3">
        <v>106</v>
      </c>
      <c r="O142" s="3">
        <v>1106</v>
      </c>
      <c r="Q142" s="3" t="str">
        <f t="shared" si="8"/>
        <v>106,…,1106</v>
      </c>
    </row>
    <row r="143" spans="1:17" s="3" customFormat="1" ht="18.75" customHeight="1" x14ac:dyDescent="0.25">
      <c r="A143" s="102" t="str">
        <f t="shared" si="6"/>
        <v>107,…,1107</v>
      </c>
      <c r="B143" s="103"/>
      <c r="C143" s="4" t="s">
        <v>179</v>
      </c>
      <c r="D143" s="102">
        <f>(29.382+2.35*1+2.9*1)*10.764</f>
        <v>372.77884800000004</v>
      </c>
      <c r="E143" s="103"/>
      <c r="F143" s="4">
        <f>(2.775*1.55)*10.764</f>
        <v>46.298654999999989</v>
      </c>
      <c r="G143" s="54">
        <v>645</v>
      </c>
      <c r="H143" s="4" t="s">
        <v>87</v>
      </c>
      <c r="I143" s="106"/>
      <c r="J143" s="107"/>
      <c r="K143" s="3">
        <f>(2.75*4.05+2.1*1.6+2.75*2.6+2.425*1.1+2.425*1.1+2.1*0.9+2.35*1+2.9*1)*10.764</f>
        <v>367.29459000000003</v>
      </c>
      <c r="L143" s="3">
        <v>645</v>
      </c>
      <c r="M143" s="3">
        <f t="shared" si="7"/>
        <v>1.7302483857667803</v>
      </c>
      <c r="N143" s="3">
        <v>107</v>
      </c>
      <c r="O143" s="3">
        <v>1107</v>
      </c>
      <c r="Q143" s="3" t="str">
        <f t="shared" si="8"/>
        <v>107,…,1107</v>
      </c>
    </row>
    <row r="144" spans="1:17" s="3" customFormat="1" ht="18.75" customHeight="1" x14ac:dyDescent="0.25">
      <c r="A144" s="102" t="str">
        <f t="shared" si="6"/>
        <v>108,…,1108</v>
      </c>
      <c r="B144" s="103"/>
      <c r="C144" s="4" t="s">
        <v>179</v>
      </c>
      <c r="D144" s="102">
        <f>(32.962+2.25*1.3+2.85*1.3)*10.764</f>
        <v>426.16828799999996</v>
      </c>
      <c r="E144" s="103"/>
      <c r="F144" s="4">
        <f>(2.7*1.55)*10.764</f>
        <v>45.047340000000005</v>
      </c>
      <c r="G144" s="54">
        <v>740</v>
      </c>
      <c r="H144" s="4" t="s">
        <v>87</v>
      </c>
      <c r="I144" s="106"/>
      <c r="J144" s="107"/>
      <c r="L144" s="3">
        <v>740</v>
      </c>
      <c r="M144" s="3">
        <f t="shared" si="7"/>
        <v>1.736403249225339</v>
      </c>
      <c r="N144" s="3">
        <v>108</v>
      </c>
      <c r="O144" s="3">
        <v>1108</v>
      </c>
      <c r="Q144" s="3" t="str">
        <f t="shared" si="8"/>
        <v>108,…,1108</v>
      </c>
    </row>
    <row r="145" spans="1:17" s="3" customFormat="1" ht="18.75" customHeight="1" x14ac:dyDescent="0.25">
      <c r="A145" s="102" t="str">
        <f t="shared" si="6"/>
        <v>109,…,1109</v>
      </c>
      <c r="B145" s="103"/>
      <c r="C145" s="4" t="s">
        <v>179</v>
      </c>
      <c r="D145" s="102">
        <f>(35.312+2.4*1.51)*10.764</f>
        <v>419.10710399999999</v>
      </c>
      <c r="E145" s="103"/>
      <c r="F145" s="4">
        <f>(2.85*1.1)*10.764</f>
        <v>33.745139999999999</v>
      </c>
      <c r="G145" s="54">
        <v>715</v>
      </c>
      <c r="H145" s="4" t="s">
        <v>87</v>
      </c>
      <c r="I145" s="108"/>
      <c r="J145" s="109"/>
      <c r="L145" s="3">
        <v>715</v>
      </c>
      <c r="M145" s="3">
        <f t="shared" si="7"/>
        <v>1.7060078275361326</v>
      </c>
      <c r="N145" s="3">
        <v>109</v>
      </c>
      <c r="O145" s="3">
        <v>1109</v>
      </c>
      <c r="Q145" s="3" t="str">
        <f t="shared" si="8"/>
        <v>109,…,1109</v>
      </c>
    </row>
    <row r="146" spans="1:17" s="3" customFormat="1" ht="18.75" customHeight="1" x14ac:dyDescent="0.25">
      <c r="A146" s="112" t="s">
        <v>247</v>
      </c>
      <c r="B146" s="113"/>
      <c r="C146" s="113"/>
      <c r="D146" s="113"/>
      <c r="E146" s="113"/>
      <c r="F146" s="113"/>
      <c r="G146" s="113"/>
      <c r="H146" s="113"/>
      <c r="I146" s="113"/>
      <c r="J146" s="114"/>
    </row>
    <row r="147" spans="1:17" s="3" customFormat="1" ht="18.75" customHeight="1" x14ac:dyDescent="0.25">
      <c r="A147" s="102" t="str">
        <f>Q147</f>
        <v>201,…,1001</v>
      </c>
      <c r="B147" s="103"/>
      <c r="C147" s="4" t="s">
        <v>179</v>
      </c>
      <c r="D147" s="102">
        <f>(34.505)*10.764</f>
        <v>371.41181999999998</v>
      </c>
      <c r="E147" s="103"/>
      <c r="F147" s="4">
        <v>0</v>
      </c>
      <c r="G147" s="4">
        <v>585</v>
      </c>
      <c r="H147" s="4" t="s">
        <v>87</v>
      </c>
      <c r="I147" s="104" t="str">
        <f>A146</f>
        <v>2nd, 4th, 6th &amp; 10th Floor</v>
      </c>
      <c r="J147" s="105"/>
      <c r="K147" s="3">
        <f>G147/D147</f>
        <v>1.5750710357037103</v>
      </c>
      <c r="N147" s="3">
        <v>201</v>
      </c>
      <c r="O147" s="3">
        <v>1001</v>
      </c>
      <c r="Q147" s="3" t="str">
        <f t="shared" si="8"/>
        <v>201,…,1001</v>
      </c>
    </row>
    <row r="148" spans="1:17" s="3" customFormat="1" ht="18.75" customHeight="1" x14ac:dyDescent="0.25">
      <c r="A148" s="102" t="str">
        <f t="shared" ref="A148:A155" si="9">Q148</f>
        <v>202,…,1002</v>
      </c>
      <c r="B148" s="103"/>
      <c r="C148" s="4" t="s">
        <v>182</v>
      </c>
      <c r="D148" s="102">
        <f>(39.567+2.85*1.65+2.9*1.15+2.4*1.3)*10.764</f>
        <v>545.99851799999999</v>
      </c>
      <c r="E148" s="103"/>
      <c r="F148" s="4">
        <v>0</v>
      </c>
      <c r="G148" s="4">
        <v>850</v>
      </c>
      <c r="H148" s="4" t="s">
        <v>87</v>
      </c>
      <c r="I148" s="106"/>
      <c r="J148" s="107"/>
      <c r="K148" s="3">
        <f t="shared" ref="K148:K155" si="10">G148/D148</f>
        <v>1.5567807823243947</v>
      </c>
      <c r="N148" s="3">
        <v>202</v>
      </c>
      <c r="O148" s="3">
        <v>1002</v>
      </c>
      <c r="Q148" s="3" t="str">
        <f t="shared" si="8"/>
        <v>202,…,1002</v>
      </c>
    </row>
    <row r="149" spans="1:17" s="3" customFormat="1" ht="18.75" customHeight="1" x14ac:dyDescent="0.25">
      <c r="A149" s="102" t="str">
        <f t="shared" si="9"/>
        <v>203,…,1003</v>
      </c>
      <c r="B149" s="103"/>
      <c r="C149" s="4" t="s">
        <v>183</v>
      </c>
      <c r="D149" s="102">
        <f>(20.719+2.25*1.1+2*1.9)*10.764</f>
        <v>290.56341600000002</v>
      </c>
      <c r="E149" s="103"/>
      <c r="F149" s="4">
        <v>0</v>
      </c>
      <c r="G149" s="4">
        <v>455</v>
      </c>
      <c r="H149" s="4" t="s">
        <v>87</v>
      </c>
      <c r="I149" s="106"/>
      <c r="J149" s="107"/>
      <c r="K149" s="3">
        <f t="shared" si="10"/>
        <v>1.5659232200106017</v>
      </c>
      <c r="N149" s="3">
        <v>203</v>
      </c>
      <c r="O149" s="3">
        <v>1003</v>
      </c>
      <c r="Q149" s="3" t="str">
        <f t="shared" si="8"/>
        <v>203,…,1003</v>
      </c>
    </row>
    <row r="150" spans="1:17" s="3" customFormat="1" ht="18.75" customHeight="1" x14ac:dyDescent="0.25">
      <c r="A150" s="102" t="str">
        <f t="shared" si="9"/>
        <v>204,…,1004</v>
      </c>
      <c r="B150" s="103"/>
      <c r="C150" s="4" t="s">
        <v>179</v>
      </c>
      <c r="D150" s="102">
        <f>(31.447+2.35*1.3+2.9*1)*10.764</f>
        <v>402.59512799999999</v>
      </c>
      <c r="E150" s="103"/>
      <c r="F150" s="4">
        <v>0</v>
      </c>
      <c r="G150" s="4">
        <v>625</v>
      </c>
      <c r="H150" s="4" t="s">
        <v>87</v>
      </c>
      <c r="I150" s="106"/>
      <c r="J150" s="107"/>
      <c r="K150" s="3">
        <f t="shared" si="10"/>
        <v>1.5524281257571504</v>
      </c>
      <c r="N150" s="3">
        <v>204</v>
      </c>
      <c r="O150" s="3">
        <v>1004</v>
      </c>
      <c r="Q150" s="3" t="str">
        <f t="shared" si="8"/>
        <v>204,…,1004</v>
      </c>
    </row>
    <row r="151" spans="1:17" s="3" customFormat="1" ht="18.75" customHeight="1" x14ac:dyDescent="0.25">
      <c r="A151" s="102" t="str">
        <f t="shared" si="9"/>
        <v>205,…,1005</v>
      </c>
      <c r="B151" s="103"/>
      <c r="C151" s="4" t="s">
        <v>179</v>
      </c>
      <c r="D151" s="102">
        <f>(32.062+2.25*1.3+3*1.3)*10.764</f>
        <v>418.57966799999991</v>
      </c>
      <c r="E151" s="103"/>
      <c r="F151" s="4">
        <v>0</v>
      </c>
      <c r="G151" s="4">
        <v>660</v>
      </c>
      <c r="H151" s="4" t="s">
        <v>87</v>
      </c>
      <c r="I151" s="106"/>
      <c r="J151" s="107"/>
      <c r="K151" s="3">
        <f t="shared" si="10"/>
        <v>1.576760770902996</v>
      </c>
      <c r="N151" s="3">
        <v>205</v>
      </c>
      <c r="O151" s="3">
        <v>1005</v>
      </c>
      <c r="Q151" s="3" t="str">
        <f t="shared" si="8"/>
        <v>205,…,1005</v>
      </c>
    </row>
    <row r="152" spans="1:17" s="3" customFormat="1" ht="18.75" customHeight="1" x14ac:dyDescent="0.25">
      <c r="A152" s="102" t="str">
        <f t="shared" si="9"/>
        <v>206,…,1006</v>
      </c>
      <c r="B152" s="103"/>
      <c r="C152" s="4" t="s">
        <v>179</v>
      </c>
      <c r="D152" s="102">
        <f>(30.317+2.4*1+2.9*1.25)*10.764</f>
        <v>391.18528799999996</v>
      </c>
      <c r="E152" s="103"/>
      <c r="F152" s="4">
        <v>0</v>
      </c>
      <c r="G152" s="4">
        <v>605</v>
      </c>
      <c r="H152" s="4" t="s">
        <v>87</v>
      </c>
      <c r="I152" s="106"/>
      <c r="J152" s="107"/>
      <c r="K152" s="3">
        <f t="shared" si="10"/>
        <v>1.5465816802394676</v>
      </c>
      <c r="N152" s="3">
        <v>206</v>
      </c>
      <c r="O152" s="3">
        <v>1006</v>
      </c>
      <c r="Q152" s="3" t="str">
        <f t="shared" si="8"/>
        <v>206,…,1006</v>
      </c>
    </row>
    <row r="153" spans="1:17" s="3" customFormat="1" ht="18.75" customHeight="1" x14ac:dyDescent="0.25">
      <c r="A153" s="102" t="str">
        <f t="shared" si="9"/>
        <v>207,…,1007</v>
      </c>
      <c r="B153" s="103"/>
      <c r="C153" s="4" t="s">
        <v>179</v>
      </c>
      <c r="D153" s="102">
        <f>(29.382+2.35*1+2.9*1)*10.764</f>
        <v>372.77884800000004</v>
      </c>
      <c r="E153" s="103"/>
      <c r="F153" s="4">
        <v>0</v>
      </c>
      <c r="G153" s="4">
        <v>570</v>
      </c>
      <c r="H153" s="4" t="s">
        <v>87</v>
      </c>
      <c r="I153" s="106"/>
      <c r="J153" s="107"/>
      <c r="K153" s="3">
        <f t="shared" si="10"/>
        <v>1.5290567130032011</v>
      </c>
      <c r="N153" s="3">
        <v>207</v>
      </c>
      <c r="O153" s="3">
        <v>1007</v>
      </c>
      <c r="Q153" s="3" t="str">
        <f t="shared" si="8"/>
        <v>207,…,1007</v>
      </c>
    </row>
    <row r="154" spans="1:17" s="3" customFormat="1" ht="18.75" customHeight="1" x14ac:dyDescent="0.25">
      <c r="A154" s="102" t="str">
        <f t="shared" si="9"/>
        <v>208,…,1008</v>
      </c>
      <c r="B154" s="103"/>
      <c r="C154" s="4" t="s">
        <v>179</v>
      </c>
      <c r="D154" s="102">
        <f>(32.962+2.25*1.3+2.85*1.3)*10.764</f>
        <v>426.16828799999996</v>
      </c>
      <c r="E154" s="103"/>
      <c r="F154" s="4">
        <v>0</v>
      </c>
      <c r="G154" s="4">
        <v>670</v>
      </c>
      <c r="H154" s="4" t="s">
        <v>87</v>
      </c>
      <c r="I154" s="106"/>
      <c r="J154" s="107"/>
      <c r="K154" s="3">
        <f t="shared" si="10"/>
        <v>1.5721488878121312</v>
      </c>
      <c r="N154" s="3">
        <v>208</v>
      </c>
      <c r="O154" s="3">
        <v>1008</v>
      </c>
      <c r="Q154" s="3" t="str">
        <f t="shared" si="8"/>
        <v>208,…,1008</v>
      </c>
    </row>
    <row r="155" spans="1:17" s="3" customFormat="1" ht="18.75" customHeight="1" x14ac:dyDescent="0.25">
      <c r="A155" s="102" t="str">
        <f t="shared" si="9"/>
        <v>209,…,1009</v>
      </c>
      <c r="B155" s="103"/>
      <c r="C155" s="4" t="s">
        <v>179</v>
      </c>
      <c r="D155" s="102">
        <f>(35.312+2.4*1.51)*10.764</f>
        <v>419.10710399999999</v>
      </c>
      <c r="E155" s="103"/>
      <c r="F155" s="4">
        <f>(2.55*1.51)*10.764</f>
        <v>41.446781999999999</v>
      </c>
      <c r="G155" s="4">
        <v>725</v>
      </c>
      <c r="H155" s="4" t="s">
        <v>87</v>
      </c>
      <c r="I155" s="108"/>
      <c r="J155" s="109"/>
      <c r="K155" s="3">
        <f t="shared" si="10"/>
        <v>1.7298680768723023</v>
      </c>
      <c r="N155" s="3">
        <v>209</v>
      </c>
      <c r="O155" s="3">
        <v>1009</v>
      </c>
      <c r="Q155" s="3" t="str">
        <f t="shared" si="8"/>
        <v>209,…,1009</v>
      </c>
    </row>
    <row r="156" spans="1:17" s="3" customFormat="1" ht="18.75" customHeight="1" x14ac:dyDescent="0.25">
      <c r="A156" s="115" t="s">
        <v>248</v>
      </c>
      <c r="B156" s="115"/>
      <c r="C156" s="115"/>
      <c r="D156" s="115"/>
      <c r="E156" s="115"/>
      <c r="F156" s="115"/>
      <c r="G156" s="115"/>
      <c r="H156" s="115"/>
      <c r="I156" s="115"/>
      <c r="J156" s="115"/>
    </row>
    <row r="157" spans="1:17" s="3" customFormat="1" ht="18.75" customHeight="1" x14ac:dyDescent="0.25">
      <c r="A157" s="98">
        <v>801</v>
      </c>
      <c r="B157" s="98"/>
      <c r="C157" s="4" t="s">
        <v>179</v>
      </c>
      <c r="D157" s="98">
        <f>(34.505)*10.764</f>
        <v>371.41181999999998</v>
      </c>
      <c r="E157" s="98"/>
      <c r="F157" s="4">
        <v>0</v>
      </c>
      <c r="G157" s="4">
        <v>585</v>
      </c>
      <c r="H157" s="4" t="s">
        <v>87</v>
      </c>
      <c r="I157" s="98" t="str">
        <f>A156</f>
        <v>8th Floor (Part Refuge Area)</v>
      </c>
      <c r="J157" s="98"/>
      <c r="K157" s="3">
        <f>G157/D157</f>
        <v>1.5750710357037103</v>
      </c>
    </row>
    <row r="158" spans="1:17" s="3" customFormat="1" ht="18.75" customHeight="1" x14ac:dyDescent="0.25">
      <c r="A158" s="98">
        <v>802</v>
      </c>
      <c r="B158" s="98"/>
      <c r="C158" s="4" t="s">
        <v>182</v>
      </c>
      <c r="D158" s="98">
        <f>(39.567+2.85*1.65+2.9*1.15+2.4*1.3)*10.764</f>
        <v>545.99851799999999</v>
      </c>
      <c r="E158" s="98"/>
      <c r="F158" s="4">
        <v>0</v>
      </c>
      <c r="G158" s="4">
        <v>850</v>
      </c>
      <c r="H158" s="4" t="s">
        <v>87</v>
      </c>
      <c r="I158" s="98"/>
      <c r="J158" s="98"/>
      <c r="K158" s="3">
        <f t="shared" ref="K158:K164" si="11">G158/D158</f>
        <v>1.5567807823243947</v>
      </c>
    </row>
    <row r="159" spans="1:17" s="3" customFormat="1" ht="18.75" customHeight="1" x14ac:dyDescent="0.25">
      <c r="A159" s="98">
        <v>803</v>
      </c>
      <c r="B159" s="98"/>
      <c r="C159" s="4" t="s">
        <v>183</v>
      </c>
      <c r="D159" s="98">
        <f>(20.719+2.25*1.1+2*1.9)*10.764</f>
        <v>290.56341600000002</v>
      </c>
      <c r="E159" s="98"/>
      <c r="F159" s="4">
        <v>0</v>
      </c>
      <c r="G159" s="4">
        <v>455</v>
      </c>
      <c r="H159" s="4" t="s">
        <v>87</v>
      </c>
      <c r="I159" s="98"/>
      <c r="J159" s="98"/>
      <c r="K159" s="3">
        <f t="shared" si="11"/>
        <v>1.5659232200106017</v>
      </c>
    </row>
    <row r="160" spans="1:17" s="3" customFormat="1" ht="18.75" customHeight="1" x14ac:dyDescent="0.25">
      <c r="A160" s="98">
        <v>804</v>
      </c>
      <c r="B160" s="98"/>
      <c r="C160" s="4" t="s">
        <v>179</v>
      </c>
      <c r="D160" s="98">
        <f>(31.447+2.35*1.3+2.9*1)*10.764</f>
        <v>402.59512799999999</v>
      </c>
      <c r="E160" s="98"/>
      <c r="F160" s="4">
        <v>0</v>
      </c>
      <c r="G160" s="4">
        <v>625</v>
      </c>
      <c r="H160" s="4" t="s">
        <v>87</v>
      </c>
      <c r="I160" s="98"/>
      <c r="J160" s="98"/>
      <c r="K160" s="3">
        <f t="shared" si="11"/>
        <v>1.5524281257571504</v>
      </c>
    </row>
    <row r="161" spans="1:17" s="3" customFormat="1" ht="18.75" customHeight="1" x14ac:dyDescent="0.25">
      <c r="A161" s="98">
        <v>805</v>
      </c>
      <c r="B161" s="98"/>
      <c r="C161" s="4" t="s">
        <v>179</v>
      </c>
      <c r="D161" s="98">
        <f>(32.062+2.25*1.3+3*1.3)*10.764</f>
        <v>418.57966799999991</v>
      </c>
      <c r="E161" s="98"/>
      <c r="F161" s="4">
        <v>0</v>
      </c>
      <c r="G161" s="4">
        <v>660</v>
      </c>
      <c r="H161" s="4" t="s">
        <v>87</v>
      </c>
      <c r="I161" s="98"/>
      <c r="J161" s="98"/>
      <c r="K161" s="3">
        <f t="shared" si="11"/>
        <v>1.576760770902996</v>
      </c>
    </row>
    <row r="162" spans="1:17" s="3" customFormat="1" ht="18.75" customHeight="1" x14ac:dyDescent="0.25">
      <c r="A162" s="98">
        <v>806</v>
      </c>
      <c r="B162" s="98"/>
      <c r="C162" s="4" t="s">
        <v>179</v>
      </c>
      <c r="D162" s="98">
        <f>(29.382+2.35*1+2.9*1)*10.764</f>
        <v>372.77884800000004</v>
      </c>
      <c r="E162" s="98"/>
      <c r="F162" s="4">
        <v>0</v>
      </c>
      <c r="G162" s="4">
        <v>570</v>
      </c>
      <c r="H162" s="4" t="s">
        <v>87</v>
      </c>
      <c r="I162" s="98"/>
      <c r="J162" s="98"/>
      <c r="K162" s="3">
        <f t="shared" si="11"/>
        <v>1.5290567130032011</v>
      </c>
    </row>
    <row r="163" spans="1:17" s="3" customFormat="1" ht="18.75" customHeight="1" x14ac:dyDescent="0.25">
      <c r="A163" s="98">
        <v>807</v>
      </c>
      <c r="B163" s="98"/>
      <c r="C163" s="4" t="s">
        <v>179</v>
      </c>
      <c r="D163" s="98">
        <f>(32.962+2.25*1.3+2.85*1.3)*10.764</f>
        <v>426.16828799999996</v>
      </c>
      <c r="E163" s="98"/>
      <c r="F163" s="4">
        <v>0</v>
      </c>
      <c r="G163" s="4">
        <v>670</v>
      </c>
      <c r="H163" s="4" t="s">
        <v>87</v>
      </c>
      <c r="I163" s="98"/>
      <c r="J163" s="98"/>
      <c r="K163" s="3">
        <f t="shared" si="11"/>
        <v>1.5721488878121312</v>
      </c>
    </row>
    <row r="164" spans="1:17" s="3" customFormat="1" ht="18.75" customHeight="1" x14ac:dyDescent="0.25">
      <c r="A164" s="98">
        <v>808</v>
      </c>
      <c r="B164" s="98"/>
      <c r="C164" s="4" t="s">
        <v>179</v>
      </c>
      <c r="D164" s="98">
        <f>(35.312+2.4*1.51)*10.764</f>
        <v>419.10710399999999</v>
      </c>
      <c r="E164" s="98"/>
      <c r="F164" s="4">
        <f>(2.55*1.51)*10.764</f>
        <v>41.446781999999999</v>
      </c>
      <c r="G164" s="4">
        <v>725</v>
      </c>
      <c r="H164" s="4" t="s">
        <v>87</v>
      </c>
      <c r="I164" s="98"/>
      <c r="J164" s="98"/>
      <c r="K164" s="3">
        <f t="shared" si="11"/>
        <v>1.7298680768723023</v>
      </c>
    </row>
    <row r="165" spans="1:17" s="3" customFormat="1" ht="18.75" customHeight="1" x14ac:dyDescent="0.25">
      <c r="A165" s="99" t="s">
        <v>194</v>
      </c>
      <c r="B165" s="100"/>
      <c r="C165" s="100"/>
      <c r="D165" s="100"/>
      <c r="E165" s="100"/>
      <c r="F165" s="100"/>
      <c r="G165" s="100"/>
      <c r="H165" s="100"/>
      <c r="I165" s="100"/>
      <c r="J165" s="101"/>
    </row>
    <row r="166" spans="1:17" s="3" customFormat="1" ht="18.75" customHeight="1" x14ac:dyDescent="0.25">
      <c r="A166" s="99" t="s">
        <v>184</v>
      </c>
      <c r="B166" s="100"/>
      <c r="C166" s="100"/>
      <c r="D166" s="100"/>
      <c r="E166" s="100"/>
      <c r="F166" s="100"/>
      <c r="G166" s="100"/>
      <c r="H166" s="100"/>
      <c r="I166" s="100"/>
      <c r="J166" s="101"/>
    </row>
    <row r="167" spans="1:17" s="3" customFormat="1" ht="18.75" customHeight="1" x14ac:dyDescent="0.25">
      <c r="A167" s="99" t="s">
        <v>180</v>
      </c>
      <c r="B167" s="100"/>
      <c r="C167" s="100"/>
      <c r="D167" s="100"/>
      <c r="E167" s="100"/>
      <c r="F167" s="100"/>
      <c r="G167" s="100"/>
      <c r="H167" s="100"/>
      <c r="I167" s="100"/>
      <c r="J167" s="101"/>
    </row>
    <row r="168" spans="1:17" s="3" customFormat="1" ht="18.75" customHeight="1" x14ac:dyDescent="0.25">
      <c r="A168" s="99" t="s">
        <v>249</v>
      </c>
      <c r="B168" s="100"/>
      <c r="C168" s="100"/>
      <c r="D168" s="100"/>
      <c r="E168" s="100"/>
      <c r="F168" s="100"/>
      <c r="G168" s="100"/>
      <c r="H168" s="100"/>
      <c r="I168" s="100"/>
      <c r="J168" s="101"/>
    </row>
    <row r="169" spans="1:17" s="3" customFormat="1" ht="18.75" customHeight="1" x14ac:dyDescent="0.25">
      <c r="A169" s="102" t="str">
        <f>Q169</f>
        <v>101,…,1101</v>
      </c>
      <c r="B169" s="103"/>
      <c r="C169" s="4" t="s">
        <v>182</v>
      </c>
      <c r="D169" s="102">
        <f>(41.081+2.25*1.675+2.8*1.3+2.85*1.3)*10.764</f>
        <v>561.82428899999991</v>
      </c>
      <c r="E169" s="103"/>
      <c r="F169" s="4">
        <f>(2.65*2.25)*10.764</f>
        <v>64.18034999999999</v>
      </c>
      <c r="G169" s="4">
        <v>980</v>
      </c>
      <c r="H169" s="4" t="s">
        <v>87</v>
      </c>
      <c r="I169" s="104" t="str">
        <f>A168</f>
        <v>1st, 3rd, 5th, 7th 9th &amp; 11th Floor for Residential</v>
      </c>
      <c r="J169" s="105"/>
      <c r="K169" s="3">
        <f>G169/D169</f>
        <v>1.7443176081694827</v>
      </c>
      <c r="N169" s="3">
        <v>101</v>
      </c>
      <c r="O169" s="3">
        <v>1101</v>
      </c>
      <c r="Q169" s="3" t="str">
        <f t="shared" ref="Q169:Q189" si="12">N169&amp;""&amp;",…,"&amp;""&amp;O169</f>
        <v>101,…,1101</v>
      </c>
    </row>
    <row r="170" spans="1:17" s="3" customFormat="1" ht="18.75" customHeight="1" x14ac:dyDescent="0.25">
      <c r="A170" s="102" t="str">
        <f t="shared" ref="A170:A178" si="13">Q170</f>
        <v>102,…,1102</v>
      </c>
      <c r="B170" s="103"/>
      <c r="C170" s="4" t="s">
        <v>183</v>
      </c>
      <c r="D170" s="102">
        <f>(18.012+2.9*1.15+2.1*1.55)*10.764</f>
        <v>264.81592799999999</v>
      </c>
      <c r="E170" s="103"/>
      <c r="F170" s="4">
        <v>0</v>
      </c>
      <c r="G170" s="4">
        <v>405</v>
      </c>
      <c r="H170" s="4" t="s">
        <v>87</v>
      </c>
      <c r="I170" s="106"/>
      <c r="J170" s="107"/>
      <c r="K170" s="3">
        <f t="shared" ref="K170:K178" si="14">G170/D170</f>
        <v>1.529364200479663</v>
      </c>
      <c r="N170" s="3">
        <v>102</v>
      </c>
      <c r="O170" s="3">
        <v>1102</v>
      </c>
      <c r="Q170" s="3" t="str">
        <f t="shared" si="12"/>
        <v>102,…,1102</v>
      </c>
    </row>
    <row r="171" spans="1:17" s="3" customFormat="1" ht="18.75" customHeight="1" x14ac:dyDescent="0.25">
      <c r="A171" s="102" t="str">
        <f t="shared" si="13"/>
        <v>103,…,1103</v>
      </c>
      <c r="B171" s="103"/>
      <c r="C171" s="4" t="s">
        <v>179</v>
      </c>
      <c r="D171" s="102">
        <f>(29.805+3.85*1.3+2.2*1)*10.764</f>
        <v>398.37564000000003</v>
      </c>
      <c r="E171" s="103"/>
      <c r="F171" s="4">
        <f>(2.85*2)*10.764</f>
        <v>61.354799999999997</v>
      </c>
      <c r="G171" s="4">
        <v>720</v>
      </c>
      <c r="H171" s="4" t="s">
        <v>87</v>
      </c>
      <c r="I171" s="106"/>
      <c r="J171" s="107"/>
      <c r="K171" s="3">
        <f t="shared" si="14"/>
        <v>1.8073394246696408</v>
      </c>
      <c r="N171" s="3">
        <v>103</v>
      </c>
      <c r="O171" s="3">
        <v>1103</v>
      </c>
      <c r="Q171" s="3" t="str">
        <f t="shared" si="12"/>
        <v>103,…,1103</v>
      </c>
    </row>
    <row r="172" spans="1:17" s="3" customFormat="1" ht="18.75" customHeight="1" x14ac:dyDescent="0.25">
      <c r="A172" s="102" t="str">
        <f t="shared" si="13"/>
        <v>104,…,1104</v>
      </c>
      <c r="B172" s="103"/>
      <c r="C172" s="4" t="s">
        <v>179</v>
      </c>
      <c r="D172" s="102">
        <f>(31.83)*10.764</f>
        <v>342.61811999999998</v>
      </c>
      <c r="E172" s="103"/>
      <c r="F172" s="4">
        <f>(2.775*2.3)*10.764</f>
        <v>68.701229999999995</v>
      </c>
      <c r="G172" s="4">
        <v>650</v>
      </c>
      <c r="H172" s="4" t="s">
        <v>87</v>
      </c>
      <c r="I172" s="106"/>
      <c r="J172" s="107"/>
      <c r="K172" s="3">
        <f t="shared" si="14"/>
        <v>1.8971559355938328</v>
      </c>
      <c r="N172" s="3">
        <v>104</v>
      </c>
      <c r="O172" s="3">
        <v>1104</v>
      </c>
      <c r="Q172" s="3" t="str">
        <f t="shared" si="12"/>
        <v>104,…,1104</v>
      </c>
    </row>
    <row r="173" spans="1:17" s="3" customFormat="1" ht="18.75" customHeight="1" x14ac:dyDescent="0.25">
      <c r="A173" s="102" t="str">
        <f t="shared" si="13"/>
        <v>105,…,1105</v>
      </c>
      <c r="B173" s="103"/>
      <c r="C173" s="4" t="s">
        <v>179</v>
      </c>
      <c r="D173" s="102">
        <f>(32.089+2.35*1.3+2.825*1.3)*10.764</f>
        <v>417.82080599999995</v>
      </c>
      <c r="E173" s="103"/>
      <c r="F173" s="4">
        <f>(2.775*2.3)*10.764</f>
        <v>68.701229999999995</v>
      </c>
      <c r="G173" s="4">
        <v>765</v>
      </c>
      <c r="H173" s="4" t="s">
        <v>87</v>
      </c>
      <c r="I173" s="106"/>
      <c r="J173" s="107"/>
      <c r="K173" s="3">
        <f t="shared" si="14"/>
        <v>1.8309284483070958</v>
      </c>
      <c r="N173" s="3">
        <v>105</v>
      </c>
      <c r="O173" s="3">
        <v>1105</v>
      </c>
      <c r="Q173" s="3" t="str">
        <f t="shared" si="12"/>
        <v>105,…,1105</v>
      </c>
    </row>
    <row r="174" spans="1:17" s="3" customFormat="1" ht="18.75" customHeight="1" x14ac:dyDescent="0.25">
      <c r="A174" s="102" t="str">
        <f t="shared" si="13"/>
        <v>106,…,1106</v>
      </c>
      <c r="B174" s="103"/>
      <c r="C174" s="4" t="s">
        <v>179</v>
      </c>
      <c r="D174" s="102">
        <f>(31.884+2.35*1.3+2.825*1.3)*10.764</f>
        <v>415.61418599999996</v>
      </c>
      <c r="E174" s="103"/>
      <c r="F174" s="4">
        <f>(2.775*1.475)*10.764</f>
        <v>44.058397499999991</v>
      </c>
      <c r="G174" s="4">
        <v>725</v>
      </c>
      <c r="H174" s="4" t="s">
        <v>87</v>
      </c>
      <c r="I174" s="106"/>
      <c r="J174" s="107"/>
      <c r="K174" s="3">
        <f t="shared" si="14"/>
        <v>1.7444062893464374</v>
      </c>
      <c r="N174" s="3">
        <v>106</v>
      </c>
      <c r="O174" s="3">
        <v>1106</v>
      </c>
      <c r="Q174" s="3" t="str">
        <f t="shared" si="12"/>
        <v>106,…,1106</v>
      </c>
    </row>
    <row r="175" spans="1:17" s="3" customFormat="1" ht="18.75" customHeight="1" x14ac:dyDescent="0.25">
      <c r="A175" s="102" t="str">
        <f t="shared" si="13"/>
        <v>107,…,1107</v>
      </c>
      <c r="B175" s="103"/>
      <c r="C175" s="4" t="s">
        <v>179</v>
      </c>
      <c r="D175" s="102">
        <f>(32.144+2.35*1.3+3.1*1.3)*10.764</f>
        <v>422.26095599999996</v>
      </c>
      <c r="E175" s="103"/>
      <c r="F175" s="4">
        <f>(2.775*1.475)*10.764</f>
        <v>44.058397499999991</v>
      </c>
      <c r="G175" s="4">
        <v>735</v>
      </c>
      <c r="H175" s="4" t="s">
        <v>87</v>
      </c>
      <c r="I175" s="106"/>
      <c r="J175" s="107"/>
      <c r="K175" s="3">
        <f t="shared" si="14"/>
        <v>1.740629791971579</v>
      </c>
      <c r="N175" s="3">
        <v>107</v>
      </c>
      <c r="O175" s="3">
        <v>1107</v>
      </c>
      <c r="Q175" s="3" t="str">
        <f t="shared" si="12"/>
        <v>107,…,1107</v>
      </c>
    </row>
    <row r="176" spans="1:17" s="3" customFormat="1" ht="18.75" customHeight="1" x14ac:dyDescent="0.25">
      <c r="A176" s="102" t="str">
        <f t="shared" si="13"/>
        <v>108,…,1108</v>
      </c>
      <c r="B176" s="103"/>
      <c r="C176" s="4" t="s">
        <v>179</v>
      </c>
      <c r="D176" s="102">
        <f>(31.468+2.4*1.3+2.9*1.3)*10.764</f>
        <v>412.88551200000001</v>
      </c>
      <c r="E176" s="103"/>
      <c r="F176" s="4">
        <f>(2.85*1.775)*10.764</f>
        <v>54.452384999999992</v>
      </c>
      <c r="G176" s="4">
        <v>735</v>
      </c>
      <c r="H176" s="4" t="s">
        <v>87</v>
      </c>
      <c r="I176" s="106"/>
      <c r="J176" s="107"/>
      <c r="K176" s="3">
        <f t="shared" si="14"/>
        <v>1.7801544947404209</v>
      </c>
      <c r="N176" s="3">
        <v>108</v>
      </c>
      <c r="O176" s="3">
        <v>1108</v>
      </c>
      <c r="Q176" s="3" t="str">
        <f t="shared" si="12"/>
        <v>108,…,1108</v>
      </c>
    </row>
    <row r="177" spans="1:17" s="3" customFormat="1" ht="18.75" customHeight="1" x14ac:dyDescent="0.25">
      <c r="A177" s="102" t="str">
        <f t="shared" si="13"/>
        <v>109,…,1109</v>
      </c>
      <c r="B177" s="103"/>
      <c r="C177" s="4" t="s">
        <v>179</v>
      </c>
      <c r="D177" s="102">
        <f>(28.608+2.35*1.3+2.9*1)*10.764</f>
        <v>372.03613200000001</v>
      </c>
      <c r="E177" s="103"/>
      <c r="F177" s="4">
        <f>(2.7*1.475)*10.764</f>
        <v>42.867629999999998</v>
      </c>
      <c r="G177" s="4">
        <v>645</v>
      </c>
      <c r="H177" s="4" t="s">
        <v>87</v>
      </c>
      <c r="I177" s="106"/>
      <c r="J177" s="107"/>
      <c r="K177" s="3">
        <f t="shared" si="14"/>
        <v>1.7337025748886132</v>
      </c>
      <c r="N177" s="3">
        <v>109</v>
      </c>
      <c r="O177" s="3">
        <v>1109</v>
      </c>
      <c r="Q177" s="3" t="str">
        <f t="shared" si="12"/>
        <v>109,…,1109</v>
      </c>
    </row>
    <row r="178" spans="1:17" s="3" customFormat="1" ht="18.75" customHeight="1" x14ac:dyDescent="0.25">
      <c r="A178" s="102" t="str">
        <f t="shared" si="13"/>
        <v>110,…,1110</v>
      </c>
      <c r="B178" s="103"/>
      <c r="C178" s="4" t="s">
        <v>179</v>
      </c>
      <c r="D178" s="102">
        <f>(28.608+2.9*1)*10.764</f>
        <v>339.15211199999999</v>
      </c>
      <c r="E178" s="103"/>
      <c r="F178" s="4">
        <f>(2.7*1.175)*10.764</f>
        <v>34.148789999999998</v>
      </c>
      <c r="G178" s="4">
        <v>580</v>
      </c>
      <c r="H178" s="4" t="s">
        <v>87</v>
      </c>
      <c r="I178" s="108"/>
      <c r="J178" s="109"/>
      <c r="K178" s="3">
        <f t="shared" si="14"/>
        <v>1.7101470976539284</v>
      </c>
      <c r="N178" s="3">
        <v>110</v>
      </c>
      <c r="O178" s="3">
        <v>1110</v>
      </c>
      <c r="Q178" s="3" t="str">
        <f t="shared" si="12"/>
        <v>110,…,1110</v>
      </c>
    </row>
    <row r="179" spans="1:17" s="3" customFormat="1" ht="18.75" customHeight="1" x14ac:dyDescent="0.25">
      <c r="A179" s="99" t="s">
        <v>247</v>
      </c>
      <c r="B179" s="100"/>
      <c r="C179" s="100"/>
      <c r="D179" s="100"/>
      <c r="E179" s="100"/>
      <c r="F179" s="100"/>
      <c r="G179" s="100"/>
      <c r="H179" s="100"/>
      <c r="I179" s="100"/>
      <c r="J179" s="101"/>
    </row>
    <row r="180" spans="1:17" s="3" customFormat="1" ht="18.75" customHeight="1" x14ac:dyDescent="0.25">
      <c r="A180" s="102" t="str">
        <f>Q180</f>
        <v>201,…,1001</v>
      </c>
      <c r="B180" s="103"/>
      <c r="C180" s="4" t="s">
        <v>182</v>
      </c>
      <c r="D180" s="102">
        <f>(41.081+2.25*1.675+2.8*1.3+2.85*1.3)*10.764</f>
        <v>561.82428899999991</v>
      </c>
      <c r="E180" s="103"/>
      <c r="F180" s="4">
        <v>0</v>
      </c>
      <c r="G180" s="4">
        <v>880</v>
      </c>
      <c r="H180" s="4" t="s">
        <v>87</v>
      </c>
      <c r="I180" s="104" t="str">
        <f>A179</f>
        <v>2nd, 4th, 6th &amp; 10th Floor</v>
      </c>
      <c r="J180" s="105"/>
      <c r="K180" s="3">
        <f>G180/D180</f>
        <v>1.5663260154991272</v>
      </c>
      <c r="N180" s="3">
        <v>201</v>
      </c>
      <c r="O180" s="3">
        <v>1001</v>
      </c>
      <c r="Q180" s="3" t="str">
        <f t="shared" si="12"/>
        <v>201,…,1001</v>
      </c>
    </row>
    <row r="181" spans="1:17" s="3" customFormat="1" ht="18.75" customHeight="1" x14ac:dyDescent="0.25">
      <c r="A181" s="102" t="str">
        <f t="shared" ref="A181:A189" si="15">Q181</f>
        <v>202,…,1002</v>
      </c>
      <c r="B181" s="103"/>
      <c r="C181" s="4" t="s">
        <v>183</v>
      </c>
      <c r="D181" s="102">
        <f>(18.012+2.9*1.15+2.1*1.55)*10.764</f>
        <v>264.81592799999999</v>
      </c>
      <c r="E181" s="103"/>
      <c r="F181" s="4">
        <v>0</v>
      </c>
      <c r="G181" s="4">
        <v>405</v>
      </c>
      <c r="H181" s="4" t="s">
        <v>87</v>
      </c>
      <c r="I181" s="106"/>
      <c r="J181" s="107"/>
      <c r="K181" s="3">
        <f t="shared" ref="K181:K189" si="16">G181/D181</f>
        <v>1.529364200479663</v>
      </c>
      <c r="N181" s="3">
        <v>202</v>
      </c>
      <c r="O181" s="3">
        <v>1002</v>
      </c>
      <c r="Q181" s="3" t="str">
        <f t="shared" si="12"/>
        <v>202,…,1002</v>
      </c>
    </row>
    <row r="182" spans="1:17" s="3" customFormat="1" ht="18.75" customHeight="1" x14ac:dyDescent="0.25">
      <c r="A182" s="102" t="str">
        <f t="shared" si="15"/>
        <v>203,…,1003</v>
      </c>
      <c r="B182" s="103"/>
      <c r="C182" s="4" t="s">
        <v>179</v>
      </c>
      <c r="D182" s="102">
        <f>(29.805+3.85*1.3+2.2*1)*10.764</f>
        <v>398.37564000000003</v>
      </c>
      <c r="E182" s="103"/>
      <c r="F182" s="4">
        <v>0</v>
      </c>
      <c r="G182" s="4">
        <v>625</v>
      </c>
      <c r="H182" s="4" t="s">
        <v>87</v>
      </c>
      <c r="I182" s="106"/>
      <c r="J182" s="107"/>
      <c r="K182" s="3">
        <f t="shared" si="16"/>
        <v>1.5688710283590632</v>
      </c>
      <c r="N182" s="3">
        <v>203</v>
      </c>
      <c r="O182" s="3">
        <v>1003</v>
      </c>
      <c r="Q182" s="3" t="str">
        <f t="shared" si="12"/>
        <v>203,…,1003</v>
      </c>
    </row>
    <row r="183" spans="1:17" s="3" customFormat="1" ht="18.75" customHeight="1" x14ac:dyDescent="0.25">
      <c r="A183" s="102" t="str">
        <f t="shared" si="15"/>
        <v>204,…,1004</v>
      </c>
      <c r="B183" s="103"/>
      <c r="C183" s="4" t="s">
        <v>179</v>
      </c>
      <c r="D183" s="102">
        <f>(31.83)*10.764</f>
        <v>342.61811999999998</v>
      </c>
      <c r="E183" s="103"/>
      <c r="F183" s="4">
        <v>0</v>
      </c>
      <c r="G183" s="4">
        <v>545</v>
      </c>
      <c r="H183" s="4" t="s">
        <v>87</v>
      </c>
      <c r="I183" s="106"/>
      <c r="J183" s="107"/>
      <c r="K183" s="3">
        <f t="shared" si="16"/>
        <v>1.5906922844594444</v>
      </c>
      <c r="N183" s="3">
        <v>204</v>
      </c>
      <c r="O183" s="3">
        <v>1004</v>
      </c>
      <c r="Q183" s="3" t="str">
        <f t="shared" si="12"/>
        <v>204,…,1004</v>
      </c>
    </row>
    <row r="184" spans="1:17" s="3" customFormat="1" ht="18.75" customHeight="1" x14ac:dyDescent="0.25">
      <c r="A184" s="102" t="str">
        <f t="shared" si="15"/>
        <v>205,…,1005</v>
      </c>
      <c r="B184" s="103"/>
      <c r="C184" s="4" t="s">
        <v>179</v>
      </c>
      <c r="D184" s="102">
        <f>(32.089+2.35*1.3+2.825*1.3)*10.764</f>
        <v>417.82080599999995</v>
      </c>
      <c r="E184" s="103"/>
      <c r="F184" s="4">
        <v>0</v>
      </c>
      <c r="G184" s="4">
        <v>655</v>
      </c>
      <c r="H184" s="4" t="s">
        <v>87</v>
      </c>
      <c r="I184" s="106"/>
      <c r="J184" s="107"/>
      <c r="K184" s="3">
        <f t="shared" si="16"/>
        <v>1.56765769103418</v>
      </c>
      <c r="N184" s="3">
        <v>205</v>
      </c>
      <c r="O184" s="3">
        <v>1005</v>
      </c>
      <c r="Q184" s="3" t="str">
        <f t="shared" si="12"/>
        <v>205,…,1005</v>
      </c>
    </row>
    <row r="185" spans="1:17" s="3" customFormat="1" ht="18.75" customHeight="1" x14ac:dyDescent="0.25">
      <c r="A185" s="102" t="str">
        <f t="shared" si="15"/>
        <v>206,…,1006</v>
      </c>
      <c r="B185" s="103"/>
      <c r="C185" s="4" t="s">
        <v>179</v>
      </c>
      <c r="D185" s="102">
        <f>(31.884+2.35*1.3+2.825*1.3)*10.764</f>
        <v>415.61418599999996</v>
      </c>
      <c r="E185" s="103"/>
      <c r="F185" s="4">
        <v>0</v>
      </c>
      <c r="G185" s="4">
        <v>655</v>
      </c>
      <c r="H185" s="4" t="s">
        <v>87</v>
      </c>
      <c r="I185" s="106"/>
      <c r="J185" s="107"/>
      <c r="K185" s="3">
        <f t="shared" si="16"/>
        <v>1.5759808545129883</v>
      </c>
      <c r="N185" s="3">
        <v>206</v>
      </c>
      <c r="O185" s="3">
        <v>1006</v>
      </c>
      <c r="Q185" s="3" t="str">
        <f t="shared" si="12"/>
        <v>206,…,1006</v>
      </c>
    </row>
    <row r="186" spans="1:17" s="3" customFormat="1" ht="18.75" customHeight="1" x14ac:dyDescent="0.25">
      <c r="A186" s="102" t="str">
        <f t="shared" si="15"/>
        <v>207,…,1007</v>
      </c>
      <c r="B186" s="103"/>
      <c r="C186" s="4" t="s">
        <v>179</v>
      </c>
      <c r="D186" s="102">
        <f>(32.144+2.35*1.3+3.1*1.3)*10.764</f>
        <v>422.26095599999996</v>
      </c>
      <c r="E186" s="103"/>
      <c r="F186" s="4">
        <f>(3.4*2.05)*10.764</f>
        <v>75.025079999999988</v>
      </c>
      <c r="G186" s="4">
        <v>780</v>
      </c>
      <c r="H186" s="4" t="s">
        <v>87</v>
      </c>
      <c r="I186" s="106"/>
      <c r="J186" s="107"/>
      <c r="K186" s="3">
        <f t="shared" si="16"/>
        <v>1.8471989629086145</v>
      </c>
      <c r="N186" s="3">
        <v>207</v>
      </c>
      <c r="O186" s="3">
        <v>1007</v>
      </c>
      <c r="Q186" s="3" t="str">
        <f t="shared" si="12"/>
        <v>207,…,1007</v>
      </c>
    </row>
    <row r="187" spans="1:17" s="3" customFormat="1" ht="18.75" customHeight="1" x14ac:dyDescent="0.25">
      <c r="A187" s="102" t="str">
        <f t="shared" si="15"/>
        <v>208,…,1008</v>
      </c>
      <c r="B187" s="103"/>
      <c r="C187" s="4" t="s">
        <v>179</v>
      </c>
      <c r="D187" s="102">
        <f>(31.468+2.4*1.3+2.9*1.3)*10.764</f>
        <v>412.88551200000001</v>
      </c>
      <c r="E187" s="103"/>
      <c r="F187" s="4">
        <v>0</v>
      </c>
      <c r="G187" s="4">
        <v>650</v>
      </c>
      <c r="H187" s="4" t="s">
        <v>87</v>
      </c>
      <c r="I187" s="106"/>
      <c r="J187" s="107"/>
      <c r="K187" s="3">
        <f t="shared" si="16"/>
        <v>1.5742862878656783</v>
      </c>
      <c r="N187" s="3">
        <v>208</v>
      </c>
      <c r="O187" s="3">
        <v>1008</v>
      </c>
      <c r="Q187" s="3" t="str">
        <f t="shared" si="12"/>
        <v>208,…,1008</v>
      </c>
    </row>
    <row r="188" spans="1:17" s="3" customFormat="1" ht="18.75" customHeight="1" x14ac:dyDescent="0.25">
      <c r="A188" s="102" t="str">
        <f t="shared" si="15"/>
        <v>209,…,1009</v>
      </c>
      <c r="B188" s="103"/>
      <c r="C188" s="4" t="s">
        <v>179</v>
      </c>
      <c r="D188" s="102">
        <f>(28.608+2.35*1.3+2.9*1)*10.764</f>
        <v>372.03613200000001</v>
      </c>
      <c r="E188" s="103"/>
      <c r="F188" s="4">
        <f>(2.1*1.25)*10.764</f>
        <v>28.255499999999998</v>
      </c>
      <c r="G188" s="4">
        <v>580</v>
      </c>
      <c r="H188" s="4" t="s">
        <v>87</v>
      </c>
      <c r="I188" s="106"/>
      <c r="J188" s="107"/>
      <c r="K188" s="3">
        <f t="shared" si="16"/>
        <v>1.5589883619153422</v>
      </c>
      <c r="N188" s="3">
        <v>209</v>
      </c>
      <c r="O188" s="3">
        <v>1009</v>
      </c>
      <c r="Q188" s="3" t="str">
        <f t="shared" si="12"/>
        <v>209,…,1009</v>
      </c>
    </row>
    <row r="189" spans="1:17" s="3" customFormat="1" ht="18.75" customHeight="1" x14ac:dyDescent="0.25">
      <c r="A189" s="102" t="str">
        <f t="shared" si="15"/>
        <v>210,…,1010</v>
      </c>
      <c r="B189" s="103"/>
      <c r="C189" s="4" t="s">
        <v>179</v>
      </c>
      <c r="D189" s="102">
        <f>(28.608+2.9*1)*10.764</f>
        <v>339.15211199999999</v>
      </c>
      <c r="E189" s="103"/>
      <c r="F189" s="4">
        <f>(2.1*1.25)*10.764</f>
        <v>28.255499999999998</v>
      </c>
      <c r="G189" s="4">
        <v>525</v>
      </c>
      <c r="H189" s="4" t="s">
        <v>87</v>
      </c>
      <c r="I189" s="108"/>
      <c r="J189" s="109"/>
      <c r="K189" s="3">
        <f t="shared" si="16"/>
        <v>1.5479779763246764</v>
      </c>
      <c r="N189" s="3">
        <v>210</v>
      </c>
      <c r="O189" s="3">
        <v>1010</v>
      </c>
      <c r="Q189" s="3" t="str">
        <f t="shared" si="12"/>
        <v>210,…,1010</v>
      </c>
    </row>
    <row r="190" spans="1:17" s="3" customFormat="1" ht="18.75" customHeight="1" x14ac:dyDescent="0.25">
      <c r="A190" s="134" t="s">
        <v>248</v>
      </c>
      <c r="B190" s="134"/>
      <c r="C190" s="134"/>
      <c r="D190" s="134"/>
      <c r="E190" s="134"/>
      <c r="F190" s="134"/>
      <c r="G190" s="134"/>
      <c r="H190" s="134"/>
      <c r="I190" s="134"/>
      <c r="J190" s="134"/>
    </row>
    <row r="191" spans="1:17" s="3" customFormat="1" ht="18.75" customHeight="1" x14ac:dyDescent="0.25">
      <c r="A191" s="98">
        <v>801</v>
      </c>
      <c r="B191" s="98"/>
      <c r="C191" s="4" t="s">
        <v>183</v>
      </c>
      <c r="D191" s="98">
        <f>(18.012+2.9*1.15+2.1*1.55)*10.764</f>
        <v>264.81592799999999</v>
      </c>
      <c r="E191" s="98"/>
      <c r="F191" s="4">
        <v>0</v>
      </c>
      <c r="G191" s="4">
        <v>405</v>
      </c>
      <c r="H191" s="4" t="s">
        <v>87</v>
      </c>
      <c r="I191" s="98" t="str">
        <f>A190</f>
        <v>8th Floor (Part Refuge Area)</v>
      </c>
      <c r="J191" s="98"/>
      <c r="K191" s="3">
        <f>G191/D191</f>
        <v>1.529364200479663</v>
      </c>
    </row>
    <row r="192" spans="1:17" s="3" customFormat="1" ht="18.75" customHeight="1" x14ac:dyDescent="0.25">
      <c r="A192" s="98">
        <v>802</v>
      </c>
      <c r="B192" s="98"/>
      <c r="C192" s="4" t="s">
        <v>179</v>
      </c>
      <c r="D192" s="98">
        <f>(29.805+3.85*1.3+2.2*1)*10.764</f>
        <v>398.37564000000003</v>
      </c>
      <c r="E192" s="98"/>
      <c r="F192" s="4">
        <v>0</v>
      </c>
      <c r="G192" s="4">
        <v>625</v>
      </c>
      <c r="H192" s="4" t="s">
        <v>87</v>
      </c>
      <c r="I192" s="98"/>
      <c r="J192" s="98"/>
      <c r="K192" s="3">
        <f t="shared" ref="K192:K199" si="17">G192/D192</f>
        <v>1.5688710283590632</v>
      </c>
    </row>
    <row r="193" spans="1:11" s="3" customFormat="1" ht="18.75" customHeight="1" x14ac:dyDescent="0.25">
      <c r="A193" s="98">
        <v>803</v>
      </c>
      <c r="B193" s="98"/>
      <c r="C193" s="4" t="s">
        <v>179</v>
      </c>
      <c r="D193" s="98">
        <f>(31.83)*10.764</f>
        <v>342.61811999999998</v>
      </c>
      <c r="E193" s="98"/>
      <c r="F193" s="4">
        <v>0</v>
      </c>
      <c r="G193" s="4">
        <v>545</v>
      </c>
      <c r="H193" s="4" t="s">
        <v>87</v>
      </c>
      <c r="I193" s="98"/>
      <c r="J193" s="98"/>
      <c r="K193" s="3">
        <f t="shared" si="17"/>
        <v>1.5906922844594444</v>
      </c>
    </row>
    <row r="194" spans="1:11" s="3" customFormat="1" ht="18.75" customHeight="1" x14ac:dyDescent="0.25">
      <c r="A194" s="98">
        <v>804</v>
      </c>
      <c r="B194" s="98"/>
      <c r="C194" s="4" t="s">
        <v>179</v>
      </c>
      <c r="D194" s="98">
        <f>(32.089+2.35*1.3+2.825*1.3)*10.764</f>
        <v>417.82080599999995</v>
      </c>
      <c r="E194" s="98"/>
      <c r="F194" s="4">
        <v>0</v>
      </c>
      <c r="G194" s="4">
        <v>655</v>
      </c>
      <c r="H194" s="4" t="s">
        <v>87</v>
      </c>
      <c r="I194" s="98"/>
      <c r="J194" s="98"/>
      <c r="K194" s="3">
        <f t="shared" si="17"/>
        <v>1.56765769103418</v>
      </c>
    </row>
    <row r="195" spans="1:11" s="3" customFormat="1" ht="18.75" customHeight="1" x14ac:dyDescent="0.25">
      <c r="A195" s="98">
        <v>805</v>
      </c>
      <c r="B195" s="98"/>
      <c r="C195" s="4" t="s">
        <v>179</v>
      </c>
      <c r="D195" s="98">
        <f>(31.884+2.35*1.3+2.825*1.3)*10.764</f>
        <v>415.61418599999996</v>
      </c>
      <c r="E195" s="98"/>
      <c r="F195" s="4">
        <v>0</v>
      </c>
      <c r="G195" s="4">
        <v>655</v>
      </c>
      <c r="H195" s="4" t="s">
        <v>87</v>
      </c>
      <c r="I195" s="98"/>
      <c r="J195" s="98"/>
      <c r="K195" s="3">
        <f t="shared" si="17"/>
        <v>1.5759808545129883</v>
      </c>
    </row>
    <row r="196" spans="1:11" s="3" customFormat="1" ht="18.75" customHeight="1" x14ac:dyDescent="0.25">
      <c r="A196" s="98">
        <v>806</v>
      </c>
      <c r="B196" s="98"/>
      <c r="C196" s="4" t="s">
        <v>179</v>
      </c>
      <c r="D196" s="98">
        <f>(32.144+2.35*1.3+3.1*1.3)*10.764</f>
        <v>422.26095599999996</v>
      </c>
      <c r="E196" s="98"/>
      <c r="F196" s="4">
        <f>(3.4*2.05)*10.764</f>
        <v>75.025079999999988</v>
      </c>
      <c r="G196" s="4">
        <v>780</v>
      </c>
      <c r="H196" s="4" t="s">
        <v>87</v>
      </c>
      <c r="I196" s="98"/>
      <c r="J196" s="98"/>
      <c r="K196" s="3">
        <f t="shared" si="17"/>
        <v>1.8471989629086145</v>
      </c>
    </row>
    <row r="197" spans="1:11" s="3" customFormat="1" ht="18.75" customHeight="1" x14ac:dyDescent="0.25">
      <c r="A197" s="98">
        <v>807</v>
      </c>
      <c r="B197" s="98"/>
      <c r="C197" s="4" t="s">
        <v>179</v>
      </c>
      <c r="D197" s="98">
        <f>(31.468+2.4*1.3+2.9*1.3)*10.764</f>
        <v>412.88551200000001</v>
      </c>
      <c r="E197" s="98"/>
      <c r="F197" s="4">
        <v>0</v>
      </c>
      <c r="G197" s="4">
        <v>650</v>
      </c>
      <c r="H197" s="4" t="s">
        <v>87</v>
      </c>
      <c r="I197" s="98"/>
      <c r="J197" s="98"/>
      <c r="K197" s="3">
        <f t="shared" si="17"/>
        <v>1.5742862878656783</v>
      </c>
    </row>
    <row r="198" spans="1:11" s="3" customFormat="1" ht="18.75" customHeight="1" x14ac:dyDescent="0.25">
      <c r="A198" s="98">
        <v>808</v>
      </c>
      <c r="B198" s="98"/>
      <c r="C198" s="4" t="s">
        <v>179</v>
      </c>
      <c r="D198" s="98">
        <f>(28.608+2.35*1.3+2.9*1)*10.764</f>
        <v>372.03613200000001</v>
      </c>
      <c r="E198" s="98"/>
      <c r="F198" s="4">
        <f>(2.1*1.25)*10.764</f>
        <v>28.255499999999998</v>
      </c>
      <c r="G198" s="4">
        <v>580</v>
      </c>
      <c r="H198" s="4" t="s">
        <v>87</v>
      </c>
      <c r="I198" s="98"/>
      <c r="J198" s="98"/>
      <c r="K198" s="3">
        <f t="shared" si="17"/>
        <v>1.5589883619153422</v>
      </c>
    </row>
    <row r="199" spans="1:11" s="3" customFormat="1" ht="18.75" customHeight="1" x14ac:dyDescent="0.25">
      <c r="A199" s="98">
        <v>809</v>
      </c>
      <c r="B199" s="98"/>
      <c r="C199" s="4" t="s">
        <v>179</v>
      </c>
      <c r="D199" s="98">
        <f>(28.608+2.9*1)*10.764</f>
        <v>339.15211199999999</v>
      </c>
      <c r="E199" s="98"/>
      <c r="F199" s="4">
        <f>(2.1*1.25)*10.764</f>
        <v>28.255499999999998</v>
      </c>
      <c r="G199" s="4">
        <v>525</v>
      </c>
      <c r="H199" s="4" t="s">
        <v>87</v>
      </c>
      <c r="I199" s="98"/>
      <c r="J199" s="98"/>
      <c r="K199" s="3">
        <f t="shared" si="17"/>
        <v>1.5479779763246764</v>
      </c>
    </row>
    <row r="200" spans="1:11" s="1" customFormat="1" x14ac:dyDescent="0.25">
      <c r="A200" s="175" t="s">
        <v>97</v>
      </c>
      <c r="B200" s="175"/>
      <c r="C200" s="175"/>
      <c r="D200" s="175"/>
      <c r="E200" s="175"/>
      <c r="F200" s="175"/>
      <c r="G200" s="175"/>
      <c r="H200" s="175"/>
      <c r="I200" s="175"/>
      <c r="J200" s="175"/>
    </row>
    <row r="201" spans="1:11" s="16" customFormat="1" ht="131.25" customHeight="1" x14ac:dyDescent="0.25">
      <c r="A201" s="167" t="s">
        <v>284</v>
      </c>
      <c r="B201" s="167"/>
      <c r="C201" s="167"/>
      <c r="D201" s="167"/>
      <c r="E201" s="167"/>
      <c r="F201" s="167"/>
      <c r="G201" s="167"/>
      <c r="H201" s="167"/>
      <c r="I201" s="167"/>
      <c r="J201" s="167"/>
    </row>
    <row r="202" spans="1:11" x14ac:dyDescent="0.25">
      <c r="A202" s="168" t="s">
        <v>88</v>
      </c>
      <c r="B202" s="169"/>
      <c r="C202" s="169"/>
      <c r="D202" s="169"/>
      <c r="E202" s="169"/>
      <c r="F202" s="169"/>
      <c r="G202" s="169"/>
      <c r="H202" s="169"/>
      <c r="I202" s="169"/>
      <c r="J202" s="170"/>
    </row>
    <row r="203" spans="1:11" x14ac:dyDescent="0.25">
      <c r="A203" s="59" t="s">
        <v>89</v>
      </c>
      <c r="B203" s="60"/>
      <c r="C203" s="60"/>
      <c r="D203" s="60"/>
      <c r="E203" s="60"/>
      <c r="F203" s="60"/>
      <c r="G203" s="60"/>
      <c r="H203" s="60"/>
      <c r="I203" s="60"/>
      <c r="J203" s="68"/>
    </row>
    <row r="204" spans="1:11" ht="15.75" customHeight="1" x14ac:dyDescent="0.25">
      <c r="A204" s="168" t="s">
        <v>90</v>
      </c>
      <c r="B204" s="169"/>
      <c r="C204" s="169"/>
      <c r="D204" s="169"/>
      <c r="E204" s="169"/>
      <c r="F204" s="169"/>
      <c r="G204" s="169"/>
      <c r="H204" s="169"/>
      <c r="I204" s="169"/>
      <c r="J204" s="170"/>
    </row>
    <row r="205" spans="1:11" x14ac:dyDescent="0.25">
      <c r="A205" s="59" t="s">
        <v>91</v>
      </c>
      <c r="B205" s="60"/>
      <c r="C205" s="60"/>
      <c r="D205" s="60"/>
      <c r="E205" s="60"/>
      <c r="F205" s="60"/>
      <c r="G205" s="60"/>
      <c r="H205" s="60"/>
      <c r="I205" s="60"/>
      <c r="J205" s="68"/>
    </row>
    <row r="206" spans="1:11" x14ac:dyDescent="0.25">
      <c r="A206" s="59" t="s">
        <v>92</v>
      </c>
      <c r="B206" s="60"/>
      <c r="C206" s="60"/>
      <c r="D206" s="60"/>
      <c r="E206" s="60"/>
      <c r="F206" s="60"/>
      <c r="G206" s="60"/>
      <c r="H206" s="60"/>
      <c r="I206" s="60"/>
      <c r="J206" s="68"/>
    </row>
    <row r="207" spans="1:11" x14ac:dyDescent="0.25">
      <c r="A207" s="59" t="s">
        <v>93</v>
      </c>
      <c r="B207" s="60"/>
      <c r="C207" s="60"/>
      <c r="D207" s="60"/>
      <c r="E207" s="60"/>
      <c r="F207" s="60"/>
      <c r="G207" s="60"/>
      <c r="H207" s="60"/>
      <c r="I207" s="60"/>
      <c r="J207" s="68"/>
    </row>
    <row r="208" spans="1:11" ht="32.25" customHeight="1" x14ac:dyDescent="0.25">
      <c r="A208" s="61" t="s">
        <v>94</v>
      </c>
      <c r="B208" s="62"/>
      <c r="C208" s="62"/>
      <c r="D208" s="62"/>
      <c r="E208" s="62"/>
      <c r="F208" s="62"/>
      <c r="G208" s="62"/>
      <c r="H208" s="62"/>
      <c r="I208" s="62"/>
      <c r="J208" s="63"/>
    </row>
    <row r="209" spans="1:10" x14ac:dyDescent="0.25">
      <c r="A209" s="173" t="s">
        <v>170</v>
      </c>
      <c r="B209" s="173"/>
      <c r="C209" s="174" t="s">
        <v>278</v>
      </c>
      <c r="D209" s="174"/>
      <c r="E209" s="173" t="s">
        <v>171</v>
      </c>
      <c r="F209" s="173"/>
      <c r="G209" s="173"/>
      <c r="H209" s="173" t="s">
        <v>279</v>
      </c>
      <c r="I209" s="173"/>
      <c r="J209" s="173"/>
    </row>
    <row r="210" spans="1:10" x14ac:dyDescent="0.25">
      <c r="A210" s="172" t="s">
        <v>172</v>
      </c>
      <c r="B210" s="172"/>
      <c r="C210" s="172"/>
      <c r="D210" s="172"/>
      <c r="E210" s="172"/>
      <c r="F210" s="172"/>
      <c r="G210" s="172"/>
      <c r="H210" s="172"/>
      <c r="I210" s="172"/>
      <c r="J210" s="172"/>
    </row>
    <row r="211" spans="1:10" x14ac:dyDescent="0.25">
      <c r="A211" s="172"/>
      <c r="B211" s="172"/>
      <c r="C211" s="172"/>
      <c r="D211" s="172"/>
      <c r="E211" s="172"/>
      <c r="F211" s="172"/>
      <c r="G211" s="172"/>
      <c r="H211" s="172"/>
      <c r="I211" s="172"/>
      <c r="J211" s="172"/>
    </row>
    <row r="212" spans="1:10" ht="36" customHeight="1" x14ac:dyDescent="0.25">
      <c r="A212" s="172"/>
      <c r="B212" s="172"/>
      <c r="C212" s="172"/>
      <c r="D212" s="172"/>
      <c r="E212" s="172"/>
      <c r="F212" s="172"/>
      <c r="G212" s="172"/>
      <c r="H212" s="172"/>
      <c r="I212" s="172"/>
      <c r="J212" s="172"/>
    </row>
    <row r="213" spans="1:10" x14ac:dyDescent="0.25">
      <c r="A213" s="17" t="s">
        <v>95</v>
      </c>
      <c r="B213" s="18"/>
      <c r="C213" s="18"/>
      <c r="D213" s="171" t="str">
        <f>F8</f>
        <v>Sarvam</v>
      </c>
      <c r="E213" s="171"/>
      <c r="G213" s="18"/>
      <c r="H213" s="18"/>
      <c r="I213" s="18"/>
      <c r="J213" s="18"/>
    </row>
    <row r="214" spans="1:10" s="3" customFormat="1" x14ac:dyDescent="0.25">
      <c r="A214" s="165"/>
      <c r="B214" s="165"/>
      <c r="C214" s="35"/>
      <c r="D214" s="165"/>
      <c r="E214" s="165"/>
      <c r="F214" s="35"/>
      <c r="G214" s="35"/>
      <c r="H214" s="35"/>
      <c r="I214" s="165"/>
      <c r="J214" s="165"/>
    </row>
    <row r="215" spans="1:10" s="3" customFormat="1" x14ac:dyDescent="0.25">
      <c r="A215" s="165"/>
      <c r="B215" s="165"/>
      <c r="C215" s="35"/>
      <c r="D215" s="165"/>
      <c r="E215" s="165"/>
      <c r="F215" s="35"/>
      <c r="G215" s="35"/>
      <c r="H215" s="35"/>
      <c r="I215" s="165"/>
      <c r="J215" s="165"/>
    </row>
    <row r="216" spans="1:10" s="3" customFormat="1" x14ac:dyDescent="0.25">
      <c r="A216" s="165"/>
      <c r="B216" s="165"/>
      <c r="C216" s="35"/>
      <c r="D216" s="165"/>
      <c r="E216" s="165"/>
      <c r="F216" s="35"/>
      <c r="G216" s="35"/>
      <c r="H216" s="35"/>
      <c r="I216" s="165"/>
      <c r="J216" s="165"/>
    </row>
    <row r="217" spans="1:10" s="3" customFormat="1" x14ac:dyDescent="0.25">
      <c r="A217" s="165"/>
      <c r="B217" s="165"/>
      <c r="C217" s="35"/>
      <c r="D217" s="165"/>
      <c r="E217" s="165"/>
      <c r="F217" s="35"/>
      <c r="G217" s="35"/>
      <c r="H217" s="35"/>
      <c r="I217" s="165"/>
      <c r="J217" s="165"/>
    </row>
    <row r="218" spans="1:10" s="3" customFormat="1" x14ac:dyDescent="0.25">
      <c r="A218" s="165"/>
      <c r="B218" s="165"/>
      <c r="C218" s="35"/>
      <c r="D218" s="165"/>
      <c r="E218" s="165"/>
      <c r="F218" s="35"/>
      <c r="G218" s="35"/>
      <c r="H218" s="35"/>
      <c r="I218" s="165"/>
      <c r="J218" s="165"/>
    </row>
    <row r="219" spans="1:10" s="3" customFormat="1" x14ac:dyDescent="0.25">
      <c r="A219" s="165"/>
      <c r="B219" s="165"/>
      <c r="C219" s="35"/>
      <c r="D219" s="165"/>
      <c r="E219" s="165"/>
      <c r="F219" s="35"/>
      <c r="G219" s="35"/>
      <c r="H219" s="35"/>
      <c r="I219" s="165"/>
      <c r="J219" s="165"/>
    </row>
    <row r="220" spans="1:10" s="3" customFormat="1" x14ac:dyDescent="0.25">
      <c r="A220" s="165"/>
      <c r="B220" s="165"/>
      <c r="C220" s="35"/>
      <c r="D220" s="165"/>
      <c r="E220" s="165"/>
      <c r="F220" s="35"/>
      <c r="G220" s="35"/>
      <c r="H220" s="35"/>
      <c r="I220" s="165"/>
      <c r="J220" s="165"/>
    </row>
    <row r="221" spans="1:10" s="3" customFormat="1" x14ac:dyDescent="0.25">
      <c r="A221" s="165"/>
      <c r="B221" s="165"/>
      <c r="C221" s="35"/>
      <c r="D221" s="165"/>
      <c r="E221" s="165"/>
      <c r="F221" s="35"/>
      <c r="G221" s="35"/>
      <c r="H221" s="35"/>
      <c r="I221" s="165"/>
      <c r="J221" s="165"/>
    </row>
    <row r="222" spans="1:10" s="3" customFormat="1" x14ac:dyDescent="0.25">
      <c r="A222" s="165"/>
      <c r="B222" s="165"/>
      <c r="C222" s="35"/>
      <c r="D222" s="165"/>
      <c r="E222" s="165"/>
      <c r="F222" s="35"/>
      <c r="G222" s="35"/>
      <c r="H222" s="35"/>
      <c r="I222" s="165"/>
      <c r="J222" s="165"/>
    </row>
    <row r="223" spans="1:10" s="3" customFormat="1" x14ac:dyDescent="0.25">
      <c r="A223" s="165"/>
      <c r="B223" s="165"/>
      <c r="C223" s="35"/>
      <c r="D223" s="165"/>
      <c r="E223" s="165"/>
      <c r="F223" s="35"/>
      <c r="G223" s="35"/>
      <c r="H223" s="35"/>
      <c r="I223" s="165"/>
      <c r="J223" s="165"/>
    </row>
    <row r="224" spans="1:10" s="3" customFormat="1" x14ac:dyDescent="0.25">
      <c r="A224" s="165"/>
      <c r="B224" s="165"/>
      <c r="C224" s="35"/>
      <c r="D224" s="165"/>
      <c r="E224" s="165"/>
      <c r="F224" s="35"/>
      <c r="G224" s="35"/>
      <c r="H224" s="35"/>
      <c r="I224" s="165"/>
      <c r="J224" s="165"/>
    </row>
    <row r="225" spans="1:10" s="3" customFormat="1" x14ac:dyDescent="0.25">
      <c r="A225" s="165"/>
      <c r="B225" s="165"/>
      <c r="C225" s="35"/>
      <c r="D225" s="165"/>
      <c r="E225" s="165"/>
      <c r="F225" s="35"/>
      <c r="G225" s="35"/>
      <c r="H225" s="35"/>
      <c r="I225" s="165"/>
      <c r="J225" s="165"/>
    </row>
    <row r="226" spans="1:10" s="3" customFormat="1" x14ac:dyDescent="0.25">
      <c r="A226" s="165"/>
      <c r="B226" s="165"/>
      <c r="C226" s="35"/>
      <c r="D226" s="165"/>
      <c r="E226" s="165"/>
      <c r="F226" s="35"/>
      <c r="G226" s="35"/>
      <c r="H226" s="35"/>
      <c r="I226" s="165"/>
      <c r="J226" s="165"/>
    </row>
    <row r="227" spans="1:10" s="3" customFormat="1" x14ac:dyDescent="0.25">
      <c r="A227" s="165"/>
      <c r="B227" s="165"/>
      <c r="C227" s="35"/>
      <c r="D227" s="165"/>
      <c r="E227" s="165"/>
      <c r="F227" s="35"/>
      <c r="G227" s="35"/>
      <c r="H227" s="35"/>
      <c r="I227" s="165"/>
      <c r="J227" s="165"/>
    </row>
    <row r="228" spans="1:10" s="3" customFormat="1" x14ac:dyDescent="0.25">
      <c r="A228" s="165"/>
      <c r="B228" s="165"/>
      <c r="C228" s="35"/>
      <c r="D228" s="165"/>
      <c r="E228" s="165"/>
      <c r="F228" s="35"/>
      <c r="G228" s="35"/>
      <c r="H228" s="35"/>
      <c r="I228" s="165"/>
      <c r="J228" s="165"/>
    </row>
    <row r="229" spans="1:10" s="3" customFormat="1" x14ac:dyDescent="0.25">
      <c r="A229" s="165"/>
      <c r="B229" s="165"/>
      <c r="C229" s="35"/>
      <c r="D229" s="165"/>
      <c r="E229" s="165"/>
      <c r="F229" s="35"/>
      <c r="G229" s="35"/>
      <c r="H229" s="35"/>
      <c r="I229" s="165"/>
      <c r="J229" s="165"/>
    </row>
    <row r="230" spans="1:10" s="3" customFormat="1" x14ac:dyDescent="0.25">
      <c r="A230" s="165"/>
      <c r="B230" s="165"/>
      <c r="C230" s="35"/>
      <c r="D230" s="165"/>
      <c r="E230" s="165"/>
      <c r="F230" s="35"/>
      <c r="G230" s="35"/>
      <c r="H230" s="35"/>
      <c r="I230" s="165"/>
      <c r="J230" s="165"/>
    </row>
    <row r="231" spans="1:10" s="3" customFormat="1" x14ac:dyDescent="0.25">
      <c r="A231" s="165"/>
      <c r="B231" s="165"/>
      <c r="C231" s="35"/>
      <c r="D231" s="165"/>
      <c r="E231" s="165"/>
      <c r="F231" s="35"/>
      <c r="G231" s="35"/>
      <c r="H231" s="35"/>
      <c r="I231" s="165"/>
      <c r="J231" s="165"/>
    </row>
    <row r="232" spans="1:10" s="3" customFormat="1" x14ac:dyDescent="0.25">
      <c r="A232" s="165"/>
      <c r="B232" s="165"/>
      <c r="C232" s="35"/>
      <c r="D232" s="165"/>
      <c r="E232" s="165"/>
      <c r="F232" s="35"/>
      <c r="G232" s="35"/>
      <c r="H232" s="35"/>
      <c r="I232" s="165"/>
      <c r="J232" s="165"/>
    </row>
    <row r="233" spans="1:10" s="3" customFormat="1" x14ac:dyDescent="0.25">
      <c r="A233" s="165"/>
      <c r="B233" s="165"/>
      <c r="C233" s="35"/>
      <c r="D233" s="165"/>
      <c r="E233" s="165"/>
      <c r="F233" s="35"/>
      <c r="G233" s="35"/>
      <c r="H233" s="35"/>
      <c r="I233" s="165"/>
      <c r="J233" s="165"/>
    </row>
    <row r="234" spans="1:10" s="3" customFormat="1" x14ac:dyDescent="0.25">
      <c r="A234" s="165"/>
      <c r="B234" s="165"/>
      <c r="C234" s="35"/>
      <c r="D234" s="165"/>
      <c r="E234" s="165"/>
      <c r="F234" s="35"/>
      <c r="G234" s="35"/>
      <c r="H234" s="35"/>
      <c r="I234" s="165"/>
      <c r="J234" s="165"/>
    </row>
    <row r="235" spans="1:10" s="3" customFormat="1" x14ac:dyDescent="0.25">
      <c r="A235" s="165"/>
      <c r="B235" s="165"/>
      <c r="C235" s="35"/>
      <c r="D235" s="165"/>
      <c r="E235" s="165"/>
      <c r="F235" s="35"/>
      <c r="G235" s="35"/>
      <c r="H235" s="35"/>
      <c r="I235" s="165"/>
      <c r="J235" s="165"/>
    </row>
    <row r="236" spans="1:10" s="3" customFormat="1" x14ac:dyDescent="0.25">
      <c r="A236" s="165"/>
      <c r="B236" s="165"/>
      <c r="C236" s="35"/>
      <c r="D236" s="165"/>
      <c r="E236" s="165"/>
      <c r="F236" s="35"/>
      <c r="G236" s="35"/>
      <c r="H236" s="35"/>
      <c r="I236" s="165"/>
      <c r="J236" s="165"/>
    </row>
    <row r="237" spans="1:10" s="3" customFormat="1" x14ac:dyDescent="0.25">
      <c r="A237" s="165"/>
      <c r="B237" s="165"/>
      <c r="C237" s="35"/>
      <c r="D237" s="165"/>
      <c r="E237" s="165"/>
      <c r="F237" s="35"/>
      <c r="G237" s="35"/>
      <c r="H237" s="35"/>
      <c r="I237" s="165"/>
      <c r="J237" s="165"/>
    </row>
    <row r="238" spans="1:10" s="3" customFormat="1" x14ac:dyDescent="0.25">
      <c r="A238" s="165"/>
      <c r="B238" s="165"/>
      <c r="C238" s="35"/>
      <c r="D238" s="165"/>
      <c r="E238" s="165"/>
      <c r="F238" s="35"/>
      <c r="G238" s="35"/>
      <c r="H238" s="35"/>
      <c r="I238" s="165"/>
      <c r="J238" s="165"/>
    </row>
    <row r="239" spans="1:10" s="3" customFormat="1" x14ac:dyDescent="0.25">
      <c r="A239" s="165"/>
      <c r="B239" s="165"/>
      <c r="C239" s="35"/>
      <c r="D239" s="165"/>
      <c r="E239" s="165"/>
      <c r="F239" s="35"/>
      <c r="G239" s="35"/>
      <c r="H239" s="35"/>
      <c r="I239" s="165"/>
      <c r="J239" s="165"/>
    </row>
    <row r="240" spans="1:10" s="3" customFormat="1" x14ac:dyDescent="0.25">
      <c r="A240" s="165"/>
      <c r="B240" s="165"/>
      <c r="C240" s="35"/>
      <c r="D240" s="165"/>
      <c r="E240" s="165"/>
      <c r="F240" s="35"/>
      <c r="G240" s="35"/>
      <c r="H240" s="35"/>
      <c r="I240" s="165"/>
      <c r="J240" s="165"/>
    </row>
    <row r="241" spans="1:10" s="3" customFormat="1" x14ac:dyDescent="0.25">
      <c r="A241" s="165"/>
      <c r="B241" s="165"/>
      <c r="C241" s="35"/>
      <c r="D241" s="165"/>
      <c r="E241" s="165"/>
      <c r="F241" s="35"/>
      <c r="G241" s="35"/>
      <c r="H241" s="35"/>
      <c r="I241" s="165"/>
      <c r="J241" s="165"/>
    </row>
    <row r="242" spans="1:10" s="3" customFormat="1" x14ac:dyDescent="0.25">
      <c r="A242" s="165"/>
      <c r="B242" s="165"/>
      <c r="C242" s="35"/>
      <c r="D242" s="165"/>
      <c r="E242" s="165"/>
      <c r="F242" s="35"/>
      <c r="G242" s="35"/>
      <c r="H242" s="35"/>
      <c r="I242" s="165"/>
      <c r="J242" s="165"/>
    </row>
    <row r="243" spans="1:10" s="3" customFormat="1" x14ac:dyDescent="0.25">
      <c r="A243" s="165"/>
      <c r="B243" s="165"/>
      <c r="C243" s="35"/>
      <c r="D243" s="165"/>
      <c r="E243" s="165"/>
      <c r="F243" s="35"/>
      <c r="G243" s="35"/>
      <c r="H243" s="35"/>
      <c r="I243" s="165"/>
      <c r="J243" s="165"/>
    </row>
    <row r="244" spans="1:10" s="3" customFormat="1" x14ac:dyDescent="0.25">
      <c r="A244" s="165"/>
      <c r="B244" s="165"/>
      <c r="C244" s="35"/>
      <c r="D244" s="165"/>
      <c r="E244" s="165"/>
      <c r="F244" s="35"/>
      <c r="G244" s="35"/>
      <c r="H244" s="35"/>
      <c r="I244" s="165"/>
      <c r="J244" s="165"/>
    </row>
    <row r="245" spans="1:10" s="3" customFormat="1" x14ac:dyDescent="0.25">
      <c r="A245" s="165"/>
      <c r="B245" s="165"/>
      <c r="C245" s="35"/>
      <c r="D245" s="165"/>
      <c r="E245" s="165"/>
      <c r="F245" s="35"/>
      <c r="G245" s="35"/>
      <c r="H245" s="35"/>
      <c r="I245" s="165"/>
      <c r="J245" s="165"/>
    </row>
    <row r="246" spans="1:10" s="3" customFormat="1" x14ac:dyDescent="0.25">
      <c r="A246" s="165"/>
      <c r="B246" s="165"/>
      <c r="C246" s="35"/>
      <c r="D246" s="165"/>
      <c r="E246" s="165"/>
      <c r="F246" s="35"/>
      <c r="G246" s="35"/>
      <c r="H246" s="35"/>
      <c r="I246" s="165"/>
      <c r="J246" s="165"/>
    </row>
    <row r="247" spans="1:10" s="3" customFormat="1" x14ac:dyDescent="0.25">
      <c r="A247" s="165"/>
      <c r="B247" s="165"/>
      <c r="C247" s="35"/>
      <c r="D247" s="165"/>
      <c r="E247" s="165"/>
      <c r="F247" s="35"/>
      <c r="G247" s="35"/>
      <c r="H247" s="35"/>
      <c r="I247" s="165"/>
      <c r="J247" s="165"/>
    </row>
    <row r="248" spans="1:10" s="3" customFormat="1" x14ac:dyDescent="0.25">
      <c r="A248" s="165"/>
      <c r="B248" s="165"/>
      <c r="C248" s="35"/>
      <c r="D248" s="165"/>
      <c r="E248" s="165"/>
      <c r="F248" s="35"/>
      <c r="G248" s="35"/>
      <c r="H248" s="35"/>
      <c r="I248" s="165"/>
      <c r="J248" s="165"/>
    </row>
    <row r="249" spans="1:10" s="3" customFormat="1" x14ac:dyDescent="0.25">
      <c r="A249" s="165"/>
      <c r="B249" s="165"/>
      <c r="C249" s="35"/>
      <c r="D249" s="165"/>
      <c r="E249" s="165"/>
      <c r="F249" s="35"/>
      <c r="G249" s="35"/>
      <c r="H249" s="35"/>
      <c r="I249" s="165"/>
      <c r="J249" s="165"/>
    </row>
    <row r="250" spans="1:10" s="3" customFormat="1" x14ac:dyDescent="0.25">
      <c r="A250" s="165"/>
      <c r="B250" s="165"/>
      <c r="C250" s="35"/>
      <c r="D250" s="165"/>
      <c r="E250" s="165"/>
      <c r="F250" s="35"/>
      <c r="G250" s="35"/>
      <c r="H250" s="35"/>
      <c r="I250" s="165"/>
      <c r="J250" s="165"/>
    </row>
    <row r="251" spans="1:10" s="3" customFormat="1" x14ac:dyDescent="0.25">
      <c r="A251" s="165"/>
      <c r="B251" s="165"/>
      <c r="C251" s="35"/>
      <c r="D251" s="165"/>
      <c r="E251" s="165"/>
      <c r="F251" s="35"/>
      <c r="G251" s="35"/>
      <c r="H251" s="35"/>
      <c r="I251" s="165"/>
      <c r="J251" s="165"/>
    </row>
    <row r="252" spans="1:10" s="3" customFormat="1" x14ac:dyDescent="0.25">
      <c r="A252" s="165"/>
      <c r="B252" s="165"/>
      <c r="C252" s="35"/>
      <c r="D252" s="165"/>
      <c r="E252" s="165"/>
      <c r="F252" s="35"/>
      <c r="G252" s="35"/>
      <c r="H252" s="35"/>
      <c r="I252" s="165"/>
      <c r="J252" s="165"/>
    </row>
    <row r="253" spans="1:10" s="3" customFormat="1" x14ac:dyDescent="0.25">
      <c r="A253" s="165"/>
      <c r="B253" s="165"/>
      <c r="C253" s="35"/>
      <c r="D253" s="165"/>
      <c r="E253" s="165"/>
      <c r="F253" s="35"/>
      <c r="G253" s="35"/>
      <c r="H253" s="35"/>
      <c r="I253" s="165"/>
      <c r="J253" s="165"/>
    </row>
    <row r="254" spans="1:10" s="3" customFormat="1" x14ac:dyDescent="0.25">
      <c r="A254" s="165"/>
      <c r="B254" s="165"/>
      <c r="C254" s="35"/>
      <c r="D254" s="165"/>
      <c r="E254" s="165"/>
      <c r="F254" s="35"/>
      <c r="G254" s="35"/>
      <c r="H254" s="35"/>
      <c r="I254" s="165"/>
      <c r="J254" s="165"/>
    </row>
    <row r="255" spans="1:10" s="3" customFormat="1" ht="15.95" customHeight="1" x14ac:dyDescent="0.25">
      <c r="A255" s="165"/>
      <c r="B255" s="165"/>
      <c r="C255" s="35"/>
      <c r="D255" s="165"/>
      <c r="E255" s="165"/>
      <c r="F255" s="35"/>
      <c r="G255" s="35"/>
      <c r="H255" s="35"/>
      <c r="I255" s="165"/>
      <c r="J255" s="165"/>
    </row>
    <row r="256" spans="1:10" x14ac:dyDescent="0.25">
      <c r="A256" s="166" t="s">
        <v>96</v>
      </c>
      <c r="B256" s="166"/>
    </row>
    <row r="257" spans="1:10" s="3" customFormat="1" x14ac:dyDescent="0.25">
      <c r="A257" s="165"/>
      <c r="B257" s="165"/>
      <c r="C257" s="35"/>
      <c r="D257" s="165"/>
      <c r="E257" s="165"/>
      <c r="F257" s="35"/>
      <c r="G257" s="35"/>
      <c r="H257" s="35"/>
      <c r="I257" s="165"/>
      <c r="J257" s="165"/>
    </row>
    <row r="258" spans="1:10" s="3" customFormat="1" x14ac:dyDescent="0.25">
      <c r="A258" s="165"/>
      <c r="B258" s="165"/>
      <c r="C258" s="35"/>
      <c r="D258" s="165"/>
      <c r="E258" s="165"/>
      <c r="F258" s="35"/>
      <c r="G258" s="35"/>
      <c r="H258" s="35"/>
      <c r="I258" s="165"/>
      <c r="J258" s="165"/>
    </row>
    <row r="259" spans="1:10" s="3" customFormat="1" x14ac:dyDescent="0.25">
      <c r="A259" s="165"/>
      <c r="B259" s="165"/>
      <c r="C259" s="35"/>
      <c r="D259" s="165"/>
      <c r="E259" s="165"/>
      <c r="F259" s="35"/>
      <c r="G259" s="35"/>
      <c r="H259" s="35"/>
      <c r="I259" s="165"/>
      <c r="J259" s="165"/>
    </row>
    <row r="260" spans="1:10" s="3" customFormat="1" x14ac:dyDescent="0.25">
      <c r="A260" s="165"/>
      <c r="B260" s="165"/>
      <c r="C260" s="35"/>
      <c r="D260" s="165"/>
      <c r="E260" s="165"/>
      <c r="F260" s="35"/>
      <c r="G260" s="35"/>
      <c r="H260" s="35"/>
      <c r="I260" s="165"/>
      <c r="J260" s="165"/>
    </row>
    <row r="261" spans="1:10" s="3" customFormat="1" x14ac:dyDescent="0.25">
      <c r="A261" s="165"/>
      <c r="B261" s="165"/>
      <c r="C261" s="35"/>
      <c r="D261" s="165"/>
      <c r="E261" s="165"/>
      <c r="F261" s="35"/>
      <c r="G261" s="35"/>
      <c r="H261" s="35"/>
      <c r="I261" s="165"/>
      <c r="J261" s="165"/>
    </row>
    <row r="262" spans="1:10" s="3" customFormat="1" x14ac:dyDescent="0.25">
      <c r="A262" s="165"/>
      <c r="B262" s="165"/>
      <c r="C262" s="35"/>
      <c r="D262" s="165"/>
      <c r="E262" s="165"/>
      <c r="F262" s="35"/>
      <c r="G262" s="35"/>
      <c r="H262" s="35"/>
      <c r="I262" s="165"/>
      <c r="J262" s="165"/>
    </row>
    <row r="263" spans="1:10" s="3" customFormat="1" x14ac:dyDescent="0.25">
      <c r="A263" s="165"/>
      <c r="B263" s="165"/>
      <c r="C263" s="35"/>
      <c r="D263" s="165"/>
      <c r="E263" s="165"/>
      <c r="F263" s="35"/>
      <c r="G263" s="35"/>
      <c r="H263" s="35"/>
      <c r="I263" s="165"/>
      <c r="J263" s="165"/>
    </row>
    <row r="264" spans="1:10" s="3" customFormat="1" x14ac:dyDescent="0.25">
      <c r="A264" s="165"/>
      <c r="B264" s="165"/>
      <c r="C264" s="35"/>
      <c r="D264" s="165"/>
      <c r="E264" s="165"/>
      <c r="F264" s="35"/>
      <c r="G264" s="35"/>
      <c r="H264" s="35"/>
      <c r="I264" s="165"/>
      <c r="J264" s="165"/>
    </row>
    <row r="265" spans="1:10" s="3" customFormat="1" x14ac:dyDescent="0.25">
      <c r="A265" s="165"/>
      <c r="B265" s="165"/>
      <c r="C265" s="35"/>
      <c r="D265" s="165"/>
      <c r="E265" s="165"/>
      <c r="F265" s="35"/>
      <c r="G265" s="35"/>
      <c r="H265" s="35"/>
      <c r="I265" s="165"/>
      <c r="J265" s="165"/>
    </row>
    <row r="266" spans="1:10" s="3" customFormat="1" x14ac:dyDescent="0.25">
      <c r="A266" s="165"/>
      <c r="B266" s="165"/>
      <c r="C266" s="35"/>
      <c r="D266" s="165"/>
      <c r="E266" s="165"/>
      <c r="F266" s="35"/>
      <c r="G266" s="35"/>
      <c r="H266" s="35"/>
      <c r="I266" s="165"/>
      <c r="J266" s="165"/>
    </row>
    <row r="267" spans="1:10" ht="15" customHeight="1" x14ac:dyDescent="0.25">
      <c r="A267" s="17"/>
      <c r="B267" s="18"/>
      <c r="C267" s="18"/>
      <c r="D267" s="18"/>
      <c r="E267" s="18"/>
      <c r="F267" s="18"/>
      <c r="G267" s="18"/>
      <c r="H267" s="18"/>
      <c r="I267" s="18"/>
      <c r="J267" s="18"/>
    </row>
    <row r="268" spans="1:10" ht="15" customHeight="1" x14ac:dyDescent="0.25">
      <c r="A268" s="17"/>
      <c r="B268" s="18"/>
      <c r="C268" s="18"/>
      <c r="D268" s="18"/>
      <c r="E268" s="18"/>
      <c r="F268" s="18"/>
      <c r="G268" s="18"/>
      <c r="H268" s="18"/>
      <c r="I268" s="18"/>
      <c r="J268" s="18"/>
    </row>
    <row r="269" spans="1:10" x14ac:dyDescent="0.25">
      <c r="A269" s="18"/>
      <c r="B269" s="18"/>
      <c r="C269" s="18"/>
      <c r="D269" s="18"/>
      <c r="E269" s="18"/>
      <c r="F269" s="18"/>
      <c r="G269" s="18"/>
      <c r="H269" s="18"/>
      <c r="I269" s="18"/>
      <c r="J269" s="18"/>
    </row>
    <row r="270" spans="1:10" x14ac:dyDescent="0.25">
      <c r="A270" s="18"/>
      <c r="B270" s="18"/>
      <c r="C270" s="18"/>
      <c r="D270" s="18"/>
      <c r="E270" s="18"/>
      <c r="F270" s="18"/>
      <c r="G270" s="18"/>
      <c r="H270" s="18"/>
      <c r="I270" s="18"/>
      <c r="J270" s="18"/>
    </row>
    <row r="271" spans="1:10" ht="15" customHeight="1" x14ac:dyDescent="0.25"/>
  </sheetData>
  <mergeCells count="587">
    <mergeCell ref="K51:M51"/>
    <mergeCell ref="K57:T57"/>
    <mergeCell ref="C50:F50"/>
    <mergeCell ref="C33:J33"/>
    <mergeCell ref="A29:B29"/>
    <mergeCell ref="C29:D29"/>
    <mergeCell ref="E29:F29"/>
    <mergeCell ref="G29:H29"/>
    <mergeCell ref="I29:J29"/>
    <mergeCell ref="A40:E40"/>
    <mergeCell ref="F40:J40"/>
    <mergeCell ref="A36:E36"/>
    <mergeCell ref="F36:J36"/>
    <mergeCell ref="A31:J31"/>
    <mergeCell ref="A30:B30"/>
    <mergeCell ref="C30:D30"/>
    <mergeCell ref="E30:F30"/>
    <mergeCell ref="G30:H30"/>
    <mergeCell ref="I30:J30"/>
    <mergeCell ref="A32:J32"/>
    <mergeCell ref="A33:B33"/>
    <mergeCell ref="A35:J35"/>
    <mergeCell ref="A37:E37"/>
    <mergeCell ref="F37:J37"/>
    <mergeCell ref="A38:J38"/>
    <mergeCell ref="H48:J48"/>
    <mergeCell ref="A28:B28"/>
    <mergeCell ref="C28:D28"/>
    <mergeCell ref="E28:F28"/>
    <mergeCell ref="G28:H28"/>
    <mergeCell ref="I28:J28"/>
    <mergeCell ref="H19:J19"/>
    <mergeCell ref="A20:E21"/>
    <mergeCell ref="F20:J21"/>
    <mergeCell ref="A22:E23"/>
    <mergeCell ref="F22:J23"/>
    <mergeCell ref="A1:J1"/>
    <mergeCell ref="A2:J2"/>
    <mergeCell ref="A3:E3"/>
    <mergeCell ref="F3:J3"/>
    <mergeCell ref="A4:E4"/>
    <mergeCell ref="A8:E8"/>
    <mergeCell ref="F8:J8"/>
    <mergeCell ref="A9:E9"/>
    <mergeCell ref="F9:J9"/>
    <mergeCell ref="F4:J4"/>
    <mergeCell ref="A11:E11"/>
    <mergeCell ref="F11:J11"/>
    <mergeCell ref="A5:E5"/>
    <mergeCell ref="F5:J5"/>
    <mergeCell ref="A6:E6"/>
    <mergeCell ref="F6:J6"/>
    <mergeCell ref="A7:E7"/>
    <mergeCell ref="F7:J7"/>
    <mergeCell ref="A15:B15"/>
    <mergeCell ref="A12:E12"/>
    <mergeCell ref="F12:J12"/>
    <mergeCell ref="A13:E13"/>
    <mergeCell ref="F13:J13"/>
    <mergeCell ref="A14:B14"/>
    <mergeCell ref="C14:J14"/>
    <mergeCell ref="C15:J15"/>
    <mergeCell ref="A10:E10"/>
    <mergeCell ref="F10:J10"/>
    <mergeCell ref="A16:B16"/>
    <mergeCell ref="C16:E16"/>
    <mergeCell ref="F16:G16"/>
    <mergeCell ref="H16:J16"/>
    <mergeCell ref="A25:E25"/>
    <mergeCell ref="A26:E26"/>
    <mergeCell ref="F26:J26"/>
    <mergeCell ref="F25:J25"/>
    <mergeCell ref="A27:E27"/>
    <mergeCell ref="F27:J27"/>
    <mergeCell ref="A24:E24"/>
    <mergeCell ref="F24:J24"/>
    <mergeCell ref="A18:B18"/>
    <mergeCell ref="C18:E18"/>
    <mergeCell ref="F18:G18"/>
    <mergeCell ref="H18:J18"/>
    <mergeCell ref="A19:B19"/>
    <mergeCell ref="C19:E19"/>
    <mergeCell ref="F19:G19"/>
    <mergeCell ref="A17:B17"/>
    <mergeCell ref="C17:E17"/>
    <mergeCell ref="F17:G17"/>
    <mergeCell ref="H17:J17"/>
    <mergeCell ref="A51:C51"/>
    <mergeCell ref="D51:E51"/>
    <mergeCell ref="F51:G51"/>
    <mergeCell ref="H51:J51"/>
    <mergeCell ref="A39:E39"/>
    <mergeCell ref="F39:J39"/>
    <mergeCell ref="H46:J46"/>
    <mergeCell ref="H47:J47"/>
    <mergeCell ref="A47:B47"/>
    <mergeCell ref="C47:F47"/>
    <mergeCell ref="C48:F48"/>
    <mergeCell ref="A46:B46"/>
    <mergeCell ref="C46:F46"/>
    <mergeCell ref="A41:E41"/>
    <mergeCell ref="F41:J41"/>
    <mergeCell ref="A42:E42"/>
    <mergeCell ref="F42:J42"/>
    <mergeCell ref="A43:E43"/>
    <mergeCell ref="F43:J43"/>
    <mergeCell ref="A44:E44"/>
    <mergeCell ref="F44:J44"/>
    <mergeCell ref="A45:J45"/>
    <mergeCell ref="H50:J50"/>
    <mergeCell ref="A50:B50"/>
    <mergeCell ref="D123:E123"/>
    <mergeCell ref="A118:B118"/>
    <mergeCell ref="D118:E118"/>
    <mergeCell ref="I118:J118"/>
    <mergeCell ref="A119:J119"/>
    <mergeCell ref="I123:J125"/>
    <mergeCell ref="A124:B124"/>
    <mergeCell ref="D124:E124"/>
    <mergeCell ref="A120:J120"/>
    <mergeCell ref="I137:J145"/>
    <mergeCell ref="A157:B157"/>
    <mergeCell ref="D157:E157"/>
    <mergeCell ref="I157:J164"/>
    <mergeCell ref="D149:E149"/>
    <mergeCell ref="A139:B139"/>
    <mergeCell ref="D139:E139"/>
    <mergeCell ref="A161:B161"/>
    <mergeCell ref="D161:E161"/>
    <mergeCell ref="A162:B162"/>
    <mergeCell ref="D162:E162"/>
    <mergeCell ref="D150:E150"/>
    <mergeCell ref="A151:B151"/>
    <mergeCell ref="A138:B138"/>
    <mergeCell ref="A137:B137"/>
    <mergeCell ref="D137:E137"/>
    <mergeCell ref="D141:E141"/>
    <mergeCell ref="A142:B142"/>
    <mergeCell ref="D142:E142"/>
    <mergeCell ref="D148:E148"/>
    <mergeCell ref="A149:B149"/>
    <mergeCell ref="D155:E155"/>
    <mergeCell ref="A152:B152"/>
    <mergeCell ref="D152:E152"/>
    <mergeCell ref="A134:J134"/>
    <mergeCell ref="A135:J135"/>
    <mergeCell ref="D151:E151"/>
    <mergeCell ref="D153:E153"/>
    <mergeCell ref="A158:B158"/>
    <mergeCell ref="D158:E158"/>
    <mergeCell ref="A159:B159"/>
    <mergeCell ref="D159:E159"/>
    <mergeCell ref="A160:B160"/>
    <mergeCell ref="D160:E160"/>
    <mergeCell ref="D138:E138"/>
    <mergeCell ref="A143:B143"/>
    <mergeCell ref="D143:E143"/>
    <mergeCell ref="A144:B144"/>
    <mergeCell ref="D144:E144"/>
    <mergeCell ref="A141:B141"/>
    <mergeCell ref="D147:E147"/>
    <mergeCell ref="A146:J146"/>
    <mergeCell ref="A140:B140"/>
    <mergeCell ref="D140:E140"/>
    <mergeCell ref="A136:J136"/>
    <mergeCell ref="A145:B145"/>
    <mergeCell ref="D145:E145"/>
    <mergeCell ref="A147:B147"/>
    <mergeCell ref="A214:B214"/>
    <mergeCell ref="D214:E214"/>
    <mergeCell ref="I214:J214"/>
    <mergeCell ref="D213:E213"/>
    <mergeCell ref="D184:E184"/>
    <mergeCell ref="A185:B185"/>
    <mergeCell ref="D185:E185"/>
    <mergeCell ref="A188:B188"/>
    <mergeCell ref="D188:E188"/>
    <mergeCell ref="A189:B189"/>
    <mergeCell ref="D189:E189"/>
    <mergeCell ref="A210:J212"/>
    <mergeCell ref="A209:B209"/>
    <mergeCell ref="E209:G209"/>
    <mergeCell ref="C209:D209"/>
    <mergeCell ref="H209:J209"/>
    <mergeCell ref="A200:J200"/>
    <mergeCell ref="A207:J207"/>
    <mergeCell ref="A208:J208"/>
    <mergeCell ref="A190:J190"/>
    <mergeCell ref="I191:J199"/>
    <mergeCell ref="A191:B191"/>
    <mergeCell ref="D191:E191"/>
    <mergeCell ref="A192:B192"/>
    <mergeCell ref="A219:B219"/>
    <mergeCell ref="D219:E219"/>
    <mergeCell ref="I219:J219"/>
    <mergeCell ref="A220:B220"/>
    <mergeCell ref="D220:E220"/>
    <mergeCell ref="I220:J220"/>
    <mergeCell ref="A201:J201"/>
    <mergeCell ref="A202:J202"/>
    <mergeCell ref="A203:J203"/>
    <mergeCell ref="A218:B218"/>
    <mergeCell ref="D218:E218"/>
    <mergeCell ref="I218:J218"/>
    <mergeCell ref="A215:B215"/>
    <mergeCell ref="D215:E215"/>
    <mergeCell ref="I215:J215"/>
    <mergeCell ref="A216:B216"/>
    <mergeCell ref="D216:E216"/>
    <mergeCell ref="I216:J216"/>
    <mergeCell ref="A204:J204"/>
    <mergeCell ref="A205:J205"/>
    <mergeCell ref="A217:B217"/>
    <mergeCell ref="D217:E217"/>
    <mergeCell ref="I217:J217"/>
    <mergeCell ref="A206:J206"/>
    <mergeCell ref="A223:B223"/>
    <mergeCell ref="D223:E223"/>
    <mergeCell ref="I223:J223"/>
    <mergeCell ref="A224:B224"/>
    <mergeCell ref="D224:E224"/>
    <mergeCell ref="I224:J224"/>
    <mergeCell ref="A221:B221"/>
    <mergeCell ref="D221:E221"/>
    <mergeCell ref="I221:J221"/>
    <mergeCell ref="A222:B222"/>
    <mergeCell ref="D222:E222"/>
    <mergeCell ref="I222:J222"/>
    <mergeCell ref="A227:B227"/>
    <mergeCell ref="D227:E227"/>
    <mergeCell ref="I227:J227"/>
    <mergeCell ref="A228:B228"/>
    <mergeCell ref="D228:E228"/>
    <mergeCell ref="I228:J228"/>
    <mergeCell ref="A225:B225"/>
    <mergeCell ref="D225:E225"/>
    <mergeCell ref="I225:J225"/>
    <mergeCell ref="A226:B226"/>
    <mergeCell ref="D226:E226"/>
    <mergeCell ref="I226:J226"/>
    <mergeCell ref="A231:B231"/>
    <mergeCell ref="D231:E231"/>
    <mergeCell ref="I231:J231"/>
    <mergeCell ref="A232:B232"/>
    <mergeCell ref="D232:E232"/>
    <mergeCell ref="I232:J232"/>
    <mergeCell ref="A229:B229"/>
    <mergeCell ref="D229:E229"/>
    <mergeCell ref="I229:J229"/>
    <mergeCell ref="A230:B230"/>
    <mergeCell ref="D230:E230"/>
    <mergeCell ref="I230:J230"/>
    <mergeCell ref="A235:B235"/>
    <mergeCell ref="D235:E235"/>
    <mergeCell ref="I235:J235"/>
    <mergeCell ref="A236:B236"/>
    <mergeCell ref="D236:E236"/>
    <mergeCell ref="I236:J236"/>
    <mergeCell ref="A233:B233"/>
    <mergeCell ref="D233:E233"/>
    <mergeCell ref="I233:J233"/>
    <mergeCell ref="A234:B234"/>
    <mergeCell ref="D234:E234"/>
    <mergeCell ref="I234:J234"/>
    <mergeCell ref="A239:B239"/>
    <mergeCell ref="D239:E239"/>
    <mergeCell ref="I239:J239"/>
    <mergeCell ref="A240:B240"/>
    <mergeCell ref="D240:E240"/>
    <mergeCell ref="I240:J240"/>
    <mergeCell ref="A237:B237"/>
    <mergeCell ref="D237:E237"/>
    <mergeCell ref="I237:J237"/>
    <mergeCell ref="A238:B238"/>
    <mergeCell ref="D238:E238"/>
    <mergeCell ref="I238:J238"/>
    <mergeCell ref="A243:B243"/>
    <mergeCell ref="D243:E243"/>
    <mergeCell ref="I243:J243"/>
    <mergeCell ref="A244:B244"/>
    <mergeCell ref="D244:E244"/>
    <mergeCell ref="I244:J244"/>
    <mergeCell ref="A241:B241"/>
    <mergeCell ref="D241:E241"/>
    <mergeCell ref="I241:J241"/>
    <mergeCell ref="A242:B242"/>
    <mergeCell ref="D242:E242"/>
    <mergeCell ref="I242:J242"/>
    <mergeCell ref="A260:B260"/>
    <mergeCell ref="D260:E260"/>
    <mergeCell ref="I260:J260"/>
    <mergeCell ref="A259:B259"/>
    <mergeCell ref="D259:E259"/>
    <mergeCell ref="A253:B253"/>
    <mergeCell ref="A249:B249"/>
    <mergeCell ref="D249:E249"/>
    <mergeCell ref="I249:J249"/>
    <mergeCell ref="A250:B250"/>
    <mergeCell ref="D250:E250"/>
    <mergeCell ref="I250:J250"/>
    <mergeCell ref="A256:B256"/>
    <mergeCell ref="I259:J259"/>
    <mergeCell ref="A257:B257"/>
    <mergeCell ref="D257:E257"/>
    <mergeCell ref="I257:J257"/>
    <mergeCell ref="A258:B258"/>
    <mergeCell ref="D258:E258"/>
    <mergeCell ref="A255:B255"/>
    <mergeCell ref="D255:E255"/>
    <mergeCell ref="I255:J255"/>
    <mergeCell ref="I258:J258"/>
    <mergeCell ref="D253:E253"/>
    <mergeCell ref="I266:J266"/>
    <mergeCell ref="A263:B263"/>
    <mergeCell ref="D263:E263"/>
    <mergeCell ref="D264:E264"/>
    <mergeCell ref="I264:J264"/>
    <mergeCell ref="A261:B261"/>
    <mergeCell ref="D261:E261"/>
    <mergeCell ref="I261:J261"/>
    <mergeCell ref="A262:B262"/>
    <mergeCell ref="D262:E262"/>
    <mergeCell ref="I262:J262"/>
    <mergeCell ref="A265:B265"/>
    <mergeCell ref="D265:E265"/>
    <mergeCell ref="I265:J265"/>
    <mergeCell ref="A266:B266"/>
    <mergeCell ref="D266:E266"/>
    <mergeCell ref="I263:J263"/>
    <mergeCell ref="A264:B264"/>
    <mergeCell ref="I253:J253"/>
    <mergeCell ref="A254:B254"/>
    <mergeCell ref="D254:E254"/>
    <mergeCell ref="I254:J254"/>
    <mergeCell ref="A251:B251"/>
    <mergeCell ref="D251:E251"/>
    <mergeCell ref="I251:J251"/>
    <mergeCell ref="A252:B252"/>
    <mergeCell ref="D252:E252"/>
    <mergeCell ref="I252:J252"/>
    <mergeCell ref="A247:B247"/>
    <mergeCell ref="D247:E247"/>
    <mergeCell ref="I247:J247"/>
    <mergeCell ref="A248:B248"/>
    <mergeCell ref="D248:E248"/>
    <mergeCell ref="I248:J248"/>
    <mergeCell ref="A245:B245"/>
    <mergeCell ref="D245:E245"/>
    <mergeCell ref="I245:J245"/>
    <mergeCell ref="A246:B246"/>
    <mergeCell ref="D246:E246"/>
    <mergeCell ref="I246:J246"/>
    <mergeCell ref="A108:F108"/>
    <mergeCell ref="G108:J108"/>
    <mergeCell ref="A109:F109"/>
    <mergeCell ref="G109:J109"/>
    <mergeCell ref="A110:J110"/>
    <mergeCell ref="A112:B112"/>
    <mergeCell ref="A111:B111"/>
    <mergeCell ref="D111:F111"/>
    <mergeCell ref="D67:E67"/>
    <mergeCell ref="G111:J111"/>
    <mergeCell ref="D112:F112"/>
    <mergeCell ref="G112:J112"/>
    <mergeCell ref="A103:J103"/>
    <mergeCell ref="A104:F104"/>
    <mergeCell ref="G104:J104"/>
    <mergeCell ref="A101:J101"/>
    <mergeCell ref="A102:B102"/>
    <mergeCell ref="C102:J102"/>
    <mergeCell ref="G106:J106"/>
    <mergeCell ref="A105:F105"/>
    <mergeCell ref="G105:J105"/>
    <mergeCell ref="A107:F107"/>
    <mergeCell ref="G107:J107"/>
    <mergeCell ref="F62:G71"/>
    <mergeCell ref="A114:B114"/>
    <mergeCell ref="A113:B113"/>
    <mergeCell ref="D113:F113"/>
    <mergeCell ref="G113:J113"/>
    <mergeCell ref="D114:F114"/>
    <mergeCell ref="G114:J114"/>
    <mergeCell ref="A129:B129"/>
    <mergeCell ref="D129:E129"/>
    <mergeCell ref="I127:J129"/>
    <mergeCell ref="A122:J122"/>
    <mergeCell ref="A126:J126"/>
    <mergeCell ref="A125:B125"/>
    <mergeCell ref="D125:E125"/>
    <mergeCell ref="A128:B128"/>
    <mergeCell ref="D128:E128"/>
    <mergeCell ref="A121:J121"/>
    <mergeCell ref="A115:B115"/>
    <mergeCell ref="D115:F115"/>
    <mergeCell ref="G115:J115"/>
    <mergeCell ref="A116:J116"/>
    <mergeCell ref="A117:J117"/>
    <mergeCell ref="A127:B127"/>
    <mergeCell ref="D127:E127"/>
    <mergeCell ref="A123:B123"/>
    <mergeCell ref="A106:F106"/>
    <mergeCell ref="A100:J100"/>
    <mergeCell ref="A60:B60"/>
    <mergeCell ref="C60:J60"/>
    <mergeCell ref="A61:B61"/>
    <mergeCell ref="D61:E61"/>
    <mergeCell ref="F61:G61"/>
    <mergeCell ref="H61:J61"/>
    <mergeCell ref="A62:B62"/>
    <mergeCell ref="D62:E62"/>
    <mergeCell ref="D97:E97"/>
    <mergeCell ref="A98:B98"/>
    <mergeCell ref="D98:E98"/>
    <mergeCell ref="A70:B70"/>
    <mergeCell ref="D70:E70"/>
    <mergeCell ref="A71:B71"/>
    <mergeCell ref="D71:E71"/>
    <mergeCell ref="A86:B86"/>
    <mergeCell ref="C86:J86"/>
    <mergeCell ref="I87:J87"/>
    <mergeCell ref="A88:B88"/>
    <mergeCell ref="C88:J88"/>
    <mergeCell ref="H62:J71"/>
    <mergeCell ref="A63:B63"/>
    <mergeCell ref="A99:B99"/>
    <mergeCell ref="D99:E99"/>
    <mergeCell ref="A89:B89"/>
    <mergeCell ref="D89:E89"/>
    <mergeCell ref="F89:G89"/>
    <mergeCell ref="H89:J89"/>
    <mergeCell ref="A90:B90"/>
    <mergeCell ref="D90:E90"/>
    <mergeCell ref="F90:G99"/>
    <mergeCell ref="H90:J99"/>
    <mergeCell ref="A91:B91"/>
    <mergeCell ref="D91:E91"/>
    <mergeCell ref="A92:B92"/>
    <mergeCell ref="D92:E92"/>
    <mergeCell ref="A93:B93"/>
    <mergeCell ref="D93:E93"/>
    <mergeCell ref="A94:B94"/>
    <mergeCell ref="D94:E94"/>
    <mergeCell ref="A95:B95"/>
    <mergeCell ref="D95:E95"/>
    <mergeCell ref="A96:B96"/>
    <mergeCell ref="D96:E96"/>
    <mergeCell ref="E87:F87"/>
    <mergeCell ref="A97:B97"/>
    <mergeCell ref="A187:B187"/>
    <mergeCell ref="D187:E187"/>
    <mergeCell ref="A130:J130"/>
    <mergeCell ref="A131:B131"/>
    <mergeCell ref="D131:E131"/>
    <mergeCell ref="I131:J133"/>
    <mergeCell ref="A132:B132"/>
    <mergeCell ref="D132:E132"/>
    <mergeCell ref="A133:B133"/>
    <mergeCell ref="D133:E133"/>
    <mergeCell ref="A156:J156"/>
    <mergeCell ref="A154:B154"/>
    <mergeCell ref="D154:E154"/>
    <mergeCell ref="A155:B155"/>
    <mergeCell ref="I147:J155"/>
    <mergeCell ref="A150:B150"/>
    <mergeCell ref="A148:B148"/>
    <mergeCell ref="A153:B153"/>
    <mergeCell ref="D171:E171"/>
    <mergeCell ref="A182:B182"/>
    <mergeCell ref="A178:B178"/>
    <mergeCell ref="D178:E178"/>
    <mergeCell ref="A163:B163"/>
    <mergeCell ref="D163:E163"/>
    <mergeCell ref="A164:B164"/>
    <mergeCell ref="D164:E164"/>
    <mergeCell ref="A165:J165"/>
    <mergeCell ref="A166:J166"/>
    <mergeCell ref="A167:J167"/>
    <mergeCell ref="A168:J168"/>
    <mergeCell ref="D175:E175"/>
    <mergeCell ref="D173:E173"/>
    <mergeCell ref="A174:B174"/>
    <mergeCell ref="D174:E174"/>
    <mergeCell ref="I169:J178"/>
    <mergeCell ref="A172:B172"/>
    <mergeCell ref="D172:E172"/>
    <mergeCell ref="A169:B169"/>
    <mergeCell ref="D169:E169"/>
    <mergeCell ref="A177:B177"/>
    <mergeCell ref="D177:E177"/>
    <mergeCell ref="A179:J179"/>
    <mergeCell ref="A175:B175"/>
    <mergeCell ref="A171:B171"/>
    <mergeCell ref="A170:B170"/>
    <mergeCell ref="D170:E170"/>
    <mergeCell ref="D192:E192"/>
    <mergeCell ref="A193:B193"/>
    <mergeCell ref="D193:E193"/>
    <mergeCell ref="A194:B194"/>
    <mergeCell ref="D194:E194"/>
    <mergeCell ref="I180:J189"/>
    <mergeCell ref="A184:B184"/>
    <mergeCell ref="D182:E182"/>
    <mergeCell ref="A183:B183"/>
    <mergeCell ref="D183:E183"/>
    <mergeCell ref="A181:B181"/>
    <mergeCell ref="D181:E181"/>
    <mergeCell ref="D186:E186"/>
    <mergeCell ref="A180:B180"/>
    <mergeCell ref="D180:E180"/>
    <mergeCell ref="A186:B186"/>
    <mergeCell ref="A176:B176"/>
    <mergeCell ref="D176:E176"/>
    <mergeCell ref="A173:B173"/>
    <mergeCell ref="A195:B195"/>
    <mergeCell ref="D195:E195"/>
    <mergeCell ref="A196:B196"/>
    <mergeCell ref="D196:E196"/>
    <mergeCell ref="A197:B197"/>
    <mergeCell ref="D197:E197"/>
    <mergeCell ref="A198:B198"/>
    <mergeCell ref="D198:E198"/>
    <mergeCell ref="A199:B199"/>
    <mergeCell ref="D199:E199"/>
    <mergeCell ref="D76:E76"/>
    <mergeCell ref="F76:G85"/>
    <mergeCell ref="H76:J85"/>
    <mergeCell ref="A77:B77"/>
    <mergeCell ref="D77:E77"/>
    <mergeCell ref="A78:B78"/>
    <mergeCell ref="D78:E78"/>
    <mergeCell ref="A79:B79"/>
    <mergeCell ref="D79:E79"/>
    <mergeCell ref="A80:B80"/>
    <mergeCell ref="D80:E80"/>
    <mergeCell ref="A81:B81"/>
    <mergeCell ref="D81:E81"/>
    <mergeCell ref="A82:B82"/>
    <mergeCell ref="A85:B85"/>
    <mergeCell ref="D85:E85"/>
    <mergeCell ref="A34:B34"/>
    <mergeCell ref="C34:J34"/>
    <mergeCell ref="D84:E84"/>
    <mergeCell ref="A48:B49"/>
    <mergeCell ref="C49:J49"/>
    <mergeCell ref="C54:J54"/>
    <mergeCell ref="A55:B55"/>
    <mergeCell ref="C55:J55"/>
    <mergeCell ref="A58:B58"/>
    <mergeCell ref="C58:J58"/>
    <mergeCell ref="E59:F59"/>
    <mergeCell ref="I59:J59"/>
    <mergeCell ref="A52:J52"/>
    <mergeCell ref="A53:C53"/>
    <mergeCell ref="D53:E53"/>
    <mergeCell ref="F53:G53"/>
    <mergeCell ref="H53:J53"/>
    <mergeCell ref="A57:J57"/>
    <mergeCell ref="A69:B69"/>
    <mergeCell ref="D69:E69"/>
    <mergeCell ref="A72:B72"/>
    <mergeCell ref="C72:J72"/>
    <mergeCell ref="C74:J74"/>
    <mergeCell ref="A54:B54"/>
    <mergeCell ref="A56:C56"/>
    <mergeCell ref="D56:J56"/>
    <mergeCell ref="A75:B75"/>
    <mergeCell ref="D82:E82"/>
    <mergeCell ref="A83:B83"/>
    <mergeCell ref="D83:E83"/>
    <mergeCell ref="A84:B84"/>
    <mergeCell ref="E73:F73"/>
    <mergeCell ref="I73:J73"/>
    <mergeCell ref="A74:B74"/>
    <mergeCell ref="D63:E63"/>
    <mergeCell ref="A64:B64"/>
    <mergeCell ref="D64:E64"/>
    <mergeCell ref="A65:B65"/>
    <mergeCell ref="D65:E65"/>
    <mergeCell ref="A66:B66"/>
    <mergeCell ref="D66:E66"/>
    <mergeCell ref="A67:B67"/>
    <mergeCell ref="A68:B68"/>
    <mergeCell ref="D68:E68"/>
    <mergeCell ref="D75:E75"/>
    <mergeCell ref="F75:G75"/>
    <mergeCell ref="H75:J75"/>
    <mergeCell ref="A76:B76"/>
  </mergeCells>
  <hyperlinks>
    <hyperlink ref="C34" r:id="rId1"/>
  </hyperlinks>
  <pageMargins left="0.35433070866141736" right="0.39370078740157483" top="0.78740157480314965" bottom="0.78740157480314965" header="0.19685039370078741" footer="0.19685039370078741"/>
  <pageSetup paperSize="9" scale="98" fitToHeight="0" orientation="portrait" r:id="rId2"/>
  <headerFooter>
    <oddHeader>&amp;C&amp;"Times New Roman,Bold"&amp;20&amp;G</oddHeader>
    <oddFooter>&amp;L&amp;"Times New Roman,Bold"&amp;12Ref No: &amp;F&amp;C&amp;G&amp;R&amp;"Times New Roman,Bold"&amp;12&amp;P</oddFooter>
  </headerFooter>
  <rowBreaks count="4" manualBreakCount="4">
    <brk id="85" max="16383" man="1"/>
    <brk id="201" max="9" man="1"/>
    <brk id="212" max="16383" man="1"/>
    <brk id="255"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
  <sheetViews>
    <sheetView workbookViewId="0">
      <selection activeCell="I5" sqref="I4:I5"/>
    </sheetView>
  </sheetViews>
  <sheetFormatPr defaultColWidth="8.7109375" defaultRowHeight="15" x14ac:dyDescent="0.25"/>
  <cols>
    <col min="1" max="1" width="8.7109375" style="36"/>
    <col min="2" max="3" width="22.140625" style="36" customWidth="1"/>
    <col min="4" max="5" width="12.5703125" style="36" customWidth="1"/>
    <col min="6" max="6" width="11.42578125" style="36" customWidth="1"/>
    <col min="7" max="8" width="8.7109375" style="36"/>
    <col min="9" max="9" width="12.7109375" style="36" customWidth="1"/>
    <col min="10" max="10" width="13.5703125" style="36" customWidth="1"/>
    <col min="11" max="16384" width="8.7109375" style="36"/>
  </cols>
  <sheetData>
    <row r="1" spans="1:11" ht="15" customHeight="1" x14ac:dyDescent="0.25"/>
    <row r="2" spans="1:11" ht="15" customHeight="1" x14ac:dyDescent="0.25">
      <c r="A2"/>
      <c r="B2"/>
      <c r="C2"/>
      <c r="D2"/>
      <c r="E2"/>
      <c r="F2"/>
      <c r="G2"/>
      <c r="H2"/>
      <c r="I2"/>
      <c r="J2"/>
    </row>
    <row r="3" spans="1:11" x14ac:dyDescent="0.25">
      <c r="A3"/>
      <c r="B3" s="224" t="s">
        <v>204</v>
      </c>
      <c r="C3" s="225"/>
      <c r="D3" s="225"/>
      <c r="E3" s="225"/>
      <c r="F3" s="225"/>
      <c r="G3" s="225"/>
      <c r="H3" s="225"/>
      <c r="I3" s="225"/>
      <c r="J3" s="225"/>
      <c r="K3" s="226"/>
    </row>
    <row r="4" spans="1:11" ht="45" x14ac:dyDescent="0.25">
      <c r="A4"/>
      <c r="B4" s="222" t="s">
        <v>205</v>
      </c>
      <c r="C4" s="222"/>
      <c r="D4" s="222" t="s">
        <v>206</v>
      </c>
      <c r="E4" s="222"/>
      <c r="F4" s="37" t="s">
        <v>111</v>
      </c>
      <c r="G4" s="37" t="s">
        <v>207</v>
      </c>
      <c r="H4" s="37" t="s">
        <v>208</v>
      </c>
      <c r="I4" s="37" t="s">
        <v>209</v>
      </c>
      <c r="J4" s="222" t="s">
        <v>210</v>
      </c>
      <c r="K4" s="222"/>
    </row>
    <row r="5" spans="1:11" ht="15" customHeight="1" x14ac:dyDescent="0.25">
      <c r="A5"/>
      <c r="B5" s="223" t="s">
        <v>211</v>
      </c>
      <c r="C5" s="223"/>
      <c r="D5" s="223" t="s">
        <v>174</v>
      </c>
      <c r="E5" s="223"/>
      <c r="F5" s="38" t="s">
        <v>179</v>
      </c>
      <c r="G5" s="38">
        <v>476</v>
      </c>
      <c r="H5" s="38">
        <f>G5*1.45</f>
        <v>690.19999999999993</v>
      </c>
      <c r="I5" s="39">
        <f t="shared" ref="I5:I11" si="0">J5/H5</f>
        <v>4137.9310344827591</v>
      </c>
      <c r="J5" s="222">
        <v>2856000</v>
      </c>
      <c r="K5" s="222"/>
    </row>
    <row r="6" spans="1:11" ht="15" customHeight="1" x14ac:dyDescent="0.25">
      <c r="A6"/>
      <c r="B6" s="223" t="s">
        <v>211</v>
      </c>
      <c r="C6" s="223"/>
      <c r="D6" s="223" t="s">
        <v>174</v>
      </c>
      <c r="E6" s="223"/>
      <c r="F6" s="40" t="s">
        <v>179</v>
      </c>
      <c r="G6" s="40">
        <v>507</v>
      </c>
      <c r="H6" s="38">
        <f t="shared" ref="H6:H11" si="1">G6*1.45</f>
        <v>735.15</v>
      </c>
      <c r="I6" s="41">
        <f t="shared" si="0"/>
        <v>4137.9310344827591</v>
      </c>
      <c r="J6" s="222">
        <v>3042000</v>
      </c>
      <c r="K6" s="222"/>
    </row>
    <row r="7" spans="1:11" x14ac:dyDescent="0.25">
      <c r="A7"/>
      <c r="B7" s="223" t="s">
        <v>212</v>
      </c>
      <c r="C7" s="223"/>
      <c r="D7" s="223" t="s">
        <v>174</v>
      </c>
      <c r="E7" s="223"/>
      <c r="F7" s="40" t="s">
        <v>179</v>
      </c>
      <c r="G7" s="40">
        <v>228</v>
      </c>
      <c r="H7" s="38">
        <f t="shared" si="1"/>
        <v>330.59999999999997</v>
      </c>
      <c r="I7" s="41">
        <f t="shared" si="0"/>
        <v>4137.9310344827591</v>
      </c>
      <c r="J7" s="222">
        <v>1368000</v>
      </c>
      <c r="K7" s="222"/>
    </row>
    <row r="8" spans="1:11" x14ac:dyDescent="0.25">
      <c r="A8"/>
      <c r="B8" s="223" t="s">
        <v>212</v>
      </c>
      <c r="C8" s="223"/>
      <c r="D8" s="223" t="s">
        <v>174</v>
      </c>
      <c r="E8" s="223"/>
      <c r="F8" s="40" t="s">
        <v>179</v>
      </c>
      <c r="G8" s="40">
        <v>329</v>
      </c>
      <c r="H8" s="38">
        <f t="shared" si="1"/>
        <v>477.05</v>
      </c>
      <c r="I8" s="41">
        <f t="shared" si="0"/>
        <v>2867.623938790483</v>
      </c>
      <c r="J8" s="222">
        <v>1368000</v>
      </c>
      <c r="K8" s="222"/>
    </row>
    <row r="9" spans="1:11" x14ac:dyDescent="0.25">
      <c r="A9"/>
      <c r="B9" s="223" t="s">
        <v>212</v>
      </c>
      <c r="C9" s="223"/>
      <c r="D9" s="223" t="s">
        <v>174</v>
      </c>
      <c r="E9" s="223"/>
      <c r="F9" s="40" t="s">
        <v>179</v>
      </c>
      <c r="G9" s="40">
        <v>343</v>
      </c>
      <c r="H9" s="38">
        <f t="shared" si="1"/>
        <v>497.34999999999997</v>
      </c>
      <c r="I9" s="41">
        <f t="shared" si="0"/>
        <v>3969.0358902181565</v>
      </c>
      <c r="J9" s="222">
        <v>1974000</v>
      </c>
      <c r="K9" s="222"/>
    </row>
    <row r="10" spans="1:11" x14ac:dyDescent="0.25">
      <c r="A10"/>
      <c r="B10" s="223" t="s">
        <v>212</v>
      </c>
      <c r="C10" s="223"/>
      <c r="D10" s="223" t="s">
        <v>174</v>
      </c>
      <c r="E10" s="223"/>
      <c r="F10" s="40" t="s">
        <v>182</v>
      </c>
      <c r="G10" s="40">
        <v>453</v>
      </c>
      <c r="H10" s="38">
        <f t="shared" si="1"/>
        <v>656.85</v>
      </c>
      <c r="I10" s="41">
        <f t="shared" si="0"/>
        <v>4137.9310344827582</v>
      </c>
      <c r="J10" s="222">
        <v>2718000</v>
      </c>
      <c r="K10" s="222"/>
    </row>
    <row r="11" spans="1:11" x14ac:dyDescent="0.25">
      <c r="A11"/>
      <c r="B11" s="223" t="s">
        <v>212</v>
      </c>
      <c r="C11" s="223"/>
      <c r="D11" s="223" t="s">
        <v>174</v>
      </c>
      <c r="E11" s="223"/>
      <c r="F11" s="40" t="s">
        <v>182</v>
      </c>
      <c r="G11" s="40">
        <v>469</v>
      </c>
      <c r="H11" s="38">
        <f t="shared" si="1"/>
        <v>680.05</v>
      </c>
      <c r="I11" s="41">
        <f t="shared" si="0"/>
        <v>4137.9310344827591</v>
      </c>
      <c r="J11" s="222">
        <v>2814000</v>
      </c>
      <c r="K11" s="222"/>
    </row>
    <row r="12" spans="1:11" ht="15" customHeight="1" x14ac:dyDescent="0.25">
      <c r="A12"/>
      <c r="B12" s="223" t="s">
        <v>213</v>
      </c>
      <c r="C12" s="223"/>
      <c r="D12" s="223"/>
      <c r="E12" s="223"/>
      <c r="F12" s="38"/>
      <c r="G12" s="38"/>
      <c r="H12" s="38"/>
      <c r="I12" s="41">
        <f>AVERAGE(I5:I11)</f>
        <v>3932.3307144889186</v>
      </c>
      <c r="J12" s="222"/>
      <c r="K12" s="222"/>
    </row>
    <row r="13" spans="1:11" ht="15" customHeight="1" x14ac:dyDescent="0.25">
      <c r="B13" s="221" t="s">
        <v>214</v>
      </c>
      <c r="C13" s="221"/>
      <c r="D13" s="221"/>
      <c r="E13" s="221"/>
      <c r="F13" s="221"/>
      <c r="G13" s="221"/>
      <c r="H13" s="221"/>
      <c r="I13" s="8">
        <v>4000</v>
      </c>
      <c r="J13" s="222"/>
      <c r="K13" s="222"/>
    </row>
    <row r="14" spans="1:11" ht="15" customHeight="1" x14ac:dyDescent="0.25"/>
    <row r="15" spans="1:11" ht="15" customHeight="1" x14ac:dyDescent="0.25"/>
    <row r="16" spans="1:11" ht="15" customHeight="1" x14ac:dyDescent="0.25"/>
  </sheetData>
  <mergeCells count="30">
    <mergeCell ref="B3:K3"/>
    <mergeCell ref="B4:C4"/>
    <mergeCell ref="D4:E4"/>
    <mergeCell ref="J4:K4"/>
    <mergeCell ref="B5:C5"/>
    <mergeCell ref="D5:E5"/>
    <mergeCell ref="J5:K5"/>
    <mergeCell ref="B6:C6"/>
    <mergeCell ref="D6:E6"/>
    <mergeCell ref="J6:K6"/>
    <mergeCell ref="B7:C7"/>
    <mergeCell ref="D7:E7"/>
    <mergeCell ref="J7:K7"/>
    <mergeCell ref="B8:C8"/>
    <mergeCell ref="D8:E8"/>
    <mergeCell ref="J8:K8"/>
    <mergeCell ref="B9:C9"/>
    <mergeCell ref="D9:E9"/>
    <mergeCell ref="J9:K9"/>
    <mergeCell ref="B10:C10"/>
    <mergeCell ref="D10:E10"/>
    <mergeCell ref="J10:K10"/>
    <mergeCell ref="B11:C11"/>
    <mergeCell ref="D11:E11"/>
    <mergeCell ref="J11:K11"/>
    <mergeCell ref="B13:H13"/>
    <mergeCell ref="J13:K13"/>
    <mergeCell ref="B12:C12"/>
    <mergeCell ref="D12:E12"/>
    <mergeCell ref="J12:K1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election activeCell="C4" sqref="C4"/>
    </sheetView>
  </sheetViews>
  <sheetFormatPr defaultRowHeight="15" x14ac:dyDescent="0.25"/>
  <cols>
    <col min="1" max="1" width="11.42578125" customWidth="1"/>
    <col min="2" max="2" width="12" customWidth="1"/>
    <col min="257" max="257" width="11.42578125" customWidth="1"/>
    <col min="258" max="258" width="12" customWidth="1"/>
    <col min="513" max="513" width="11.42578125" customWidth="1"/>
    <col min="514" max="514" width="12" customWidth="1"/>
    <col min="769" max="769" width="11.42578125" customWidth="1"/>
    <col min="770" max="770" width="12" customWidth="1"/>
    <col min="1025" max="1025" width="11.42578125" customWidth="1"/>
    <col min="1026" max="1026" width="12" customWidth="1"/>
    <col min="1281" max="1281" width="11.42578125" customWidth="1"/>
    <col min="1282" max="1282" width="12" customWidth="1"/>
    <col min="1537" max="1537" width="11.42578125" customWidth="1"/>
    <col min="1538" max="1538" width="12" customWidth="1"/>
    <col min="1793" max="1793" width="11.42578125" customWidth="1"/>
    <col min="1794" max="1794" width="12" customWidth="1"/>
    <col min="2049" max="2049" width="11.42578125" customWidth="1"/>
    <col min="2050" max="2050" width="12" customWidth="1"/>
    <col min="2305" max="2305" width="11.42578125" customWidth="1"/>
    <col min="2306" max="2306" width="12" customWidth="1"/>
    <col min="2561" max="2561" width="11.42578125" customWidth="1"/>
    <col min="2562" max="2562" width="12" customWidth="1"/>
    <col min="2817" max="2817" width="11.42578125" customWidth="1"/>
    <col min="2818" max="2818" width="12" customWidth="1"/>
    <col min="3073" max="3073" width="11.42578125" customWidth="1"/>
    <col min="3074" max="3074" width="12" customWidth="1"/>
    <col min="3329" max="3329" width="11.42578125" customWidth="1"/>
    <col min="3330" max="3330" width="12" customWidth="1"/>
    <col min="3585" max="3585" width="11.42578125" customWidth="1"/>
    <col min="3586" max="3586" width="12" customWidth="1"/>
    <col min="3841" max="3841" width="11.42578125" customWidth="1"/>
    <col min="3842" max="3842" width="12" customWidth="1"/>
    <col min="4097" max="4097" width="11.42578125" customWidth="1"/>
    <col min="4098" max="4098" width="12" customWidth="1"/>
    <col min="4353" max="4353" width="11.42578125" customWidth="1"/>
    <col min="4354" max="4354" width="12" customWidth="1"/>
    <col min="4609" max="4609" width="11.42578125" customWidth="1"/>
    <col min="4610" max="4610" width="12" customWidth="1"/>
    <col min="4865" max="4865" width="11.42578125" customWidth="1"/>
    <col min="4866" max="4866" width="12" customWidth="1"/>
    <col min="5121" max="5121" width="11.42578125" customWidth="1"/>
    <col min="5122" max="5122" width="12" customWidth="1"/>
    <col min="5377" max="5377" width="11.42578125" customWidth="1"/>
    <col min="5378" max="5378" width="12" customWidth="1"/>
    <col min="5633" max="5633" width="11.42578125" customWidth="1"/>
    <col min="5634" max="5634" width="12" customWidth="1"/>
    <col min="5889" max="5889" width="11.42578125" customWidth="1"/>
    <col min="5890" max="5890" width="12" customWidth="1"/>
    <col min="6145" max="6145" width="11.42578125" customWidth="1"/>
    <col min="6146" max="6146" width="12" customWidth="1"/>
    <col min="6401" max="6401" width="11.42578125" customWidth="1"/>
    <col min="6402" max="6402" width="12" customWidth="1"/>
    <col min="6657" max="6657" width="11.42578125" customWidth="1"/>
    <col min="6658" max="6658" width="12" customWidth="1"/>
    <col min="6913" max="6913" width="11.42578125" customWidth="1"/>
    <col min="6914" max="6914" width="12" customWidth="1"/>
    <col min="7169" max="7169" width="11.42578125" customWidth="1"/>
    <col min="7170" max="7170" width="12" customWidth="1"/>
    <col min="7425" max="7425" width="11.42578125" customWidth="1"/>
    <col min="7426" max="7426" width="12" customWidth="1"/>
    <col min="7681" max="7681" width="11.42578125" customWidth="1"/>
    <col min="7682" max="7682" width="12" customWidth="1"/>
    <col min="7937" max="7937" width="11.42578125" customWidth="1"/>
    <col min="7938" max="7938" width="12" customWidth="1"/>
    <col min="8193" max="8193" width="11.42578125" customWidth="1"/>
    <col min="8194" max="8194" width="12" customWidth="1"/>
    <col min="8449" max="8449" width="11.42578125" customWidth="1"/>
    <col min="8450" max="8450" width="12" customWidth="1"/>
    <col min="8705" max="8705" width="11.42578125" customWidth="1"/>
    <col min="8706" max="8706" width="12" customWidth="1"/>
    <col min="8961" max="8961" width="11.42578125" customWidth="1"/>
    <col min="8962" max="8962" width="12" customWidth="1"/>
    <col min="9217" max="9217" width="11.42578125" customWidth="1"/>
    <col min="9218" max="9218" width="12" customWidth="1"/>
    <col min="9473" max="9473" width="11.42578125" customWidth="1"/>
    <col min="9474" max="9474" width="12" customWidth="1"/>
    <col min="9729" max="9729" width="11.42578125" customWidth="1"/>
    <col min="9730" max="9730" width="12" customWidth="1"/>
    <col min="9985" max="9985" width="11.42578125" customWidth="1"/>
    <col min="9986" max="9986" width="12" customWidth="1"/>
    <col min="10241" max="10241" width="11.42578125" customWidth="1"/>
    <col min="10242" max="10242" width="12" customWidth="1"/>
    <col min="10497" max="10497" width="11.42578125" customWidth="1"/>
    <col min="10498" max="10498" width="12" customWidth="1"/>
    <col min="10753" max="10753" width="11.42578125" customWidth="1"/>
    <col min="10754" max="10754" width="12" customWidth="1"/>
    <col min="11009" max="11009" width="11.42578125" customWidth="1"/>
    <col min="11010" max="11010" width="12" customWidth="1"/>
    <col min="11265" max="11265" width="11.42578125" customWidth="1"/>
    <col min="11266" max="11266" width="12" customWidth="1"/>
    <col min="11521" max="11521" width="11.42578125" customWidth="1"/>
    <col min="11522" max="11522" width="12" customWidth="1"/>
    <col min="11777" max="11777" width="11.42578125" customWidth="1"/>
    <col min="11778" max="11778" width="12" customWidth="1"/>
    <col min="12033" max="12033" width="11.42578125" customWidth="1"/>
    <col min="12034" max="12034" width="12" customWidth="1"/>
    <col min="12289" max="12289" width="11.42578125" customWidth="1"/>
    <col min="12290" max="12290" width="12" customWidth="1"/>
    <col min="12545" max="12545" width="11.42578125" customWidth="1"/>
    <col min="12546" max="12546" width="12" customWidth="1"/>
    <col min="12801" max="12801" width="11.42578125" customWidth="1"/>
    <col min="12802" max="12802" width="12" customWidth="1"/>
    <col min="13057" max="13057" width="11.42578125" customWidth="1"/>
    <col min="13058" max="13058" width="12" customWidth="1"/>
    <col min="13313" max="13313" width="11.42578125" customWidth="1"/>
    <col min="13314" max="13314" width="12" customWidth="1"/>
    <col min="13569" max="13569" width="11.42578125" customWidth="1"/>
    <col min="13570" max="13570" width="12" customWidth="1"/>
    <col min="13825" max="13825" width="11.42578125" customWidth="1"/>
    <col min="13826" max="13826" width="12" customWidth="1"/>
    <col min="14081" max="14081" width="11.42578125" customWidth="1"/>
    <col min="14082" max="14082" width="12" customWidth="1"/>
    <col min="14337" max="14337" width="11.42578125" customWidth="1"/>
    <col min="14338" max="14338" width="12" customWidth="1"/>
    <col min="14593" max="14593" width="11.42578125" customWidth="1"/>
    <col min="14594" max="14594" width="12" customWidth="1"/>
    <col min="14849" max="14849" width="11.42578125" customWidth="1"/>
    <col min="14850" max="14850" width="12" customWidth="1"/>
    <col min="15105" max="15105" width="11.42578125" customWidth="1"/>
    <col min="15106" max="15106" width="12" customWidth="1"/>
    <col min="15361" max="15361" width="11.42578125" customWidth="1"/>
    <col min="15362" max="15362" width="12" customWidth="1"/>
    <col min="15617" max="15617" width="11.42578125" customWidth="1"/>
    <col min="15618" max="15618" width="12" customWidth="1"/>
    <col min="15873" max="15873" width="11.42578125" customWidth="1"/>
    <col min="15874" max="15874" width="12" customWidth="1"/>
    <col min="16129" max="16129" width="11.42578125" customWidth="1"/>
    <col min="16130" max="16130" width="12" customWidth="1"/>
  </cols>
  <sheetData>
    <row r="1" spans="1:3" x14ac:dyDescent="0.25">
      <c r="A1" t="s">
        <v>203</v>
      </c>
      <c r="B1" t="s">
        <v>186</v>
      </c>
      <c r="C1" t="s">
        <v>215</v>
      </c>
    </row>
    <row r="2" spans="1:3" x14ac:dyDescent="0.25">
      <c r="C2" t="s">
        <v>216</v>
      </c>
    </row>
    <row r="4" spans="1:3" x14ac:dyDescent="0.25">
      <c r="A4" s="42">
        <v>44533</v>
      </c>
      <c r="B4" t="s">
        <v>218</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C7" sqref="C7"/>
    </sheetView>
  </sheetViews>
  <sheetFormatPr defaultRowHeight="15" x14ac:dyDescent="0.25"/>
  <cols>
    <col min="1" max="1" width="20.5703125" style="20" customWidth="1"/>
    <col min="2" max="2" width="11.7109375" style="20" customWidth="1"/>
    <col min="3" max="4" width="9.140625" style="20"/>
    <col min="5" max="5" width="10.140625" style="20" customWidth="1"/>
    <col min="6" max="6" width="10.7109375" style="20" customWidth="1"/>
    <col min="7" max="7" width="9.140625" style="20"/>
    <col min="8" max="8" width="10.42578125" style="20" customWidth="1"/>
    <col min="9" max="9" width="15.42578125" style="20" customWidth="1"/>
    <col min="10" max="258" width="9.140625" style="20"/>
    <col min="259" max="259" width="11.7109375" style="20" customWidth="1"/>
    <col min="260" max="260" width="9.140625" style="20"/>
    <col min="261" max="261" width="14.7109375" style="20" customWidth="1"/>
    <col min="262" max="262" width="10.7109375" style="20" customWidth="1"/>
    <col min="263" max="514" width="9.140625" style="20"/>
    <col min="515" max="515" width="11.7109375" style="20" customWidth="1"/>
    <col min="516" max="516" width="9.140625" style="20"/>
    <col min="517" max="517" width="14.7109375" style="20" customWidth="1"/>
    <col min="518" max="518" width="10.7109375" style="20" customWidth="1"/>
    <col min="519" max="770" width="9.140625" style="20"/>
    <col min="771" max="771" width="11.7109375" style="20" customWidth="1"/>
    <col min="772" max="772" width="9.140625" style="20"/>
    <col min="773" max="773" width="14.7109375" style="20" customWidth="1"/>
    <col min="774" max="774" width="10.7109375" style="20" customWidth="1"/>
    <col min="775" max="1026" width="9.140625" style="20"/>
    <col min="1027" max="1027" width="11.7109375" style="20" customWidth="1"/>
    <col min="1028" max="1028" width="9.140625" style="20"/>
    <col min="1029" max="1029" width="14.7109375" style="20" customWidth="1"/>
    <col min="1030" max="1030" width="10.7109375" style="20" customWidth="1"/>
    <col min="1031" max="1282" width="9.140625" style="20"/>
    <col min="1283" max="1283" width="11.7109375" style="20" customWidth="1"/>
    <col min="1284" max="1284" width="9.140625" style="20"/>
    <col min="1285" max="1285" width="14.7109375" style="20" customWidth="1"/>
    <col min="1286" max="1286" width="10.7109375" style="20" customWidth="1"/>
    <col min="1287" max="1538" width="9.140625" style="20"/>
    <col min="1539" max="1539" width="11.7109375" style="20" customWidth="1"/>
    <col min="1540" max="1540" width="9.140625" style="20"/>
    <col min="1541" max="1541" width="14.7109375" style="20" customWidth="1"/>
    <col min="1542" max="1542" width="10.7109375" style="20" customWidth="1"/>
    <col min="1543" max="1794" width="9.140625" style="20"/>
    <col min="1795" max="1795" width="11.7109375" style="20" customWidth="1"/>
    <col min="1796" max="1796" width="9.140625" style="20"/>
    <col min="1797" max="1797" width="14.7109375" style="20" customWidth="1"/>
    <col min="1798" max="1798" width="10.7109375" style="20" customWidth="1"/>
    <col min="1799" max="2050" width="9.140625" style="20"/>
    <col min="2051" max="2051" width="11.7109375" style="20" customWidth="1"/>
    <col min="2052" max="2052" width="9.140625" style="20"/>
    <col min="2053" max="2053" width="14.7109375" style="20" customWidth="1"/>
    <col min="2054" max="2054" width="10.7109375" style="20" customWidth="1"/>
    <col min="2055" max="2306" width="9.140625" style="20"/>
    <col min="2307" max="2307" width="11.7109375" style="20" customWidth="1"/>
    <col min="2308" max="2308" width="9.140625" style="20"/>
    <col min="2309" max="2309" width="14.7109375" style="20" customWidth="1"/>
    <col min="2310" max="2310" width="10.7109375" style="20" customWidth="1"/>
    <col min="2311" max="2562" width="9.140625" style="20"/>
    <col min="2563" max="2563" width="11.7109375" style="20" customWidth="1"/>
    <col min="2564" max="2564" width="9.140625" style="20"/>
    <col min="2565" max="2565" width="14.7109375" style="20" customWidth="1"/>
    <col min="2566" max="2566" width="10.7109375" style="20" customWidth="1"/>
    <col min="2567" max="2818" width="9.140625" style="20"/>
    <col min="2819" max="2819" width="11.7109375" style="20" customWidth="1"/>
    <col min="2820" max="2820" width="9.140625" style="20"/>
    <col min="2821" max="2821" width="14.7109375" style="20" customWidth="1"/>
    <col min="2822" max="2822" width="10.7109375" style="20" customWidth="1"/>
    <col min="2823" max="3074" width="9.140625" style="20"/>
    <col min="3075" max="3075" width="11.7109375" style="20" customWidth="1"/>
    <col min="3076" max="3076" width="9.140625" style="20"/>
    <col min="3077" max="3077" width="14.7109375" style="20" customWidth="1"/>
    <col min="3078" max="3078" width="10.7109375" style="20" customWidth="1"/>
    <col min="3079" max="3330" width="9.140625" style="20"/>
    <col min="3331" max="3331" width="11.7109375" style="20" customWidth="1"/>
    <col min="3332" max="3332" width="9.140625" style="20"/>
    <col min="3333" max="3333" width="14.7109375" style="20" customWidth="1"/>
    <col min="3334" max="3334" width="10.7109375" style="20" customWidth="1"/>
    <col min="3335" max="3586" width="9.140625" style="20"/>
    <col min="3587" max="3587" width="11.7109375" style="20" customWidth="1"/>
    <col min="3588" max="3588" width="9.140625" style="20"/>
    <col min="3589" max="3589" width="14.7109375" style="20" customWidth="1"/>
    <col min="3590" max="3590" width="10.7109375" style="20" customWidth="1"/>
    <col min="3591" max="3842" width="9.140625" style="20"/>
    <col min="3843" max="3843" width="11.7109375" style="20" customWidth="1"/>
    <col min="3844" max="3844" width="9.140625" style="20"/>
    <col min="3845" max="3845" width="14.7109375" style="20" customWidth="1"/>
    <col min="3846" max="3846" width="10.7109375" style="20" customWidth="1"/>
    <col min="3847" max="4098" width="9.140625" style="20"/>
    <col min="4099" max="4099" width="11.7109375" style="20" customWidth="1"/>
    <col min="4100" max="4100" width="9.140625" style="20"/>
    <col min="4101" max="4101" width="14.7109375" style="20" customWidth="1"/>
    <col min="4102" max="4102" width="10.7109375" style="20" customWidth="1"/>
    <col min="4103" max="4354" width="9.140625" style="20"/>
    <col min="4355" max="4355" width="11.7109375" style="20" customWidth="1"/>
    <col min="4356" max="4356" width="9.140625" style="20"/>
    <col min="4357" max="4357" width="14.7109375" style="20" customWidth="1"/>
    <col min="4358" max="4358" width="10.7109375" style="20" customWidth="1"/>
    <col min="4359" max="4610" width="9.140625" style="20"/>
    <col min="4611" max="4611" width="11.7109375" style="20" customWidth="1"/>
    <col min="4612" max="4612" width="9.140625" style="20"/>
    <col min="4613" max="4613" width="14.7109375" style="20" customWidth="1"/>
    <col min="4614" max="4614" width="10.7109375" style="20" customWidth="1"/>
    <col min="4615" max="4866" width="9.140625" style="20"/>
    <col min="4867" max="4867" width="11.7109375" style="20" customWidth="1"/>
    <col min="4868" max="4868" width="9.140625" style="20"/>
    <col min="4869" max="4869" width="14.7109375" style="20" customWidth="1"/>
    <col min="4870" max="4870" width="10.7109375" style="20" customWidth="1"/>
    <col min="4871" max="5122" width="9.140625" style="20"/>
    <col min="5123" max="5123" width="11.7109375" style="20" customWidth="1"/>
    <col min="5124" max="5124" width="9.140625" style="20"/>
    <col min="5125" max="5125" width="14.7109375" style="20" customWidth="1"/>
    <col min="5126" max="5126" width="10.7109375" style="20" customWidth="1"/>
    <col min="5127" max="5378" width="9.140625" style="20"/>
    <col min="5379" max="5379" width="11.7109375" style="20" customWidth="1"/>
    <col min="5380" max="5380" width="9.140625" style="20"/>
    <col min="5381" max="5381" width="14.7109375" style="20" customWidth="1"/>
    <col min="5382" max="5382" width="10.7109375" style="20" customWidth="1"/>
    <col min="5383" max="5634" width="9.140625" style="20"/>
    <col min="5635" max="5635" width="11.7109375" style="20" customWidth="1"/>
    <col min="5636" max="5636" width="9.140625" style="20"/>
    <col min="5637" max="5637" width="14.7109375" style="20" customWidth="1"/>
    <col min="5638" max="5638" width="10.7109375" style="20" customWidth="1"/>
    <col min="5639" max="5890" width="9.140625" style="20"/>
    <col min="5891" max="5891" width="11.7109375" style="20" customWidth="1"/>
    <col min="5892" max="5892" width="9.140625" style="20"/>
    <col min="5893" max="5893" width="14.7109375" style="20" customWidth="1"/>
    <col min="5894" max="5894" width="10.7109375" style="20" customWidth="1"/>
    <col min="5895" max="6146" width="9.140625" style="20"/>
    <col min="6147" max="6147" width="11.7109375" style="20" customWidth="1"/>
    <col min="6148" max="6148" width="9.140625" style="20"/>
    <col min="6149" max="6149" width="14.7109375" style="20" customWidth="1"/>
    <col min="6150" max="6150" width="10.7109375" style="20" customWidth="1"/>
    <col min="6151" max="6402" width="9.140625" style="20"/>
    <col min="6403" max="6403" width="11.7109375" style="20" customWidth="1"/>
    <col min="6404" max="6404" width="9.140625" style="20"/>
    <col min="6405" max="6405" width="14.7109375" style="20" customWidth="1"/>
    <col min="6406" max="6406" width="10.7109375" style="20" customWidth="1"/>
    <col min="6407" max="6658" width="9.140625" style="20"/>
    <col min="6659" max="6659" width="11.7109375" style="20" customWidth="1"/>
    <col min="6660" max="6660" width="9.140625" style="20"/>
    <col min="6661" max="6661" width="14.7109375" style="20" customWidth="1"/>
    <col min="6662" max="6662" width="10.7109375" style="20" customWidth="1"/>
    <col min="6663" max="6914" width="9.140625" style="20"/>
    <col min="6915" max="6915" width="11.7109375" style="20" customWidth="1"/>
    <col min="6916" max="6916" width="9.140625" style="20"/>
    <col min="6917" max="6917" width="14.7109375" style="20" customWidth="1"/>
    <col min="6918" max="6918" width="10.7109375" style="20" customWidth="1"/>
    <col min="6919" max="7170" width="9.140625" style="20"/>
    <col min="7171" max="7171" width="11.7109375" style="20" customWidth="1"/>
    <col min="7172" max="7172" width="9.140625" style="20"/>
    <col min="7173" max="7173" width="14.7109375" style="20" customWidth="1"/>
    <col min="7174" max="7174" width="10.7109375" style="20" customWidth="1"/>
    <col min="7175" max="7426" width="9.140625" style="20"/>
    <col min="7427" max="7427" width="11.7109375" style="20" customWidth="1"/>
    <col min="7428" max="7428" width="9.140625" style="20"/>
    <col min="7429" max="7429" width="14.7109375" style="20" customWidth="1"/>
    <col min="7430" max="7430" width="10.7109375" style="20" customWidth="1"/>
    <col min="7431" max="7682" width="9.140625" style="20"/>
    <col min="7683" max="7683" width="11.7109375" style="20" customWidth="1"/>
    <col min="7684" max="7684" width="9.140625" style="20"/>
    <col min="7685" max="7685" width="14.7109375" style="20" customWidth="1"/>
    <col min="7686" max="7686" width="10.7109375" style="20" customWidth="1"/>
    <col min="7687" max="7938" width="9.140625" style="20"/>
    <col min="7939" max="7939" width="11.7109375" style="20" customWidth="1"/>
    <col min="7940" max="7940" width="9.140625" style="20"/>
    <col min="7941" max="7941" width="14.7109375" style="20" customWidth="1"/>
    <col min="7942" max="7942" width="10.7109375" style="20" customWidth="1"/>
    <col min="7943" max="8194" width="9.140625" style="20"/>
    <col min="8195" max="8195" width="11.7109375" style="20" customWidth="1"/>
    <col min="8196" max="8196" width="9.140625" style="20"/>
    <col min="8197" max="8197" width="14.7109375" style="20" customWidth="1"/>
    <col min="8198" max="8198" width="10.7109375" style="20" customWidth="1"/>
    <col min="8199" max="8450" width="9.140625" style="20"/>
    <col min="8451" max="8451" width="11.7109375" style="20" customWidth="1"/>
    <col min="8452" max="8452" width="9.140625" style="20"/>
    <col min="8453" max="8453" width="14.7109375" style="20" customWidth="1"/>
    <col min="8454" max="8454" width="10.7109375" style="20" customWidth="1"/>
    <col min="8455" max="8706" width="9.140625" style="20"/>
    <col min="8707" max="8707" width="11.7109375" style="20" customWidth="1"/>
    <col min="8708" max="8708" width="9.140625" style="20"/>
    <col min="8709" max="8709" width="14.7109375" style="20" customWidth="1"/>
    <col min="8710" max="8710" width="10.7109375" style="20" customWidth="1"/>
    <col min="8711" max="8962" width="9.140625" style="20"/>
    <col min="8963" max="8963" width="11.7109375" style="20" customWidth="1"/>
    <col min="8964" max="8964" width="9.140625" style="20"/>
    <col min="8965" max="8965" width="14.7109375" style="20" customWidth="1"/>
    <col min="8966" max="8966" width="10.7109375" style="20" customWidth="1"/>
    <col min="8967" max="9218" width="9.140625" style="20"/>
    <col min="9219" max="9219" width="11.7109375" style="20" customWidth="1"/>
    <col min="9220" max="9220" width="9.140625" style="20"/>
    <col min="9221" max="9221" width="14.7109375" style="20" customWidth="1"/>
    <col min="9222" max="9222" width="10.7109375" style="20" customWidth="1"/>
    <col min="9223" max="9474" width="9.140625" style="20"/>
    <col min="9475" max="9475" width="11.7109375" style="20" customWidth="1"/>
    <col min="9476" max="9476" width="9.140625" style="20"/>
    <col min="9477" max="9477" width="14.7109375" style="20" customWidth="1"/>
    <col min="9478" max="9478" width="10.7109375" style="20" customWidth="1"/>
    <col min="9479" max="9730" width="9.140625" style="20"/>
    <col min="9731" max="9731" width="11.7109375" style="20" customWidth="1"/>
    <col min="9732" max="9732" width="9.140625" style="20"/>
    <col min="9733" max="9733" width="14.7109375" style="20" customWidth="1"/>
    <col min="9734" max="9734" width="10.7109375" style="20" customWidth="1"/>
    <col min="9735" max="9986" width="9.140625" style="20"/>
    <col min="9987" max="9987" width="11.7109375" style="20" customWidth="1"/>
    <col min="9988" max="9988" width="9.140625" style="20"/>
    <col min="9989" max="9989" width="14.7109375" style="20" customWidth="1"/>
    <col min="9990" max="9990" width="10.7109375" style="20" customWidth="1"/>
    <col min="9991" max="10242" width="9.140625" style="20"/>
    <col min="10243" max="10243" width="11.7109375" style="20" customWidth="1"/>
    <col min="10244" max="10244" width="9.140625" style="20"/>
    <col min="10245" max="10245" width="14.7109375" style="20" customWidth="1"/>
    <col min="10246" max="10246" width="10.7109375" style="20" customWidth="1"/>
    <col min="10247" max="10498" width="9.140625" style="20"/>
    <col min="10499" max="10499" width="11.7109375" style="20" customWidth="1"/>
    <col min="10500" max="10500" width="9.140625" style="20"/>
    <col min="10501" max="10501" width="14.7109375" style="20" customWidth="1"/>
    <col min="10502" max="10502" width="10.7109375" style="20" customWidth="1"/>
    <col min="10503" max="10754" width="9.140625" style="20"/>
    <col min="10755" max="10755" width="11.7109375" style="20" customWidth="1"/>
    <col min="10756" max="10756" width="9.140625" style="20"/>
    <col min="10757" max="10757" width="14.7109375" style="20" customWidth="1"/>
    <col min="10758" max="10758" width="10.7109375" style="20" customWidth="1"/>
    <col min="10759" max="11010" width="9.140625" style="20"/>
    <col min="11011" max="11011" width="11.7109375" style="20" customWidth="1"/>
    <col min="11012" max="11012" width="9.140625" style="20"/>
    <col min="11013" max="11013" width="14.7109375" style="20" customWidth="1"/>
    <col min="11014" max="11014" width="10.7109375" style="20" customWidth="1"/>
    <col min="11015" max="11266" width="9.140625" style="20"/>
    <col min="11267" max="11267" width="11.7109375" style="20" customWidth="1"/>
    <col min="11268" max="11268" width="9.140625" style="20"/>
    <col min="11269" max="11269" width="14.7109375" style="20" customWidth="1"/>
    <col min="11270" max="11270" width="10.7109375" style="20" customWidth="1"/>
    <col min="11271" max="11522" width="9.140625" style="20"/>
    <col min="11523" max="11523" width="11.7109375" style="20" customWidth="1"/>
    <col min="11524" max="11524" width="9.140625" style="20"/>
    <col min="11525" max="11525" width="14.7109375" style="20" customWidth="1"/>
    <col min="11526" max="11526" width="10.7109375" style="20" customWidth="1"/>
    <col min="11527" max="11778" width="9.140625" style="20"/>
    <col min="11779" max="11779" width="11.7109375" style="20" customWidth="1"/>
    <col min="11780" max="11780" width="9.140625" style="20"/>
    <col min="11781" max="11781" width="14.7109375" style="20" customWidth="1"/>
    <col min="11782" max="11782" width="10.7109375" style="20" customWidth="1"/>
    <col min="11783" max="12034" width="9.140625" style="20"/>
    <col min="12035" max="12035" width="11.7109375" style="20" customWidth="1"/>
    <col min="12036" max="12036" width="9.140625" style="20"/>
    <col min="12037" max="12037" width="14.7109375" style="20" customWidth="1"/>
    <col min="12038" max="12038" width="10.7109375" style="20" customWidth="1"/>
    <col min="12039" max="12290" width="9.140625" style="20"/>
    <col min="12291" max="12291" width="11.7109375" style="20" customWidth="1"/>
    <col min="12292" max="12292" width="9.140625" style="20"/>
    <col min="12293" max="12293" width="14.7109375" style="20" customWidth="1"/>
    <col min="12294" max="12294" width="10.7109375" style="20" customWidth="1"/>
    <col min="12295" max="12546" width="9.140625" style="20"/>
    <col min="12547" max="12547" width="11.7109375" style="20" customWidth="1"/>
    <col min="12548" max="12548" width="9.140625" style="20"/>
    <col min="12549" max="12549" width="14.7109375" style="20" customWidth="1"/>
    <col min="12550" max="12550" width="10.7109375" style="20" customWidth="1"/>
    <col min="12551" max="12802" width="9.140625" style="20"/>
    <col min="12803" max="12803" width="11.7109375" style="20" customWidth="1"/>
    <col min="12804" max="12804" width="9.140625" style="20"/>
    <col min="12805" max="12805" width="14.7109375" style="20" customWidth="1"/>
    <col min="12806" max="12806" width="10.7109375" style="20" customWidth="1"/>
    <col min="12807" max="13058" width="9.140625" style="20"/>
    <col min="13059" max="13059" width="11.7109375" style="20" customWidth="1"/>
    <col min="13060" max="13060" width="9.140625" style="20"/>
    <col min="13061" max="13061" width="14.7109375" style="20" customWidth="1"/>
    <col min="13062" max="13062" width="10.7109375" style="20" customWidth="1"/>
    <col min="13063" max="13314" width="9.140625" style="20"/>
    <col min="13315" max="13315" width="11.7109375" style="20" customWidth="1"/>
    <col min="13316" max="13316" width="9.140625" style="20"/>
    <col min="13317" max="13317" width="14.7109375" style="20" customWidth="1"/>
    <col min="13318" max="13318" width="10.7109375" style="20" customWidth="1"/>
    <col min="13319" max="13570" width="9.140625" style="20"/>
    <col min="13571" max="13571" width="11.7109375" style="20" customWidth="1"/>
    <col min="13572" max="13572" width="9.140625" style="20"/>
    <col min="13573" max="13573" width="14.7109375" style="20" customWidth="1"/>
    <col min="13574" max="13574" width="10.7109375" style="20" customWidth="1"/>
    <col min="13575" max="13826" width="9.140625" style="20"/>
    <col min="13827" max="13827" width="11.7109375" style="20" customWidth="1"/>
    <col min="13828" max="13828" width="9.140625" style="20"/>
    <col min="13829" max="13829" width="14.7109375" style="20" customWidth="1"/>
    <col min="13830" max="13830" width="10.7109375" style="20" customWidth="1"/>
    <col min="13831" max="14082" width="9.140625" style="20"/>
    <col min="14083" max="14083" width="11.7109375" style="20" customWidth="1"/>
    <col min="14084" max="14084" width="9.140625" style="20"/>
    <col min="14085" max="14085" width="14.7109375" style="20" customWidth="1"/>
    <col min="14086" max="14086" width="10.7109375" style="20" customWidth="1"/>
    <col min="14087" max="14338" width="9.140625" style="20"/>
    <col min="14339" max="14339" width="11.7109375" style="20" customWidth="1"/>
    <col min="14340" max="14340" width="9.140625" style="20"/>
    <col min="14341" max="14341" width="14.7109375" style="20" customWidth="1"/>
    <col min="14342" max="14342" width="10.7109375" style="20" customWidth="1"/>
    <col min="14343" max="14594" width="9.140625" style="20"/>
    <col min="14595" max="14595" width="11.7109375" style="20" customWidth="1"/>
    <col min="14596" max="14596" width="9.140625" style="20"/>
    <col min="14597" max="14597" width="14.7109375" style="20" customWidth="1"/>
    <col min="14598" max="14598" width="10.7109375" style="20" customWidth="1"/>
    <col min="14599" max="14850" width="9.140625" style="20"/>
    <col min="14851" max="14851" width="11.7109375" style="20" customWidth="1"/>
    <col min="14852" max="14852" width="9.140625" style="20"/>
    <col min="14853" max="14853" width="14.7109375" style="20" customWidth="1"/>
    <col min="14854" max="14854" width="10.7109375" style="20" customWidth="1"/>
    <col min="14855" max="15106" width="9.140625" style="20"/>
    <col min="15107" max="15107" width="11.7109375" style="20" customWidth="1"/>
    <col min="15108" max="15108" width="9.140625" style="20"/>
    <col min="15109" max="15109" width="14.7109375" style="20" customWidth="1"/>
    <col min="15110" max="15110" width="10.7109375" style="20" customWidth="1"/>
    <col min="15111" max="15362" width="9.140625" style="20"/>
    <col min="15363" max="15363" width="11.7109375" style="20" customWidth="1"/>
    <col min="15364" max="15364" width="9.140625" style="20"/>
    <col min="15365" max="15365" width="14.7109375" style="20" customWidth="1"/>
    <col min="15366" max="15366" width="10.7109375" style="20" customWidth="1"/>
    <col min="15367" max="15618" width="9.140625" style="20"/>
    <col min="15619" max="15619" width="11.7109375" style="20" customWidth="1"/>
    <col min="15620" max="15620" width="9.140625" style="20"/>
    <col min="15621" max="15621" width="14.7109375" style="20" customWidth="1"/>
    <col min="15622" max="15622" width="10.7109375" style="20" customWidth="1"/>
    <col min="15623" max="15874" width="9.140625" style="20"/>
    <col min="15875" max="15875" width="11.7109375" style="20" customWidth="1"/>
    <col min="15876" max="15876" width="9.140625" style="20"/>
    <col min="15877" max="15877" width="14.7109375" style="20" customWidth="1"/>
    <col min="15878" max="15878" width="10.7109375" style="20" customWidth="1"/>
    <col min="15879" max="16130" width="9.140625" style="20"/>
    <col min="16131" max="16131" width="11.7109375" style="20" customWidth="1"/>
    <col min="16132" max="16132" width="9.140625" style="20"/>
    <col min="16133" max="16133" width="14.7109375" style="20" customWidth="1"/>
    <col min="16134" max="16134" width="10.7109375" style="20" customWidth="1"/>
    <col min="16135" max="16384" width="9.140625" style="20"/>
  </cols>
  <sheetData>
    <row r="2" spans="1:13" x14ac:dyDescent="0.25">
      <c r="A2" s="21" t="s">
        <v>133</v>
      </c>
      <c r="B2" s="21" t="s">
        <v>134</v>
      </c>
      <c r="C2" s="21" t="s">
        <v>135</v>
      </c>
      <c r="D2" s="227" t="s">
        <v>136</v>
      </c>
      <c r="E2" s="227"/>
    </row>
    <row r="3" spans="1:13" x14ac:dyDescent="0.25">
      <c r="A3" s="24">
        <v>0</v>
      </c>
      <c r="B3" s="24">
        <v>0</v>
      </c>
      <c r="C3" s="24">
        <v>1</v>
      </c>
      <c r="D3" s="228">
        <v>7</v>
      </c>
      <c r="E3" s="228"/>
    </row>
    <row r="5" spans="1:13" hidden="1" x14ac:dyDescent="0.25">
      <c r="A5" s="20" t="s">
        <v>98</v>
      </c>
      <c r="B5" s="22" t="s">
        <v>150</v>
      </c>
      <c r="C5" s="22">
        <f>D3</f>
        <v>7</v>
      </c>
      <c r="D5" s="23"/>
    </row>
    <row r="6" spans="1:13" x14ac:dyDescent="0.25">
      <c r="A6" s="20" t="s">
        <v>99</v>
      </c>
      <c r="B6" s="25">
        <v>10</v>
      </c>
      <c r="C6" s="26">
        <v>10</v>
      </c>
      <c r="D6" s="27">
        <f>((100/B6)*C6)/100</f>
        <v>1</v>
      </c>
    </row>
    <row r="7" spans="1:13" x14ac:dyDescent="0.25">
      <c r="A7" s="20" t="s">
        <v>100</v>
      </c>
      <c r="B7" s="25">
        <f>A3+B3+C3+D3</f>
        <v>8</v>
      </c>
      <c r="C7" s="26">
        <v>1</v>
      </c>
      <c r="D7" s="27">
        <f t="shared" ref="D7:D12" si="0">((100/B7)*C7)/100</f>
        <v>0.125</v>
      </c>
      <c r="F7" s="230" t="s">
        <v>151</v>
      </c>
      <c r="G7" s="230"/>
      <c r="H7" s="28" t="s">
        <v>152</v>
      </c>
      <c r="J7" s="34"/>
    </row>
    <row r="8" spans="1:13" x14ac:dyDescent="0.25">
      <c r="A8" s="20" t="s">
        <v>105</v>
      </c>
      <c r="B8" s="25">
        <f>C5</f>
        <v>7</v>
      </c>
      <c r="C8" s="26">
        <v>0</v>
      </c>
      <c r="D8" s="27">
        <f t="shared" si="0"/>
        <v>0</v>
      </c>
      <c r="F8" s="229" t="s">
        <v>153</v>
      </c>
      <c r="G8" s="229"/>
      <c r="H8" s="25" t="s">
        <v>154</v>
      </c>
    </row>
    <row r="9" spans="1:13" x14ac:dyDescent="0.25">
      <c r="A9" s="20" t="s">
        <v>107</v>
      </c>
      <c r="B9" s="25">
        <f>C5</f>
        <v>7</v>
      </c>
      <c r="C9" s="26">
        <v>0</v>
      </c>
      <c r="D9" s="27">
        <f t="shared" si="0"/>
        <v>0</v>
      </c>
      <c r="F9" s="229" t="s">
        <v>155</v>
      </c>
      <c r="G9" s="229"/>
      <c r="H9" s="25" t="s">
        <v>156</v>
      </c>
    </row>
    <row r="10" spans="1:13" x14ac:dyDescent="0.25">
      <c r="A10" s="20" t="s">
        <v>69</v>
      </c>
      <c r="B10" s="25">
        <f>C5</f>
        <v>7</v>
      </c>
      <c r="C10" s="26">
        <v>0</v>
      </c>
      <c r="D10" s="27">
        <f t="shared" si="0"/>
        <v>0</v>
      </c>
      <c r="F10" s="229" t="s">
        <v>157</v>
      </c>
      <c r="G10" s="229"/>
      <c r="H10" s="25" t="s">
        <v>158</v>
      </c>
    </row>
    <row r="11" spans="1:13" x14ac:dyDescent="0.25">
      <c r="A11" s="29" t="s">
        <v>103</v>
      </c>
      <c r="B11" s="25">
        <f>C5</f>
        <v>7</v>
      </c>
      <c r="C11" s="26">
        <v>0</v>
      </c>
      <c r="D11" s="27">
        <f t="shared" si="0"/>
        <v>0</v>
      </c>
      <c r="F11" s="229" t="s">
        <v>159</v>
      </c>
      <c r="G11" s="229"/>
      <c r="H11" s="25" t="s">
        <v>160</v>
      </c>
    </row>
    <row r="12" spans="1:13" x14ac:dyDescent="0.25">
      <c r="A12" s="20" t="s">
        <v>70</v>
      </c>
      <c r="B12" s="25">
        <f>C5</f>
        <v>7</v>
      </c>
      <c r="C12" s="26">
        <v>0</v>
      </c>
      <c r="D12" s="27">
        <f t="shared" si="0"/>
        <v>0</v>
      </c>
      <c r="F12" s="229" t="s">
        <v>161</v>
      </c>
      <c r="G12" s="229"/>
      <c r="H12" s="25" t="s">
        <v>162</v>
      </c>
    </row>
    <row r="13" spans="1:13" x14ac:dyDescent="0.25">
      <c r="F13" s="229" t="s">
        <v>163</v>
      </c>
      <c r="G13" s="229"/>
      <c r="H13" s="25" t="s">
        <v>164</v>
      </c>
    </row>
    <row r="14" spans="1:13" hidden="1" x14ac:dyDescent="0.25">
      <c r="A14" s="21"/>
      <c r="B14" s="21" t="s">
        <v>104</v>
      </c>
      <c r="C14" s="21" t="s">
        <v>108</v>
      </c>
      <c r="G14" s="21" t="s">
        <v>99</v>
      </c>
      <c r="H14" s="21" t="s">
        <v>101</v>
      </c>
      <c r="I14" s="21" t="s">
        <v>102</v>
      </c>
      <c r="J14" s="21" t="s">
        <v>68</v>
      </c>
      <c r="K14" s="21" t="s">
        <v>69</v>
      </c>
      <c r="L14" s="21" t="s">
        <v>103</v>
      </c>
      <c r="M14" s="21" t="s">
        <v>70</v>
      </c>
    </row>
    <row r="15" spans="1:13" hidden="1" x14ac:dyDescent="0.25">
      <c r="A15" s="21" t="s">
        <v>66</v>
      </c>
      <c r="B15" s="21">
        <f>G15</f>
        <v>10</v>
      </c>
      <c r="C15" s="21">
        <f>G16</f>
        <v>30</v>
      </c>
      <c r="E15" s="227" t="s">
        <v>104</v>
      </c>
      <c r="F15" s="227"/>
      <c r="G15" s="30">
        <f>C6</f>
        <v>10</v>
      </c>
      <c r="H15" s="30">
        <f>40/B7*C7</f>
        <v>5</v>
      </c>
      <c r="I15" s="30">
        <f>15/B8*C8</f>
        <v>0</v>
      </c>
      <c r="J15" s="30">
        <f>10/B9*C9</f>
        <v>0</v>
      </c>
      <c r="K15" s="30">
        <f>10/B10*C10</f>
        <v>0</v>
      </c>
      <c r="L15" s="30">
        <f>5/B11*C11</f>
        <v>0</v>
      </c>
      <c r="M15" s="30">
        <f>5/B12*C12</f>
        <v>0</v>
      </c>
    </row>
    <row r="16" spans="1:13" hidden="1" x14ac:dyDescent="0.25">
      <c r="A16" s="21" t="s">
        <v>67</v>
      </c>
      <c r="B16" s="21">
        <f>H15</f>
        <v>5</v>
      </c>
      <c r="C16" s="21">
        <f>H16</f>
        <v>3.75</v>
      </c>
      <c r="E16" s="227" t="s">
        <v>106</v>
      </c>
      <c r="F16" s="227"/>
      <c r="G16" s="21">
        <f>G15+20</f>
        <v>30</v>
      </c>
      <c r="H16" s="21">
        <f>30/B7*C7</f>
        <v>3.75</v>
      </c>
      <c r="I16" s="21">
        <f>15/B8*C8</f>
        <v>0</v>
      </c>
      <c r="J16" s="21">
        <f>10/B9*C9</f>
        <v>0</v>
      </c>
      <c r="K16" s="21">
        <f>5/B10*C10</f>
        <v>0</v>
      </c>
      <c r="L16" s="21">
        <f>5/B11*C11</f>
        <v>0</v>
      </c>
      <c r="M16" s="21">
        <f>5/B12*C12</f>
        <v>0</v>
      </c>
    </row>
    <row r="17" spans="1:8" hidden="1" x14ac:dyDescent="0.25">
      <c r="A17" s="21" t="s">
        <v>102</v>
      </c>
      <c r="B17" s="21">
        <f>I15</f>
        <v>0</v>
      </c>
      <c r="C17" s="21">
        <f>I16</f>
        <v>0</v>
      </c>
    </row>
    <row r="18" spans="1:8" hidden="1" x14ac:dyDescent="0.25">
      <c r="A18" s="21" t="s">
        <v>68</v>
      </c>
      <c r="B18" s="21">
        <f>J15</f>
        <v>0</v>
      </c>
      <c r="C18" s="21">
        <f>J16</f>
        <v>0</v>
      </c>
    </row>
    <row r="19" spans="1:8" hidden="1" x14ac:dyDescent="0.25">
      <c r="A19" s="21" t="s">
        <v>69</v>
      </c>
      <c r="B19" s="21">
        <f>K15</f>
        <v>0</v>
      </c>
      <c r="C19" s="21">
        <f>K16</f>
        <v>0</v>
      </c>
    </row>
    <row r="20" spans="1:8" hidden="1" x14ac:dyDescent="0.25">
      <c r="A20" s="31" t="s">
        <v>103</v>
      </c>
      <c r="B20" s="21">
        <f>L15</f>
        <v>0</v>
      </c>
      <c r="C20" s="21">
        <f>L16</f>
        <v>0</v>
      </c>
    </row>
    <row r="21" spans="1:8" hidden="1" x14ac:dyDescent="0.25">
      <c r="A21" s="21" t="s">
        <v>70</v>
      </c>
      <c r="B21" s="21">
        <f>M15</f>
        <v>0</v>
      </c>
      <c r="C21" s="21">
        <f>M16</f>
        <v>0</v>
      </c>
    </row>
    <row r="22" spans="1:8" x14ac:dyDescent="0.25">
      <c r="A22" s="21" t="s">
        <v>109</v>
      </c>
      <c r="B22" s="32">
        <f>(B15+B16+B17+B18+B19+B20+B21)/100</f>
        <v>0.15</v>
      </c>
      <c r="C22" s="32">
        <f>(C15+C16+C17+C18+C19+C20+C21)/100</f>
        <v>0.33750000000000002</v>
      </c>
      <c r="F22" s="229" t="s">
        <v>165</v>
      </c>
      <c r="G22" s="229"/>
      <c r="H22" s="25" t="s">
        <v>156</v>
      </c>
    </row>
    <row r="23" spans="1:8" x14ac:dyDescent="0.25">
      <c r="F23" s="229" t="s">
        <v>166</v>
      </c>
      <c r="G23" s="229"/>
      <c r="H23" s="25" t="s">
        <v>167</v>
      </c>
    </row>
    <row r="24" spans="1:8" x14ac:dyDescent="0.25">
      <c r="A24" s="20" t="s">
        <v>141</v>
      </c>
      <c r="B24" s="33">
        <v>0.01</v>
      </c>
      <c r="C24" s="33">
        <v>0.02</v>
      </c>
      <c r="F24" s="229" t="s">
        <v>168</v>
      </c>
      <c r="G24" s="229"/>
      <c r="H24" s="25" t="s">
        <v>169</v>
      </c>
    </row>
    <row r="25" spans="1:8" x14ac:dyDescent="0.25">
      <c r="A25" s="20" t="s">
        <v>142</v>
      </c>
      <c r="B25" s="33">
        <v>0.01</v>
      </c>
      <c r="C25" s="33">
        <v>0.03</v>
      </c>
    </row>
    <row r="26" spans="1:8" x14ac:dyDescent="0.25">
      <c r="A26" s="20" t="s">
        <v>143</v>
      </c>
      <c r="B26" s="33">
        <v>0.03</v>
      </c>
      <c r="C26" s="33">
        <v>0.08</v>
      </c>
    </row>
    <row r="27" spans="1:8" x14ac:dyDescent="0.25">
      <c r="A27" s="20" t="s">
        <v>144</v>
      </c>
      <c r="B27" s="33">
        <v>0.05</v>
      </c>
      <c r="C27" s="33">
        <v>0.15</v>
      </c>
    </row>
    <row r="28" spans="1:8" x14ac:dyDescent="0.25">
      <c r="A28" s="20" t="s">
        <v>145</v>
      </c>
      <c r="B28" s="33">
        <v>7.0000000000000007E-2</v>
      </c>
      <c r="C28" s="33">
        <v>0.2</v>
      </c>
    </row>
    <row r="29" spans="1:8" x14ac:dyDescent="0.25">
      <c r="A29" s="20" t="s">
        <v>146</v>
      </c>
      <c r="B29" s="33">
        <v>0.1</v>
      </c>
      <c r="C29" s="33">
        <v>0.3</v>
      </c>
    </row>
  </sheetData>
  <mergeCells count="14">
    <mergeCell ref="E16:F16"/>
    <mergeCell ref="F22:G22"/>
    <mergeCell ref="F23:G23"/>
    <mergeCell ref="F24:G24"/>
    <mergeCell ref="E15:F15"/>
    <mergeCell ref="D2:E2"/>
    <mergeCell ref="D3:E3"/>
    <mergeCell ref="F12:G12"/>
    <mergeCell ref="F13:G13"/>
    <mergeCell ref="F7:G7"/>
    <mergeCell ref="F8:G8"/>
    <mergeCell ref="F9:G9"/>
    <mergeCell ref="F10:G10"/>
    <mergeCell ref="F11:G1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C7" sqref="C7"/>
    </sheetView>
  </sheetViews>
  <sheetFormatPr defaultRowHeight="15" x14ac:dyDescent="0.25"/>
  <cols>
    <col min="1" max="1" width="20.5703125" style="20" customWidth="1"/>
    <col min="2" max="2" width="11.7109375" style="20" customWidth="1"/>
    <col min="3" max="4" width="9.140625" style="20"/>
    <col min="5" max="5" width="10.140625" style="20" customWidth="1"/>
    <col min="6" max="6" width="10.7109375" style="20" customWidth="1"/>
    <col min="7" max="7" width="9.140625" style="20"/>
    <col min="8" max="8" width="10.42578125" style="20" customWidth="1"/>
    <col min="9" max="9" width="15.42578125" style="20" customWidth="1"/>
    <col min="10" max="258" width="9.140625" style="20"/>
    <col min="259" max="259" width="11.7109375" style="20" customWidth="1"/>
    <col min="260" max="260" width="9.140625" style="20"/>
    <col min="261" max="261" width="14.7109375" style="20" customWidth="1"/>
    <col min="262" max="262" width="10.7109375" style="20" customWidth="1"/>
    <col min="263" max="514" width="9.140625" style="20"/>
    <col min="515" max="515" width="11.7109375" style="20" customWidth="1"/>
    <col min="516" max="516" width="9.140625" style="20"/>
    <col min="517" max="517" width="14.7109375" style="20" customWidth="1"/>
    <col min="518" max="518" width="10.7109375" style="20" customWidth="1"/>
    <col min="519" max="770" width="9.140625" style="20"/>
    <col min="771" max="771" width="11.7109375" style="20" customWidth="1"/>
    <col min="772" max="772" width="9.140625" style="20"/>
    <col min="773" max="773" width="14.7109375" style="20" customWidth="1"/>
    <col min="774" max="774" width="10.7109375" style="20" customWidth="1"/>
    <col min="775" max="1026" width="9.140625" style="20"/>
    <col min="1027" max="1027" width="11.7109375" style="20" customWidth="1"/>
    <col min="1028" max="1028" width="9.140625" style="20"/>
    <col min="1029" max="1029" width="14.7109375" style="20" customWidth="1"/>
    <col min="1030" max="1030" width="10.7109375" style="20" customWidth="1"/>
    <col min="1031" max="1282" width="9.140625" style="20"/>
    <col min="1283" max="1283" width="11.7109375" style="20" customWidth="1"/>
    <col min="1284" max="1284" width="9.140625" style="20"/>
    <col min="1285" max="1285" width="14.7109375" style="20" customWidth="1"/>
    <col min="1286" max="1286" width="10.7109375" style="20" customWidth="1"/>
    <col min="1287" max="1538" width="9.140625" style="20"/>
    <col min="1539" max="1539" width="11.7109375" style="20" customWidth="1"/>
    <col min="1540" max="1540" width="9.140625" style="20"/>
    <col min="1541" max="1541" width="14.7109375" style="20" customWidth="1"/>
    <col min="1542" max="1542" width="10.7109375" style="20" customWidth="1"/>
    <col min="1543" max="1794" width="9.140625" style="20"/>
    <col min="1795" max="1795" width="11.7109375" style="20" customWidth="1"/>
    <col min="1796" max="1796" width="9.140625" style="20"/>
    <col min="1797" max="1797" width="14.7109375" style="20" customWidth="1"/>
    <col min="1798" max="1798" width="10.7109375" style="20" customWidth="1"/>
    <col min="1799" max="2050" width="9.140625" style="20"/>
    <col min="2051" max="2051" width="11.7109375" style="20" customWidth="1"/>
    <col min="2052" max="2052" width="9.140625" style="20"/>
    <col min="2053" max="2053" width="14.7109375" style="20" customWidth="1"/>
    <col min="2054" max="2054" width="10.7109375" style="20" customWidth="1"/>
    <col min="2055" max="2306" width="9.140625" style="20"/>
    <col min="2307" max="2307" width="11.7109375" style="20" customWidth="1"/>
    <col min="2308" max="2308" width="9.140625" style="20"/>
    <col min="2309" max="2309" width="14.7109375" style="20" customWidth="1"/>
    <col min="2310" max="2310" width="10.7109375" style="20" customWidth="1"/>
    <col min="2311" max="2562" width="9.140625" style="20"/>
    <col min="2563" max="2563" width="11.7109375" style="20" customWidth="1"/>
    <col min="2564" max="2564" width="9.140625" style="20"/>
    <col min="2565" max="2565" width="14.7109375" style="20" customWidth="1"/>
    <col min="2566" max="2566" width="10.7109375" style="20" customWidth="1"/>
    <col min="2567" max="2818" width="9.140625" style="20"/>
    <col min="2819" max="2819" width="11.7109375" style="20" customWidth="1"/>
    <col min="2820" max="2820" width="9.140625" style="20"/>
    <col min="2821" max="2821" width="14.7109375" style="20" customWidth="1"/>
    <col min="2822" max="2822" width="10.7109375" style="20" customWidth="1"/>
    <col min="2823" max="3074" width="9.140625" style="20"/>
    <col min="3075" max="3075" width="11.7109375" style="20" customWidth="1"/>
    <col min="3076" max="3076" width="9.140625" style="20"/>
    <col min="3077" max="3077" width="14.7109375" style="20" customWidth="1"/>
    <col min="3078" max="3078" width="10.7109375" style="20" customWidth="1"/>
    <col min="3079" max="3330" width="9.140625" style="20"/>
    <col min="3331" max="3331" width="11.7109375" style="20" customWidth="1"/>
    <col min="3332" max="3332" width="9.140625" style="20"/>
    <col min="3333" max="3333" width="14.7109375" style="20" customWidth="1"/>
    <col min="3334" max="3334" width="10.7109375" style="20" customWidth="1"/>
    <col min="3335" max="3586" width="9.140625" style="20"/>
    <col min="3587" max="3587" width="11.7109375" style="20" customWidth="1"/>
    <col min="3588" max="3588" width="9.140625" style="20"/>
    <col min="3589" max="3589" width="14.7109375" style="20" customWidth="1"/>
    <col min="3590" max="3590" width="10.7109375" style="20" customWidth="1"/>
    <col min="3591" max="3842" width="9.140625" style="20"/>
    <col min="3843" max="3843" width="11.7109375" style="20" customWidth="1"/>
    <col min="3844" max="3844" width="9.140625" style="20"/>
    <col min="3845" max="3845" width="14.7109375" style="20" customWidth="1"/>
    <col min="3846" max="3846" width="10.7109375" style="20" customWidth="1"/>
    <col min="3847" max="4098" width="9.140625" style="20"/>
    <col min="4099" max="4099" width="11.7109375" style="20" customWidth="1"/>
    <col min="4100" max="4100" width="9.140625" style="20"/>
    <col min="4101" max="4101" width="14.7109375" style="20" customWidth="1"/>
    <col min="4102" max="4102" width="10.7109375" style="20" customWidth="1"/>
    <col min="4103" max="4354" width="9.140625" style="20"/>
    <col min="4355" max="4355" width="11.7109375" style="20" customWidth="1"/>
    <col min="4356" max="4356" width="9.140625" style="20"/>
    <col min="4357" max="4357" width="14.7109375" style="20" customWidth="1"/>
    <col min="4358" max="4358" width="10.7109375" style="20" customWidth="1"/>
    <col min="4359" max="4610" width="9.140625" style="20"/>
    <col min="4611" max="4611" width="11.7109375" style="20" customWidth="1"/>
    <col min="4612" max="4612" width="9.140625" style="20"/>
    <col min="4613" max="4613" width="14.7109375" style="20" customWidth="1"/>
    <col min="4614" max="4614" width="10.7109375" style="20" customWidth="1"/>
    <col min="4615" max="4866" width="9.140625" style="20"/>
    <col min="4867" max="4867" width="11.7109375" style="20" customWidth="1"/>
    <col min="4868" max="4868" width="9.140625" style="20"/>
    <col min="4869" max="4869" width="14.7109375" style="20" customWidth="1"/>
    <col min="4870" max="4870" width="10.7109375" style="20" customWidth="1"/>
    <col min="4871" max="5122" width="9.140625" style="20"/>
    <col min="5123" max="5123" width="11.7109375" style="20" customWidth="1"/>
    <col min="5124" max="5124" width="9.140625" style="20"/>
    <col min="5125" max="5125" width="14.7109375" style="20" customWidth="1"/>
    <col min="5126" max="5126" width="10.7109375" style="20" customWidth="1"/>
    <col min="5127" max="5378" width="9.140625" style="20"/>
    <col min="5379" max="5379" width="11.7109375" style="20" customWidth="1"/>
    <col min="5380" max="5380" width="9.140625" style="20"/>
    <col min="5381" max="5381" width="14.7109375" style="20" customWidth="1"/>
    <col min="5382" max="5382" width="10.7109375" style="20" customWidth="1"/>
    <col min="5383" max="5634" width="9.140625" style="20"/>
    <col min="5635" max="5635" width="11.7109375" style="20" customWidth="1"/>
    <col min="5636" max="5636" width="9.140625" style="20"/>
    <col min="5637" max="5637" width="14.7109375" style="20" customWidth="1"/>
    <col min="5638" max="5638" width="10.7109375" style="20" customWidth="1"/>
    <col min="5639" max="5890" width="9.140625" style="20"/>
    <col min="5891" max="5891" width="11.7109375" style="20" customWidth="1"/>
    <col min="5892" max="5892" width="9.140625" style="20"/>
    <col min="5893" max="5893" width="14.7109375" style="20" customWidth="1"/>
    <col min="5894" max="5894" width="10.7109375" style="20" customWidth="1"/>
    <col min="5895" max="6146" width="9.140625" style="20"/>
    <col min="6147" max="6147" width="11.7109375" style="20" customWidth="1"/>
    <col min="6148" max="6148" width="9.140625" style="20"/>
    <col min="6149" max="6149" width="14.7109375" style="20" customWidth="1"/>
    <col min="6150" max="6150" width="10.7109375" style="20" customWidth="1"/>
    <col min="6151" max="6402" width="9.140625" style="20"/>
    <col min="6403" max="6403" width="11.7109375" style="20" customWidth="1"/>
    <col min="6404" max="6404" width="9.140625" style="20"/>
    <col min="6405" max="6405" width="14.7109375" style="20" customWidth="1"/>
    <col min="6406" max="6406" width="10.7109375" style="20" customWidth="1"/>
    <col min="6407" max="6658" width="9.140625" style="20"/>
    <col min="6659" max="6659" width="11.7109375" style="20" customWidth="1"/>
    <col min="6660" max="6660" width="9.140625" style="20"/>
    <col min="6661" max="6661" width="14.7109375" style="20" customWidth="1"/>
    <col min="6662" max="6662" width="10.7109375" style="20" customWidth="1"/>
    <col min="6663" max="6914" width="9.140625" style="20"/>
    <col min="6915" max="6915" width="11.7109375" style="20" customWidth="1"/>
    <col min="6916" max="6916" width="9.140625" style="20"/>
    <col min="6917" max="6917" width="14.7109375" style="20" customWidth="1"/>
    <col min="6918" max="6918" width="10.7109375" style="20" customWidth="1"/>
    <col min="6919" max="7170" width="9.140625" style="20"/>
    <col min="7171" max="7171" width="11.7109375" style="20" customWidth="1"/>
    <col min="7172" max="7172" width="9.140625" style="20"/>
    <col min="7173" max="7173" width="14.7109375" style="20" customWidth="1"/>
    <col min="7174" max="7174" width="10.7109375" style="20" customWidth="1"/>
    <col min="7175" max="7426" width="9.140625" style="20"/>
    <col min="7427" max="7427" width="11.7109375" style="20" customWidth="1"/>
    <col min="7428" max="7428" width="9.140625" style="20"/>
    <col min="7429" max="7429" width="14.7109375" style="20" customWidth="1"/>
    <col min="7430" max="7430" width="10.7109375" style="20" customWidth="1"/>
    <col min="7431" max="7682" width="9.140625" style="20"/>
    <col min="7683" max="7683" width="11.7109375" style="20" customWidth="1"/>
    <col min="7684" max="7684" width="9.140625" style="20"/>
    <col min="7685" max="7685" width="14.7109375" style="20" customWidth="1"/>
    <col min="7686" max="7686" width="10.7109375" style="20" customWidth="1"/>
    <col min="7687" max="7938" width="9.140625" style="20"/>
    <col min="7939" max="7939" width="11.7109375" style="20" customWidth="1"/>
    <col min="7940" max="7940" width="9.140625" style="20"/>
    <col min="7941" max="7941" width="14.7109375" style="20" customWidth="1"/>
    <col min="7942" max="7942" width="10.7109375" style="20" customWidth="1"/>
    <col min="7943" max="8194" width="9.140625" style="20"/>
    <col min="8195" max="8195" width="11.7109375" style="20" customWidth="1"/>
    <col min="8196" max="8196" width="9.140625" style="20"/>
    <col min="8197" max="8197" width="14.7109375" style="20" customWidth="1"/>
    <col min="8198" max="8198" width="10.7109375" style="20" customWidth="1"/>
    <col min="8199" max="8450" width="9.140625" style="20"/>
    <col min="8451" max="8451" width="11.7109375" style="20" customWidth="1"/>
    <col min="8452" max="8452" width="9.140625" style="20"/>
    <col min="8453" max="8453" width="14.7109375" style="20" customWidth="1"/>
    <col min="8454" max="8454" width="10.7109375" style="20" customWidth="1"/>
    <col min="8455" max="8706" width="9.140625" style="20"/>
    <col min="8707" max="8707" width="11.7109375" style="20" customWidth="1"/>
    <col min="8708" max="8708" width="9.140625" style="20"/>
    <col min="8709" max="8709" width="14.7109375" style="20" customWidth="1"/>
    <col min="8710" max="8710" width="10.7109375" style="20" customWidth="1"/>
    <col min="8711" max="8962" width="9.140625" style="20"/>
    <col min="8963" max="8963" width="11.7109375" style="20" customWidth="1"/>
    <col min="8964" max="8964" width="9.140625" style="20"/>
    <col min="8965" max="8965" width="14.7109375" style="20" customWidth="1"/>
    <col min="8966" max="8966" width="10.7109375" style="20" customWidth="1"/>
    <col min="8967" max="9218" width="9.140625" style="20"/>
    <col min="9219" max="9219" width="11.7109375" style="20" customWidth="1"/>
    <col min="9220" max="9220" width="9.140625" style="20"/>
    <col min="9221" max="9221" width="14.7109375" style="20" customWidth="1"/>
    <col min="9222" max="9222" width="10.7109375" style="20" customWidth="1"/>
    <col min="9223" max="9474" width="9.140625" style="20"/>
    <col min="9475" max="9475" width="11.7109375" style="20" customWidth="1"/>
    <col min="9476" max="9476" width="9.140625" style="20"/>
    <col min="9477" max="9477" width="14.7109375" style="20" customWidth="1"/>
    <col min="9478" max="9478" width="10.7109375" style="20" customWidth="1"/>
    <col min="9479" max="9730" width="9.140625" style="20"/>
    <col min="9731" max="9731" width="11.7109375" style="20" customWidth="1"/>
    <col min="9732" max="9732" width="9.140625" style="20"/>
    <col min="9733" max="9733" width="14.7109375" style="20" customWidth="1"/>
    <col min="9734" max="9734" width="10.7109375" style="20" customWidth="1"/>
    <col min="9735" max="9986" width="9.140625" style="20"/>
    <col min="9987" max="9987" width="11.7109375" style="20" customWidth="1"/>
    <col min="9988" max="9988" width="9.140625" style="20"/>
    <col min="9989" max="9989" width="14.7109375" style="20" customWidth="1"/>
    <col min="9990" max="9990" width="10.7109375" style="20" customWidth="1"/>
    <col min="9991" max="10242" width="9.140625" style="20"/>
    <col min="10243" max="10243" width="11.7109375" style="20" customWidth="1"/>
    <col min="10244" max="10244" width="9.140625" style="20"/>
    <col min="10245" max="10245" width="14.7109375" style="20" customWidth="1"/>
    <col min="10246" max="10246" width="10.7109375" style="20" customWidth="1"/>
    <col min="10247" max="10498" width="9.140625" style="20"/>
    <col min="10499" max="10499" width="11.7109375" style="20" customWidth="1"/>
    <col min="10500" max="10500" width="9.140625" style="20"/>
    <col min="10501" max="10501" width="14.7109375" style="20" customWidth="1"/>
    <col min="10502" max="10502" width="10.7109375" style="20" customWidth="1"/>
    <col min="10503" max="10754" width="9.140625" style="20"/>
    <col min="10755" max="10755" width="11.7109375" style="20" customWidth="1"/>
    <col min="10756" max="10756" width="9.140625" style="20"/>
    <col min="10757" max="10757" width="14.7109375" style="20" customWidth="1"/>
    <col min="10758" max="10758" width="10.7109375" style="20" customWidth="1"/>
    <col min="10759" max="11010" width="9.140625" style="20"/>
    <col min="11011" max="11011" width="11.7109375" style="20" customWidth="1"/>
    <col min="11012" max="11012" width="9.140625" style="20"/>
    <col min="11013" max="11013" width="14.7109375" style="20" customWidth="1"/>
    <col min="11014" max="11014" width="10.7109375" style="20" customWidth="1"/>
    <col min="11015" max="11266" width="9.140625" style="20"/>
    <col min="11267" max="11267" width="11.7109375" style="20" customWidth="1"/>
    <col min="11268" max="11268" width="9.140625" style="20"/>
    <col min="11269" max="11269" width="14.7109375" style="20" customWidth="1"/>
    <col min="11270" max="11270" width="10.7109375" style="20" customWidth="1"/>
    <col min="11271" max="11522" width="9.140625" style="20"/>
    <col min="11523" max="11523" width="11.7109375" style="20" customWidth="1"/>
    <col min="11524" max="11524" width="9.140625" style="20"/>
    <col min="11525" max="11525" width="14.7109375" style="20" customWidth="1"/>
    <col min="11526" max="11526" width="10.7109375" style="20" customWidth="1"/>
    <col min="11527" max="11778" width="9.140625" style="20"/>
    <col min="11779" max="11779" width="11.7109375" style="20" customWidth="1"/>
    <col min="11780" max="11780" width="9.140625" style="20"/>
    <col min="11781" max="11781" width="14.7109375" style="20" customWidth="1"/>
    <col min="11782" max="11782" width="10.7109375" style="20" customWidth="1"/>
    <col min="11783" max="12034" width="9.140625" style="20"/>
    <col min="12035" max="12035" width="11.7109375" style="20" customWidth="1"/>
    <col min="12036" max="12036" width="9.140625" style="20"/>
    <col min="12037" max="12037" width="14.7109375" style="20" customWidth="1"/>
    <col min="12038" max="12038" width="10.7109375" style="20" customWidth="1"/>
    <col min="12039" max="12290" width="9.140625" style="20"/>
    <col min="12291" max="12291" width="11.7109375" style="20" customWidth="1"/>
    <col min="12292" max="12292" width="9.140625" style="20"/>
    <col min="12293" max="12293" width="14.7109375" style="20" customWidth="1"/>
    <col min="12294" max="12294" width="10.7109375" style="20" customWidth="1"/>
    <col min="12295" max="12546" width="9.140625" style="20"/>
    <col min="12547" max="12547" width="11.7109375" style="20" customWidth="1"/>
    <col min="12548" max="12548" width="9.140625" style="20"/>
    <col min="12549" max="12549" width="14.7109375" style="20" customWidth="1"/>
    <col min="12550" max="12550" width="10.7109375" style="20" customWidth="1"/>
    <col min="12551" max="12802" width="9.140625" style="20"/>
    <col min="12803" max="12803" width="11.7109375" style="20" customWidth="1"/>
    <col min="12804" max="12804" width="9.140625" style="20"/>
    <col min="12805" max="12805" width="14.7109375" style="20" customWidth="1"/>
    <col min="12806" max="12806" width="10.7109375" style="20" customWidth="1"/>
    <col min="12807" max="13058" width="9.140625" style="20"/>
    <col min="13059" max="13059" width="11.7109375" style="20" customWidth="1"/>
    <col min="13060" max="13060" width="9.140625" style="20"/>
    <col min="13061" max="13061" width="14.7109375" style="20" customWidth="1"/>
    <col min="13062" max="13062" width="10.7109375" style="20" customWidth="1"/>
    <col min="13063" max="13314" width="9.140625" style="20"/>
    <col min="13315" max="13315" width="11.7109375" style="20" customWidth="1"/>
    <col min="13316" max="13316" width="9.140625" style="20"/>
    <col min="13317" max="13317" width="14.7109375" style="20" customWidth="1"/>
    <col min="13318" max="13318" width="10.7109375" style="20" customWidth="1"/>
    <col min="13319" max="13570" width="9.140625" style="20"/>
    <col min="13571" max="13571" width="11.7109375" style="20" customWidth="1"/>
    <col min="13572" max="13572" width="9.140625" style="20"/>
    <col min="13573" max="13573" width="14.7109375" style="20" customWidth="1"/>
    <col min="13574" max="13574" width="10.7109375" style="20" customWidth="1"/>
    <col min="13575" max="13826" width="9.140625" style="20"/>
    <col min="13827" max="13827" width="11.7109375" style="20" customWidth="1"/>
    <col min="13828" max="13828" width="9.140625" style="20"/>
    <col min="13829" max="13829" width="14.7109375" style="20" customWidth="1"/>
    <col min="13830" max="13830" width="10.7109375" style="20" customWidth="1"/>
    <col min="13831" max="14082" width="9.140625" style="20"/>
    <col min="14083" max="14083" width="11.7109375" style="20" customWidth="1"/>
    <col min="14084" max="14084" width="9.140625" style="20"/>
    <col min="14085" max="14085" width="14.7109375" style="20" customWidth="1"/>
    <col min="14086" max="14086" width="10.7109375" style="20" customWidth="1"/>
    <col min="14087" max="14338" width="9.140625" style="20"/>
    <col min="14339" max="14339" width="11.7109375" style="20" customWidth="1"/>
    <col min="14340" max="14340" width="9.140625" style="20"/>
    <col min="14341" max="14341" width="14.7109375" style="20" customWidth="1"/>
    <col min="14342" max="14342" width="10.7109375" style="20" customWidth="1"/>
    <col min="14343" max="14594" width="9.140625" style="20"/>
    <col min="14595" max="14595" width="11.7109375" style="20" customWidth="1"/>
    <col min="14596" max="14596" width="9.140625" style="20"/>
    <col min="14597" max="14597" width="14.7109375" style="20" customWidth="1"/>
    <col min="14598" max="14598" width="10.7109375" style="20" customWidth="1"/>
    <col min="14599" max="14850" width="9.140625" style="20"/>
    <col min="14851" max="14851" width="11.7109375" style="20" customWidth="1"/>
    <col min="14852" max="14852" width="9.140625" style="20"/>
    <col min="14853" max="14853" width="14.7109375" style="20" customWidth="1"/>
    <col min="14854" max="14854" width="10.7109375" style="20" customWidth="1"/>
    <col min="14855" max="15106" width="9.140625" style="20"/>
    <col min="15107" max="15107" width="11.7109375" style="20" customWidth="1"/>
    <col min="15108" max="15108" width="9.140625" style="20"/>
    <col min="15109" max="15109" width="14.7109375" style="20" customWidth="1"/>
    <col min="15110" max="15110" width="10.7109375" style="20" customWidth="1"/>
    <col min="15111" max="15362" width="9.140625" style="20"/>
    <col min="15363" max="15363" width="11.7109375" style="20" customWidth="1"/>
    <col min="15364" max="15364" width="9.140625" style="20"/>
    <col min="15365" max="15365" width="14.7109375" style="20" customWidth="1"/>
    <col min="15366" max="15366" width="10.7109375" style="20" customWidth="1"/>
    <col min="15367" max="15618" width="9.140625" style="20"/>
    <col min="15619" max="15619" width="11.7109375" style="20" customWidth="1"/>
    <col min="15620" max="15620" width="9.140625" style="20"/>
    <col min="15621" max="15621" width="14.7109375" style="20" customWidth="1"/>
    <col min="15622" max="15622" width="10.7109375" style="20" customWidth="1"/>
    <col min="15623" max="15874" width="9.140625" style="20"/>
    <col min="15875" max="15875" width="11.7109375" style="20" customWidth="1"/>
    <col min="15876" max="15876" width="9.140625" style="20"/>
    <col min="15877" max="15877" width="14.7109375" style="20" customWidth="1"/>
    <col min="15878" max="15878" width="10.7109375" style="20" customWidth="1"/>
    <col min="15879" max="16130" width="9.140625" style="20"/>
    <col min="16131" max="16131" width="11.7109375" style="20" customWidth="1"/>
    <col min="16132" max="16132" width="9.140625" style="20"/>
    <col min="16133" max="16133" width="14.7109375" style="20" customWidth="1"/>
    <col min="16134" max="16134" width="10.7109375" style="20" customWidth="1"/>
    <col min="16135" max="16384" width="9.140625" style="20"/>
  </cols>
  <sheetData>
    <row r="2" spans="1:13" x14ac:dyDescent="0.25">
      <c r="A2" s="21" t="s">
        <v>133</v>
      </c>
      <c r="B2" s="21" t="s">
        <v>134</v>
      </c>
      <c r="C2" s="21" t="s">
        <v>135</v>
      </c>
      <c r="D2" s="227" t="s">
        <v>136</v>
      </c>
      <c r="E2" s="227"/>
    </row>
    <row r="3" spans="1:13" x14ac:dyDescent="0.25">
      <c r="A3" s="24">
        <v>0</v>
      </c>
      <c r="B3" s="24">
        <v>0</v>
      </c>
      <c r="C3" s="24">
        <v>1</v>
      </c>
      <c r="D3" s="228">
        <v>7</v>
      </c>
      <c r="E3" s="228"/>
    </row>
    <row r="5" spans="1:13" hidden="1" x14ac:dyDescent="0.25">
      <c r="A5" s="20" t="s">
        <v>98</v>
      </c>
      <c r="B5" s="22" t="s">
        <v>150</v>
      </c>
      <c r="C5" s="22">
        <f>D3</f>
        <v>7</v>
      </c>
      <c r="D5" s="23"/>
    </row>
    <row r="6" spans="1:13" x14ac:dyDescent="0.25">
      <c r="A6" s="20" t="s">
        <v>99</v>
      </c>
      <c r="B6" s="25">
        <v>10</v>
      </c>
      <c r="C6" s="26">
        <v>7</v>
      </c>
      <c r="D6" s="27">
        <f>((100/B6)*C6)/100</f>
        <v>0.7</v>
      </c>
    </row>
    <row r="7" spans="1:13" x14ac:dyDescent="0.25">
      <c r="A7" s="20" t="s">
        <v>100</v>
      </c>
      <c r="B7" s="25">
        <f>A3+B3+C3+D3</f>
        <v>8</v>
      </c>
      <c r="C7" s="26">
        <v>0</v>
      </c>
      <c r="D7" s="27">
        <f t="shared" ref="D7:D12" si="0">((100/B7)*C7)/100</f>
        <v>0</v>
      </c>
      <c r="F7" s="230" t="s">
        <v>151</v>
      </c>
      <c r="G7" s="230"/>
      <c r="H7" s="28" t="s">
        <v>152</v>
      </c>
      <c r="J7" s="34"/>
    </row>
    <row r="8" spans="1:13" x14ac:dyDescent="0.25">
      <c r="A8" s="20" t="s">
        <v>105</v>
      </c>
      <c r="B8" s="25">
        <f>C5</f>
        <v>7</v>
      </c>
      <c r="C8" s="26">
        <v>0</v>
      </c>
      <c r="D8" s="27">
        <f t="shared" si="0"/>
        <v>0</v>
      </c>
      <c r="F8" s="229" t="s">
        <v>153</v>
      </c>
      <c r="G8" s="229"/>
      <c r="H8" s="25" t="s">
        <v>154</v>
      </c>
    </row>
    <row r="9" spans="1:13" x14ac:dyDescent="0.25">
      <c r="A9" s="20" t="s">
        <v>107</v>
      </c>
      <c r="B9" s="25">
        <f>C5</f>
        <v>7</v>
      </c>
      <c r="C9" s="26">
        <v>0</v>
      </c>
      <c r="D9" s="27">
        <f t="shared" si="0"/>
        <v>0</v>
      </c>
      <c r="F9" s="229" t="s">
        <v>155</v>
      </c>
      <c r="G9" s="229"/>
      <c r="H9" s="25" t="s">
        <v>156</v>
      </c>
    </row>
    <row r="10" spans="1:13" x14ac:dyDescent="0.25">
      <c r="A10" s="20" t="s">
        <v>69</v>
      </c>
      <c r="B10" s="25">
        <f>C5</f>
        <v>7</v>
      </c>
      <c r="C10" s="26">
        <v>0</v>
      </c>
      <c r="D10" s="27">
        <f t="shared" si="0"/>
        <v>0</v>
      </c>
      <c r="F10" s="229" t="s">
        <v>157</v>
      </c>
      <c r="G10" s="229"/>
      <c r="H10" s="25" t="s">
        <v>158</v>
      </c>
    </row>
    <row r="11" spans="1:13" x14ac:dyDescent="0.25">
      <c r="A11" s="29" t="s">
        <v>103</v>
      </c>
      <c r="B11" s="25">
        <f>C5</f>
        <v>7</v>
      </c>
      <c r="C11" s="26">
        <v>0</v>
      </c>
      <c r="D11" s="27">
        <f t="shared" si="0"/>
        <v>0</v>
      </c>
      <c r="F11" s="229" t="s">
        <v>159</v>
      </c>
      <c r="G11" s="229"/>
      <c r="H11" s="25" t="s">
        <v>160</v>
      </c>
    </row>
    <row r="12" spans="1:13" x14ac:dyDescent="0.25">
      <c r="A12" s="20" t="s">
        <v>70</v>
      </c>
      <c r="B12" s="25">
        <f>C5</f>
        <v>7</v>
      </c>
      <c r="C12" s="26">
        <v>0</v>
      </c>
      <c r="D12" s="27">
        <f t="shared" si="0"/>
        <v>0</v>
      </c>
      <c r="F12" s="229" t="s">
        <v>161</v>
      </c>
      <c r="G12" s="229"/>
      <c r="H12" s="25" t="s">
        <v>162</v>
      </c>
    </row>
    <row r="13" spans="1:13" x14ac:dyDescent="0.25">
      <c r="F13" s="229" t="s">
        <v>163</v>
      </c>
      <c r="G13" s="229"/>
      <c r="H13" s="25" t="s">
        <v>164</v>
      </c>
    </row>
    <row r="14" spans="1:13" hidden="1" x14ac:dyDescent="0.25">
      <c r="A14" s="21"/>
      <c r="B14" s="21" t="s">
        <v>104</v>
      </c>
      <c r="C14" s="21" t="s">
        <v>108</v>
      </c>
      <c r="G14" s="21" t="s">
        <v>99</v>
      </c>
      <c r="H14" s="21" t="s">
        <v>101</v>
      </c>
      <c r="I14" s="21" t="s">
        <v>102</v>
      </c>
      <c r="J14" s="21" t="s">
        <v>68</v>
      </c>
      <c r="K14" s="21" t="s">
        <v>69</v>
      </c>
      <c r="L14" s="21" t="s">
        <v>103</v>
      </c>
      <c r="M14" s="21" t="s">
        <v>70</v>
      </c>
    </row>
    <row r="15" spans="1:13" hidden="1" x14ac:dyDescent="0.25">
      <c r="A15" s="21" t="s">
        <v>66</v>
      </c>
      <c r="B15" s="21">
        <f>G15</f>
        <v>7</v>
      </c>
      <c r="C15" s="21">
        <f>G16</f>
        <v>27</v>
      </c>
      <c r="E15" s="227" t="s">
        <v>104</v>
      </c>
      <c r="F15" s="227"/>
      <c r="G15" s="30">
        <f>C6</f>
        <v>7</v>
      </c>
      <c r="H15" s="30">
        <f>40/B7*C7</f>
        <v>0</v>
      </c>
      <c r="I15" s="30">
        <f>15/B8*C8</f>
        <v>0</v>
      </c>
      <c r="J15" s="30">
        <f>10/B9*C9</f>
        <v>0</v>
      </c>
      <c r="K15" s="30">
        <f>10/B10*C10</f>
        <v>0</v>
      </c>
      <c r="L15" s="30">
        <f>5/B11*C11</f>
        <v>0</v>
      </c>
      <c r="M15" s="30">
        <f>5/B12*C12</f>
        <v>0</v>
      </c>
    </row>
    <row r="16" spans="1:13" hidden="1" x14ac:dyDescent="0.25">
      <c r="A16" s="21" t="s">
        <v>67</v>
      </c>
      <c r="B16" s="21">
        <f>H15</f>
        <v>0</v>
      </c>
      <c r="C16" s="21">
        <f>H16</f>
        <v>0</v>
      </c>
      <c r="E16" s="227" t="s">
        <v>106</v>
      </c>
      <c r="F16" s="227"/>
      <c r="G16" s="21">
        <f>G15+20</f>
        <v>27</v>
      </c>
      <c r="H16" s="21">
        <f>30/B7*C7</f>
        <v>0</v>
      </c>
      <c r="I16" s="21">
        <f>15/B8*C8</f>
        <v>0</v>
      </c>
      <c r="J16" s="21">
        <f>10/B9*C9</f>
        <v>0</v>
      </c>
      <c r="K16" s="21">
        <f>5/B10*C10</f>
        <v>0</v>
      </c>
      <c r="L16" s="21">
        <f>5/B11*C11</f>
        <v>0</v>
      </c>
      <c r="M16" s="21">
        <f>5/B12*C12</f>
        <v>0</v>
      </c>
    </row>
    <row r="17" spans="1:8" hidden="1" x14ac:dyDescent="0.25">
      <c r="A17" s="21" t="s">
        <v>102</v>
      </c>
      <c r="B17" s="21">
        <f>I15</f>
        <v>0</v>
      </c>
      <c r="C17" s="21">
        <f>I16</f>
        <v>0</v>
      </c>
    </row>
    <row r="18" spans="1:8" hidden="1" x14ac:dyDescent="0.25">
      <c r="A18" s="21" t="s">
        <v>68</v>
      </c>
      <c r="B18" s="21">
        <f>J15</f>
        <v>0</v>
      </c>
      <c r="C18" s="21">
        <f>J16</f>
        <v>0</v>
      </c>
    </row>
    <row r="19" spans="1:8" hidden="1" x14ac:dyDescent="0.25">
      <c r="A19" s="21" t="s">
        <v>69</v>
      </c>
      <c r="B19" s="21">
        <f>K15</f>
        <v>0</v>
      </c>
      <c r="C19" s="21">
        <f>K16</f>
        <v>0</v>
      </c>
    </row>
    <row r="20" spans="1:8" hidden="1" x14ac:dyDescent="0.25">
      <c r="A20" s="31" t="s">
        <v>103</v>
      </c>
      <c r="B20" s="21">
        <f>L15</f>
        <v>0</v>
      </c>
      <c r="C20" s="21">
        <f>L16</f>
        <v>0</v>
      </c>
    </row>
    <row r="21" spans="1:8" hidden="1" x14ac:dyDescent="0.25">
      <c r="A21" s="21" t="s">
        <v>70</v>
      </c>
      <c r="B21" s="21">
        <f>M15</f>
        <v>0</v>
      </c>
      <c r="C21" s="21">
        <f>M16</f>
        <v>0</v>
      </c>
    </row>
    <row r="22" spans="1:8" x14ac:dyDescent="0.25">
      <c r="A22" s="21" t="s">
        <v>109</v>
      </c>
      <c r="B22" s="32">
        <f>(B15+B16+B17+B18+B19+B20+B21)/100</f>
        <v>7.0000000000000007E-2</v>
      </c>
      <c r="C22" s="32">
        <f>(C15+C16+C17+C18+C19+C20+C21)/100</f>
        <v>0.27</v>
      </c>
      <c r="F22" s="229" t="s">
        <v>165</v>
      </c>
      <c r="G22" s="229"/>
      <c r="H22" s="25" t="s">
        <v>156</v>
      </c>
    </row>
    <row r="23" spans="1:8" x14ac:dyDescent="0.25">
      <c r="F23" s="229" t="s">
        <v>166</v>
      </c>
      <c r="G23" s="229"/>
      <c r="H23" s="25" t="s">
        <v>167</v>
      </c>
    </row>
    <row r="24" spans="1:8" x14ac:dyDescent="0.25">
      <c r="A24" s="20" t="s">
        <v>141</v>
      </c>
      <c r="B24" s="33">
        <v>0.01</v>
      </c>
      <c r="C24" s="33">
        <v>0.02</v>
      </c>
      <c r="F24" s="229" t="s">
        <v>168</v>
      </c>
      <c r="G24" s="229"/>
      <c r="H24" s="25" t="s">
        <v>169</v>
      </c>
    </row>
    <row r="25" spans="1:8" x14ac:dyDescent="0.25">
      <c r="A25" s="20" t="s">
        <v>142</v>
      </c>
      <c r="B25" s="33">
        <v>0.01</v>
      </c>
      <c r="C25" s="33">
        <v>0.03</v>
      </c>
    </row>
    <row r="26" spans="1:8" x14ac:dyDescent="0.25">
      <c r="A26" s="20" t="s">
        <v>143</v>
      </c>
      <c r="B26" s="33">
        <v>0.03</v>
      </c>
      <c r="C26" s="33">
        <v>0.08</v>
      </c>
    </row>
    <row r="27" spans="1:8" x14ac:dyDescent="0.25">
      <c r="A27" s="20" t="s">
        <v>144</v>
      </c>
      <c r="B27" s="33">
        <v>0.05</v>
      </c>
      <c r="C27" s="33">
        <v>0.15</v>
      </c>
    </row>
    <row r="28" spans="1:8" x14ac:dyDescent="0.25">
      <c r="A28" s="20" t="s">
        <v>145</v>
      </c>
      <c r="B28" s="33">
        <v>7.0000000000000007E-2</v>
      </c>
      <c r="C28" s="33">
        <v>0.2</v>
      </c>
    </row>
    <row r="29" spans="1:8" x14ac:dyDescent="0.25">
      <c r="A29" s="20" t="s">
        <v>146</v>
      </c>
      <c r="B29" s="33">
        <v>0.1</v>
      </c>
      <c r="C29" s="33">
        <v>0.3</v>
      </c>
    </row>
  </sheetData>
  <mergeCells count="14">
    <mergeCell ref="F23:G23"/>
    <mergeCell ref="F24:G24"/>
    <mergeCell ref="F11:G11"/>
    <mergeCell ref="F12:G12"/>
    <mergeCell ref="F13:G13"/>
    <mergeCell ref="E15:F15"/>
    <mergeCell ref="E16:F16"/>
    <mergeCell ref="F22:G22"/>
    <mergeCell ref="F10:G10"/>
    <mergeCell ref="D2:E2"/>
    <mergeCell ref="D3:E3"/>
    <mergeCell ref="F7:G7"/>
    <mergeCell ref="F8:G8"/>
    <mergeCell ref="F9:G9"/>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C7" sqref="C7"/>
    </sheetView>
  </sheetViews>
  <sheetFormatPr defaultRowHeight="15" x14ac:dyDescent="0.25"/>
  <cols>
    <col min="1" max="1" width="20.5703125" style="20" customWidth="1"/>
    <col min="2" max="2" width="11.7109375" style="20" customWidth="1"/>
    <col min="3" max="4" width="9.140625" style="20"/>
    <col min="5" max="5" width="10.140625" style="20" customWidth="1"/>
    <col min="6" max="6" width="10.7109375" style="20" customWidth="1"/>
    <col min="7" max="7" width="9.140625" style="20"/>
    <col min="8" max="8" width="10.42578125" style="20" customWidth="1"/>
    <col min="9" max="9" width="15.42578125" style="20" customWidth="1"/>
    <col min="10" max="258" width="9.140625" style="20"/>
    <col min="259" max="259" width="11.7109375" style="20" customWidth="1"/>
    <col min="260" max="260" width="9.140625" style="20"/>
    <col min="261" max="261" width="14.7109375" style="20" customWidth="1"/>
    <col min="262" max="262" width="10.7109375" style="20" customWidth="1"/>
    <col min="263" max="514" width="9.140625" style="20"/>
    <col min="515" max="515" width="11.7109375" style="20" customWidth="1"/>
    <col min="516" max="516" width="9.140625" style="20"/>
    <col min="517" max="517" width="14.7109375" style="20" customWidth="1"/>
    <col min="518" max="518" width="10.7109375" style="20" customWidth="1"/>
    <col min="519" max="770" width="9.140625" style="20"/>
    <col min="771" max="771" width="11.7109375" style="20" customWidth="1"/>
    <col min="772" max="772" width="9.140625" style="20"/>
    <col min="773" max="773" width="14.7109375" style="20" customWidth="1"/>
    <col min="774" max="774" width="10.7109375" style="20" customWidth="1"/>
    <col min="775" max="1026" width="9.140625" style="20"/>
    <col min="1027" max="1027" width="11.7109375" style="20" customWidth="1"/>
    <col min="1028" max="1028" width="9.140625" style="20"/>
    <col min="1029" max="1029" width="14.7109375" style="20" customWidth="1"/>
    <col min="1030" max="1030" width="10.7109375" style="20" customWidth="1"/>
    <col min="1031" max="1282" width="9.140625" style="20"/>
    <col min="1283" max="1283" width="11.7109375" style="20" customWidth="1"/>
    <col min="1284" max="1284" width="9.140625" style="20"/>
    <col min="1285" max="1285" width="14.7109375" style="20" customWidth="1"/>
    <col min="1286" max="1286" width="10.7109375" style="20" customWidth="1"/>
    <col min="1287" max="1538" width="9.140625" style="20"/>
    <col min="1539" max="1539" width="11.7109375" style="20" customWidth="1"/>
    <col min="1540" max="1540" width="9.140625" style="20"/>
    <col min="1541" max="1541" width="14.7109375" style="20" customWidth="1"/>
    <col min="1542" max="1542" width="10.7109375" style="20" customWidth="1"/>
    <col min="1543" max="1794" width="9.140625" style="20"/>
    <col min="1795" max="1795" width="11.7109375" style="20" customWidth="1"/>
    <col min="1796" max="1796" width="9.140625" style="20"/>
    <col min="1797" max="1797" width="14.7109375" style="20" customWidth="1"/>
    <col min="1798" max="1798" width="10.7109375" style="20" customWidth="1"/>
    <col min="1799" max="2050" width="9.140625" style="20"/>
    <col min="2051" max="2051" width="11.7109375" style="20" customWidth="1"/>
    <col min="2052" max="2052" width="9.140625" style="20"/>
    <col min="2053" max="2053" width="14.7109375" style="20" customWidth="1"/>
    <col min="2054" max="2054" width="10.7109375" style="20" customWidth="1"/>
    <col min="2055" max="2306" width="9.140625" style="20"/>
    <col min="2307" max="2307" width="11.7109375" style="20" customWidth="1"/>
    <col min="2308" max="2308" width="9.140625" style="20"/>
    <col min="2309" max="2309" width="14.7109375" style="20" customWidth="1"/>
    <col min="2310" max="2310" width="10.7109375" style="20" customWidth="1"/>
    <col min="2311" max="2562" width="9.140625" style="20"/>
    <col min="2563" max="2563" width="11.7109375" style="20" customWidth="1"/>
    <col min="2564" max="2564" width="9.140625" style="20"/>
    <col min="2565" max="2565" width="14.7109375" style="20" customWidth="1"/>
    <col min="2566" max="2566" width="10.7109375" style="20" customWidth="1"/>
    <col min="2567" max="2818" width="9.140625" style="20"/>
    <col min="2819" max="2819" width="11.7109375" style="20" customWidth="1"/>
    <col min="2820" max="2820" width="9.140625" style="20"/>
    <col min="2821" max="2821" width="14.7109375" style="20" customWidth="1"/>
    <col min="2822" max="2822" width="10.7109375" style="20" customWidth="1"/>
    <col min="2823" max="3074" width="9.140625" style="20"/>
    <col min="3075" max="3075" width="11.7109375" style="20" customWidth="1"/>
    <col min="3076" max="3076" width="9.140625" style="20"/>
    <col min="3077" max="3077" width="14.7109375" style="20" customWidth="1"/>
    <col min="3078" max="3078" width="10.7109375" style="20" customWidth="1"/>
    <col min="3079" max="3330" width="9.140625" style="20"/>
    <col min="3331" max="3331" width="11.7109375" style="20" customWidth="1"/>
    <col min="3332" max="3332" width="9.140625" style="20"/>
    <col min="3333" max="3333" width="14.7109375" style="20" customWidth="1"/>
    <col min="3334" max="3334" width="10.7109375" style="20" customWidth="1"/>
    <col min="3335" max="3586" width="9.140625" style="20"/>
    <col min="3587" max="3587" width="11.7109375" style="20" customWidth="1"/>
    <col min="3588" max="3588" width="9.140625" style="20"/>
    <col min="3589" max="3589" width="14.7109375" style="20" customWidth="1"/>
    <col min="3590" max="3590" width="10.7109375" style="20" customWidth="1"/>
    <col min="3591" max="3842" width="9.140625" style="20"/>
    <col min="3843" max="3843" width="11.7109375" style="20" customWidth="1"/>
    <col min="3844" max="3844" width="9.140625" style="20"/>
    <col min="3845" max="3845" width="14.7109375" style="20" customWidth="1"/>
    <col min="3846" max="3846" width="10.7109375" style="20" customWidth="1"/>
    <col min="3847" max="4098" width="9.140625" style="20"/>
    <col min="4099" max="4099" width="11.7109375" style="20" customWidth="1"/>
    <col min="4100" max="4100" width="9.140625" style="20"/>
    <col min="4101" max="4101" width="14.7109375" style="20" customWidth="1"/>
    <col min="4102" max="4102" width="10.7109375" style="20" customWidth="1"/>
    <col min="4103" max="4354" width="9.140625" style="20"/>
    <col min="4355" max="4355" width="11.7109375" style="20" customWidth="1"/>
    <col min="4356" max="4356" width="9.140625" style="20"/>
    <col min="4357" max="4357" width="14.7109375" style="20" customWidth="1"/>
    <col min="4358" max="4358" width="10.7109375" style="20" customWidth="1"/>
    <col min="4359" max="4610" width="9.140625" style="20"/>
    <col min="4611" max="4611" width="11.7109375" style="20" customWidth="1"/>
    <col min="4612" max="4612" width="9.140625" style="20"/>
    <col min="4613" max="4613" width="14.7109375" style="20" customWidth="1"/>
    <col min="4614" max="4614" width="10.7109375" style="20" customWidth="1"/>
    <col min="4615" max="4866" width="9.140625" style="20"/>
    <col min="4867" max="4867" width="11.7109375" style="20" customWidth="1"/>
    <col min="4868" max="4868" width="9.140625" style="20"/>
    <col min="4869" max="4869" width="14.7109375" style="20" customWidth="1"/>
    <col min="4870" max="4870" width="10.7109375" style="20" customWidth="1"/>
    <col min="4871" max="5122" width="9.140625" style="20"/>
    <col min="5123" max="5123" width="11.7109375" style="20" customWidth="1"/>
    <col min="5124" max="5124" width="9.140625" style="20"/>
    <col min="5125" max="5125" width="14.7109375" style="20" customWidth="1"/>
    <col min="5126" max="5126" width="10.7109375" style="20" customWidth="1"/>
    <col min="5127" max="5378" width="9.140625" style="20"/>
    <col min="5379" max="5379" width="11.7109375" style="20" customWidth="1"/>
    <col min="5380" max="5380" width="9.140625" style="20"/>
    <col min="5381" max="5381" width="14.7109375" style="20" customWidth="1"/>
    <col min="5382" max="5382" width="10.7109375" style="20" customWidth="1"/>
    <col min="5383" max="5634" width="9.140625" style="20"/>
    <col min="5635" max="5635" width="11.7109375" style="20" customWidth="1"/>
    <col min="5636" max="5636" width="9.140625" style="20"/>
    <col min="5637" max="5637" width="14.7109375" style="20" customWidth="1"/>
    <col min="5638" max="5638" width="10.7109375" style="20" customWidth="1"/>
    <col min="5639" max="5890" width="9.140625" style="20"/>
    <col min="5891" max="5891" width="11.7109375" style="20" customWidth="1"/>
    <col min="5892" max="5892" width="9.140625" style="20"/>
    <col min="5893" max="5893" width="14.7109375" style="20" customWidth="1"/>
    <col min="5894" max="5894" width="10.7109375" style="20" customWidth="1"/>
    <col min="5895" max="6146" width="9.140625" style="20"/>
    <col min="6147" max="6147" width="11.7109375" style="20" customWidth="1"/>
    <col min="6148" max="6148" width="9.140625" style="20"/>
    <col min="6149" max="6149" width="14.7109375" style="20" customWidth="1"/>
    <col min="6150" max="6150" width="10.7109375" style="20" customWidth="1"/>
    <col min="6151" max="6402" width="9.140625" style="20"/>
    <col min="6403" max="6403" width="11.7109375" style="20" customWidth="1"/>
    <col min="6404" max="6404" width="9.140625" style="20"/>
    <col min="6405" max="6405" width="14.7109375" style="20" customWidth="1"/>
    <col min="6406" max="6406" width="10.7109375" style="20" customWidth="1"/>
    <col min="6407" max="6658" width="9.140625" style="20"/>
    <col min="6659" max="6659" width="11.7109375" style="20" customWidth="1"/>
    <col min="6660" max="6660" width="9.140625" style="20"/>
    <col min="6661" max="6661" width="14.7109375" style="20" customWidth="1"/>
    <col min="6662" max="6662" width="10.7109375" style="20" customWidth="1"/>
    <col min="6663" max="6914" width="9.140625" style="20"/>
    <col min="6915" max="6915" width="11.7109375" style="20" customWidth="1"/>
    <col min="6916" max="6916" width="9.140625" style="20"/>
    <col min="6917" max="6917" width="14.7109375" style="20" customWidth="1"/>
    <col min="6918" max="6918" width="10.7109375" style="20" customWidth="1"/>
    <col min="6919" max="7170" width="9.140625" style="20"/>
    <col min="7171" max="7171" width="11.7109375" style="20" customWidth="1"/>
    <col min="7172" max="7172" width="9.140625" style="20"/>
    <col min="7173" max="7173" width="14.7109375" style="20" customWidth="1"/>
    <col min="7174" max="7174" width="10.7109375" style="20" customWidth="1"/>
    <col min="7175" max="7426" width="9.140625" style="20"/>
    <col min="7427" max="7427" width="11.7109375" style="20" customWidth="1"/>
    <col min="7428" max="7428" width="9.140625" style="20"/>
    <col min="7429" max="7429" width="14.7109375" style="20" customWidth="1"/>
    <col min="7430" max="7430" width="10.7109375" style="20" customWidth="1"/>
    <col min="7431" max="7682" width="9.140625" style="20"/>
    <col min="7683" max="7683" width="11.7109375" style="20" customWidth="1"/>
    <col min="7684" max="7684" width="9.140625" style="20"/>
    <col min="7685" max="7685" width="14.7109375" style="20" customWidth="1"/>
    <col min="7686" max="7686" width="10.7109375" style="20" customWidth="1"/>
    <col min="7687" max="7938" width="9.140625" style="20"/>
    <col min="7939" max="7939" width="11.7109375" style="20" customWidth="1"/>
    <col min="7940" max="7940" width="9.140625" style="20"/>
    <col min="7941" max="7941" width="14.7109375" style="20" customWidth="1"/>
    <col min="7942" max="7942" width="10.7109375" style="20" customWidth="1"/>
    <col min="7943" max="8194" width="9.140625" style="20"/>
    <col min="8195" max="8195" width="11.7109375" style="20" customWidth="1"/>
    <col min="8196" max="8196" width="9.140625" style="20"/>
    <col min="8197" max="8197" width="14.7109375" style="20" customWidth="1"/>
    <col min="8198" max="8198" width="10.7109375" style="20" customWidth="1"/>
    <col min="8199" max="8450" width="9.140625" style="20"/>
    <col min="8451" max="8451" width="11.7109375" style="20" customWidth="1"/>
    <col min="8452" max="8452" width="9.140625" style="20"/>
    <col min="8453" max="8453" width="14.7109375" style="20" customWidth="1"/>
    <col min="8454" max="8454" width="10.7109375" style="20" customWidth="1"/>
    <col min="8455" max="8706" width="9.140625" style="20"/>
    <col min="8707" max="8707" width="11.7109375" style="20" customWidth="1"/>
    <col min="8708" max="8708" width="9.140625" style="20"/>
    <col min="8709" max="8709" width="14.7109375" style="20" customWidth="1"/>
    <col min="8710" max="8710" width="10.7109375" style="20" customWidth="1"/>
    <col min="8711" max="8962" width="9.140625" style="20"/>
    <col min="8963" max="8963" width="11.7109375" style="20" customWidth="1"/>
    <col min="8964" max="8964" width="9.140625" style="20"/>
    <col min="8965" max="8965" width="14.7109375" style="20" customWidth="1"/>
    <col min="8966" max="8966" width="10.7109375" style="20" customWidth="1"/>
    <col min="8967" max="9218" width="9.140625" style="20"/>
    <col min="9219" max="9219" width="11.7109375" style="20" customWidth="1"/>
    <col min="9220" max="9220" width="9.140625" style="20"/>
    <col min="9221" max="9221" width="14.7109375" style="20" customWidth="1"/>
    <col min="9222" max="9222" width="10.7109375" style="20" customWidth="1"/>
    <col min="9223" max="9474" width="9.140625" style="20"/>
    <col min="9475" max="9475" width="11.7109375" style="20" customWidth="1"/>
    <col min="9476" max="9476" width="9.140625" style="20"/>
    <col min="9477" max="9477" width="14.7109375" style="20" customWidth="1"/>
    <col min="9478" max="9478" width="10.7109375" style="20" customWidth="1"/>
    <col min="9479" max="9730" width="9.140625" style="20"/>
    <col min="9731" max="9731" width="11.7109375" style="20" customWidth="1"/>
    <col min="9732" max="9732" width="9.140625" style="20"/>
    <col min="9733" max="9733" width="14.7109375" style="20" customWidth="1"/>
    <col min="9734" max="9734" width="10.7109375" style="20" customWidth="1"/>
    <col min="9735" max="9986" width="9.140625" style="20"/>
    <col min="9987" max="9987" width="11.7109375" style="20" customWidth="1"/>
    <col min="9988" max="9988" width="9.140625" style="20"/>
    <col min="9989" max="9989" width="14.7109375" style="20" customWidth="1"/>
    <col min="9990" max="9990" width="10.7109375" style="20" customWidth="1"/>
    <col min="9991" max="10242" width="9.140625" style="20"/>
    <col min="10243" max="10243" width="11.7109375" style="20" customWidth="1"/>
    <col min="10244" max="10244" width="9.140625" style="20"/>
    <col min="10245" max="10245" width="14.7109375" style="20" customWidth="1"/>
    <col min="10246" max="10246" width="10.7109375" style="20" customWidth="1"/>
    <col min="10247" max="10498" width="9.140625" style="20"/>
    <col min="10499" max="10499" width="11.7109375" style="20" customWidth="1"/>
    <col min="10500" max="10500" width="9.140625" style="20"/>
    <col min="10501" max="10501" width="14.7109375" style="20" customWidth="1"/>
    <col min="10502" max="10502" width="10.7109375" style="20" customWidth="1"/>
    <col min="10503" max="10754" width="9.140625" style="20"/>
    <col min="10755" max="10755" width="11.7109375" style="20" customWidth="1"/>
    <col min="10756" max="10756" width="9.140625" style="20"/>
    <col min="10757" max="10757" width="14.7109375" style="20" customWidth="1"/>
    <col min="10758" max="10758" width="10.7109375" style="20" customWidth="1"/>
    <col min="10759" max="11010" width="9.140625" style="20"/>
    <col min="11011" max="11011" width="11.7109375" style="20" customWidth="1"/>
    <col min="11012" max="11012" width="9.140625" style="20"/>
    <col min="11013" max="11013" width="14.7109375" style="20" customWidth="1"/>
    <col min="11014" max="11014" width="10.7109375" style="20" customWidth="1"/>
    <col min="11015" max="11266" width="9.140625" style="20"/>
    <col min="11267" max="11267" width="11.7109375" style="20" customWidth="1"/>
    <col min="11268" max="11268" width="9.140625" style="20"/>
    <col min="11269" max="11269" width="14.7109375" style="20" customWidth="1"/>
    <col min="11270" max="11270" width="10.7109375" style="20" customWidth="1"/>
    <col min="11271" max="11522" width="9.140625" style="20"/>
    <col min="11523" max="11523" width="11.7109375" style="20" customWidth="1"/>
    <col min="11524" max="11524" width="9.140625" style="20"/>
    <col min="11525" max="11525" width="14.7109375" style="20" customWidth="1"/>
    <col min="11526" max="11526" width="10.7109375" style="20" customWidth="1"/>
    <col min="11527" max="11778" width="9.140625" style="20"/>
    <col min="11779" max="11779" width="11.7109375" style="20" customWidth="1"/>
    <col min="11780" max="11780" width="9.140625" style="20"/>
    <col min="11781" max="11781" width="14.7109375" style="20" customWidth="1"/>
    <col min="11782" max="11782" width="10.7109375" style="20" customWidth="1"/>
    <col min="11783" max="12034" width="9.140625" style="20"/>
    <col min="12035" max="12035" width="11.7109375" style="20" customWidth="1"/>
    <col min="12036" max="12036" width="9.140625" style="20"/>
    <col min="12037" max="12037" width="14.7109375" style="20" customWidth="1"/>
    <col min="12038" max="12038" width="10.7109375" style="20" customWidth="1"/>
    <col min="12039" max="12290" width="9.140625" style="20"/>
    <col min="12291" max="12291" width="11.7109375" style="20" customWidth="1"/>
    <col min="12292" max="12292" width="9.140625" style="20"/>
    <col min="12293" max="12293" width="14.7109375" style="20" customWidth="1"/>
    <col min="12294" max="12294" width="10.7109375" style="20" customWidth="1"/>
    <col min="12295" max="12546" width="9.140625" style="20"/>
    <col min="12547" max="12547" width="11.7109375" style="20" customWidth="1"/>
    <col min="12548" max="12548" width="9.140625" style="20"/>
    <col min="12549" max="12549" width="14.7109375" style="20" customWidth="1"/>
    <col min="12550" max="12550" width="10.7109375" style="20" customWidth="1"/>
    <col min="12551" max="12802" width="9.140625" style="20"/>
    <col min="12803" max="12803" width="11.7109375" style="20" customWidth="1"/>
    <col min="12804" max="12804" width="9.140625" style="20"/>
    <col min="12805" max="12805" width="14.7109375" style="20" customWidth="1"/>
    <col min="12806" max="12806" width="10.7109375" style="20" customWidth="1"/>
    <col min="12807" max="13058" width="9.140625" style="20"/>
    <col min="13059" max="13059" width="11.7109375" style="20" customWidth="1"/>
    <col min="13060" max="13060" width="9.140625" style="20"/>
    <col min="13061" max="13061" width="14.7109375" style="20" customWidth="1"/>
    <col min="13062" max="13062" width="10.7109375" style="20" customWidth="1"/>
    <col min="13063" max="13314" width="9.140625" style="20"/>
    <col min="13315" max="13315" width="11.7109375" style="20" customWidth="1"/>
    <col min="13316" max="13316" width="9.140625" style="20"/>
    <col min="13317" max="13317" width="14.7109375" style="20" customWidth="1"/>
    <col min="13318" max="13318" width="10.7109375" style="20" customWidth="1"/>
    <col min="13319" max="13570" width="9.140625" style="20"/>
    <col min="13571" max="13571" width="11.7109375" style="20" customWidth="1"/>
    <col min="13572" max="13572" width="9.140625" style="20"/>
    <col min="13573" max="13573" width="14.7109375" style="20" customWidth="1"/>
    <col min="13574" max="13574" width="10.7109375" style="20" customWidth="1"/>
    <col min="13575" max="13826" width="9.140625" style="20"/>
    <col min="13827" max="13827" width="11.7109375" style="20" customWidth="1"/>
    <col min="13828" max="13828" width="9.140625" style="20"/>
    <col min="13829" max="13829" width="14.7109375" style="20" customWidth="1"/>
    <col min="13830" max="13830" width="10.7109375" style="20" customWidth="1"/>
    <col min="13831" max="14082" width="9.140625" style="20"/>
    <col min="14083" max="14083" width="11.7109375" style="20" customWidth="1"/>
    <col min="14084" max="14084" width="9.140625" style="20"/>
    <col min="14085" max="14085" width="14.7109375" style="20" customWidth="1"/>
    <col min="14086" max="14086" width="10.7109375" style="20" customWidth="1"/>
    <col min="14087" max="14338" width="9.140625" style="20"/>
    <col min="14339" max="14339" width="11.7109375" style="20" customWidth="1"/>
    <col min="14340" max="14340" width="9.140625" style="20"/>
    <col min="14341" max="14341" width="14.7109375" style="20" customWidth="1"/>
    <col min="14342" max="14342" width="10.7109375" style="20" customWidth="1"/>
    <col min="14343" max="14594" width="9.140625" style="20"/>
    <col min="14595" max="14595" width="11.7109375" style="20" customWidth="1"/>
    <col min="14596" max="14596" width="9.140625" style="20"/>
    <col min="14597" max="14597" width="14.7109375" style="20" customWidth="1"/>
    <col min="14598" max="14598" width="10.7109375" style="20" customWidth="1"/>
    <col min="14599" max="14850" width="9.140625" style="20"/>
    <col min="14851" max="14851" width="11.7109375" style="20" customWidth="1"/>
    <col min="14852" max="14852" width="9.140625" style="20"/>
    <col min="14853" max="14853" width="14.7109375" style="20" customWidth="1"/>
    <col min="14854" max="14854" width="10.7109375" style="20" customWidth="1"/>
    <col min="14855" max="15106" width="9.140625" style="20"/>
    <col min="15107" max="15107" width="11.7109375" style="20" customWidth="1"/>
    <col min="15108" max="15108" width="9.140625" style="20"/>
    <col min="15109" max="15109" width="14.7109375" style="20" customWidth="1"/>
    <col min="15110" max="15110" width="10.7109375" style="20" customWidth="1"/>
    <col min="15111" max="15362" width="9.140625" style="20"/>
    <col min="15363" max="15363" width="11.7109375" style="20" customWidth="1"/>
    <col min="15364" max="15364" width="9.140625" style="20"/>
    <col min="15365" max="15365" width="14.7109375" style="20" customWidth="1"/>
    <col min="15366" max="15366" width="10.7109375" style="20" customWidth="1"/>
    <col min="15367" max="15618" width="9.140625" style="20"/>
    <col min="15619" max="15619" width="11.7109375" style="20" customWidth="1"/>
    <col min="15620" max="15620" width="9.140625" style="20"/>
    <col min="15621" max="15621" width="14.7109375" style="20" customWidth="1"/>
    <col min="15622" max="15622" width="10.7109375" style="20" customWidth="1"/>
    <col min="15623" max="15874" width="9.140625" style="20"/>
    <col min="15875" max="15875" width="11.7109375" style="20" customWidth="1"/>
    <col min="15876" max="15876" width="9.140625" style="20"/>
    <col min="15877" max="15877" width="14.7109375" style="20" customWidth="1"/>
    <col min="15878" max="15878" width="10.7109375" style="20" customWidth="1"/>
    <col min="15879" max="16130" width="9.140625" style="20"/>
    <col min="16131" max="16131" width="11.7109375" style="20" customWidth="1"/>
    <col min="16132" max="16132" width="9.140625" style="20"/>
    <col min="16133" max="16133" width="14.7109375" style="20" customWidth="1"/>
    <col min="16134" max="16134" width="10.7109375" style="20" customWidth="1"/>
    <col min="16135" max="16384" width="9.140625" style="20"/>
  </cols>
  <sheetData>
    <row r="2" spans="1:13" x14ac:dyDescent="0.25">
      <c r="A2" s="21" t="s">
        <v>133</v>
      </c>
      <c r="B2" s="21" t="s">
        <v>134</v>
      </c>
      <c r="C2" s="21" t="s">
        <v>135</v>
      </c>
      <c r="D2" s="227" t="s">
        <v>136</v>
      </c>
      <c r="E2" s="227"/>
    </row>
    <row r="3" spans="1:13" x14ac:dyDescent="0.25">
      <c r="A3" s="24">
        <v>0</v>
      </c>
      <c r="B3" s="24">
        <v>0</v>
      </c>
      <c r="C3" s="24">
        <v>1</v>
      </c>
      <c r="D3" s="228">
        <v>7</v>
      </c>
      <c r="E3" s="228"/>
    </row>
    <row r="5" spans="1:13" hidden="1" x14ac:dyDescent="0.25">
      <c r="A5" s="20" t="s">
        <v>98</v>
      </c>
      <c r="B5" s="22" t="s">
        <v>150</v>
      </c>
      <c r="C5" s="22">
        <f>D3</f>
        <v>7</v>
      </c>
      <c r="D5" s="23"/>
    </row>
    <row r="6" spans="1:13" x14ac:dyDescent="0.25">
      <c r="A6" s="20" t="s">
        <v>99</v>
      </c>
      <c r="B6" s="25">
        <v>10</v>
      </c>
      <c r="C6" s="26">
        <v>0</v>
      </c>
      <c r="D6" s="27">
        <f>((100/B6)*C6)/100</f>
        <v>0</v>
      </c>
    </row>
    <row r="7" spans="1:13" x14ac:dyDescent="0.25">
      <c r="A7" s="20" t="s">
        <v>100</v>
      </c>
      <c r="B7" s="25">
        <f>A3+B3+C3+D3</f>
        <v>8</v>
      </c>
      <c r="C7" s="26">
        <v>0</v>
      </c>
      <c r="D7" s="27">
        <f t="shared" ref="D7:D12" si="0">((100/B7)*C7)/100</f>
        <v>0</v>
      </c>
      <c r="F7" s="230" t="s">
        <v>151</v>
      </c>
      <c r="G7" s="230"/>
      <c r="H7" s="28" t="s">
        <v>152</v>
      </c>
      <c r="J7" s="34"/>
    </row>
    <row r="8" spans="1:13" x14ac:dyDescent="0.25">
      <c r="A8" s="20" t="s">
        <v>105</v>
      </c>
      <c r="B8" s="25">
        <f>C5</f>
        <v>7</v>
      </c>
      <c r="C8" s="26">
        <v>0</v>
      </c>
      <c r="D8" s="27">
        <f t="shared" si="0"/>
        <v>0</v>
      </c>
      <c r="F8" s="229" t="s">
        <v>153</v>
      </c>
      <c r="G8" s="229"/>
      <c r="H8" s="25" t="s">
        <v>154</v>
      </c>
    </row>
    <row r="9" spans="1:13" x14ac:dyDescent="0.25">
      <c r="A9" s="20" t="s">
        <v>107</v>
      </c>
      <c r="B9" s="25">
        <f>C5</f>
        <v>7</v>
      </c>
      <c r="C9" s="26">
        <v>0</v>
      </c>
      <c r="D9" s="27">
        <f t="shared" si="0"/>
        <v>0</v>
      </c>
      <c r="F9" s="229" t="s">
        <v>155</v>
      </c>
      <c r="G9" s="229"/>
      <c r="H9" s="25" t="s">
        <v>156</v>
      </c>
    </row>
    <row r="10" spans="1:13" x14ac:dyDescent="0.25">
      <c r="A10" s="20" t="s">
        <v>69</v>
      </c>
      <c r="B10" s="25">
        <f>C5</f>
        <v>7</v>
      </c>
      <c r="C10" s="26">
        <v>0</v>
      </c>
      <c r="D10" s="27">
        <f t="shared" si="0"/>
        <v>0</v>
      </c>
      <c r="F10" s="229" t="s">
        <v>157</v>
      </c>
      <c r="G10" s="229"/>
      <c r="H10" s="25" t="s">
        <v>158</v>
      </c>
    </row>
    <row r="11" spans="1:13" x14ac:dyDescent="0.25">
      <c r="A11" s="29" t="s">
        <v>103</v>
      </c>
      <c r="B11" s="25">
        <f>C5</f>
        <v>7</v>
      </c>
      <c r="C11" s="26">
        <v>0</v>
      </c>
      <c r="D11" s="27">
        <f t="shared" si="0"/>
        <v>0</v>
      </c>
      <c r="F11" s="229" t="s">
        <v>159</v>
      </c>
      <c r="G11" s="229"/>
      <c r="H11" s="25" t="s">
        <v>160</v>
      </c>
    </row>
    <row r="12" spans="1:13" x14ac:dyDescent="0.25">
      <c r="A12" s="20" t="s">
        <v>70</v>
      </c>
      <c r="B12" s="25">
        <f>C5</f>
        <v>7</v>
      </c>
      <c r="C12" s="26">
        <v>0</v>
      </c>
      <c r="D12" s="27">
        <f t="shared" si="0"/>
        <v>0</v>
      </c>
      <c r="F12" s="229" t="s">
        <v>161</v>
      </c>
      <c r="G12" s="229"/>
      <c r="H12" s="25" t="s">
        <v>162</v>
      </c>
    </row>
    <row r="13" spans="1:13" x14ac:dyDescent="0.25">
      <c r="F13" s="229" t="s">
        <v>163</v>
      </c>
      <c r="G13" s="229"/>
      <c r="H13" s="25" t="s">
        <v>164</v>
      </c>
    </row>
    <row r="14" spans="1:13" hidden="1" x14ac:dyDescent="0.25">
      <c r="A14" s="21"/>
      <c r="B14" s="21" t="s">
        <v>104</v>
      </c>
      <c r="C14" s="21" t="s">
        <v>108</v>
      </c>
      <c r="G14" s="21" t="s">
        <v>99</v>
      </c>
      <c r="H14" s="21" t="s">
        <v>101</v>
      </c>
      <c r="I14" s="21" t="s">
        <v>102</v>
      </c>
      <c r="J14" s="21" t="s">
        <v>68</v>
      </c>
      <c r="K14" s="21" t="s">
        <v>69</v>
      </c>
      <c r="L14" s="21" t="s">
        <v>103</v>
      </c>
      <c r="M14" s="21" t="s">
        <v>70</v>
      </c>
    </row>
    <row r="15" spans="1:13" hidden="1" x14ac:dyDescent="0.25">
      <c r="A15" s="21" t="s">
        <v>66</v>
      </c>
      <c r="B15" s="21">
        <f>G15</f>
        <v>0</v>
      </c>
      <c r="C15" s="21">
        <f>G16</f>
        <v>20</v>
      </c>
      <c r="E15" s="227" t="s">
        <v>104</v>
      </c>
      <c r="F15" s="227"/>
      <c r="G15" s="30">
        <f>C6</f>
        <v>0</v>
      </c>
      <c r="H15" s="30">
        <f>40/B7*C7</f>
        <v>0</v>
      </c>
      <c r="I15" s="30">
        <f>15/B8*C8</f>
        <v>0</v>
      </c>
      <c r="J15" s="30">
        <f>10/B9*C9</f>
        <v>0</v>
      </c>
      <c r="K15" s="30">
        <f>10/B10*C10</f>
        <v>0</v>
      </c>
      <c r="L15" s="30">
        <f>5/B11*C11</f>
        <v>0</v>
      </c>
      <c r="M15" s="30">
        <f>5/B12*C12</f>
        <v>0</v>
      </c>
    </row>
    <row r="16" spans="1:13" hidden="1" x14ac:dyDescent="0.25">
      <c r="A16" s="21" t="s">
        <v>67</v>
      </c>
      <c r="B16" s="21">
        <f>H15</f>
        <v>0</v>
      </c>
      <c r="C16" s="21">
        <f>H16</f>
        <v>0</v>
      </c>
      <c r="E16" s="227" t="s">
        <v>106</v>
      </c>
      <c r="F16" s="227"/>
      <c r="G16" s="21">
        <f>G15+20</f>
        <v>20</v>
      </c>
      <c r="H16" s="21">
        <f>30/B7*C7</f>
        <v>0</v>
      </c>
      <c r="I16" s="21">
        <f>15/B8*C8</f>
        <v>0</v>
      </c>
      <c r="J16" s="21">
        <f>10/B9*C9</f>
        <v>0</v>
      </c>
      <c r="K16" s="21">
        <f>5/B10*C10</f>
        <v>0</v>
      </c>
      <c r="L16" s="21">
        <f>5/B11*C11</f>
        <v>0</v>
      </c>
      <c r="M16" s="21">
        <f>5/B12*C12</f>
        <v>0</v>
      </c>
    </row>
    <row r="17" spans="1:8" hidden="1" x14ac:dyDescent="0.25">
      <c r="A17" s="21" t="s">
        <v>102</v>
      </c>
      <c r="B17" s="21">
        <f>I15</f>
        <v>0</v>
      </c>
      <c r="C17" s="21">
        <f>I16</f>
        <v>0</v>
      </c>
    </row>
    <row r="18" spans="1:8" hidden="1" x14ac:dyDescent="0.25">
      <c r="A18" s="21" t="s">
        <v>68</v>
      </c>
      <c r="B18" s="21">
        <f>J15</f>
        <v>0</v>
      </c>
      <c r="C18" s="21">
        <f>J16</f>
        <v>0</v>
      </c>
    </row>
    <row r="19" spans="1:8" hidden="1" x14ac:dyDescent="0.25">
      <c r="A19" s="21" t="s">
        <v>69</v>
      </c>
      <c r="B19" s="21">
        <f>K15</f>
        <v>0</v>
      </c>
      <c r="C19" s="21">
        <f>K16</f>
        <v>0</v>
      </c>
    </row>
    <row r="20" spans="1:8" hidden="1" x14ac:dyDescent="0.25">
      <c r="A20" s="31" t="s">
        <v>103</v>
      </c>
      <c r="B20" s="21">
        <f>L15</f>
        <v>0</v>
      </c>
      <c r="C20" s="21">
        <f>L16</f>
        <v>0</v>
      </c>
    </row>
    <row r="21" spans="1:8" hidden="1" x14ac:dyDescent="0.25">
      <c r="A21" s="21" t="s">
        <v>70</v>
      </c>
      <c r="B21" s="21">
        <f>M15</f>
        <v>0</v>
      </c>
      <c r="C21" s="21">
        <f>M16</f>
        <v>0</v>
      </c>
    </row>
    <row r="22" spans="1:8" x14ac:dyDescent="0.25">
      <c r="A22" s="21" t="s">
        <v>109</v>
      </c>
      <c r="B22" s="32">
        <f>(B15+B16+B17+B18+B19+B20+B21)/100</f>
        <v>0</v>
      </c>
      <c r="C22" s="32">
        <f>(C15+C16+C17+C18+C19+C20+C21)/100</f>
        <v>0.2</v>
      </c>
      <c r="F22" s="229" t="s">
        <v>165</v>
      </c>
      <c r="G22" s="229"/>
      <c r="H22" s="25" t="s">
        <v>156</v>
      </c>
    </row>
    <row r="23" spans="1:8" x14ac:dyDescent="0.25">
      <c r="F23" s="229" t="s">
        <v>166</v>
      </c>
      <c r="G23" s="229"/>
      <c r="H23" s="25" t="s">
        <v>167</v>
      </c>
    </row>
    <row r="24" spans="1:8" x14ac:dyDescent="0.25">
      <c r="A24" s="20" t="s">
        <v>141</v>
      </c>
      <c r="B24" s="33">
        <v>0.01</v>
      </c>
      <c r="C24" s="33">
        <v>0.02</v>
      </c>
      <c r="F24" s="229" t="s">
        <v>168</v>
      </c>
      <c r="G24" s="229"/>
      <c r="H24" s="25" t="s">
        <v>169</v>
      </c>
    </row>
    <row r="25" spans="1:8" x14ac:dyDescent="0.25">
      <c r="A25" s="20" t="s">
        <v>142</v>
      </c>
      <c r="B25" s="33">
        <v>0.01</v>
      </c>
      <c r="C25" s="33">
        <v>0.03</v>
      </c>
    </row>
    <row r="26" spans="1:8" x14ac:dyDescent="0.25">
      <c r="A26" s="20" t="s">
        <v>143</v>
      </c>
      <c r="B26" s="33">
        <v>0.03</v>
      </c>
      <c r="C26" s="33">
        <v>0.08</v>
      </c>
    </row>
    <row r="27" spans="1:8" x14ac:dyDescent="0.25">
      <c r="A27" s="20" t="s">
        <v>144</v>
      </c>
      <c r="B27" s="33">
        <v>0.05</v>
      </c>
      <c r="C27" s="33">
        <v>0.15</v>
      </c>
    </row>
    <row r="28" spans="1:8" x14ac:dyDescent="0.25">
      <c r="A28" s="20" t="s">
        <v>145</v>
      </c>
      <c r="B28" s="33">
        <v>7.0000000000000007E-2</v>
      </c>
      <c r="C28" s="33">
        <v>0.2</v>
      </c>
    </row>
    <row r="29" spans="1:8" x14ac:dyDescent="0.25">
      <c r="A29" s="20" t="s">
        <v>146</v>
      </c>
      <c r="B29" s="33">
        <v>0.1</v>
      </c>
      <c r="C29" s="33">
        <v>0.3</v>
      </c>
    </row>
  </sheetData>
  <mergeCells count="14">
    <mergeCell ref="F10:G10"/>
    <mergeCell ref="D2:E2"/>
    <mergeCell ref="D3:E3"/>
    <mergeCell ref="F7:G7"/>
    <mergeCell ref="F8:G8"/>
    <mergeCell ref="F9:G9"/>
    <mergeCell ref="F23:G23"/>
    <mergeCell ref="F24:G24"/>
    <mergeCell ref="F11:G11"/>
    <mergeCell ref="F12:G12"/>
    <mergeCell ref="F13:G13"/>
    <mergeCell ref="E15:F15"/>
    <mergeCell ref="E16:F16"/>
    <mergeCell ref="F22:G2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6"/>
  <sheetViews>
    <sheetView topLeftCell="A40" workbookViewId="0">
      <selection activeCell="A41" sqref="A41"/>
    </sheetView>
  </sheetViews>
  <sheetFormatPr defaultRowHeight="15" x14ac:dyDescent="0.25"/>
  <cols>
    <col min="2" max="2" width="12.28515625" customWidth="1"/>
  </cols>
  <sheetData>
    <row r="2" spans="1:12" x14ac:dyDescent="0.25">
      <c r="B2" s="5" t="s">
        <v>110</v>
      </c>
      <c r="C2" s="231"/>
      <c r="D2" s="231"/>
    </row>
    <row r="3" spans="1:12" x14ac:dyDescent="0.25">
      <c r="D3" s="6"/>
      <c r="E3" s="6"/>
      <c r="F3" s="6"/>
      <c r="G3" s="6"/>
      <c r="H3" s="6"/>
      <c r="I3" s="6"/>
    </row>
    <row r="4" spans="1:12" x14ac:dyDescent="0.25">
      <c r="A4" s="5" t="s">
        <v>111</v>
      </c>
      <c r="B4" s="7" t="s">
        <v>112</v>
      </c>
      <c r="C4" s="221" t="s">
        <v>113</v>
      </c>
      <c r="D4" s="221"/>
      <c r="E4" s="221"/>
      <c r="F4" s="8"/>
      <c r="G4" s="221" t="s">
        <v>114</v>
      </c>
      <c r="H4" s="221"/>
      <c r="I4" s="221"/>
      <c r="J4" s="221" t="s">
        <v>115</v>
      </c>
      <c r="K4" s="221"/>
      <c r="L4" s="221"/>
    </row>
    <row r="5" spans="1:12" x14ac:dyDescent="0.25">
      <c r="A5" s="5">
        <v>1</v>
      </c>
      <c r="B5" s="7"/>
      <c r="C5" s="7" t="s">
        <v>116</v>
      </c>
      <c r="D5" s="7" t="s">
        <v>117</v>
      </c>
      <c r="E5" s="7" t="s">
        <v>78</v>
      </c>
      <c r="F5" s="7"/>
      <c r="G5" s="7" t="s">
        <v>116</v>
      </c>
      <c r="H5" s="7" t="s">
        <v>117</v>
      </c>
      <c r="I5" s="7" t="s">
        <v>78</v>
      </c>
      <c r="J5" s="7" t="s">
        <v>116</v>
      </c>
      <c r="K5" s="7" t="s">
        <v>117</v>
      </c>
      <c r="L5" s="7" t="s">
        <v>78</v>
      </c>
    </row>
    <row r="6" spans="1:12" x14ac:dyDescent="0.25">
      <c r="B6" s="9" t="s">
        <v>118</v>
      </c>
      <c r="C6" s="9">
        <v>2.85</v>
      </c>
      <c r="D6" s="9">
        <v>3.45</v>
      </c>
      <c r="E6" s="9">
        <f>C6*D6</f>
        <v>9.8325000000000014</v>
      </c>
      <c r="F6" s="9" t="s">
        <v>119</v>
      </c>
      <c r="G6" s="9"/>
      <c r="H6" s="9"/>
      <c r="I6" s="9">
        <f>G6*H6</f>
        <v>0</v>
      </c>
      <c r="J6" s="9"/>
      <c r="K6" s="9"/>
      <c r="L6" s="9">
        <f>J6*K6</f>
        <v>0</v>
      </c>
    </row>
    <row r="7" spans="1:12" x14ac:dyDescent="0.25">
      <c r="B7" s="9"/>
      <c r="C7" s="9"/>
      <c r="D7" s="9"/>
      <c r="E7" s="9">
        <f t="shared" ref="E7:E33" si="0">C7*D7</f>
        <v>0</v>
      </c>
      <c r="F7" s="9" t="s">
        <v>120</v>
      </c>
      <c r="G7" s="9"/>
      <c r="H7" s="9"/>
      <c r="I7" s="9">
        <f t="shared" ref="I7:I29" si="1">G7*H7</f>
        <v>0</v>
      </c>
      <c r="J7" s="9"/>
      <c r="K7" s="9"/>
      <c r="L7" s="9">
        <f t="shared" ref="L7:L29" si="2">J7*K7</f>
        <v>0</v>
      </c>
    </row>
    <row r="8" spans="1:12" x14ac:dyDescent="0.25">
      <c r="B8" s="9"/>
      <c r="C8" s="9"/>
      <c r="D8" s="9"/>
      <c r="E8" s="9">
        <f t="shared" si="0"/>
        <v>0</v>
      </c>
      <c r="F8" s="9"/>
      <c r="G8" s="9"/>
      <c r="H8" s="9"/>
      <c r="I8" s="9">
        <f t="shared" si="1"/>
        <v>0</v>
      </c>
      <c r="J8" s="9"/>
      <c r="K8" s="9"/>
      <c r="L8" s="9">
        <f t="shared" si="2"/>
        <v>0</v>
      </c>
    </row>
    <row r="9" spans="1:12" x14ac:dyDescent="0.25">
      <c r="B9" s="9" t="s">
        <v>121</v>
      </c>
      <c r="C9" s="9">
        <v>1.8</v>
      </c>
      <c r="D9" s="9">
        <v>2</v>
      </c>
      <c r="E9" s="9">
        <f t="shared" si="0"/>
        <v>3.6</v>
      </c>
      <c r="F9" s="9" t="s">
        <v>119</v>
      </c>
      <c r="G9" s="9"/>
      <c r="H9" s="9"/>
      <c r="I9" s="9">
        <f t="shared" si="1"/>
        <v>0</v>
      </c>
      <c r="J9" s="9"/>
      <c r="K9" s="9"/>
      <c r="L9" s="9">
        <f t="shared" si="2"/>
        <v>0</v>
      </c>
    </row>
    <row r="10" spans="1:12" x14ac:dyDescent="0.25">
      <c r="B10" s="9"/>
      <c r="C10" s="9"/>
      <c r="D10" s="9"/>
      <c r="E10" s="9">
        <f t="shared" si="0"/>
        <v>0</v>
      </c>
      <c r="F10" s="9" t="s">
        <v>120</v>
      </c>
      <c r="G10" s="9"/>
      <c r="H10" s="9"/>
      <c r="I10" s="9">
        <f t="shared" si="1"/>
        <v>0</v>
      </c>
      <c r="J10" s="9"/>
      <c r="K10" s="9"/>
      <c r="L10" s="9">
        <f t="shared" si="2"/>
        <v>0</v>
      </c>
    </row>
    <row r="11" spans="1:12" x14ac:dyDescent="0.25">
      <c r="B11" s="9"/>
      <c r="C11" s="9"/>
      <c r="D11" s="9"/>
      <c r="E11" s="9">
        <f t="shared" si="0"/>
        <v>0</v>
      </c>
      <c r="F11" s="9"/>
      <c r="G11" s="9"/>
      <c r="H11" s="9"/>
      <c r="I11" s="9">
        <f t="shared" si="1"/>
        <v>0</v>
      </c>
      <c r="J11" s="9"/>
      <c r="K11" s="9"/>
      <c r="L11" s="9">
        <f t="shared" si="2"/>
        <v>0</v>
      </c>
    </row>
    <row r="12" spans="1:12" x14ac:dyDescent="0.25">
      <c r="B12" s="9"/>
      <c r="C12" s="9"/>
      <c r="D12" s="9"/>
      <c r="E12" s="9">
        <f t="shared" si="0"/>
        <v>0</v>
      </c>
      <c r="F12" s="9"/>
      <c r="G12" s="9"/>
      <c r="H12" s="9"/>
      <c r="I12" s="9">
        <f t="shared" si="1"/>
        <v>0</v>
      </c>
      <c r="J12" s="9"/>
      <c r="K12" s="9"/>
      <c r="L12" s="9">
        <f t="shared" si="2"/>
        <v>0</v>
      </c>
    </row>
    <row r="13" spans="1:12" x14ac:dyDescent="0.25">
      <c r="B13" s="9" t="s">
        <v>122</v>
      </c>
      <c r="C13" s="9">
        <v>3.2</v>
      </c>
      <c r="D13" s="9">
        <v>2.75</v>
      </c>
      <c r="E13" s="9">
        <f t="shared" si="0"/>
        <v>8.8000000000000007</v>
      </c>
      <c r="F13" s="9" t="s">
        <v>119</v>
      </c>
      <c r="G13" s="9"/>
      <c r="H13" s="9"/>
      <c r="I13" s="9">
        <f t="shared" si="1"/>
        <v>0</v>
      </c>
      <c r="J13" s="9"/>
      <c r="K13" s="9"/>
      <c r="L13" s="9">
        <f t="shared" si="2"/>
        <v>0</v>
      </c>
    </row>
    <row r="14" spans="1:12" x14ac:dyDescent="0.25">
      <c r="B14" s="9"/>
      <c r="C14" s="9"/>
      <c r="D14" s="9"/>
      <c r="E14" s="9">
        <f t="shared" si="0"/>
        <v>0</v>
      </c>
      <c r="F14" s="9" t="s">
        <v>120</v>
      </c>
      <c r="G14" s="9"/>
      <c r="H14" s="9"/>
      <c r="I14" s="9">
        <f t="shared" si="1"/>
        <v>0</v>
      </c>
      <c r="J14" s="9"/>
      <c r="K14" s="9"/>
      <c r="L14" s="9">
        <f t="shared" si="2"/>
        <v>0</v>
      </c>
    </row>
    <row r="15" spans="1:12" x14ac:dyDescent="0.25">
      <c r="B15" s="9"/>
      <c r="C15" s="9"/>
      <c r="D15" s="9"/>
      <c r="E15" s="9">
        <f t="shared" si="0"/>
        <v>0</v>
      </c>
      <c r="F15" s="9"/>
      <c r="G15" s="9"/>
      <c r="H15" s="9"/>
      <c r="I15" s="9">
        <f t="shared" si="1"/>
        <v>0</v>
      </c>
      <c r="J15" s="9"/>
      <c r="K15" s="9"/>
      <c r="L15" s="9">
        <f t="shared" si="2"/>
        <v>0</v>
      </c>
    </row>
    <row r="16" spans="1:12" x14ac:dyDescent="0.25">
      <c r="B16" s="9"/>
      <c r="C16" s="9"/>
      <c r="D16" s="9"/>
      <c r="E16" s="9">
        <f t="shared" si="0"/>
        <v>0</v>
      </c>
      <c r="F16" s="9"/>
      <c r="G16" s="9"/>
      <c r="H16" s="9"/>
      <c r="I16" s="9">
        <f t="shared" si="1"/>
        <v>0</v>
      </c>
      <c r="J16" s="9"/>
      <c r="K16" s="9"/>
      <c r="L16" s="9">
        <f t="shared" si="2"/>
        <v>0</v>
      </c>
    </row>
    <row r="17" spans="2:12" x14ac:dyDescent="0.25">
      <c r="B17" s="9" t="s">
        <v>123</v>
      </c>
      <c r="C17" s="9"/>
      <c r="D17" s="9"/>
      <c r="E17" s="9">
        <f t="shared" si="0"/>
        <v>0</v>
      </c>
      <c r="F17" s="9" t="s">
        <v>119</v>
      </c>
      <c r="G17" s="9"/>
      <c r="H17" s="9"/>
      <c r="I17" s="9">
        <f t="shared" si="1"/>
        <v>0</v>
      </c>
      <c r="J17" s="9"/>
      <c r="K17" s="9"/>
      <c r="L17" s="9">
        <f t="shared" si="2"/>
        <v>0</v>
      </c>
    </row>
    <row r="18" spans="2:12" x14ac:dyDescent="0.25">
      <c r="B18" s="9"/>
      <c r="C18" s="9"/>
      <c r="D18" s="9"/>
      <c r="E18" s="9">
        <f t="shared" si="0"/>
        <v>0</v>
      </c>
      <c r="F18" s="9" t="s">
        <v>120</v>
      </c>
      <c r="G18" s="9"/>
      <c r="H18" s="9"/>
      <c r="I18" s="9">
        <f t="shared" si="1"/>
        <v>0</v>
      </c>
      <c r="J18" s="9"/>
      <c r="K18" s="9"/>
      <c r="L18" s="9">
        <f t="shared" si="2"/>
        <v>0</v>
      </c>
    </row>
    <row r="19" spans="2:12" x14ac:dyDescent="0.25">
      <c r="B19" s="9"/>
      <c r="C19" s="9"/>
      <c r="D19" s="9"/>
      <c r="E19" s="9">
        <f t="shared" si="0"/>
        <v>0</v>
      </c>
      <c r="F19" s="9"/>
      <c r="G19" s="9"/>
      <c r="H19" s="9"/>
      <c r="I19" s="9">
        <f t="shared" si="1"/>
        <v>0</v>
      </c>
      <c r="J19" s="9"/>
      <c r="K19" s="9"/>
      <c r="L19" s="9">
        <f t="shared" si="2"/>
        <v>0</v>
      </c>
    </row>
    <row r="20" spans="2:12" x14ac:dyDescent="0.25">
      <c r="B20" s="9" t="s">
        <v>123</v>
      </c>
      <c r="C20" s="9"/>
      <c r="D20" s="9"/>
      <c r="E20" s="9">
        <f t="shared" si="0"/>
        <v>0</v>
      </c>
      <c r="F20" s="9" t="s">
        <v>119</v>
      </c>
      <c r="G20" s="9"/>
      <c r="H20" s="9"/>
      <c r="I20" s="9">
        <f t="shared" si="1"/>
        <v>0</v>
      </c>
      <c r="J20" s="9"/>
      <c r="K20" s="9"/>
      <c r="L20" s="9">
        <f t="shared" si="2"/>
        <v>0</v>
      </c>
    </row>
    <row r="21" spans="2:12" x14ac:dyDescent="0.25">
      <c r="B21" s="9"/>
      <c r="C21" s="9"/>
      <c r="D21" s="9"/>
      <c r="E21" s="9">
        <f t="shared" si="0"/>
        <v>0</v>
      </c>
      <c r="F21" s="9" t="s">
        <v>120</v>
      </c>
      <c r="G21" s="9"/>
      <c r="H21" s="9"/>
      <c r="I21" s="9">
        <f t="shared" si="1"/>
        <v>0</v>
      </c>
      <c r="J21" s="9"/>
      <c r="K21" s="9"/>
      <c r="L21" s="9">
        <f t="shared" si="2"/>
        <v>0</v>
      </c>
    </row>
    <row r="22" spans="2:12" x14ac:dyDescent="0.25">
      <c r="B22" s="9"/>
      <c r="C22" s="9"/>
      <c r="D22" s="9"/>
      <c r="E22" s="9">
        <f t="shared" si="0"/>
        <v>0</v>
      </c>
      <c r="F22" s="9"/>
      <c r="G22" s="9"/>
      <c r="H22" s="9"/>
      <c r="I22" s="9">
        <f t="shared" si="1"/>
        <v>0</v>
      </c>
      <c r="J22" s="9"/>
      <c r="K22" s="9"/>
      <c r="L22" s="9">
        <f t="shared" si="2"/>
        <v>0</v>
      </c>
    </row>
    <row r="23" spans="2:12" x14ac:dyDescent="0.25">
      <c r="B23" s="9" t="s">
        <v>124</v>
      </c>
      <c r="C23" s="9">
        <v>1.2</v>
      </c>
      <c r="D23" s="9">
        <v>2.2000000000000002</v>
      </c>
      <c r="E23" s="9">
        <f t="shared" si="0"/>
        <v>2.64</v>
      </c>
      <c r="F23" s="9" t="s">
        <v>125</v>
      </c>
      <c r="G23" s="9"/>
      <c r="H23" s="9"/>
      <c r="I23" s="9">
        <f t="shared" si="1"/>
        <v>0</v>
      </c>
      <c r="J23" s="9"/>
      <c r="K23" s="9"/>
      <c r="L23" s="9">
        <f t="shared" si="2"/>
        <v>0</v>
      </c>
    </row>
    <row r="24" spans="2:12" x14ac:dyDescent="0.25">
      <c r="B24" s="9" t="s">
        <v>126</v>
      </c>
      <c r="C24" s="9">
        <v>2</v>
      </c>
      <c r="D24" s="9">
        <v>1.2</v>
      </c>
      <c r="E24" s="9">
        <f t="shared" si="0"/>
        <v>2.4</v>
      </c>
      <c r="F24" s="9" t="s">
        <v>125</v>
      </c>
      <c r="G24" s="9"/>
      <c r="H24" s="9"/>
      <c r="I24" s="9">
        <f t="shared" si="1"/>
        <v>0</v>
      </c>
      <c r="J24" s="9"/>
      <c r="K24" s="9"/>
      <c r="L24" s="9">
        <f t="shared" si="2"/>
        <v>0</v>
      </c>
    </row>
    <row r="25" spans="2:12" x14ac:dyDescent="0.25">
      <c r="B25" s="9" t="s">
        <v>127</v>
      </c>
      <c r="C25" s="9"/>
      <c r="D25" s="9"/>
      <c r="E25" s="9">
        <f t="shared" si="0"/>
        <v>0</v>
      </c>
      <c r="F25" s="9" t="s">
        <v>125</v>
      </c>
      <c r="G25" s="9"/>
      <c r="H25" s="9"/>
      <c r="I25" s="9">
        <f t="shared" si="1"/>
        <v>0</v>
      </c>
      <c r="J25" s="9"/>
      <c r="K25" s="9"/>
      <c r="L25" s="9">
        <f t="shared" si="2"/>
        <v>0</v>
      </c>
    </row>
    <row r="26" spans="2:12" x14ac:dyDescent="0.25">
      <c r="B26" s="9"/>
      <c r="C26" s="9"/>
      <c r="D26" s="9"/>
      <c r="E26" s="9">
        <f t="shared" si="0"/>
        <v>0</v>
      </c>
      <c r="F26" s="9"/>
      <c r="G26" s="9"/>
      <c r="H26" s="9"/>
      <c r="I26" s="9">
        <f t="shared" si="1"/>
        <v>0</v>
      </c>
      <c r="J26" s="9"/>
      <c r="K26" s="9"/>
      <c r="L26" s="9">
        <f t="shared" si="2"/>
        <v>0</v>
      </c>
    </row>
    <row r="27" spans="2:12" x14ac:dyDescent="0.25">
      <c r="B27" s="9" t="s">
        <v>128</v>
      </c>
      <c r="C27" s="9">
        <v>1.2</v>
      </c>
      <c r="D27" s="9">
        <f>(1.2+1.8)</f>
        <v>3</v>
      </c>
      <c r="E27" s="9">
        <f t="shared" si="0"/>
        <v>3.5999999999999996</v>
      </c>
      <c r="F27" s="9"/>
      <c r="G27" s="9"/>
      <c r="H27" s="9"/>
      <c r="I27" s="9">
        <f t="shared" si="1"/>
        <v>0</v>
      </c>
      <c r="J27" s="9"/>
      <c r="K27" s="9"/>
      <c r="L27" s="9">
        <f t="shared" si="2"/>
        <v>0</v>
      </c>
    </row>
    <row r="28" spans="2:12" x14ac:dyDescent="0.25">
      <c r="B28" s="9" t="s">
        <v>129</v>
      </c>
      <c r="C28" s="9">
        <v>0.45</v>
      </c>
      <c r="D28" s="9">
        <v>2</v>
      </c>
      <c r="E28" s="9">
        <f t="shared" si="0"/>
        <v>0.9</v>
      </c>
      <c r="F28" s="9"/>
      <c r="G28" s="9"/>
      <c r="H28" s="9"/>
      <c r="I28" s="9">
        <f t="shared" si="1"/>
        <v>0</v>
      </c>
      <c r="J28" s="9"/>
      <c r="K28" s="9"/>
      <c r="L28" s="9">
        <f t="shared" si="2"/>
        <v>0</v>
      </c>
    </row>
    <row r="29" spans="2:12" x14ac:dyDescent="0.25">
      <c r="B29" s="9" t="s">
        <v>130</v>
      </c>
      <c r="C29" s="9"/>
      <c r="D29" s="9"/>
      <c r="E29" s="9">
        <f t="shared" si="0"/>
        <v>0</v>
      </c>
      <c r="F29" s="9"/>
      <c r="G29" s="9"/>
      <c r="H29" s="9"/>
      <c r="I29" s="9">
        <f t="shared" si="1"/>
        <v>0</v>
      </c>
      <c r="J29" s="9"/>
      <c r="K29" s="9"/>
      <c r="L29" s="9">
        <f t="shared" si="2"/>
        <v>0</v>
      </c>
    </row>
    <row r="30" spans="2:12" x14ac:dyDescent="0.25">
      <c r="B30" s="9" t="s">
        <v>131</v>
      </c>
      <c r="C30" s="9"/>
      <c r="D30" s="9"/>
      <c r="E30" s="9">
        <f t="shared" si="0"/>
        <v>0</v>
      </c>
      <c r="F30" s="9"/>
      <c r="G30" s="9"/>
      <c r="H30" s="9"/>
      <c r="I30" s="9">
        <f>G30*H30</f>
        <v>0</v>
      </c>
      <c r="J30" s="9"/>
      <c r="K30" s="9"/>
      <c r="L30" s="9">
        <f>J30*K30</f>
        <v>0</v>
      </c>
    </row>
    <row r="31" spans="2:12" x14ac:dyDescent="0.25">
      <c r="B31" s="9"/>
      <c r="C31" s="9"/>
      <c r="D31" s="9"/>
      <c r="E31" s="9">
        <f t="shared" si="0"/>
        <v>0</v>
      </c>
      <c r="F31" s="9"/>
      <c r="G31" s="9"/>
      <c r="H31" s="9"/>
      <c r="I31" s="9">
        <f>G31*H31</f>
        <v>0</v>
      </c>
      <c r="J31" s="9"/>
      <c r="K31" s="9"/>
      <c r="L31" s="9">
        <f>J31*K31</f>
        <v>0</v>
      </c>
    </row>
    <row r="32" spans="2:12" x14ac:dyDescent="0.25">
      <c r="B32" s="9"/>
      <c r="C32" s="9"/>
      <c r="D32" s="9"/>
      <c r="E32" s="9">
        <f t="shared" si="0"/>
        <v>0</v>
      </c>
      <c r="F32" s="9"/>
      <c r="G32" s="9"/>
      <c r="H32" s="9"/>
      <c r="I32" s="9">
        <f>G32*H32</f>
        <v>0</v>
      </c>
      <c r="J32" s="9"/>
      <c r="K32" s="9"/>
      <c r="L32" s="9">
        <f>J32*K32</f>
        <v>0</v>
      </c>
    </row>
    <row r="33" spans="2:12" x14ac:dyDescent="0.25">
      <c r="B33" s="9"/>
      <c r="C33" s="9"/>
      <c r="D33" s="9"/>
      <c r="E33" s="9">
        <f t="shared" si="0"/>
        <v>0</v>
      </c>
      <c r="F33" s="9"/>
      <c r="G33" s="9"/>
      <c r="H33" s="9"/>
      <c r="I33" s="9">
        <f>G33*H33</f>
        <v>0</v>
      </c>
      <c r="J33" s="9"/>
      <c r="K33" s="9"/>
      <c r="L33" s="9">
        <f>J33*K33</f>
        <v>0</v>
      </c>
    </row>
    <row r="34" spans="2:12" x14ac:dyDescent="0.25">
      <c r="B34" s="9" t="s">
        <v>79</v>
      </c>
      <c r="C34" s="9"/>
      <c r="D34" s="9">
        <f>E34*10.764</f>
        <v>341.99919</v>
      </c>
      <c r="E34" s="9">
        <f>SUM(E6:E33)</f>
        <v>31.772500000000001</v>
      </c>
      <c r="F34" s="9"/>
      <c r="G34" s="9"/>
      <c r="H34" s="9">
        <f>I34*10.764</f>
        <v>0</v>
      </c>
      <c r="I34" s="9">
        <f>SUM(I6:I33)</f>
        <v>0</v>
      </c>
      <c r="J34" s="9"/>
      <c r="K34" s="9">
        <f>L34*10.764</f>
        <v>0</v>
      </c>
      <c r="L34" s="9">
        <f>SUM(L6:L33)</f>
        <v>0</v>
      </c>
    </row>
    <row r="36" spans="2:12" x14ac:dyDescent="0.25">
      <c r="D36">
        <f>D34+H34</f>
        <v>341.99919</v>
      </c>
      <c r="E36">
        <f>E34+I34</f>
        <v>31.772500000000001</v>
      </c>
    </row>
  </sheetData>
  <mergeCells count="4">
    <mergeCell ref="C2:D2"/>
    <mergeCell ref="C4:E4"/>
    <mergeCell ref="G4:I4"/>
    <mergeCell ref="J4:L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Report (2)</vt:lpstr>
      <vt:lpstr>VALUATION</vt:lpstr>
      <vt:lpstr>NOTE</vt:lpstr>
      <vt:lpstr>A &amp; B%</vt:lpstr>
      <vt:lpstr>B2</vt:lpstr>
      <vt:lpstr>C% (2)</vt:lpstr>
      <vt:lpstr>Flat detail</vt:lpstr>
      <vt:lpstr>'Report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VSJC-06</cp:lastModifiedBy>
  <cp:lastPrinted>2025-09-15T10:55:07Z</cp:lastPrinted>
  <dcterms:created xsi:type="dcterms:W3CDTF">2019-07-16T09:29:46Z</dcterms:created>
  <dcterms:modified xsi:type="dcterms:W3CDTF">2025-09-30T06:51:32Z</dcterms:modified>
</cp:coreProperties>
</file>