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59A39C5A-81D3-4524-A0D8-890358B0626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J109" i="1" l="1"/>
  <c r="E7" i="1"/>
  <c r="J116" i="1"/>
  <c r="D145" i="1" l="1"/>
  <c r="F145" i="1" s="1"/>
  <c r="E144" i="1"/>
  <c r="D144" i="1"/>
  <c r="D143" i="1"/>
  <c r="F143" i="1" s="1"/>
  <c r="D141" i="1"/>
  <c r="F141" i="1" s="1"/>
  <c r="D140" i="1"/>
  <c r="F140" i="1" s="1"/>
  <c r="D138" i="1"/>
  <c r="F138" i="1" s="1"/>
  <c r="L110" i="1" s="1"/>
  <c r="D137" i="1"/>
  <c r="F137" i="1" s="1"/>
  <c r="D136" i="1"/>
  <c r="F136" i="1" s="1"/>
  <c r="D135" i="1"/>
  <c r="F135" i="1" s="1"/>
  <c r="D134" i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L108" i="1" s="1"/>
  <c r="D126" i="1"/>
  <c r="F126" i="1" s="1"/>
  <c r="L109" i="1" s="1"/>
  <c r="D125" i="1"/>
  <c r="I127" i="1"/>
  <c r="I125" i="1"/>
  <c r="E118" i="1"/>
  <c r="E116" i="1"/>
  <c r="D118" i="1"/>
  <c r="C104" i="1" s="1"/>
  <c r="C105" i="1" s="1"/>
  <c r="D116" i="1"/>
  <c r="I118" i="1"/>
  <c r="G118" i="1"/>
  <c r="J130" i="1" l="1"/>
  <c r="I130" i="1"/>
  <c r="E108" i="1"/>
  <c r="E109" i="1" s="1"/>
  <c r="C108" i="1"/>
  <c r="C109" i="1" s="1"/>
  <c r="F116" i="1"/>
  <c r="K116" i="1"/>
  <c r="J118" i="1"/>
  <c r="F118" i="1"/>
  <c r="L111" i="1"/>
  <c r="E104" i="1"/>
  <c r="E105" i="1" s="1"/>
  <c r="F144" i="1"/>
  <c r="E42" i="1"/>
  <c r="E43" i="1" s="1"/>
  <c r="K105" i="1" l="1"/>
  <c r="K117" i="1"/>
  <c r="G104" i="1"/>
  <c r="G105" i="1" s="1"/>
  <c r="C14" i="1"/>
  <c r="E29" i="1" l="1"/>
  <c r="F101" i="1" l="1"/>
  <c r="B148" i="1" l="1"/>
  <c r="F134" i="1" l="1"/>
  <c r="F125" i="1"/>
  <c r="G108" i="1" s="1"/>
  <c r="G109" i="1" s="1"/>
  <c r="J105" i="1" s="1"/>
  <c r="B14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1" i="1"/>
  <c r="G134" i="1"/>
  <c r="G125" i="1"/>
  <c r="G143" i="1"/>
  <c r="A144" i="1"/>
  <c r="A145" i="1" s="1"/>
  <c r="G116" i="1"/>
  <c r="J91" i="1"/>
  <c r="J90" i="1"/>
  <c r="J89" i="1"/>
  <c r="J88" i="1"/>
  <c r="C80" i="1"/>
  <c r="J77" i="1"/>
  <c r="J76" i="1"/>
  <c r="J75" i="1"/>
  <c r="J74" i="1"/>
  <c r="C66" i="1"/>
  <c r="D54" i="1"/>
  <c r="G49" i="1"/>
  <c r="C49" i="1"/>
  <c r="E26" i="1"/>
  <c r="E24" i="1"/>
  <c r="E3" i="1"/>
  <c r="H81" i="1"/>
  <c r="H67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J84" i="1"/>
  <c r="J85" i="1"/>
  <c r="J83" i="1"/>
  <c r="D86" i="1" l="1"/>
  <c r="D72" i="1"/>
  <c r="J68" i="1"/>
  <c r="E70" i="1"/>
  <c r="D71" i="1"/>
  <c r="G70" i="1"/>
  <c r="D64" i="1" s="1"/>
  <c r="D65" i="1" s="1"/>
  <c r="D70" i="1"/>
  <c r="E84" i="1"/>
  <c r="D85" i="1"/>
  <c r="G84" i="1"/>
  <c r="D84" i="1"/>
  <c r="J81" i="1" s="1"/>
  <c r="I67" i="1" l="1"/>
  <c r="J67" i="1"/>
  <c r="I81" i="1"/>
  <c r="F65" i="1"/>
  <c r="I68" i="1" l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<sst xmlns="http://schemas.openxmlformats.org/spreadsheetml/2006/main" count="332" uniqueCount="234">
  <si>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</si>
  <si>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</si>
  <si>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</si>
  <si>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</si>
  <si>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</si>
  <si>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</si>
  <si>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</si>
  <si>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</si>
  <si>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</si>
  <si>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</si>
  <si>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</si>
  <si>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</si>
  <si>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</si>
  <si>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</si>
  <si>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</si>
  <si>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</si>
  <si>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</si>
  <si>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</si>
  <si>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</si>
  <si>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</si>
  <si>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</si>
  <si>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</si>
  <si>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</si>
  <si>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</si>
  <si>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</si>
  <si>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</si>
  <si>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</si>
  <si>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</si>
  <si>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</si>
  <si>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</si>
  <si>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</si>
  <si>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</si>
  <si>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</si>
  <si>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</si>
  <si>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</si>
  <si>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</si>
  <si>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</si>
  <si>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</si>
  <si>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</si>
  <si>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</si>
  <si>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</si>
  <si>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</si>
  <si>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</si>
  <si>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</si>
  <si>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</si>
  <si>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</si>
  <si>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</si>
  <si>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</si>
  <si>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</si>
  <si>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</si>
  <si>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</si>
  <si>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</si>
  <si>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</si>
  <si>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</si>
  <si>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</si>
  <si>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</si>
  <si>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</si>
  <si>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</si>
  <si>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</si>
  <si>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</si>
  <si>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</si>
  <si>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</si>
  <si>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</si>
  <si>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</si>
  <si>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</si>
  <si>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</si>
  <si>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</si>
  <si>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</si>
  <si>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</si>
  <si>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</si>
  <si>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</si>
  <si>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</si>
  <si>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</si>
  <si>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</si>
  <si>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</si>
  <si>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</si>
  <si>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</si>
  <si>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</si>
  <si>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</si>
  <si>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</si>
  <si>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</si>
  <si>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</si>
  <si>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</si>
  <si>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</si>
  <si>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</si>
  <si>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</si>
  <si>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</si>
  <si>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</si>
  <si>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</si>
  <si>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</si>
  <si>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</si>
  <si>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</si>
  <si>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</si>
  <si>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</si>
  <si>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</si>
  <si>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</si>
  <si>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</si>
  <si>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</si>
  <si>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</si>
  <si>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</si>
  <si>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</si>
  <si>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</si>
  <si>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</si>
  <si>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</si>
  <si>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</si>
  <si>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</si>
  <si>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</si>
  <si>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</si>
  <si>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</si>
  <si>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</si>
  <si>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</si>
  <si>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</si>
  <si>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</si>
  <si>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</si>
  <si>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</si>
  <si>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</si>
  <si>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</si>
  <si>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</si>
  <si>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</si>
  <si>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</si>
  <si>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</si>
  <si>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</si>
  <si>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</si>
  <si>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</si>
  <si>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</si>
  <si>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</si>
  <si>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</si>
  <si>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</si>
  <si>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</si>
  <si>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</si>
  <si>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</si>
  <si>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</si>
  <si>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</si>
  <si>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</si>
  <si>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</si>
  <si>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</si>
  <si>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</si>
  <si>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</si>
  <si>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</si>
  <si>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</si>
  <si>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</si>
  <si>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</si>
  <si>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</si>
  <si>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</si>
  <si>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</si>
  <si>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</si>
  <si>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</si>
  <si>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</si>
  <si>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</si>
  <si>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</si>
  <si>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</si>
  <si>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</si>
  <si>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</si>
  <si>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</si>
  <si>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</si>
  <si>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</si>
  <si>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</si>
  <si>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</si>
  <si>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</si>
  <si>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</si>
  <si>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</si>
  <si>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</si>
  <si>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</si>
  <si>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</si>
  <si>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</si>
  <si>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</si>
  <si>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</si>
  <si>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</si>
  <si>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</si>
  <si>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Salasar Aavatar</t>
  </si>
  <si>
    <t>Salangpur Gruh Nirman</t>
  </si>
  <si>
    <t>8080800033/9833886266</t>
  </si>
  <si>
    <t>Approved Plans, CC</t>
  </si>
  <si>
    <t>P51700048170</t>
  </si>
  <si>
    <t>Survey No</t>
  </si>
  <si>
    <t>251/4, 9, 10, 11, 14 (Old), S.No. 47/4, 9, 10, 11, 14 (New)</t>
  </si>
  <si>
    <t>Navghar</t>
  </si>
  <si>
    <t>Thane</t>
  </si>
  <si>
    <t>Shree L.R.Tiwari Degree College of Arts, Commerce &amp; Science</t>
  </si>
  <si>
    <t>Salasar Aarpan</t>
  </si>
  <si>
    <t>K D Empire</t>
  </si>
  <si>
    <t>Internal Road</t>
  </si>
  <si>
    <t>https://goo.gl/maps/WhdCvc377KwkKAtGA</t>
  </si>
  <si>
    <t>3KM from Bhayandar Railway Station</t>
  </si>
  <si>
    <t>Bhayandar</t>
  </si>
  <si>
    <t xml:space="preserve">Wing A &amp; B </t>
  </si>
  <si>
    <t>02 Building</t>
  </si>
  <si>
    <t>Mira Bhaindar Municipal Corporation (MBMC)</t>
  </si>
  <si>
    <t>MBMNP/NR/2477/2022-23</t>
  </si>
  <si>
    <t>A Wing = G + 1st to 20th Floor
B Wing = G + 1st Floor</t>
  </si>
  <si>
    <t>B Wing = G + 1st Floor</t>
  </si>
  <si>
    <t>As per RERA - 31/12/2027</t>
  </si>
  <si>
    <t>A Wing</t>
  </si>
  <si>
    <t>B Wing</t>
  </si>
  <si>
    <t>Ground Floor For Commercial</t>
  </si>
  <si>
    <t>Shop</t>
  </si>
  <si>
    <t>Office</t>
  </si>
  <si>
    <t>1st Floor</t>
  </si>
  <si>
    <t>Ground Floor For Society Office &amp; Parking</t>
  </si>
  <si>
    <t>1st to 7th, 9th to 12th, 14th to 17th, 19th Floor For Residential</t>
  </si>
  <si>
    <t>8th,13th,18th Floor (Part Refuge Area)</t>
  </si>
  <si>
    <t>2BHK</t>
  </si>
  <si>
    <t>1BHK</t>
  </si>
  <si>
    <t>-</t>
  </si>
  <si>
    <t>Refuge Area</t>
  </si>
  <si>
    <t>2.5BHK</t>
  </si>
  <si>
    <t>20th Floor (Part Terrace Area)</t>
  </si>
  <si>
    <t>We considered Gross carpet area = Net carpet.</t>
  </si>
  <si>
    <t>A Wing = G + 1st to 34th Floor</t>
  </si>
  <si>
    <t>Flats - 152, Shops - 01, Offices -02</t>
  </si>
  <si>
    <t>B Wing 
(Commercial Unit)</t>
  </si>
  <si>
    <t>Sheet</t>
  </si>
  <si>
    <t>13000 on carpet</t>
  </si>
  <si>
    <t>Online</t>
  </si>
  <si>
    <t>Mr. Dheeraj - 8080800022.</t>
  </si>
  <si>
    <t xml:space="preserve">4.8L </t>
  </si>
  <si>
    <t xml:space="preserve">Other charges </t>
  </si>
  <si>
    <t>Nikhil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</si>
  <si>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</si>
  <si>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8500 to 9300</t>
  </si>
  <si>
    <t xml:space="preserve">Sanjay </t>
  </si>
  <si>
    <t>Staff case 406</t>
  </si>
  <si>
    <t>Rate Change</t>
  </si>
  <si>
    <t>Latitude,Longitude</t>
  </si>
  <si>
    <t>19.300154,72.875046</t>
  </si>
  <si>
    <t xml:space="preserve">Vitrified tiles flooring, Granite Kitchen Platform, Decorative Entrance, Landscaping &amp; Garden, etc.
</t>
  </si>
  <si>
    <t>A Wing = G + 1st to 33th + 34th Floor
B Wing = G + 1st Floor</t>
  </si>
  <si>
    <t>MNP/NR/3591/2023-24</t>
  </si>
  <si>
    <t>We have refered revised approved C.C (on 18/03/2024).</t>
  </si>
  <si>
    <t>The project has received first CC on 27/09/2022, But construction work of Wing B is not yet started.</t>
  </si>
  <si>
    <t>Construction work goes beyond approved plans. Please provide revised approved plans.</t>
  </si>
  <si>
    <t>Pranita Mhatre</t>
  </si>
  <si>
    <t>Ranjan Sharma</t>
  </si>
  <si>
    <t>Wing A = Construction work is in process at the time of Visit. (Internal photo was not allowed)
Wing B = Work not yet 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</si>
</sst>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68" fontId="7" fillId="0" borderId="0" xfId="9" applyNumberFormat="1" applyFont="1" applyAlignment="1">
      <alignment horizontal="center" vertical="center"/>
    </xf>
    <xf numFmtId="1" fontId="10" fillId="0" borderId="0" xfId="1" applyNumberFormat="1" applyFont="1"/>
    <xf numFmtId="168" fontId="27" fillId="0" borderId="0" xfId="1" applyNumberFormat="1" applyFont="1"/>
    <xf numFmtId="1" fontId="7" fillId="0" borderId="0" xfId="0" applyNumberFormat="1" applyFont="1" applyAlignment="1">
      <alignment horizontal="center" vertical="center"/>
    </xf>
    <xf numFmtId="0" fontId="16" fillId="3" borderId="0" xfId="1" applyFont="1" applyFill="1"/>
    <xf numFmtId="14" fontId="16" fillId="3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0" xfId="1" applyFont="1"/>
    <xf numFmtId="14" fontId="13" fillId="0" borderId="0" xfId="1" applyNumberFormat="1" applyFont="1"/>
    <xf numFmtId="0" fontId="10" fillId="0" borderId="0" xfId="1" applyFont="1"/>
    <xf numFmtId="0" fontId="24" fillId="2" borderId="15" xfId="0" applyFont="1" applyFill="1" applyBorder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2" fillId="0" borderId="1" xfId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114717</xdr:colOff>
      <xdr:row>264</xdr:row>
      <xdr:rowOff>62824</xdr:rowOff>
    </xdr:from>
    <xdr:to>
      <xdr:col>6</xdr:col>
      <xdr:colOff>669863</xdr:colOff>
      <xdr:row>278</xdr:row>
      <xdr:rowOff>159865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717" y="54869674"/>
          <a:ext cx="4708046" cy="289739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114717</xdr:colOff>
      <xdr:row>249</xdr:row>
      <xdr:rowOff>17808</xdr:rowOff>
    </xdr:from>
    <xdr:to>
      <xdr:col>6</xdr:col>
      <xdr:colOff>669862</xdr:colOff>
      <xdr:row>263</xdr:row>
      <xdr:rowOff>114851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717" y="51824283"/>
          <a:ext cx="4708045" cy="289739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569131</xdr:colOff>
      <xdr:row>269</xdr:row>
      <xdr:rowOff>193864</xdr:rowOff>
    </xdr:from>
    <xdr:to>
      <xdr:col>3</xdr:col>
      <xdr:colOff>909365</xdr:colOff>
      <xdr:row>272</xdr:row>
      <xdr:rowOff>42097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339321">
          <a:off x="2978956" y="56000839"/>
          <a:ext cx="340234" cy="44830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708990</xdr:colOff>
      <xdr:row>214</xdr:row>
      <xdr:rowOff>34908</xdr:rowOff>
    </xdr:from>
    <xdr:to>
      <xdr:col>4</xdr:col>
      <xdr:colOff>216189</xdr:colOff>
      <xdr:row>228</xdr:row>
      <xdr:rowOff>133193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990" y="46840758"/>
          <a:ext cx="2859999" cy="289863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399344</xdr:colOff>
      <xdr:row>214</xdr:row>
      <xdr:rowOff>31060</xdr:rowOff>
    </xdr:from>
    <xdr:to>
      <xdr:col>6</xdr:col>
      <xdr:colOff>472714</xdr:colOff>
      <xdr:row>228</xdr:row>
      <xdr:rowOff>129345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85" t="1187" b="1993"/>
        <a:stretch/>
      </xdr:blipFill>
      <xdr:spPr>
        <a:xfrm>
          <a:off x="3752144" y="46836910"/>
          <a:ext cx="1635470" cy="289863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oneCellAnchor>
    <xdr:from>
      <xdr:col>11</xdr:col>
      <xdr:colOff>362227</xdr:colOff>
      <xdr:row>172</xdr:row>
      <xdr:rowOff>29542</xdr:rowOff>
    </xdr:from>
    <xdr:ext cx="650306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134877" y="37983492"/>
          <a:ext cx="6503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WING A</a:t>
          </a:r>
        </a:p>
      </xdr:txBody>
    </xdr:sp>
    <xdr:clientData/>
  </xdr:oneCellAnchor>
  <xdr:twoCellAnchor>
    <xdr:from>
      <xdr:col>8</xdr:col>
      <xdr:colOff>938306</xdr:colOff>
      <xdr:row>171</xdr:row>
      <xdr:rowOff>183403</xdr:rowOff>
    </xdr:from>
    <xdr:to>
      <xdr:col>15</xdr:col>
      <xdr:colOff>31438</xdr:colOff>
      <xdr:row>207</xdr:row>
      <xdr:rowOff>87826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445786" y="37925263"/>
          <a:ext cx="5227232" cy="7029123"/>
          <a:chOff x="660400" y="37261800"/>
          <a:chExt cx="5364318" cy="6984673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789" y="420858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5489" y="39673800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00" y="37261800"/>
            <a:ext cx="3506345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5488" y="37261800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9733" y="4208647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349624</xdr:colOff>
      <xdr:row>171</xdr:row>
      <xdr:rowOff>107576</xdr:rowOff>
    </xdr:from>
    <xdr:to>
      <xdr:col>7</xdr:col>
      <xdr:colOff>277906</xdr:colOff>
      <xdr:row>210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198D9A-913F-8686-A09D-F10B0B5CA8FD}"/>
            </a:ext>
          </a:extLst>
        </xdr:cNvPr>
        <xdr:cNvGrpSpPr/>
      </xdr:nvGrpSpPr>
      <xdr:grpSpPr>
        <a:xfrm>
          <a:off x="349624" y="37849436"/>
          <a:ext cx="5772822" cy="7611484"/>
          <a:chOff x="681649" y="0"/>
          <a:chExt cx="5560233" cy="712205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1561FF10-89C2-AD62-3996-35E196B3CB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6200000">
            <a:off x="2365035" y="5215122"/>
            <a:ext cx="2179348" cy="16345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B1A9674-2498-72B7-24D9-A34B34D68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589437" y="5215123"/>
            <a:ext cx="2179348" cy="16345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209FC709-8977-4F6D-75F4-65453A3BD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159523" y="5215123"/>
            <a:ext cx="2179348" cy="16345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9460D8C-1ABF-FD9A-6819-F171CDAA6C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77085" y="604564"/>
            <a:ext cx="4836514" cy="36273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D69E153-6EDD-5374-416D-EBD75C3E5E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6200000" flipH="1">
            <a:off x="4172364" y="2766997"/>
            <a:ext cx="2365163" cy="177387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AC0D3A8F-A4D7-7AB1-7303-6EDA7E2084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4172360" y="295645"/>
            <a:ext cx="2365161" cy="17738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14</xdr:row>
      <xdr:rowOff>0</xdr:rowOff>
    </xdr:from>
    <xdr:to>
      <xdr:col>7</xdr:col>
      <xdr:colOff>405207</xdr:colOff>
      <xdr:row>23</xdr:row>
      <xdr:rowOff>171214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53" y="2678206"/>
          <a:ext cx="8047619" cy="1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hdCvc377KwkKAtG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8"/>
  <sheetViews>
    <sheetView tabSelected="1" view="pageBreakPreview" zoomScaleNormal="100" zoomScaleSheetLayoutView="100" workbookViewId="0">
      <selection activeCell="J6" sqref="J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9.6640625" style="40" customWidth="1"/>
    <col min="9" max="9" width="17.44140625" style="21" customWidth="1"/>
    <col min="10" max="10" width="15.109375" style="21" customWidth="1"/>
    <col min="11" max="11" width="12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31" t="s">
        <v>218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">
      <c r="A2" s="110" t="s">
        <v>0</v>
      </c>
      <c r="B2" s="110"/>
      <c r="C2" s="110"/>
      <c r="D2" s="110"/>
      <c r="E2" s="110"/>
      <c r="F2" s="110"/>
      <c r="G2" s="110"/>
      <c r="H2" s="110"/>
    </row>
    <row r="3" spans="1:8" x14ac:dyDescent="0.3">
      <c r="A3" s="102" t="s">
        <v>1</v>
      </c>
      <c r="B3" s="102"/>
      <c r="C3" s="102"/>
      <c r="D3" s="102"/>
      <c r="E3" s="102" t="str">
        <f ca="1">TEXT(TODAY(),"DD/MM/YYYY")</f>
        <v>12/09/2025</v>
      </c>
      <c r="F3" s="102"/>
      <c r="G3" s="102"/>
      <c r="H3" s="102"/>
    </row>
    <row r="4" spans="1:8" ht="15" customHeight="1" x14ac:dyDescent="0.3">
      <c r="A4" s="102" t="s">
        <v>2</v>
      </c>
      <c r="B4" s="102"/>
      <c r="C4" s="102"/>
      <c r="D4" s="102"/>
      <c r="E4" s="102" t="s">
        <v>168</v>
      </c>
      <c r="F4" s="102"/>
      <c r="G4" s="102"/>
      <c r="H4" s="102"/>
    </row>
    <row r="5" spans="1:8" x14ac:dyDescent="0.3">
      <c r="A5" s="102" t="s">
        <v>3</v>
      </c>
      <c r="B5" s="102"/>
      <c r="C5" s="102"/>
      <c r="D5" s="102"/>
      <c r="E5" s="133">
        <v>45909</v>
      </c>
      <c r="F5" s="102"/>
      <c r="G5" s="102"/>
      <c r="H5" s="102"/>
    </row>
    <row r="6" spans="1:8" ht="16.5" customHeight="1" x14ac:dyDescent="0.3">
      <c r="A6" s="102" t="s">
        <v>4</v>
      </c>
      <c r="B6" s="102"/>
      <c r="C6" s="102"/>
      <c r="D6" s="102"/>
      <c r="E6" s="102" t="s">
        <v>170</v>
      </c>
      <c r="F6" s="102"/>
      <c r="G6" s="102"/>
      <c r="H6" s="102"/>
    </row>
    <row r="7" spans="1:8" ht="15" customHeight="1" x14ac:dyDescent="0.3">
      <c r="A7" s="102" t="s">
        <v>5</v>
      </c>
      <c r="B7" s="102"/>
      <c r="C7" s="102"/>
      <c r="D7" s="102"/>
      <c r="E7" s="102" t="str">
        <f>E6</f>
        <v>Salangpur Gruh Nirman</v>
      </c>
      <c r="F7" s="102"/>
      <c r="G7" s="102"/>
      <c r="H7" s="102"/>
    </row>
    <row r="8" spans="1:8" x14ac:dyDescent="0.3">
      <c r="A8" s="102" t="s">
        <v>6</v>
      </c>
      <c r="B8" s="102"/>
      <c r="C8" s="102"/>
      <c r="D8" s="102"/>
      <c r="E8" s="132" t="s">
        <v>169</v>
      </c>
      <c r="F8" s="132"/>
      <c r="G8" s="132"/>
      <c r="H8" s="132"/>
    </row>
    <row r="9" spans="1:8" x14ac:dyDescent="0.3">
      <c r="A9" s="102" t="s">
        <v>165</v>
      </c>
      <c r="B9" s="102"/>
      <c r="C9" s="102"/>
      <c r="D9" s="102"/>
      <c r="E9" s="102" t="s">
        <v>171</v>
      </c>
      <c r="F9" s="102"/>
      <c r="G9" s="102"/>
      <c r="H9" s="102"/>
    </row>
    <row r="10" spans="1:8" x14ac:dyDescent="0.3">
      <c r="A10" s="102" t="s">
        <v>166</v>
      </c>
      <c r="B10" s="102"/>
      <c r="C10" s="102"/>
      <c r="D10" s="102"/>
      <c r="E10" s="102" t="s">
        <v>214</v>
      </c>
      <c r="F10" s="102"/>
      <c r="G10" s="102"/>
      <c r="H10" s="102"/>
    </row>
    <row r="11" spans="1:8" x14ac:dyDescent="0.3">
      <c r="A11" s="102" t="s">
        <v>7</v>
      </c>
      <c r="B11" s="102"/>
      <c r="C11" s="102"/>
      <c r="D11" s="102"/>
      <c r="E11" s="102" t="s">
        <v>185</v>
      </c>
      <c r="F11" s="102"/>
      <c r="G11" s="102"/>
      <c r="H11" s="102"/>
    </row>
    <row r="12" spans="1:8" x14ac:dyDescent="0.3">
      <c r="A12" s="72" t="s">
        <v>8</v>
      </c>
      <c r="B12" s="72"/>
      <c r="C12" s="72"/>
      <c r="D12" s="72"/>
      <c r="E12" s="70" t="s">
        <v>172</v>
      </c>
      <c r="F12" s="70"/>
      <c r="G12" s="70"/>
      <c r="H12" s="70"/>
    </row>
    <row r="13" spans="1:8" x14ac:dyDescent="0.3">
      <c r="A13" s="72" t="s">
        <v>9</v>
      </c>
      <c r="B13" s="72"/>
      <c r="C13" s="72"/>
      <c r="D13" s="72"/>
      <c r="E13" s="70" t="s">
        <v>173</v>
      </c>
      <c r="F13" s="102"/>
      <c r="G13" s="102"/>
      <c r="H13" s="102"/>
    </row>
    <row r="14" spans="1:8" ht="48.75" customHeight="1" x14ac:dyDescent="0.3">
      <c r="A14" s="101" t="s">
        <v>10</v>
      </c>
      <c r="B14" s="101"/>
      <c r="C14" s="10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Salasar Aavatar, Survey No.251/4, 9, 10, 11, 14 (Old), S.No. 47/4, 9, 10, 11, 14 (New), near Salasar Aavatar, Internal Road, Navghar, Navghar, Bhayandar, Thane, Thane - 401107.</v>
      </c>
      <c r="D14" s="101"/>
      <c r="E14" s="101"/>
      <c r="F14" s="101"/>
      <c r="G14" s="101"/>
      <c r="H14" s="101"/>
    </row>
    <row r="15" spans="1:8" x14ac:dyDescent="0.3">
      <c r="A15" s="70" t="s">
        <v>174</v>
      </c>
      <c r="B15" s="70"/>
      <c r="C15" s="70" t="s">
        <v>175</v>
      </c>
      <c r="D15" s="70"/>
      <c r="E15" s="70"/>
      <c r="F15" s="70"/>
      <c r="G15" s="70"/>
      <c r="H15" s="70"/>
    </row>
    <row r="16" spans="1:8" ht="15.75" customHeight="1" x14ac:dyDescent="0.3">
      <c r="A16" s="70" t="s">
        <v>164</v>
      </c>
      <c r="B16" s="70"/>
      <c r="C16" s="70" t="s">
        <v>176</v>
      </c>
      <c r="D16" s="70"/>
      <c r="E16" s="70"/>
      <c r="F16" s="70"/>
      <c r="G16" s="70"/>
      <c r="H16" s="70"/>
    </row>
    <row r="17" spans="1:8" ht="15.75" customHeight="1" x14ac:dyDescent="0.3">
      <c r="A17" s="101" t="s">
        <v>11</v>
      </c>
      <c r="B17" s="101"/>
      <c r="C17" s="102" t="s">
        <v>181</v>
      </c>
      <c r="D17" s="102"/>
      <c r="E17" s="101" t="s">
        <v>75</v>
      </c>
      <c r="F17" s="101"/>
      <c r="G17" s="70" t="s">
        <v>176</v>
      </c>
      <c r="H17" s="70"/>
    </row>
    <row r="18" spans="1:8" x14ac:dyDescent="0.3">
      <c r="A18" s="72" t="s">
        <v>13</v>
      </c>
      <c r="B18" s="72"/>
      <c r="C18" s="70" t="s">
        <v>184</v>
      </c>
      <c r="D18" s="70"/>
      <c r="E18" s="101" t="s">
        <v>12</v>
      </c>
      <c r="F18" s="101"/>
      <c r="G18" s="134" t="s">
        <v>177</v>
      </c>
      <c r="H18" s="134"/>
    </row>
    <row r="19" spans="1:8" x14ac:dyDescent="0.3">
      <c r="A19" s="72" t="s">
        <v>76</v>
      </c>
      <c r="B19" s="72"/>
      <c r="C19" s="70" t="s">
        <v>177</v>
      </c>
      <c r="D19" s="70"/>
      <c r="E19" s="101" t="s">
        <v>14</v>
      </c>
      <c r="F19" s="101"/>
      <c r="G19" s="70">
        <v>401107</v>
      </c>
      <c r="H19" s="70"/>
    </row>
    <row r="20" spans="1:8" ht="32.25" customHeight="1" x14ac:dyDescent="0.3">
      <c r="A20" s="72" t="s">
        <v>123</v>
      </c>
      <c r="B20" s="72"/>
      <c r="C20" s="70" t="s">
        <v>169</v>
      </c>
      <c r="D20" s="70"/>
      <c r="E20" s="101" t="s">
        <v>15</v>
      </c>
      <c r="F20" s="101"/>
      <c r="G20" s="70" t="s">
        <v>183</v>
      </c>
      <c r="H20" s="70"/>
    </row>
    <row r="21" spans="1:8" ht="15" customHeight="1" x14ac:dyDescent="0.3">
      <c r="A21" s="101" t="s">
        <v>79</v>
      </c>
      <c r="B21" s="101"/>
      <c r="C21" s="101"/>
      <c r="D21" s="101"/>
      <c r="E21" s="102" t="s">
        <v>16</v>
      </c>
      <c r="F21" s="102"/>
      <c r="G21" s="102"/>
      <c r="H21" s="102"/>
    </row>
    <row r="22" spans="1:8" ht="18.75" customHeight="1" x14ac:dyDescent="0.3">
      <c r="A22" s="101"/>
      <c r="B22" s="101"/>
      <c r="C22" s="101"/>
      <c r="D22" s="101"/>
      <c r="E22" s="102"/>
      <c r="F22" s="102"/>
      <c r="G22" s="102"/>
      <c r="H22" s="102"/>
    </row>
    <row r="23" spans="1:8" ht="15" customHeight="1" x14ac:dyDescent="0.3">
      <c r="A23" s="101" t="s">
        <v>17</v>
      </c>
      <c r="B23" s="101"/>
      <c r="C23" s="101"/>
      <c r="D23" s="101"/>
      <c r="E23" s="70" t="s">
        <v>18</v>
      </c>
      <c r="F23" s="70"/>
      <c r="G23" s="70"/>
      <c r="H23" s="70"/>
    </row>
    <row r="24" spans="1:8" ht="15" customHeight="1" x14ac:dyDescent="0.3">
      <c r="A24" s="72" t="s">
        <v>19</v>
      </c>
      <c r="B24" s="72"/>
      <c r="C24" s="72"/>
      <c r="D24" s="72"/>
      <c r="E24" s="70" t="str">
        <f>IF(AND(G18="Mumbai"),"Upper Class","Middle Class")</f>
        <v>Middle Class</v>
      </c>
      <c r="F24" s="70"/>
      <c r="G24" s="70"/>
      <c r="H24" s="70"/>
    </row>
    <row r="25" spans="1:8" x14ac:dyDescent="0.3">
      <c r="A25" s="72" t="s">
        <v>20</v>
      </c>
      <c r="B25" s="72"/>
      <c r="C25" s="72"/>
      <c r="D25" s="72"/>
      <c r="E25" s="70" t="s">
        <v>21</v>
      </c>
      <c r="F25" s="70"/>
      <c r="G25" s="70"/>
      <c r="H25" s="70"/>
    </row>
    <row r="26" spans="1:8" ht="15.75" customHeight="1" x14ac:dyDescent="0.3">
      <c r="A26" s="72" t="s">
        <v>22</v>
      </c>
      <c r="B26" s="72"/>
      <c r="C26" s="72"/>
      <c r="D26" s="72"/>
      <c r="E26" s="70" t="str">
        <f>IF(AND(G18="Mumbai"),"Developed","Developing")</f>
        <v>Developing</v>
      </c>
      <c r="F26" s="70"/>
      <c r="G26" s="70"/>
      <c r="H26" s="70"/>
    </row>
    <row r="27" spans="1:8" x14ac:dyDescent="0.3">
      <c r="A27" s="72" t="s">
        <v>23</v>
      </c>
      <c r="B27" s="72"/>
      <c r="C27" s="72"/>
      <c r="D27" s="72"/>
      <c r="E27" s="70" t="s">
        <v>24</v>
      </c>
      <c r="F27" s="70"/>
      <c r="G27" s="70"/>
      <c r="H27" s="70"/>
    </row>
    <row r="28" spans="1:8" ht="15.75" customHeight="1" x14ac:dyDescent="0.3">
      <c r="A28" s="72" t="s">
        <v>84</v>
      </c>
      <c r="B28" s="72"/>
      <c r="C28" s="72"/>
      <c r="D28" s="72"/>
      <c r="E28" s="70" t="s">
        <v>85</v>
      </c>
      <c r="F28" s="70"/>
      <c r="G28" s="70"/>
      <c r="H28" s="70"/>
    </row>
    <row r="29" spans="1:8" ht="15" customHeight="1" x14ac:dyDescent="0.3">
      <c r="A29" s="72" t="s">
        <v>33</v>
      </c>
      <c r="B29" s="72"/>
      <c r="C29" s="72"/>
      <c r="D29" s="72"/>
      <c r="E29" s="7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0"/>
      <c r="G29" s="70"/>
      <c r="H29" s="70"/>
    </row>
    <row r="30" spans="1:8" ht="15.75" customHeight="1" x14ac:dyDescent="0.3">
      <c r="A30" s="72" t="s">
        <v>96</v>
      </c>
      <c r="B30" s="72"/>
      <c r="C30" s="72"/>
      <c r="D30" s="72"/>
      <c r="E30" s="70" t="s">
        <v>34</v>
      </c>
      <c r="F30" s="70"/>
      <c r="G30" s="70"/>
      <c r="H30" s="70"/>
    </row>
    <row r="31" spans="1:8" s="22" customFormat="1" x14ac:dyDescent="0.3">
      <c r="A31" s="139" t="s">
        <v>97</v>
      </c>
      <c r="B31" s="139"/>
      <c r="C31" s="137" t="s">
        <v>29</v>
      </c>
      <c r="D31" s="137"/>
      <c r="E31" s="137"/>
      <c r="F31" s="137" t="s">
        <v>31</v>
      </c>
      <c r="G31" s="137"/>
      <c r="H31" s="137"/>
    </row>
    <row r="32" spans="1:8" s="22" customFormat="1" ht="30.75" customHeight="1" x14ac:dyDescent="0.3">
      <c r="A32" s="138" t="s">
        <v>25</v>
      </c>
      <c r="B32" s="138" t="s">
        <v>30</v>
      </c>
      <c r="C32" s="138" t="s">
        <v>30</v>
      </c>
      <c r="D32" s="138"/>
      <c r="E32" s="138"/>
      <c r="F32" s="190" t="s">
        <v>178</v>
      </c>
      <c r="G32" s="190"/>
      <c r="H32" s="190"/>
    </row>
    <row r="33" spans="1:8" x14ac:dyDescent="0.3">
      <c r="A33" s="138" t="s">
        <v>26</v>
      </c>
      <c r="B33" s="138" t="s">
        <v>30</v>
      </c>
      <c r="C33" s="138" t="s">
        <v>30</v>
      </c>
      <c r="D33" s="138"/>
      <c r="E33" s="138"/>
      <c r="F33" s="138" t="s">
        <v>179</v>
      </c>
      <c r="G33" s="138"/>
      <c r="H33" s="138"/>
    </row>
    <row r="34" spans="1:8" s="22" customFormat="1" x14ac:dyDescent="0.3">
      <c r="A34" s="135" t="s">
        <v>28</v>
      </c>
      <c r="B34" s="135" t="s">
        <v>30</v>
      </c>
      <c r="C34" s="136" t="s">
        <v>30</v>
      </c>
      <c r="D34" s="136"/>
      <c r="E34" s="136"/>
      <c r="F34" s="136" t="s">
        <v>180</v>
      </c>
      <c r="G34" s="136"/>
      <c r="H34" s="136"/>
    </row>
    <row r="35" spans="1:8" x14ac:dyDescent="0.3">
      <c r="A35" s="135" t="s">
        <v>27</v>
      </c>
      <c r="B35" s="135" t="s">
        <v>30</v>
      </c>
      <c r="C35" s="136" t="s">
        <v>30</v>
      </c>
      <c r="D35" s="136"/>
      <c r="E35" s="136"/>
      <c r="F35" s="136" t="s">
        <v>181</v>
      </c>
      <c r="G35" s="136"/>
      <c r="H35" s="136"/>
    </row>
    <row r="36" spans="1:8" x14ac:dyDescent="0.3">
      <c r="A36" s="72" t="s">
        <v>32</v>
      </c>
      <c r="B36" s="72"/>
      <c r="C36" s="72"/>
      <c r="D36" s="72"/>
      <c r="E36" s="72"/>
      <c r="F36" s="72"/>
      <c r="G36" s="72"/>
      <c r="H36" s="72"/>
    </row>
    <row r="37" spans="1:8" ht="15.75" customHeight="1" x14ac:dyDescent="0.3">
      <c r="A37" s="72" t="s">
        <v>223</v>
      </c>
      <c r="B37" s="72"/>
      <c r="C37" s="69" t="s">
        <v>224</v>
      </c>
      <c r="D37" s="69"/>
      <c r="E37" s="69"/>
      <c r="F37" s="69"/>
      <c r="G37" s="69"/>
      <c r="H37" s="69"/>
    </row>
    <row r="38" spans="1:8" x14ac:dyDescent="0.3">
      <c r="A38" s="72" t="s">
        <v>163</v>
      </c>
      <c r="B38" s="72"/>
      <c r="C38" s="141" t="s">
        <v>182</v>
      </c>
      <c r="D38" s="70"/>
      <c r="E38" s="70"/>
      <c r="F38" s="70"/>
      <c r="G38" s="70"/>
      <c r="H38" s="70"/>
    </row>
    <row r="39" spans="1:8" x14ac:dyDescent="0.3">
      <c r="A39" s="126" t="s">
        <v>35</v>
      </c>
      <c r="B39" s="126"/>
      <c r="C39" s="126"/>
      <c r="D39" s="126"/>
      <c r="E39" s="126"/>
      <c r="F39" s="126"/>
      <c r="G39" s="126"/>
      <c r="H39" s="126"/>
    </row>
    <row r="40" spans="1:8" x14ac:dyDescent="0.3">
      <c r="A40" s="72" t="s">
        <v>36</v>
      </c>
      <c r="B40" s="72"/>
      <c r="C40" s="72"/>
      <c r="D40" s="72"/>
      <c r="E40" s="140">
        <v>3667.08</v>
      </c>
      <c r="F40" s="140"/>
      <c r="G40" s="140"/>
      <c r="H40" s="140"/>
    </row>
    <row r="41" spans="1:8" x14ac:dyDescent="0.3">
      <c r="A41" s="72" t="s">
        <v>37</v>
      </c>
      <c r="B41" s="72"/>
      <c r="C41" s="72"/>
      <c r="D41" s="72"/>
      <c r="E41" s="71">
        <v>1.1000000000000001</v>
      </c>
      <c r="F41" s="71"/>
      <c r="G41" s="71"/>
      <c r="H41" s="71"/>
    </row>
    <row r="42" spans="1:8" x14ac:dyDescent="0.3">
      <c r="A42" s="72" t="s">
        <v>38</v>
      </c>
      <c r="B42" s="72"/>
      <c r="C42" s="72"/>
      <c r="D42" s="72"/>
      <c r="E42" s="71">
        <f>E44/E40-E41</f>
        <v>1.4662816191629306</v>
      </c>
      <c r="F42" s="71"/>
      <c r="G42" s="71"/>
      <c r="H42" s="71"/>
    </row>
    <row r="43" spans="1:8" x14ac:dyDescent="0.3">
      <c r="A43" s="72" t="s">
        <v>39</v>
      </c>
      <c r="B43" s="72"/>
      <c r="C43" s="72"/>
      <c r="D43" s="72"/>
      <c r="E43" s="71">
        <f>E41+E42</f>
        <v>2.5662816191629307</v>
      </c>
      <c r="F43" s="71"/>
      <c r="G43" s="71"/>
      <c r="H43" s="71"/>
    </row>
    <row r="44" spans="1:8" x14ac:dyDescent="0.3">
      <c r="A44" s="72" t="s">
        <v>95</v>
      </c>
      <c r="B44" s="72"/>
      <c r="C44" s="72"/>
      <c r="D44" s="72"/>
      <c r="E44" s="172">
        <v>9410.76</v>
      </c>
      <c r="F44" s="172"/>
      <c r="G44" s="172"/>
      <c r="H44" s="172"/>
    </row>
    <row r="45" spans="1:8" x14ac:dyDescent="0.3">
      <c r="A45" s="102" t="s">
        <v>40</v>
      </c>
      <c r="B45" s="102"/>
      <c r="C45" s="102"/>
      <c r="D45" s="102"/>
      <c r="E45" s="102" t="s">
        <v>186</v>
      </c>
      <c r="F45" s="102"/>
      <c r="G45" s="102"/>
      <c r="H45" s="102"/>
    </row>
    <row r="46" spans="1:8" x14ac:dyDescent="0.3">
      <c r="A46" s="126" t="s">
        <v>41</v>
      </c>
      <c r="B46" s="126"/>
      <c r="C46" s="126"/>
      <c r="D46" s="126"/>
      <c r="E46" s="126"/>
      <c r="F46" s="126"/>
      <c r="G46" s="126"/>
      <c r="H46" s="126"/>
    </row>
    <row r="47" spans="1:8" ht="33.75" customHeight="1" x14ac:dyDescent="0.3">
      <c r="A47" s="92" t="s">
        <v>152</v>
      </c>
      <c r="B47" s="93"/>
      <c r="C47" s="183" t="s">
        <v>187</v>
      </c>
      <c r="D47" s="184"/>
      <c r="E47" s="184"/>
      <c r="F47" s="184"/>
      <c r="G47" s="184"/>
      <c r="H47" s="185"/>
    </row>
    <row r="48" spans="1:8" ht="15.75" customHeight="1" x14ac:dyDescent="0.3">
      <c r="A48" s="92" t="s">
        <v>42</v>
      </c>
      <c r="B48" s="93"/>
      <c r="C48" s="92" t="s">
        <v>188</v>
      </c>
      <c r="D48" s="94"/>
      <c r="E48" s="93"/>
      <c r="F48" s="18" t="s">
        <v>43</v>
      </c>
      <c r="G48" s="95">
        <v>44831</v>
      </c>
      <c r="H48" s="93"/>
    </row>
    <row r="49" spans="1:14" x14ac:dyDescent="0.3">
      <c r="A49" s="92" t="s">
        <v>44</v>
      </c>
      <c r="B49" s="93"/>
      <c r="C49" s="92" t="str">
        <f>C48</f>
        <v>MBMNP/NR/2477/2022-23</v>
      </c>
      <c r="D49" s="94"/>
      <c r="E49" s="93"/>
      <c r="F49" s="18" t="s">
        <v>43</v>
      </c>
      <c r="G49" s="95">
        <f>G48</f>
        <v>44831</v>
      </c>
      <c r="H49" s="96"/>
    </row>
    <row r="50" spans="1:14" s="23" customFormat="1" ht="15.75" customHeight="1" x14ac:dyDescent="0.3">
      <c r="A50" s="147" t="s">
        <v>156</v>
      </c>
      <c r="B50" s="148"/>
      <c r="C50" s="92" t="s">
        <v>227</v>
      </c>
      <c r="D50" s="94"/>
      <c r="E50" s="93"/>
      <c r="F50" s="18" t="s">
        <v>43</v>
      </c>
      <c r="G50" s="95">
        <v>45321</v>
      </c>
      <c r="H50" s="96"/>
    </row>
    <row r="51" spans="1:14" s="23" customFormat="1" ht="33.75" customHeight="1" x14ac:dyDescent="0.3">
      <c r="A51" s="149"/>
      <c r="B51" s="150"/>
      <c r="C51" s="92" t="s">
        <v>226</v>
      </c>
      <c r="D51" s="94"/>
      <c r="E51" s="94"/>
      <c r="F51" s="94"/>
      <c r="G51" s="94"/>
      <c r="H51" s="93"/>
    </row>
    <row r="52" spans="1:14" x14ac:dyDescent="0.3">
      <c r="A52" s="97" t="s">
        <v>45</v>
      </c>
      <c r="B52" s="98"/>
      <c r="C52" s="97" t="s">
        <v>105</v>
      </c>
      <c r="D52" s="99"/>
      <c r="E52" s="98"/>
      <c r="F52" s="46" t="s">
        <v>43</v>
      </c>
      <c r="G52" s="103" t="s">
        <v>30</v>
      </c>
      <c r="H52" s="104"/>
    </row>
    <row r="53" spans="1:14" x14ac:dyDescent="0.3">
      <c r="A53" s="100" t="s">
        <v>47</v>
      </c>
      <c r="B53" s="100"/>
      <c r="C53" s="100"/>
      <c r="D53" s="100"/>
      <c r="E53" s="100"/>
      <c r="F53" s="100"/>
      <c r="G53" s="100"/>
      <c r="H53" s="100"/>
    </row>
    <row r="54" spans="1:14" x14ac:dyDescent="0.3">
      <c r="A54" s="101" t="s">
        <v>94</v>
      </c>
      <c r="B54" s="101"/>
      <c r="C54" s="101"/>
      <c r="D54" s="72">
        <f>E44</f>
        <v>9410.76</v>
      </c>
      <c r="E54" s="72"/>
      <c r="F54" s="72"/>
      <c r="G54" s="72"/>
      <c r="H54" s="72"/>
    </row>
    <row r="55" spans="1:14" x14ac:dyDescent="0.3">
      <c r="A55" s="70" t="s">
        <v>48</v>
      </c>
      <c r="B55" s="102"/>
      <c r="C55" s="102"/>
      <c r="D55" s="102" t="s">
        <v>209</v>
      </c>
      <c r="E55" s="102"/>
      <c r="F55" s="102"/>
      <c r="G55" s="102"/>
      <c r="H55" s="102"/>
      <c r="I55" s="24"/>
    </row>
    <row r="56" spans="1:14" ht="32.25" customHeight="1" x14ac:dyDescent="0.3">
      <c r="A56" s="144" t="s">
        <v>49</v>
      </c>
      <c r="B56" s="145"/>
      <c r="C56" s="146"/>
      <c r="D56" s="142" t="s">
        <v>189</v>
      </c>
      <c r="E56" s="143"/>
      <c r="F56" s="143"/>
      <c r="G56" s="143"/>
      <c r="H56" s="143"/>
    </row>
    <row r="57" spans="1:14" ht="15.75" customHeight="1" x14ac:dyDescent="0.3">
      <c r="A57" s="144" t="s">
        <v>92</v>
      </c>
      <c r="B57" s="145"/>
      <c r="C57" s="145"/>
      <c r="D57" s="153" t="s">
        <v>208</v>
      </c>
      <c r="E57" s="154"/>
      <c r="F57" s="154"/>
      <c r="G57" s="154"/>
      <c r="H57" s="155"/>
    </row>
    <row r="58" spans="1:14" ht="15.75" customHeight="1" x14ac:dyDescent="0.3">
      <c r="A58" s="151"/>
      <c r="B58" s="152"/>
      <c r="C58" s="152"/>
      <c r="D58" s="156" t="s">
        <v>190</v>
      </c>
      <c r="E58" s="157"/>
      <c r="F58" s="157"/>
      <c r="G58" s="157"/>
      <c r="H58" s="158"/>
    </row>
    <row r="59" spans="1:14" ht="15.75" customHeight="1" x14ac:dyDescent="0.3">
      <c r="A59" s="72" t="s">
        <v>46</v>
      </c>
      <c r="B59" s="72"/>
      <c r="C59" s="72"/>
      <c r="D59" s="159" t="s">
        <v>191</v>
      </c>
      <c r="E59" s="159"/>
      <c r="F59" s="159"/>
      <c r="G59" s="159"/>
      <c r="H59" s="159"/>
      <c r="J59" s="25"/>
      <c r="K59" s="24"/>
      <c r="N59" s="24"/>
    </row>
    <row r="60" spans="1:14" ht="15.75" customHeight="1" x14ac:dyDescent="0.3">
      <c r="A60" s="72" t="s">
        <v>90</v>
      </c>
      <c r="B60" s="72"/>
      <c r="C60" s="72"/>
      <c r="D60" s="171" t="str">
        <f>(IF(G52="NA","60 Years After Completion",IF(G52&lt;&gt;"NA",""&amp;60-ROUNDDOWN((E3-G52)/360,0)&amp;" Years"," ")))</f>
        <v>60 Years After Completion</v>
      </c>
      <c r="E60" s="171"/>
      <c r="F60" s="171"/>
      <c r="G60" s="171"/>
      <c r="H60" s="171"/>
      <c r="N60" s="24"/>
    </row>
    <row r="61" spans="1:14" ht="15.75" customHeight="1" x14ac:dyDescent="0.3">
      <c r="A61" s="72" t="s">
        <v>91</v>
      </c>
      <c r="B61" s="72"/>
      <c r="C61" s="72"/>
      <c r="D61" s="101" t="s">
        <v>24</v>
      </c>
      <c r="E61" s="101"/>
      <c r="F61" s="101"/>
      <c r="G61" s="101"/>
      <c r="H61" s="101"/>
      <c r="J61" s="26"/>
      <c r="K61" s="26"/>
    </row>
    <row r="62" spans="1:14" ht="36.75" customHeight="1" x14ac:dyDescent="0.3">
      <c r="A62" s="72" t="s">
        <v>77</v>
      </c>
      <c r="B62" s="72"/>
      <c r="C62" s="72"/>
      <c r="D62" s="70" t="s">
        <v>225</v>
      </c>
      <c r="E62" s="101"/>
      <c r="F62" s="101"/>
      <c r="G62" s="101"/>
      <c r="H62" s="101"/>
    </row>
    <row r="63" spans="1:14" x14ac:dyDescent="0.3">
      <c r="A63" s="101" t="s">
        <v>149</v>
      </c>
      <c r="B63" s="101"/>
      <c r="C63" s="101"/>
      <c r="D63" s="101" t="s">
        <v>30</v>
      </c>
      <c r="E63" s="101"/>
      <c r="F63" s="101"/>
      <c r="G63" s="101"/>
      <c r="H63" s="101"/>
      <c r="I63" s="27"/>
      <c r="J63" s="27"/>
      <c r="K63" s="27"/>
      <c r="L63" s="27"/>
      <c r="M63" s="27"/>
      <c r="N63" s="27"/>
    </row>
    <row r="64" spans="1:14" ht="15.75" customHeight="1" x14ac:dyDescent="0.3">
      <c r="A64" s="72" t="s">
        <v>89</v>
      </c>
      <c r="B64" s="72"/>
      <c r="C64" s="72"/>
      <c r="D64" s="70" t="str">
        <f ca="1">(IF(G70&gt;95%,"Nothing",IF(G70&gt;0%,"Cement, Aggregate, Steel, etc",IF(G70=0%,"Work not yet Started"))))</f>
        <v>Cement, Aggregate, Steel, etc</v>
      </c>
      <c r="E64" s="70"/>
      <c r="F64" s="70"/>
      <c r="G64" s="70"/>
      <c r="H64" s="70"/>
      <c r="J64" s="26"/>
    </row>
    <row r="65" spans="1:10" ht="33.75" customHeight="1" thickBot="1" x14ac:dyDescent="0.35">
      <c r="A65" s="101" t="s">
        <v>118</v>
      </c>
      <c r="B65" s="101"/>
      <c r="C65" s="101"/>
      <c r="D65" s="70" t="str">
        <f ca="1">(IF(D64="Nothing","Yes",IF(D64="Cement, Aggregate, Steel, etc","Under Construction",IF(D64="Work not yet Started","Work not yet Started"))))</f>
        <v>Under Construction</v>
      </c>
      <c r="E65" s="70"/>
      <c r="F65" s="70" t="str">
        <f ca="1">(IF(D64="Nothing","Yes",IF(D64="Cement, Aggregate, Steel, etc","Under Construction",IF(D64="Work not yet Started","Work not yet Started"))))</f>
        <v>Under Construction</v>
      </c>
      <c r="G65" s="70"/>
      <c r="H65" s="70"/>
    </row>
    <row r="66" spans="1:10" ht="15.75" customHeight="1" x14ac:dyDescent="0.3">
      <c r="A66" s="174" t="s">
        <v>141</v>
      </c>
      <c r="B66" s="174"/>
      <c r="C66" s="174" t="str">
        <f>D57</f>
        <v>A Wing = G + 1st to 34th Floor</v>
      </c>
      <c r="D66" s="174"/>
      <c r="E66" s="174"/>
      <c r="F66" s="174"/>
      <c r="G66" s="174"/>
      <c r="H66" s="174"/>
      <c r="I66" s="6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32 Floor, Flooring upto 24 Floor, Painting upto 18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32 Floor, Flooring upto 24 Floor, Painting upto 18 Floor</v>
      </c>
    </row>
    <row r="67" spans="1:10" x14ac:dyDescent="0.3">
      <c r="A67" s="16" t="s">
        <v>143</v>
      </c>
      <c r="B67" s="53">
        <v>0</v>
      </c>
      <c r="C67" s="53" t="s">
        <v>74</v>
      </c>
      <c r="D67" s="53">
        <v>1</v>
      </c>
      <c r="E67" s="53" t="s">
        <v>73</v>
      </c>
      <c r="F67" s="53">
        <v>0</v>
      </c>
      <c r="G67" s="48" t="s">
        <v>83</v>
      </c>
      <c r="H67" s="17">
        <f ca="1">--TRIM(RIGHT(SUBSTITUTE(LEFT(C66,_xlfn.AGGREGATE(16,6,FIND({0,1,2,3,4,5,6,7,8,9},C66,ROW(INDIRECT("1:"&amp;LEN(C66)))),1))," ",REPT(" ",LEN(C66))),LEN(C66)))</f>
        <v>34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51" customHeight="1" x14ac:dyDescent="0.3">
      <c r="A68" s="173" t="s">
        <v>93</v>
      </c>
      <c r="B68" s="132"/>
      <c r="C68" s="175" t="str">
        <f ca="1">I66</f>
        <v>Excavation, Plinth, RCC Slab, Brickwork, Internal Plaster Completed, External Plaster upto 32 Floor, Flooring upto 24 Floor, Painting upto 18 Floor Completed</v>
      </c>
      <c r="D68" s="175"/>
      <c r="E68" s="175"/>
      <c r="F68" s="175"/>
      <c r="G68" s="175"/>
      <c r="H68" s="176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3">
      <c r="A69" s="84" t="s">
        <v>50</v>
      </c>
      <c r="B69" s="85"/>
      <c r="C69" s="44" t="s">
        <v>140</v>
      </c>
      <c r="D69" s="44" t="s">
        <v>86</v>
      </c>
      <c r="E69" s="85" t="s">
        <v>88</v>
      </c>
      <c r="F69" s="85"/>
      <c r="G69" s="85" t="s">
        <v>87</v>
      </c>
      <c r="H69" s="130"/>
      <c r="I69" s="14" t="s">
        <v>142</v>
      </c>
      <c r="J69" s="28">
        <f ca="1">H67*25%</f>
        <v>8.5</v>
      </c>
    </row>
    <row r="70" spans="1:10" x14ac:dyDescent="0.3">
      <c r="A70" s="84" t="s">
        <v>129</v>
      </c>
      <c r="B70" s="85"/>
      <c r="C70" s="44">
        <f ca="1">J71</f>
        <v>34</v>
      </c>
      <c r="D70" s="19">
        <f ca="1">((100/H67)*C70)/100</f>
        <v>1</v>
      </c>
      <c r="E70" s="160">
        <f ca="1">(((C71/H67*10)+(40/(D67+F67+H67)*C72)+(7.5/(H67)*C73)+(7.5/(H67)*C74)+(10/H67*C75)+(10/H67*C76)+(5/H67*C77)+(5/H67*C78)+(5/H67*C79))/100)</f>
        <v>0.84117647058823519</v>
      </c>
      <c r="F70" s="161"/>
      <c r="G70" s="160">
        <f ca="1">((((C70/H67)*20)+((C71/H67)*25)+(30/(H67+F67+D67)*C72)+(5/H67*C73)+(5/H67*C74)+(5/H67*C75)+(5/H67*C76)+(0/H67*C77)+(0/H67*C78)+(5/H67*C79))/100)</f>
        <v>0.93235294117647061</v>
      </c>
      <c r="H70" s="166"/>
      <c r="I70" s="14" t="s">
        <v>100</v>
      </c>
      <c r="J70" s="29">
        <f ca="1">H67*50%</f>
        <v>17</v>
      </c>
    </row>
    <row r="71" spans="1:10" x14ac:dyDescent="0.3">
      <c r="A71" s="84" t="s">
        <v>51</v>
      </c>
      <c r="B71" s="85"/>
      <c r="C71" s="61">
        <f ca="1">J79</f>
        <v>34</v>
      </c>
      <c r="D71" s="19">
        <f ca="1">((100/H67)*C71)/100</f>
        <v>1</v>
      </c>
      <c r="E71" s="162"/>
      <c r="F71" s="163"/>
      <c r="G71" s="162"/>
      <c r="H71" s="167"/>
      <c r="I71" s="14" t="s">
        <v>101</v>
      </c>
      <c r="J71" s="29">
        <f ca="1">H67</f>
        <v>34</v>
      </c>
    </row>
    <row r="72" spans="1:10" ht="15.75" customHeight="1" x14ac:dyDescent="0.3">
      <c r="A72" s="84" t="s">
        <v>130</v>
      </c>
      <c r="B72" s="85"/>
      <c r="C72" s="44">
        <v>35</v>
      </c>
      <c r="D72" s="19">
        <f ca="1">((100/(D67+F67+H67))*C72)/100</f>
        <v>1</v>
      </c>
      <c r="E72" s="162"/>
      <c r="F72" s="163"/>
      <c r="G72" s="162"/>
      <c r="H72" s="167"/>
      <c r="I72" s="14" t="s">
        <v>102</v>
      </c>
      <c r="J72" s="30">
        <f ca="1">(IF(B67&gt;1,(H67/(B67+2)),H67/4))</f>
        <v>8.5</v>
      </c>
    </row>
    <row r="73" spans="1:10" ht="15.75" customHeight="1" x14ac:dyDescent="0.3">
      <c r="A73" s="84" t="s">
        <v>137</v>
      </c>
      <c r="B73" s="85" t="s">
        <v>131</v>
      </c>
      <c r="C73" s="44">
        <f>C72-D67</f>
        <v>34</v>
      </c>
      <c r="D73" s="19">
        <f ca="1">((100/H67)*C73)/100</f>
        <v>1</v>
      </c>
      <c r="E73" s="162"/>
      <c r="F73" s="163"/>
      <c r="G73" s="162"/>
      <c r="H73" s="167"/>
      <c r="I73" s="14" t="s">
        <v>103</v>
      </c>
      <c r="J73" s="30">
        <f ca="1">(IF(B67&gt;1,(H67/(B67+2)+J72),H67/4+J72))</f>
        <v>17</v>
      </c>
    </row>
    <row r="74" spans="1:10" ht="15.75" customHeight="1" x14ac:dyDescent="0.3">
      <c r="A74" s="84" t="s">
        <v>138</v>
      </c>
      <c r="B74" s="85" t="s">
        <v>131</v>
      </c>
      <c r="C74" s="61">
        <v>34</v>
      </c>
      <c r="D74" s="19">
        <f ca="1">((100/H67)*C74)/100</f>
        <v>1</v>
      </c>
      <c r="E74" s="162"/>
      <c r="F74" s="163"/>
      <c r="G74" s="162"/>
      <c r="H74" s="167"/>
      <c r="I74" s="14" t="s">
        <v>147</v>
      </c>
      <c r="J74" s="30">
        <f>(IF(B67&gt;1,(H67/(B67+2)+J73),0))</f>
        <v>0</v>
      </c>
    </row>
    <row r="75" spans="1:10" ht="15" customHeight="1" x14ac:dyDescent="0.3">
      <c r="A75" s="84" t="s">
        <v>136</v>
      </c>
      <c r="B75" s="85" t="s">
        <v>133</v>
      </c>
      <c r="C75" s="61">
        <v>32</v>
      </c>
      <c r="D75" s="19">
        <f ca="1">((100/(H67))*C75)/100</f>
        <v>0.94117647058823539</v>
      </c>
      <c r="E75" s="162"/>
      <c r="F75" s="163"/>
      <c r="G75" s="162"/>
      <c r="H75" s="167"/>
      <c r="I75" s="14" t="s">
        <v>144</v>
      </c>
      <c r="J75" s="30">
        <f>(IF(B67&gt;2,(H67/(B67+2)+J74),0))</f>
        <v>0</v>
      </c>
    </row>
    <row r="76" spans="1:10" ht="15.75" customHeight="1" x14ac:dyDescent="0.3">
      <c r="A76" s="84" t="s">
        <v>132</v>
      </c>
      <c r="B76" s="85" t="s">
        <v>132</v>
      </c>
      <c r="C76" s="44">
        <v>24</v>
      </c>
      <c r="D76" s="19">
        <f ca="1">((100/H67)*C76)/100</f>
        <v>0.70588235294117652</v>
      </c>
      <c r="E76" s="162"/>
      <c r="F76" s="163"/>
      <c r="G76" s="162"/>
      <c r="H76" s="167"/>
      <c r="I76" s="14" t="s">
        <v>145</v>
      </c>
      <c r="J76" s="31">
        <f>(IF(B67&gt;3,(H67/(B67+2)+J75),0))</f>
        <v>0</v>
      </c>
    </row>
    <row r="77" spans="1:10" ht="15.75" customHeight="1" x14ac:dyDescent="0.3">
      <c r="A77" s="84" t="s">
        <v>139</v>
      </c>
      <c r="B77" s="85"/>
      <c r="C77" s="44">
        <v>18</v>
      </c>
      <c r="D77" s="19">
        <f ca="1">((100/H67)*C77)/100</f>
        <v>0.52941176470588236</v>
      </c>
      <c r="E77" s="162"/>
      <c r="F77" s="163"/>
      <c r="G77" s="162"/>
      <c r="H77" s="167"/>
      <c r="I77" s="14" t="s">
        <v>146</v>
      </c>
      <c r="J77" s="30">
        <f>(IF(B67&gt;4,(H67/(B67+2)+J76),0))</f>
        <v>0</v>
      </c>
    </row>
    <row r="78" spans="1:10" ht="15.75" customHeight="1" x14ac:dyDescent="0.3">
      <c r="A78" s="84" t="s">
        <v>134</v>
      </c>
      <c r="B78" s="85" t="s">
        <v>134</v>
      </c>
      <c r="C78" s="44">
        <v>0</v>
      </c>
      <c r="D78" s="19">
        <f ca="1">((100/(H67))*C78)/100</f>
        <v>0</v>
      </c>
      <c r="E78" s="162"/>
      <c r="F78" s="163"/>
      <c r="G78" s="162"/>
      <c r="H78" s="167"/>
      <c r="I78" s="14" t="s">
        <v>148</v>
      </c>
      <c r="J78" s="30">
        <f ca="1">(IF(B67=1,(H67/(B67+3)+J73),IF(B67=0,(H67/4+J73),IF(B67&gt;1,0))))</f>
        <v>25.5</v>
      </c>
    </row>
    <row r="79" spans="1:10" ht="16.2" thickBot="1" x14ac:dyDescent="0.35">
      <c r="A79" s="169" t="s">
        <v>135</v>
      </c>
      <c r="B79" s="170"/>
      <c r="C79" s="45">
        <v>0</v>
      </c>
      <c r="D79" s="20">
        <f ca="1">((100/(H67))*C79)/100</f>
        <v>0</v>
      </c>
      <c r="E79" s="164"/>
      <c r="F79" s="165"/>
      <c r="G79" s="164"/>
      <c r="H79" s="168"/>
      <c r="I79" s="15" t="s">
        <v>104</v>
      </c>
      <c r="J79" s="32">
        <f ca="1">(IF(B67&gt;1.5,(H67/(B67+2)+J73+MAX(0,J74-J73)+MAX(0,J75-J74)+MAX(0,J76-J75)+MAX(0,J77-J76)+MAX(0,J78-J77)),IF(B67=1,(H67/(B67+3)+J78),IF(B67=0,H67/4+J78))))</f>
        <v>34</v>
      </c>
    </row>
    <row r="80" spans="1:10" ht="15.75" customHeight="1" x14ac:dyDescent="0.3">
      <c r="A80" s="86" t="s">
        <v>141</v>
      </c>
      <c r="B80" s="87"/>
      <c r="C80" s="88" t="str">
        <f>D58</f>
        <v>B Wing = G + 1st Floor</v>
      </c>
      <c r="D80" s="89"/>
      <c r="E80" s="89"/>
      <c r="F80" s="89"/>
      <c r="G80" s="89"/>
      <c r="H80" s="90"/>
      <c r="I80" s="49" t="str">
        <f ca="1">IF(D93=100%,"All work Completed. Possession granted to the Building.",IF(D92=100%,"All work Completed, Waiting for OC",I81&amp;""&amp;I82&amp;""&amp;J81&amp;""&amp;J80&amp;" "&amp;J82))</f>
        <v xml:space="preserve">Work not yet Started. </v>
      </c>
      <c r="J80" s="50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2" x14ac:dyDescent="0.3">
      <c r="A81" s="16" t="s">
        <v>143</v>
      </c>
      <c r="B81" s="53">
        <v>0</v>
      </c>
      <c r="C81" s="53" t="s">
        <v>74</v>
      </c>
      <c r="D81" s="53">
        <v>1</v>
      </c>
      <c r="E81" s="53" t="s">
        <v>73</v>
      </c>
      <c r="F81" s="53">
        <v>0</v>
      </c>
      <c r="G81" s="53" t="s">
        <v>83</v>
      </c>
      <c r="H81" s="17">
        <f ca="1">--TRIM(RIGHT(SUBSTITUTE(LEFT(C80,_xlfn.AGGREGATE(16,6,FIND({0,1,2,3,4,5,6,7,8,9},C80,ROW(INDIRECT("1:"&amp;LEN(C80)))),1))," ",REPT(" ",LEN(C80))),LEN(C80)))</f>
        <v>1</v>
      </c>
      <c r="I81" s="51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/>
      </c>
      <c r="J81" s="52" t="str">
        <f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Work not yet Started.</v>
      </c>
    </row>
    <row r="82" spans="1:12" x14ac:dyDescent="0.3">
      <c r="A82" s="173" t="s">
        <v>93</v>
      </c>
      <c r="B82" s="132"/>
      <c r="C82" s="175" t="str">
        <f ca="1">(IF($G$52="NA",I80,"All work Completed. OC Received."))</f>
        <v xml:space="preserve">Work not yet Started. </v>
      </c>
      <c r="D82" s="175"/>
      <c r="E82" s="175"/>
      <c r="F82" s="175"/>
      <c r="G82" s="175"/>
      <c r="H82" s="176"/>
      <c r="I82" s="51" t="str">
        <f ca="1">IF(I81&lt;&gt;""," Completed","")</f>
        <v/>
      </c>
      <c r="J82" s="52" t="str">
        <f ca="1">IF(J80&lt;&gt;"","Completed","")</f>
        <v/>
      </c>
    </row>
    <row r="83" spans="1:12" ht="15.75" customHeight="1" x14ac:dyDescent="0.3">
      <c r="A83" s="84" t="s">
        <v>50</v>
      </c>
      <c r="B83" s="85"/>
      <c r="C83" s="44" t="s">
        <v>140</v>
      </c>
      <c r="D83" s="44" t="s">
        <v>86</v>
      </c>
      <c r="E83" s="85" t="s">
        <v>88</v>
      </c>
      <c r="F83" s="85"/>
      <c r="G83" s="85" t="s">
        <v>87</v>
      </c>
      <c r="H83" s="130"/>
      <c r="I83" s="14" t="s">
        <v>142</v>
      </c>
      <c r="J83" s="28">
        <f ca="1">H81*25%</f>
        <v>0.25</v>
      </c>
    </row>
    <row r="84" spans="1:12" x14ac:dyDescent="0.3">
      <c r="A84" s="84" t="s">
        <v>129</v>
      </c>
      <c r="B84" s="85"/>
      <c r="C84" s="44">
        <v>0</v>
      </c>
      <c r="D84" s="19">
        <f ca="1">((100/H81)*C84)/100</f>
        <v>0</v>
      </c>
      <c r="E84" s="160">
        <f ca="1">(((C85/H81*10)+(40/(D81+F81+H81)*C86)+(7.5/(H81)*C87)+(7.5/(H81)*C88)+(10/H81*C89)+(10/H81*C90)+(5/H81*C91)+(5/H81*C92)+(5/H81*C93))/100)</f>
        <v>0</v>
      </c>
      <c r="F84" s="161"/>
      <c r="G84" s="160">
        <f ca="1">((((C84/H81)*20)+((C85/H81)*25)+(30/(H81+F81+D81)*C86)+(5/H81*C87)+(5/H81*C88)+(5/H81*C89)+(5/H81*C90)+(0/H81*C91)+(0/H81*C92)+(5/H81*C93))/100)</f>
        <v>0</v>
      </c>
      <c r="H84" s="166"/>
      <c r="I84" s="14" t="s">
        <v>100</v>
      </c>
      <c r="J84" s="29">
        <f ca="1">H81*50%</f>
        <v>0.5</v>
      </c>
    </row>
    <row r="85" spans="1:12" x14ac:dyDescent="0.3">
      <c r="A85" s="84" t="s">
        <v>51</v>
      </c>
      <c r="B85" s="85"/>
      <c r="C85" s="44">
        <v>0</v>
      </c>
      <c r="D85" s="19">
        <f ca="1">((100/H81)*C85)/100</f>
        <v>0</v>
      </c>
      <c r="E85" s="162"/>
      <c r="F85" s="163"/>
      <c r="G85" s="162"/>
      <c r="H85" s="167"/>
      <c r="I85" s="14" t="s">
        <v>101</v>
      </c>
      <c r="J85" s="29">
        <f ca="1">H81</f>
        <v>1</v>
      </c>
    </row>
    <row r="86" spans="1:12" ht="15.75" customHeight="1" x14ac:dyDescent="0.3">
      <c r="A86" s="84" t="s">
        <v>130</v>
      </c>
      <c r="B86" s="85"/>
      <c r="C86" s="44">
        <v>0</v>
      </c>
      <c r="D86" s="19">
        <f ca="1">((100/(D81+F81+H81))*C86)/100</f>
        <v>0</v>
      </c>
      <c r="E86" s="162"/>
      <c r="F86" s="163"/>
      <c r="G86" s="162"/>
      <c r="H86" s="167"/>
      <c r="I86" s="14" t="s">
        <v>102</v>
      </c>
      <c r="J86" s="30">
        <f ca="1">(IF(B81&gt;1,(H81/(B81+2)),H81/4))</f>
        <v>0.25</v>
      </c>
    </row>
    <row r="87" spans="1:12" ht="15.75" customHeight="1" x14ac:dyDescent="0.3">
      <c r="A87" s="84" t="s">
        <v>137</v>
      </c>
      <c r="B87" s="85" t="s">
        <v>131</v>
      </c>
      <c r="C87" s="44">
        <v>0</v>
      </c>
      <c r="D87" s="19">
        <f ca="1">((100/H81)*C87)/100</f>
        <v>0</v>
      </c>
      <c r="E87" s="162"/>
      <c r="F87" s="163"/>
      <c r="G87" s="162"/>
      <c r="H87" s="167"/>
      <c r="I87" s="14" t="s">
        <v>103</v>
      </c>
      <c r="J87" s="30">
        <f ca="1">(IF(B81&gt;1,(H81/(B81+2)+J86),H81/4+J86))</f>
        <v>0.5</v>
      </c>
    </row>
    <row r="88" spans="1:12" ht="15.75" customHeight="1" x14ac:dyDescent="0.3">
      <c r="A88" s="84" t="s">
        <v>138</v>
      </c>
      <c r="B88" s="85" t="s">
        <v>131</v>
      </c>
      <c r="C88" s="44">
        <v>0</v>
      </c>
      <c r="D88" s="19">
        <f ca="1">((100/H81)*C88)/100</f>
        <v>0</v>
      </c>
      <c r="E88" s="162"/>
      <c r="F88" s="163"/>
      <c r="G88" s="162"/>
      <c r="H88" s="167"/>
      <c r="I88" s="14" t="s">
        <v>147</v>
      </c>
      <c r="J88" s="30">
        <f>(IF(B81&gt;1,(H81/(B81+2)+J87),0))</f>
        <v>0</v>
      </c>
    </row>
    <row r="89" spans="1:12" ht="15" customHeight="1" x14ac:dyDescent="0.3">
      <c r="A89" s="84" t="s">
        <v>136</v>
      </c>
      <c r="B89" s="85" t="s">
        <v>133</v>
      </c>
      <c r="C89" s="44">
        <v>0</v>
      </c>
      <c r="D89" s="19">
        <f ca="1">((100/(H81))*C89)/100</f>
        <v>0</v>
      </c>
      <c r="E89" s="162"/>
      <c r="F89" s="163"/>
      <c r="G89" s="162"/>
      <c r="H89" s="167"/>
      <c r="I89" s="14" t="s">
        <v>144</v>
      </c>
      <c r="J89" s="30">
        <f>(IF(B81&gt;2,(H81/(B81+2)+J88),0))</f>
        <v>0</v>
      </c>
    </row>
    <row r="90" spans="1:12" ht="15.75" customHeight="1" x14ac:dyDescent="0.3">
      <c r="A90" s="84" t="s">
        <v>132</v>
      </c>
      <c r="B90" s="85" t="s">
        <v>132</v>
      </c>
      <c r="C90" s="44">
        <v>0</v>
      </c>
      <c r="D90" s="19">
        <f ca="1">((100/H81)*C90)/100</f>
        <v>0</v>
      </c>
      <c r="E90" s="162"/>
      <c r="F90" s="163"/>
      <c r="G90" s="162"/>
      <c r="H90" s="167"/>
      <c r="I90" s="14" t="s">
        <v>145</v>
      </c>
      <c r="J90" s="31">
        <f>(IF(B81&gt;3,(H81/(B81+2)+J89),0))</f>
        <v>0</v>
      </c>
    </row>
    <row r="91" spans="1:12" ht="15.75" customHeight="1" x14ac:dyDescent="0.3">
      <c r="A91" s="84" t="s">
        <v>139</v>
      </c>
      <c r="B91" s="85"/>
      <c r="C91" s="44">
        <v>0</v>
      </c>
      <c r="D91" s="19">
        <f ca="1">((100/H81)*C91)/100</f>
        <v>0</v>
      </c>
      <c r="E91" s="162"/>
      <c r="F91" s="163"/>
      <c r="G91" s="162"/>
      <c r="H91" s="167"/>
      <c r="I91" s="14" t="s">
        <v>146</v>
      </c>
      <c r="J91" s="30">
        <f>(IF(B81&gt;4,(H81/(B81+2)+J90),0))</f>
        <v>0</v>
      </c>
    </row>
    <row r="92" spans="1:12" ht="15.75" customHeight="1" x14ac:dyDescent="0.3">
      <c r="A92" s="84" t="s">
        <v>134</v>
      </c>
      <c r="B92" s="85" t="s">
        <v>134</v>
      </c>
      <c r="C92" s="44">
        <v>0</v>
      </c>
      <c r="D92" s="19">
        <f ca="1">((100/(H81))*C92)/100</f>
        <v>0</v>
      </c>
      <c r="E92" s="162"/>
      <c r="F92" s="163"/>
      <c r="G92" s="162"/>
      <c r="H92" s="167"/>
      <c r="I92" s="14" t="s">
        <v>148</v>
      </c>
      <c r="J92" s="30">
        <f ca="1">(IF(B81=1,(H81/(B81+3)+J87),IF(B81=0,(H81/4+J87),IF(B81&gt;1,0))))</f>
        <v>0.75</v>
      </c>
    </row>
    <row r="93" spans="1:12" ht="16.2" thickBot="1" x14ac:dyDescent="0.35">
      <c r="A93" s="169" t="s">
        <v>135</v>
      </c>
      <c r="B93" s="170"/>
      <c r="C93" s="45">
        <v>0</v>
      </c>
      <c r="D93" s="20">
        <f ca="1">((100/(H81))*C93)/100</f>
        <v>0</v>
      </c>
      <c r="E93" s="164"/>
      <c r="F93" s="165"/>
      <c r="G93" s="164"/>
      <c r="H93" s="168"/>
      <c r="I93" s="15" t="s">
        <v>104</v>
      </c>
      <c r="J93" s="32">
        <f ca="1">(IF(B81&gt;1.5,(H81/(B81+2)+J87+MAX(0,J88-J87)+MAX(0,J89-J88)+MAX(0,J90-J89)+MAX(0,J91-J90)+MAX(0,J92-J91)),IF(B81=1,(H81/(B81+3)+J92),IF(B81=0,H81/4+J92))))</f>
        <v>1</v>
      </c>
    </row>
    <row r="94" spans="1:12" x14ac:dyDescent="0.3">
      <c r="A94" s="182" t="s">
        <v>158</v>
      </c>
      <c r="B94" s="182"/>
      <c r="C94" s="182"/>
      <c r="D94" s="182"/>
      <c r="E94" s="182"/>
      <c r="F94" s="180" t="s">
        <v>162</v>
      </c>
      <c r="G94" s="180"/>
      <c r="H94" s="180"/>
    </row>
    <row r="95" spans="1:12" x14ac:dyDescent="0.3">
      <c r="A95" s="72" t="s">
        <v>160</v>
      </c>
      <c r="B95" s="72"/>
      <c r="C95" s="72"/>
      <c r="D95" s="72"/>
      <c r="E95" s="72"/>
      <c r="F95" s="91">
        <v>9300</v>
      </c>
      <c r="G95" s="91"/>
      <c r="H95" s="91"/>
      <c r="I95" s="62" t="s">
        <v>219</v>
      </c>
      <c r="J95" s="62" t="s">
        <v>221</v>
      </c>
      <c r="K95" s="63">
        <v>45281</v>
      </c>
      <c r="L95" s="62" t="s">
        <v>220</v>
      </c>
    </row>
    <row r="96" spans="1:12" x14ac:dyDescent="0.3">
      <c r="A96" s="72" t="s">
        <v>159</v>
      </c>
      <c r="B96" s="72"/>
      <c r="C96" s="72"/>
      <c r="D96" s="72"/>
      <c r="E96" s="72"/>
      <c r="F96" s="91">
        <v>15000</v>
      </c>
      <c r="G96" s="91"/>
      <c r="H96" s="91"/>
      <c r="J96" s="64" t="s">
        <v>222</v>
      </c>
    </row>
    <row r="97" spans="1:13" x14ac:dyDescent="0.3">
      <c r="A97" s="72" t="s">
        <v>161</v>
      </c>
      <c r="B97" s="72"/>
      <c r="C97" s="72"/>
      <c r="D97" s="72"/>
      <c r="E97" s="72"/>
      <c r="F97" s="91">
        <v>11000</v>
      </c>
      <c r="G97" s="91"/>
      <c r="H97" s="91"/>
    </row>
    <row r="98" spans="1:13" s="33" customFormat="1" x14ac:dyDescent="0.25">
      <c r="A98" s="72" t="s">
        <v>98</v>
      </c>
      <c r="B98" s="72"/>
      <c r="C98" s="72"/>
      <c r="D98" s="72"/>
      <c r="E98" s="72"/>
      <c r="F98" s="91">
        <v>400000</v>
      </c>
      <c r="G98" s="91"/>
      <c r="H98" s="91"/>
      <c r="J98" s="59" t="s">
        <v>215</v>
      </c>
      <c r="K98" s="59" t="s">
        <v>216</v>
      </c>
      <c r="L98" s="60">
        <v>45058</v>
      </c>
      <c r="M98" s="59" t="s">
        <v>217</v>
      </c>
    </row>
    <row r="99" spans="1:13" s="33" customFormat="1" x14ac:dyDescent="0.25">
      <c r="A99" s="72" t="s">
        <v>99</v>
      </c>
      <c r="B99" s="72"/>
      <c r="C99" s="72"/>
      <c r="D99" s="72"/>
      <c r="E99" s="72"/>
      <c r="F99" s="91">
        <v>80000</v>
      </c>
      <c r="G99" s="91"/>
      <c r="H99" s="91"/>
    </row>
    <row r="100" spans="1:13" x14ac:dyDescent="0.3">
      <c r="A100" s="72" t="s">
        <v>52</v>
      </c>
      <c r="B100" s="72"/>
      <c r="C100" s="72"/>
      <c r="D100" s="72"/>
      <c r="E100" s="72"/>
      <c r="F100" s="91">
        <v>400000</v>
      </c>
      <c r="G100" s="91"/>
      <c r="H100" s="91"/>
    </row>
    <row r="101" spans="1:13" s="34" customFormat="1" x14ac:dyDescent="0.3">
      <c r="A101" s="126" t="s">
        <v>53</v>
      </c>
      <c r="B101" s="126"/>
      <c r="C101" s="126"/>
      <c r="D101" s="126"/>
      <c r="E101" s="126"/>
      <c r="F101" s="91">
        <f>F95*0.8</f>
        <v>7440</v>
      </c>
      <c r="G101" s="91"/>
      <c r="H101" s="91"/>
    </row>
    <row r="102" spans="1:13" s="35" customFormat="1" ht="15.75" customHeight="1" x14ac:dyDescent="0.3">
      <c r="A102" s="125" t="s">
        <v>78</v>
      </c>
      <c r="B102" s="125"/>
      <c r="C102" s="125"/>
      <c r="D102" s="125"/>
      <c r="E102" s="125"/>
      <c r="F102" s="125"/>
      <c r="G102" s="125"/>
      <c r="H102" s="125"/>
    </row>
    <row r="103" spans="1:13" s="35" customFormat="1" ht="15.75" customHeight="1" x14ac:dyDescent="0.3">
      <c r="A103" s="75" t="s">
        <v>54</v>
      </c>
      <c r="B103" s="75"/>
      <c r="C103" s="112" t="s">
        <v>81</v>
      </c>
      <c r="D103" s="112"/>
      <c r="E103" s="129" t="s">
        <v>55</v>
      </c>
      <c r="F103" s="129"/>
      <c r="G103" s="75" t="s">
        <v>56</v>
      </c>
      <c r="H103" s="75"/>
    </row>
    <row r="104" spans="1:13" s="35" customFormat="1" ht="32.25" customHeight="1" x14ac:dyDescent="0.3">
      <c r="A104" s="128" t="s">
        <v>210</v>
      </c>
      <c r="B104" s="128"/>
      <c r="C104" s="178">
        <f>COUNT(D116)+COUNT(D118)</f>
        <v>2</v>
      </c>
      <c r="D104" s="186"/>
      <c r="E104" s="187">
        <f>SUM(D116)+SUM(D118)</f>
        <v>1210.7347199999999</v>
      </c>
      <c r="F104" s="188"/>
      <c r="G104" s="187">
        <f>SUM(F116)+SUM(F118)</f>
        <v>2831.8009238999998</v>
      </c>
      <c r="H104" s="188"/>
    </row>
    <row r="105" spans="1:13" s="35" customFormat="1" x14ac:dyDescent="0.3">
      <c r="A105" s="125" t="s">
        <v>151</v>
      </c>
      <c r="B105" s="125"/>
      <c r="C105" s="111">
        <f>SUM(C104)</f>
        <v>2</v>
      </c>
      <c r="D105" s="112"/>
      <c r="E105" s="111">
        <f t="shared" ref="E105" si="0">SUM(E104)</f>
        <v>1210.7347199999999</v>
      </c>
      <c r="F105" s="112"/>
      <c r="G105" s="111">
        <f t="shared" ref="G105" si="1">SUM(G104)</f>
        <v>2831.8009238999998</v>
      </c>
      <c r="H105" s="112"/>
      <c r="J105" s="58">
        <f>SUM(G105,G109)</f>
        <v>117373.9468239</v>
      </c>
      <c r="K105" s="58">
        <f>SUM(E105,E109)</f>
        <v>77534.491319999986</v>
      </c>
    </row>
    <row r="106" spans="1:13" s="35" customFormat="1" x14ac:dyDescent="0.3">
      <c r="A106" s="125" t="s">
        <v>72</v>
      </c>
      <c r="B106" s="125"/>
      <c r="C106" s="125"/>
      <c r="D106" s="125"/>
      <c r="E106" s="125"/>
      <c r="F106" s="125"/>
      <c r="G106" s="125"/>
      <c r="H106" s="125"/>
    </row>
    <row r="107" spans="1:13" s="35" customFormat="1" ht="15.75" customHeight="1" x14ac:dyDescent="0.3">
      <c r="A107" s="75" t="s">
        <v>54</v>
      </c>
      <c r="B107" s="75"/>
      <c r="C107" s="112" t="s">
        <v>81</v>
      </c>
      <c r="D107" s="112"/>
      <c r="E107" s="129" t="s">
        <v>55</v>
      </c>
      <c r="F107" s="129"/>
      <c r="G107" s="75" t="s">
        <v>56</v>
      </c>
      <c r="H107" s="75"/>
      <c r="J107" s="21" t="s">
        <v>211</v>
      </c>
      <c r="K107" s="21"/>
      <c r="L107" s="21" t="s">
        <v>213</v>
      </c>
    </row>
    <row r="108" spans="1:13" s="35" customFormat="1" x14ac:dyDescent="0.3">
      <c r="A108" s="128" t="s">
        <v>192</v>
      </c>
      <c r="B108" s="128"/>
      <c r="C108" s="178">
        <f>COUNT(D125:D132)*16+COUNT(D134:D138,D140:D141)*3+COUNT(D143:D145)</f>
        <v>152</v>
      </c>
      <c r="D108" s="178"/>
      <c r="E108" s="179">
        <f>SUM(D125:D132)*16+SUM(D134:D138,D140:D141)*3+SUM(D143:D145)</f>
        <v>76323.756599999993</v>
      </c>
      <c r="F108" s="179"/>
      <c r="G108" s="179">
        <f>SUM(F125:F132)*16+SUM(F134:F138,F140:F141)*3+SUM(F143:F145)</f>
        <v>114542.1459</v>
      </c>
      <c r="H108" s="179"/>
      <c r="J108" s="21" t="s">
        <v>212</v>
      </c>
      <c r="K108" s="21"/>
      <c r="L108" s="55">
        <f>5500000/F127</f>
        <v>8278.0472658437702</v>
      </c>
    </row>
    <row r="109" spans="1:13" s="35" customFormat="1" x14ac:dyDescent="0.3">
      <c r="A109" s="125" t="s">
        <v>151</v>
      </c>
      <c r="B109" s="125"/>
      <c r="C109" s="111">
        <f>SUM(C108)</f>
        <v>152</v>
      </c>
      <c r="D109" s="112"/>
      <c r="E109" s="111">
        <f t="shared" ref="E109" si="2">SUM(E108)</f>
        <v>76323.756599999993</v>
      </c>
      <c r="F109" s="112"/>
      <c r="G109" s="111">
        <f t="shared" ref="G109" si="3">SUM(G108)</f>
        <v>114542.1459</v>
      </c>
      <c r="H109" s="112"/>
      <c r="J109" s="56">
        <f>13000/1.55</f>
        <v>8387.0967741935474</v>
      </c>
      <c r="K109" s="21"/>
      <c r="L109" s="55">
        <f>7400000/F126</f>
        <v>8316.4189733659496</v>
      </c>
    </row>
    <row r="110" spans="1:13" s="34" customFormat="1" x14ac:dyDescent="0.3">
      <c r="A110" s="110" t="s">
        <v>57</v>
      </c>
      <c r="B110" s="110"/>
      <c r="C110" s="110"/>
      <c r="D110" s="110"/>
      <c r="E110" s="110"/>
      <c r="F110" s="110"/>
      <c r="G110" s="110"/>
      <c r="H110" s="110"/>
      <c r="J110" s="33"/>
      <c r="K110" s="33"/>
      <c r="L110" s="55">
        <f>8200000/F138</f>
        <v>8283.5707919920023</v>
      </c>
    </row>
    <row r="111" spans="1:13" x14ac:dyDescent="0.3">
      <c r="A111" s="110" t="s">
        <v>58</v>
      </c>
      <c r="B111" s="110"/>
      <c r="C111" s="110"/>
      <c r="D111" s="110"/>
      <c r="E111" s="110"/>
      <c r="F111" s="110"/>
      <c r="G111" s="110"/>
      <c r="H111" s="110"/>
      <c r="J111" s="33"/>
      <c r="K111" s="33"/>
      <c r="L111" s="57">
        <f>AVERAGE(L108:L110)</f>
        <v>8292.679010400574</v>
      </c>
    </row>
    <row r="112" spans="1:13" ht="47.25" customHeight="1" x14ac:dyDescent="0.3">
      <c r="A112" s="76" t="s">
        <v>120</v>
      </c>
      <c r="B112" s="76" t="s">
        <v>119</v>
      </c>
      <c r="C112" s="76" t="s">
        <v>59</v>
      </c>
      <c r="D112" s="76" t="s">
        <v>60</v>
      </c>
      <c r="E112" s="78" t="s">
        <v>157</v>
      </c>
      <c r="F112" s="43" t="s">
        <v>150</v>
      </c>
      <c r="G112" s="80" t="s">
        <v>62</v>
      </c>
      <c r="H112" s="81"/>
    </row>
    <row r="113" spans="1:14" s="37" customFormat="1" x14ac:dyDescent="0.3">
      <c r="A113" s="77"/>
      <c r="B113" s="77"/>
      <c r="C113" s="77"/>
      <c r="D113" s="77"/>
      <c r="E113" s="79"/>
      <c r="F113" s="13">
        <v>0.55000000000000004</v>
      </c>
      <c r="G113" s="82"/>
      <c r="H113" s="83"/>
    </row>
    <row r="114" spans="1:14" s="37" customFormat="1" x14ac:dyDescent="0.3">
      <c r="A114" s="113" t="s">
        <v>193</v>
      </c>
      <c r="B114" s="114"/>
      <c r="C114" s="114"/>
      <c r="D114" s="114"/>
      <c r="E114" s="114"/>
      <c r="F114" s="114"/>
      <c r="G114" s="114"/>
      <c r="H114" s="115"/>
      <c r="J114" s="36"/>
    </row>
    <row r="115" spans="1:14" s="37" customFormat="1" x14ac:dyDescent="0.3">
      <c r="A115" s="113" t="s">
        <v>194</v>
      </c>
      <c r="B115" s="114"/>
      <c r="C115" s="114"/>
      <c r="D115" s="114"/>
      <c r="E115" s="114"/>
      <c r="F115" s="114"/>
      <c r="G115" s="114"/>
      <c r="H115" s="115"/>
      <c r="J115" s="36"/>
    </row>
    <row r="116" spans="1:14" s="37" customFormat="1" ht="15.75" customHeight="1" x14ac:dyDescent="0.3">
      <c r="A116" s="108">
        <v>1</v>
      </c>
      <c r="B116" s="109"/>
      <c r="C116" s="42" t="s">
        <v>195</v>
      </c>
      <c r="D116" s="54">
        <f>(53.86)*(10.764)</f>
        <v>579.74903999999992</v>
      </c>
      <c r="E116" s="54">
        <f>(6.1*2.95+3.65*1.73)*(10.764)</f>
        <v>261.66745800000001</v>
      </c>
      <c r="F116" s="42">
        <f>(D116+E116)*(($F$113)+1)</f>
        <v>1304.1955719</v>
      </c>
      <c r="G116" s="117" t="str">
        <f>A115</f>
        <v>Ground Floor For Commercial</v>
      </c>
      <c r="H116" s="118"/>
      <c r="I116" s="36"/>
      <c r="J116" s="37">
        <f>6.1*7.62+3.62*1.73</f>
        <v>52.744599999999998</v>
      </c>
      <c r="K116" s="37">
        <f>12500000/D116</f>
        <v>21561.053382684346</v>
      </c>
      <c r="L116" s="177"/>
      <c r="M116" s="177"/>
      <c r="N116" s="36"/>
    </row>
    <row r="117" spans="1:14" s="37" customFormat="1" x14ac:dyDescent="0.3">
      <c r="A117" s="113" t="s">
        <v>197</v>
      </c>
      <c r="B117" s="114"/>
      <c r="C117" s="114"/>
      <c r="D117" s="114"/>
      <c r="E117" s="114"/>
      <c r="F117" s="114"/>
      <c r="G117" s="114"/>
      <c r="H117" s="115"/>
      <c r="J117" s="36"/>
      <c r="K117" s="37">
        <f>K116/F116</f>
        <v>16.532070685743406</v>
      </c>
    </row>
    <row r="118" spans="1:14" s="37" customFormat="1" x14ac:dyDescent="0.3">
      <c r="A118" s="108">
        <v>1</v>
      </c>
      <c r="B118" s="109"/>
      <c r="C118" s="42" t="s">
        <v>196</v>
      </c>
      <c r="D118" s="54">
        <f>(58.62)*(10.764)</f>
        <v>630.98567999999989</v>
      </c>
      <c r="E118" s="54">
        <f>(6.1*5.4)*(10.764)</f>
        <v>354.56615999999997</v>
      </c>
      <c r="F118" s="42">
        <f>(D118+E118)*(($F$113)+1)</f>
        <v>1527.6053519999998</v>
      </c>
      <c r="G118" s="108" t="str">
        <f>A117</f>
        <v>1st Floor</v>
      </c>
      <c r="H118" s="109"/>
      <c r="I118" s="54">
        <f>10.764</f>
        <v>10.763999999999999</v>
      </c>
      <c r="J118" s="36">
        <f>D116+E116</f>
        <v>841.41649799999993</v>
      </c>
      <c r="L118" s="177"/>
      <c r="M118" s="177"/>
      <c r="N118" s="36"/>
    </row>
    <row r="119" spans="1:14" s="37" customFormat="1" x14ac:dyDescent="0.3">
      <c r="A119" s="108"/>
      <c r="B119" s="181"/>
      <c r="C119" s="181"/>
      <c r="D119" s="181"/>
      <c r="E119" s="181"/>
      <c r="F119" s="181"/>
      <c r="G119" s="181"/>
      <c r="H119" s="109"/>
      <c r="I119" s="36"/>
      <c r="N119" s="36"/>
    </row>
    <row r="120" spans="1:14" ht="47.25" customHeight="1" x14ac:dyDescent="0.3">
      <c r="A120" s="80" t="s">
        <v>121</v>
      </c>
      <c r="B120" s="80" t="s">
        <v>122</v>
      </c>
      <c r="C120" s="76" t="s">
        <v>59</v>
      </c>
      <c r="D120" s="76" t="s">
        <v>60</v>
      </c>
      <c r="E120" s="78" t="s">
        <v>61</v>
      </c>
      <c r="F120" s="43" t="s">
        <v>150</v>
      </c>
      <c r="G120" s="80" t="s">
        <v>62</v>
      </c>
      <c r="H120" s="81"/>
      <c r="I120" s="36"/>
    </row>
    <row r="121" spans="1:14" s="37" customFormat="1" x14ac:dyDescent="0.3">
      <c r="A121" s="82"/>
      <c r="B121" s="82"/>
      <c r="C121" s="77"/>
      <c r="D121" s="77"/>
      <c r="E121" s="79"/>
      <c r="F121" s="13">
        <v>0.5</v>
      </c>
      <c r="G121" s="82"/>
      <c r="H121" s="83"/>
      <c r="I121" s="36"/>
    </row>
    <row r="122" spans="1:14" s="37" customFormat="1" x14ac:dyDescent="0.3">
      <c r="A122" s="113" t="s">
        <v>192</v>
      </c>
      <c r="B122" s="114"/>
      <c r="C122" s="114"/>
      <c r="D122" s="114"/>
      <c r="E122" s="114"/>
      <c r="F122" s="114"/>
      <c r="G122" s="114"/>
      <c r="H122" s="115"/>
      <c r="J122" s="36"/>
    </row>
    <row r="123" spans="1:14" s="37" customFormat="1" x14ac:dyDescent="0.3">
      <c r="A123" s="113" t="s">
        <v>198</v>
      </c>
      <c r="B123" s="114"/>
      <c r="C123" s="114"/>
      <c r="D123" s="114"/>
      <c r="E123" s="114"/>
      <c r="F123" s="114"/>
      <c r="G123" s="114"/>
      <c r="H123" s="115"/>
      <c r="J123" s="36"/>
    </row>
    <row r="124" spans="1:14" s="37" customFormat="1" ht="15.75" customHeight="1" x14ac:dyDescent="0.3">
      <c r="A124" s="113" t="s">
        <v>199</v>
      </c>
      <c r="B124" s="114"/>
      <c r="C124" s="114"/>
      <c r="D124" s="114"/>
      <c r="E124" s="114"/>
      <c r="F124" s="114"/>
      <c r="G124" s="114"/>
      <c r="H124" s="115"/>
      <c r="I124" s="36"/>
    </row>
    <row r="125" spans="1:14" s="37" customFormat="1" ht="15.75" customHeight="1" x14ac:dyDescent="0.3">
      <c r="A125" s="108">
        <v>1</v>
      </c>
      <c r="B125" s="109"/>
      <c r="C125" s="42" t="s">
        <v>201</v>
      </c>
      <c r="D125" s="54">
        <f>(55.11)*(10.764)</f>
        <v>593.20403999999996</v>
      </c>
      <c r="E125" s="42">
        <v>0</v>
      </c>
      <c r="F125" s="42">
        <f>D125*(($F$121)+1)+(IF(E125&lt;101,E125,IF(E125&lt;201,E125/2,IF(E125&lt;=301,E125/3,E125/4))))</f>
        <v>889.80605999999989</v>
      </c>
      <c r="G125" s="117" t="str">
        <f>A124</f>
        <v>1st to 7th, 9th to 12th, 14th to 17th, 19th Floor For Residential</v>
      </c>
      <c r="H125" s="118"/>
      <c r="I125" s="36">
        <f>2.9*5+1.05*3.05+2.25*2.9+3.1*2.9+3.5*3.05+2*1.2+2*1.2+3.5*0.9</f>
        <v>51.842499999999994</v>
      </c>
    </row>
    <row r="126" spans="1:14" s="37" customFormat="1" ht="15.75" customHeight="1" x14ac:dyDescent="0.3">
      <c r="A126" s="108">
        <v>2</v>
      </c>
      <c r="B126" s="109"/>
      <c r="C126" s="42" t="s">
        <v>201</v>
      </c>
      <c r="D126" s="54">
        <f>(55.11)*(10.764)</f>
        <v>593.20403999999996</v>
      </c>
      <c r="E126" s="42">
        <v>0</v>
      </c>
      <c r="F126" s="42">
        <f t="shared" ref="F126:F132" si="4">D126*(($F$121)+1)+(IF(E126&lt;101,E126,IF(E126&lt;201,E126/2,IF(E126&lt;=301,E126/3,E126/4))))</f>
        <v>889.80605999999989</v>
      </c>
      <c r="G126" s="119"/>
      <c r="H126" s="120"/>
      <c r="I126" s="36"/>
    </row>
    <row r="127" spans="1:14" s="37" customFormat="1" ht="15.75" customHeight="1" x14ac:dyDescent="0.3">
      <c r="A127" s="108">
        <v>3</v>
      </c>
      <c r="B127" s="109"/>
      <c r="C127" s="42" t="s">
        <v>202</v>
      </c>
      <c r="D127" s="54">
        <f>(41.15)*(10.764)</f>
        <v>442.93859999999995</v>
      </c>
      <c r="E127" s="42">
        <v>0</v>
      </c>
      <c r="F127" s="42">
        <f t="shared" si="4"/>
        <v>664.40789999999993</v>
      </c>
      <c r="G127" s="119"/>
      <c r="H127" s="120"/>
      <c r="I127" s="36">
        <f>4.81*2.75+2.7*2.25+3.75*2.75+1.95*1.2+2.1*1.2+3.15*1.05+1.3*0.9</f>
        <v>38.952500000000001</v>
      </c>
    </row>
    <row r="128" spans="1:14" s="37" customFormat="1" ht="15.75" customHeight="1" x14ac:dyDescent="0.3">
      <c r="A128" s="108">
        <v>4</v>
      </c>
      <c r="B128" s="109"/>
      <c r="C128" s="42" t="s">
        <v>202</v>
      </c>
      <c r="D128" s="54">
        <f>(41.15)*(10.764)</f>
        <v>442.93859999999995</v>
      </c>
      <c r="E128" s="42">
        <v>0</v>
      </c>
      <c r="F128" s="42">
        <f t="shared" si="4"/>
        <v>664.40789999999993</v>
      </c>
      <c r="G128" s="119"/>
      <c r="H128" s="120"/>
      <c r="I128" s="36"/>
    </row>
    <row r="129" spans="1:14" s="37" customFormat="1" ht="15.75" customHeight="1" x14ac:dyDescent="0.3">
      <c r="A129" s="108">
        <v>5</v>
      </c>
      <c r="B129" s="109"/>
      <c r="C129" s="42" t="s">
        <v>201</v>
      </c>
      <c r="D129" s="54">
        <f>(55.11)*(10.764)</f>
        <v>593.20403999999996</v>
      </c>
      <c r="E129" s="42">
        <v>0</v>
      </c>
      <c r="F129" s="42">
        <f t="shared" si="4"/>
        <v>889.80605999999989</v>
      </c>
      <c r="G129" s="119"/>
      <c r="H129" s="120"/>
      <c r="I129" s="36"/>
    </row>
    <row r="130" spans="1:14" s="37" customFormat="1" ht="15.75" customHeight="1" x14ac:dyDescent="0.3">
      <c r="A130" s="108">
        <v>6</v>
      </c>
      <c r="B130" s="109"/>
      <c r="C130" s="42" t="s">
        <v>202</v>
      </c>
      <c r="D130" s="54">
        <f>(41.05)*(10.764)</f>
        <v>441.86219999999992</v>
      </c>
      <c r="E130" s="42">
        <v>0</v>
      </c>
      <c r="F130" s="42">
        <f t="shared" si="4"/>
        <v>662.79329999999982</v>
      </c>
      <c r="G130" s="119"/>
      <c r="H130" s="120"/>
      <c r="I130" s="36">
        <f>9300*F130</f>
        <v>6163977.6899999985</v>
      </c>
      <c r="J130" s="37">
        <f>8500*F130</f>
        <v>5633743.0499999989</v>
      </c>
    </row>
    <row r="131" spans="1:14" s="37" customFormat="1" ht="15.75" customHeight="1" x14ac:dyDescent="0.3">
      <c r="A131" s="108">
        <v>7</v>
      </c>
      <c r="B131" s="109"/>
      <c r="C131" s="42" t="s">
        <v>202</v>
      </c>
      <c r="D131" s="54">
        <f>(41.32)*(10.764)</f>
        <v>444.76847999999995</v>
      </c>
      <c r="E131" s="42">
        <v>0</v>
      </c>
      <c r="F131" s="42">
        <f t="shared" si="4"/>
        <v>667.15271999999993</v>
      </c>
      <c r="G131" s="119"/>
      <c r="H131" s="120"/>
      <c r="I131" s="36"/>
    </row>
    <row r="132" spans="1:14" s="37" customFormat="1" ht="15.75" customHeight="1" x14ac:dyDescent="0.3">
      <c r="A132" s="108">
        <v>8</v>
      </c>
      <c r="B132" s="109"/>
      <c r="C132" s="42" t="s">
        <v>202</v>
      </c>
      <c r="D132" s="54">
        <f>(41.32)*(10.764)</f>
        <v>444.76847999999995</v>
      </c>
      <c r="E132" s="42">
        <v>0</v>
      </c>
      <c r="F132" s="42">
        <f t="shared" si="4"/>
        <v>667.15271999999993</v>
      </c>
      <c r="G132" s="121"/>
      <c r="H132" s="122"/>
      <c r="I132" s="36"/>
    </row>
    <row r="133" spans="1:14" s="37" customFormat="1" x14ac:dyDescent="0.3">
      <c r="A133" s="113" t="s">
        <v>200</v>
      </c>
      <c r="B133" s="114"/>
      <c r="C133" s="114"/>
      <c r="D133" s="114"/>
      <c r="E133" s="114"/>
      <c r="F133" s="114"/>
      <c r="G133" s="114"/>
      <c r="H133" s="115"/>
      <c r="I133" s="36"/>
    </row>
    <row r="134" spans="1:14" s="37" customFormat="1" ht="15.75" customHeight="1" x14ac:dyDescent="0.3">
      <c r="A134" s="108">
        <v>1</v>
      </c>
      <c r="B134" s="109"/>
      <c r="C134" s="42" t="s">
        <v>201</v>
      </c>
      <c r="D134" s="54">
        <f>(55.11)*(10.764)</f>
        <v>593.20403999999996</v>
      </c>
      <c r="E134" s="42">
        <v>0</v>
      </c>
      <c r="F134" s="42">
        <f>D134*(($F$121)+1)+(IF(E134&lt;101,E134,IF(E134&lt;201,E134/2,IF(E134&lt;=301,E134/3,E134/4))))</f>
        <v>889.80605999999989</v>
      </c>
      <c r="G134" s="117" t="str">
        <f>A133</f>
        <v>8th,13th,18th Floor (Part Refuge Area)</v>
      </c>
      <c r="H134" s="118"/>
      <c r="I134" s="36"/>
    </row>
    <row r="135" spans="1:14" s="37" customFormat="1" ht="15.75" customHeight="1" x14ac:dyDescent="0.3">
      <c r="A135" s="108">
        <v>2</v>
      </c>
      <c r="B135" s="109"/>
      <c r="C135" s="42" t="s">
        <v>201</v>
      </c>
      <c r="D135" s="54">
        <f>(55.11)*(10.764)</f>
        <v>593.20403999999996</v>
      </c>
      <c r="E135" s="42">
        <v>0</v>
      </c>
      <c r="F135" s="42">
        <f t="shared" ref="F135:F138" si="5">D135*(($F$121)+1)+(IF(E135&lt;101,E135,IF(E135&lt;201,E135/2,IF(E135&lt;=301,E135/3,E135/4))))</f>
        <v>889.80605999999989</v>
      </c>
      <c r="G135" s="119"/>
      <c r="H135" s="120"/>
      <c r="I135" s="36"/>
    </row>
    <row r="136" spans="1:14" s="37" customFormat="1" ht="15.75" customHeight="1" x14ac:dyDescent="0.3">
      <c r="A136" s="108">
        <v>3</v>
      </c>
      <c r="B136" s="109"/>
      <c r="C136" s="42" t="s">
        <v>202</v>
      </c>
      <c r="D136" s="54">
        <f>(41.15)*(10.764)</f>
        <v>442.93859999999995</v>
      </c>
      <c r="E136" s="42">
        <v>0</v>
      </c>
      <c r="F136" s="42">
        <f t="shared" si="5"/>
        <v>664.40789999999993</v>
      </c>
      <c r="G136" s="119"/>
      <c r="H136" s="120"/>
      <c r="I136" s="36"/>
    </row>
    <row r="137" spans="1:14" s="37" customFormat="1" ht="15.75" customHeight="1" x14ac:dyDescent="0.3">
      <c r="A137" s="108">
        <v>4</v>
      </c>
      <c r="B137" s="109"/>
      <c r="C137" s="42" t="s">
        <v>202</v>
      </c>
      <c r="D137" s="54">
        <f>(41.15)*(10.764)</f>
        <v>442.93859999999995</v>
      </c>
      <c r="E137" s="42">
        <v>0</v>
      </c>
      <c r="F137" s="42">
        <f t="shared" si="5"/>
        <v>664.40789999999993</v>
      </c>
      <c r="G137" s="119"/>
      <c r="H137" s="120"/>
      <c r="I137" s="36"/>
    </row>
    <row r="138" spans="1:14" s="37" customFormat="1" ht="15.75" customHeight="1" x14ac:dyDescent="0.3">
      <c r="A138" s="108">
        <v>5</v>
      </c>
      <c r="B138" s="109"/>
      <c r="C138" s="42" t="s">
        <v>205</v>
      </c>
      <c r="D138" s="54">
        <f>(61.31)*(10.764)</f>
        <v>659.94083999999998</v>
      </c>
      <c r="E138" s="42">
        <v>0</v>
      </c>
      <c r="F138" s="42">
        <f t="shared" si="5"/>
        <v>989.91125999999997</v>
      </c>
      <c r="G138" s="119"/>
      <c r="H138" s="120"/>
      <c r="I138" s="36"/>
    </row>
    <row r="139" spans="1:14" s="37" customFormat="1" ht="15.75" customHeight="1" x14ac:dyDescent="0.3">
      <c r="A139" s="108">
        <v>6</v>
      </c>
      <c r="B139" s="109"/>
      <c r="C139" s="42" t="s">
        <v>203</v>
      </c>
      <c r="D139" s="108" t="s">
        <v>204</v>
      </c>
      <c r="E139" s="181"/>
      <c r="F139" s="109"/>
      <c r="G139" s="119"/>
      <c r="H139" s="120"/>
      <c r="I139" s="36"/>
    </row>
    <row r="140" spans="1:14" s="37" customFormat="1" ht="15.75" customHeight="1" x14ac:dyDescent="0.3">
      <c r="A140" s="108">
        <v>7</v>
      </c>
      <c r="B140" s="109"/>
      <c r="C140" s="42" t="s">
        <v>202</v>
      </c>
      <c r="D140" s="54">
        <f>(41.32)*(10.764)</f>
        <v>444.76847999999995</v>
      </c>
      <c r="E140" s="42">
        <v>0</v>
      </c>
      <c r="F140" s="42">
        <f>D140*(($F$121)+1)+(IF(E140&lt;101,E140,IF(E140&lt;201,E140/2,IF(E140&lt;=301,E140/3,E140/4))))</f>
        <v>667.15271999999993</v>
      </c>
      <c r="G140" s="119"/>
      <c r="H140" s="120"/>
      <c r="I140" s="36"/>
    </row>
    <row r="141" spans="1:14" s="37" customFormat="1" ht="15.75" customHeight="1" x14ac:dyDescent="0.3">
      <c r="A141" s="108">
        <v>8</v>
      </c>
      <c r="B141" s="109"/>
      <c r="C141" s="42" t="s">
        <v>202</v>
      </c>
      <c r="D141" s="54">
        <f>(41.32)*(10.764)</f>
        <v>444.76847999999995</v>
      </c>
      <c r="E141" s="42">
        <v>0</v>
      </c>
      <c r="F141" s="42">
        <f>D141*(($F$121)+1)+(IF(E141&lt;101,E141,IF(E141&lt;201,E141/2,IF(E141&lt;=301,E141/3,E141/4))))</f>
        <v>667.15271999999993</v>
      </c>
      <c r="G141" s="121"/>
      <c r="H141" s="122"/>
      <c r="I141" s="36"/>
    </row>
    <row r="142" spans="1:14" s="37" customFormat="1" x14ac:dyDescent="0.3">
      <c r="A142" s="127" t="s">
        <v>206</v>
      </c>
      <c r="B142" s="127"/>
      <c r="C142" s="127"/>
      <c r="D142" s="127"/>
      <c r="E142" s="127"/>
      <c r="F142" s="127"/>
      <c r="G142" s="127"/>
      <c r="H142" s="127"/>
      <c r="I142" s="36"/>
      <c r="L142" s="177"/>
      <c r="M142" s="177"/>
    </row>
    <row r="143" spans="1:14" s="37" customFormat="1" ht="15.75" customHeight="1" x14ac:dyDescent="0.3">
      <c r="A143" s="74">
        <v>1</v>
      </c>
      <c r="B143" s="74"/>
      <c r="C143" s="42" t="s">
        <v>201</v>
      </c>
      <c r="D143" s="54">
        <f>(55.11)*(10.764)</f>
        <v>593.20403999999996</v>
      </c>
      <c r="E143" s="42">
        <v>0</v>
      </c>
      <c r="F143" s="42">
        <f>D143*(($F$121)+1)+(IF(E143&lt;101,E143,IF(E143&lt;201,E143/2,IF(E143&lt;=301,E143/3,E143/4))))</f>
        <v>889.80605999999989</v>
      </c>
      <c r="G143" s="74" t="str">
        <f>A142</f>
        <v>20th Floor (Part Terrace Area)</v>
      </c>
      <c r="H143" s="74"/>
      <c r="I143" s="36"/>
      <c r="N143" s="36"/>
    </row>
    <row r="144" spans="1:14" s="37" customFormat="1" x14ac:dyDescent="0.3">
      <c r="A144" s="74">
        <f>A143+1</f>
        <v>2</v>
      </c>
      <c r="B144" s="74"/>
      <c r="C144" s="42" t="s">
        <v>202</v>
      </c>
      <c r="D144" s="54">
        <f>(43.69)*(10.764)</f>
        <v>470.27915999999993</v>
      </c>
      <c r="E144" s="54">
        <f>(3.5*3)*(10.764)</f>
        <v>113.02199999999999</v>
      </c>
      <c r="F144" s="42">
        <f>D144*(($F$121)+1)+(IF(E144&lt;101,E144,IF(E144&lt;201,E144/2,IF(E144&lt;=301,E144/3,E144/4))))</f>
        <v>761.92973999999981</v>
      </c>
      <c r="G144" s="74"/>
      <c r="H144" s="74"/>
      <c r="I144" s="36"/>
      <c r="N144" s="36"/>
    </row>
    <row r="145" spans="1:14" s="37" customFormat="1" x14ac:dyDescent="0.3">
      <c r="A145" s="74">
        <f>A144+1</f>
        <v>3</v>
      </c>
      <c r="B145" s="74"/>
      <c r="C145" s="42" t="s">
        <v>202</v>
      </c>
      <c r="D145" s="54">
        <f>(41.32)*(10.764)</f>
        <v>444.76847999999995</v>
      </c>
      <c r="E145" s="54">
        <v>0</v>
      </c>
      <c r="F145" s="42">
        <f>D145*(($F$121)+1)+(IF(E145&lt;101,E145,IF(E145&lt;201,E145/2,IF(E145&lt;=301,E145/3,E145/4))))</f>
        <v>667.15271999999993</v>
      </c>
      <c r="G145" s="74"/>
      <c r="H145" s="74"/>
      <c r="I145" s="36"/>
      <c r="N145" s="36"/>
    </row>
    <row r="146" spans="1:14" s="35" customFormat="1" x14ac:dyDescent="0.3">
      <c r="A146" s="116" t="s">
        <v>70</v>
      </c>
      <c r="B146" s="116"/>
      <c r="C146" s="116"/>
      <c r="D146" s="116"/>
      <c r="E146" s="116"/>
      <c r="F146" s="116"/>
      <c r="G146" s="116"/>
      <c r="H146" s="116"/>
    </row>
    <row r="147" spans="1:14" s="35" customFormat="1" ht="50.4" customHeight="1" x14ac:dyDescent="0.3">
      <c r="A147" s="47" t="s">
        <v>154</v>
      </c>
      <c r="B147" s="105" t="s">
        <v>233</v>
      </c>
      <c r="C147" s="106"/>
      <c r="D147" s="106"/>
      <c r="E147" s="106"/>
      <c r="F147" s="106"/>
      <c r="G147" s="106"/>
      <c r="H147" s="107"/>
    </row>
    <row r="148" spans="1:14" s="35" customFormat="1" x14ac:dyDescent="0.3">
      <c r="A148" s="47" t="s">
        <v>154</v>
      </c>
      <c r="B148" s="105" t="str">
        <f>(IF(F120="Saleable area Loading :","We have considered Saleable area of Flats as per our Calculation.","We considered Saleable area of Flat as per Builder area Sheet."))</f>
        <v>We have considered Saleable area of Flats as per our Calculation.</v>
      </c>
      <c r="C148" s="106"/>
      <c r="D148" s="106"/>
      <c r="E148" s="106"/>
      <c r="F148" s="106"/>
      <c r="G148" s="106"/>
      <c r="H148" s="107"/>
    </row>
    <row r="149" spans="1:14" s="35" customFormat="1" x14ac:dyDescent="0.3">
      <c r="A149" s="47" t="s">
        <v>154</v>
      </c>
      <c r="B149" s="105" t="str">
        <f>(IF(F112="Saleable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9" s="106"/>
      <c r="D149" s="106"/>
      <c r="E149" s="106"/>
      <c r="F149" s="106"/>
      <c r="G149" s="106"/>
      <c r="H149" s="107"/>
    </row>
    <row r="150" spans="1:14" s="35" customFormat="1" x14ac:dyDescent="0.3">
      <c r="A150" s="47" t="s">
        <v>154</v>
      </c>
      <c r="B150" s="66" t="s">
        <v>124</v>
      </c>
      <c r="C150" s="67"/>
      <c r="D150" s="67"/>
      <c r="E150" s="67"/>
      <c r="F150" s="67"/>
      <c r="G150" s="67"/>
      <c r="H150" s="68"/>
    </row>
    <row r="151" spans="1:14" s="35" customFormat="1" x14ac:dyDescent="0.3">
      <c r="A151" s="47" t="s">
        <v>154</v>
      </c>
      <c r="B151" s="66" t="s">
        <v>207</v>
      </c>
      <c r="C151" s="67"/>
      <c r="D151" s="67"/>
      <c r="E151" s="67"/>
      <c r="F151" s="67"/>
      <c r="G151" s="67"/>
      <c r="H151" s="68"/>
    </row>
    <row r="152" spans="1:14" s="35" customFormat="1" x14ac:dyDescent="0.3">
      <c r="A152" s="47" t="s">
        <v>154</v>
      </c>
      <c r="B152" s="66" t="s">
        <v>153</v>
      </c>
      <c r="C152" s="67"/>
      <c r="D152" s="67"/>
      <c r="E152" s="67"/>
      <c r="F152" s="67"/>
      <c r="G152" s="67"/>
      <c r="H152" s="68"/>
    </row>
    <row r="153" spans="1:14" s="35" customFormat="1" x14ac:dyDescent="0.3">
      <c r="A153" s="47" t="s">
        <v>154</v>
      </c>
      <c r="B153" s="66" t="s">
        <v>125</v>
      </c>
      <c r="C153" s="67"/>
      <c r="D153" s="67"/>
      <c r="E153" s="67"/>
      <c r="F153" s="67"/>
      <c r="G153" s="67"/>
      <c r="H153" s="68"/>
    </row>
    <row r="154" spans="1:14" s="35" customFormat="1" ht="34.5" hidden="1" customHeight="1" x14ac:dyDescent="0.3">
      <c r="A154" s="47" t="s">
        <v>154</v>
      </c>
      <c r="B154" s="66" t="s">
        <v>155</v>
      </c>
      <c r="C154" s="67"/>
      <c r="D154" s="67"/>
      <c r="E154" s="67"/>
      <c r="F154" s="67"/>
      <c r="G154" s="67"/>
      <c r="H154" s="68"/>
    </row>
    <row r="155" spans="1:14" s="35" customFormat="1" x14ac:dyDescent="0.3">
      <c r="A155" s="47" t="s">
        <v>154</v>
      </c>
      <c r="B155" s="66" t="s">
        <v>126</v>
      </c>
      <c r="C155" s="67"/>
      <c r="D155" s="67"/>
      <c r="E155" s="67"/>
      <c r="F155" s="67"/>
      <c r="G155" s="67"/>
      <c r="H155" s="68"/>
    </row>
    <row r="156" spans="1:14" s="35" customFormat="1" x14ac:dyDescent="0.3">
      <c r="A156" s="47" t="s">
        <v>154</v>
      </c>
      <c r="B156" s="66" t="s">
        <v>228</v>
      </c>
      <c r="C156" s="67"/>
      <c r="D156" s="67"/>
      <c r="E156" s="67"/>
      <c r="F156" s="67"/>
      <c r="G156" s="67"/>
      <c r="H156" s="68"/>
    </row>
    <row r="157" spans="1:14" s="35" customFormat="1" x14ac:dyDescent="0.3">
      <c r="A157" s="47" t="s">
        <v>154</v>
      </c>
      <c r="B157" s="66" t="s">
        <v>230</v>
      </c>
      <c r="C157" s="67"/>
      <c r="D157" s="67"/>
      <c r="E157" s="67"/>
      <c r="F157" s="67"/>
      <c r="G157" s="67"/>
      <c r="H157" s="68"/>
    </row>
    <row r="158" spans="1:14" s="35" customFormat="1" ht="33" hidden="1" customHeight="1" x14ac:dyDescent="0.3">
      <c r="A158" s="47" t="s">
        <v>154</v>
      </c>
      <c r="B158" s="66" t="s">
        <v>229</v>
      </c>
      <c r="C158" s="67"/>
      <c r="D158" s="67"/>
      <c r="E158" s="67"/>
      <c r="F158" s="67"/>
      <c r="G158" s="67"/>
      <c r="H158" s="68"/>
    </row>
    <row r="159" spans="1:14" x14ac:dyDescent="0.3">
      <c r="A159" s="100" t="s">
        <v>63</v>
      </c>
      <c r="B159" s="100"/>
      <c r="C159" s="100"/>
      <c r="D159" s="100"/>
      <c r="E159" s="100"/>
      <c r="F159" s="100"/>
      <c r="G159" s="100"/>
      <c r="H159" s="100"/>
    </row>
    <row r="160" spans="1:14" x14ac:dyDescent="0.3">
      <c r="A160" s="72" t="s">
        <v>64</v>
      </c>
      <c r="B160" s="72"/>
      <c r="C160" s="72"/>
      <c r="D160" s="72"/>
      <c r="E160" s="72"/>
      <c r="F160" s="72"/>
      <c r="G160" s="72"/>
      <c r="H160" s="72"/>
    </row>
    <row r="161" spans="1:8" ht="15.75" customHeight="1" x14ac:dyDescent="0.3">
      <c r="A161" s="73" t="s">
        <v>65</v>
      </c>
      <c r="B161" s="73"/>
      <c r="C161" s="73"/>
      <c r="D161" s="73"/>
      <c r="E161" s="73"/>
      <c r="F161" s="73"/>
      <c r="G161" s="73"/>
      <c r="H161" s="73"/>
    </row>
    <row r="162" spans="1:8" x14ac:dyDescent="0.3">
      <c r="A162" s="72" t="s">
        <v>66</v>
      </c>
      <c r="B162" s="72"/>
      <c r="C162" s="72"/>
      <c r="D162" s="72"/>
      <c r="E162" s="72"/>
      <c r="F162" s="72"/>
      <c r="G162" s="72"/>
      <c r="H162" s="72"/>
    </row>
    <row r="163" spans="1:8" x14ac:dyDescent="0.3">
      <c r="A163" s="72" t="s">
        <v>67</v>
      </c>
      <c r="B163" s="72"/>
      <c r="C163" s="72"/>
      <c r="D163" s="72"/>
      <c r="E163" s="72"/>
      <c r="F163" s="72"/>
      <c r="G163" s="72"/>
      <c r="H163" s="72"/>
    </row>
    <row r="164" spans="1:8" x14ac:dyDescent="0.3">
      <c r="A164" s="72" t="s">
        <v>127</v>
      </c>
      <c r="B164" s="72"/>
      <c r="C164" s="72"/>
      <c r="D164" s="72"/>
      <c r="E164" s="72"/>
      <c r="F164" s="72"/>
      <c r="G164" s="72"/>
      <c r="H164" s="72"/>
    </row>
    <row r="165" spans="1:8" x14ac:dyDescent="0.3">
      <c r="A165" s="101" t="s">
        <v>128</v>
      </c>
      <c r="B165" s="101"/>
      <c r="C165" s="101"/>
      <c r="D165" s="101"/>
      <c r="E165" s="101"/>
      <c r="F165" s="101"/>
      <c r="G165" s="101"/>
      <c r="H165" s="101"/>
    </row>
    <row r="166" spans="1:8" x14ac:dyDescent="0.3">
      <c r="A166" s="124" t="s">
        <v>80</v>
      </c>
      <c r="B166" s="124"/>
      <c r="C166" s="124" t="s">
        <v>232</v>
      </c>
      <c r="D166" s="124"/>
      <c r="E166" s="124" t="s">
        <v>106</v>
      </c>
      <c r="F166" s="124"/>
      <c r="G166" s="124" t="s">
        <v>231</v>
      </c>
      <c r="H166" s="124"/>
    </row>
    <row r="167" spans="1:8" x14ac:dyDescent="0.3">
      <c r="A167" s="123" t="s">
        <v>82</v>
      </c>
      <c r="B167" s="123"/>
      <c r="C167" s="123"/>
      <c r="D167" s="123"/>
      <c r="E167" s="123"/>
      <c r="F167" s="123"/>
      <c r="G167" s="123"/>
      <c r="H167" s="123"/>
    </row>
    <row r="168" spans="1:8" x14ac:dyDescent="0.3">
      <c r="A168" s="123"/>
      <c r="B168" s="123"/>
      <c r="C168" s="123"/>
      <c r="D168" s="123"/>
      <c r="E168" s="123"/>
      <c r="F168" s="123"/>
      <c r="G168" s="123"/>
      <c r="H168" s="123"/>
    </row>
    <row r="169" spans="1:8" x14ac:dyDescent="0.3">
      <c r="A169" s="123"/>
      <c r="B169" s="123"/>
      <c r="C169" s="123"/>
      <c r="D169" s="123"/>
      <c r="E169" s="123"/>
      <c r="F169" s="123"/>
      <c r="G169" s="123"/>
      <c r="H169" s="123"/>
    </row>
    <row r="170" spans="1:8" x14ac:dyDescent="0.3">
      <c r="A170" s="123"/>
      <c r="B170" s="123"/>
      <c r="C170" s="123"/>
      <c r="D170" s="123"/>
      <c r="E170" s="123"/>
      <c r="F170" s="123"/>
      <c r="G170" s="123"/>
      <c r="H170" s="123"/>
    </row>
    <row r="171" spans="1:8" x14ac:dyDescent="0.3">
      <c r="A171" s="38" t="s">
        <v>68</v>
      </c>
      <c r="B171" s="39"/>
      <c r="C171" s="39"/>
      <c r="D171" s="38" t="str">
        <f>E8</f>
        <v>Salasar Aavatar</v>
      </c>
      <c r="F171" s="39"/>
      <c r="G171" s="39"/>
      <c r="H171" s="39"/>
    </row>
    <row r="172" spans="1:8" x14ac:dyDescent="0.3">
      <c r="A172" s="39"/>
      <c r="B172" s="39"/>
      <c r="C172" s="39"/>
      <c r="D172" s="39"/>
      <c r="E172" s="39"/>
      <c r="F172" s="39"/>
      <c r="G172" s="39"/>
      <c r="H172" s="39"/>
    </row>
    <row r="173" spans="1:8" x14ac:dyDescent="0.3">
      <c r="A173" s="39"/>
      <c r="B173" s="39"/>
      <c r="C173" s="39"/>
      <c r="D173" s="39"/>
      <c r="E173" s="39"/>
      <c r="F173" s="39"/>
      <c r="G173" s="39"/>
      <c r="H173" s="39"/>
    </row>
    <row r="174" spans="1:8" ht="15" customHeight="1" x14ac:dyDescent="0.3"/>
    <row r="213" spans="1:1" x14ac:dyDescent="0.3">
      <c r="A213" s="41" t="s">
        <v>167</v>
      </c>
    </row>
    <row r="216" spans="1:1" x14ac:dyDescent="0.3">
      <c r="A216" s="41"/>
    </row>
    <row r="238" hidden="1" x14ac:dyDescent="0.3"/>
    <row r="239" hidden="1" x14ac:dyDescent="0.3"/>
    <row r="240" hidden="1" x14ac:dyDescent="0.3"/>
    <row r="241" spans="1:1" hidden="1" x14ac:dyDescent="0.3"/>
    <row r="242" spans="1:1" hidden="1" x14ac:dyDescent="0.3"/>
    <row r="243" spans="1:1" hidden="1" x14ac:dyDescent="0.3"/>
    <row r="244" spans="1:1" hidden="1" x14ac:dyDescent="0.3"/>
    <row r="245" spans="1:1" hidden="1" x14ac:dyDescent="0.3"/>
    <row r="246" spans="1:1" hidden="1" x14ac:dyDescent="0.3"/>
    <row r="247" spans="1:1" hidden="1" x14ac:dyDescent="0.3"/>
    <row r="248" spans="1:1" x14ac:dyDescent="0.3">
      <c r="A248" s="41" t="s">
        <v>69</v>
      </c>
    </row>
  </sheetData>
  <mergeCells count="295">
    <mergeCell ref="B156:H156"/>
    <mergeCell ref="B157:H157"/>
    <mergeCell ref="B154:H154"/>
    <mergeCell ref="B150:H150"/>
    <mergeCell ref="B151:H151"/>
    <mergeCell ref="A104:B104"/>
    <mergeCell ref="A47:B47"/>
    <mergeCell ref="C47:H47"/>
    <mergeCell ref="B152:H152"/>
    <mergeCell ref="G84:H93"/>
    <mergeCell ref="A85:B85"/>
    <mergeCell ref="A86:B86"/>
    <mergeCell ref="A87:B87"/>
    <mergeCell ref="F96:H96"/>
    <mergeCell ref="A96:E96"/>
    <mergeCell ref="D112:D113"/>
    <mergeCell ref="A116:B116"/>
    <mergeCell ref="A118:B118"/>
    <mergeCell ref="A98:E98"/>
    <mergeCell ref="A99:E99"/>
    <mergeCell ref="G109:H109"/>
    <mergeCell ref="C104:D104"/>
    <mergeCell ref="E104:F104"/>
    <mergeCell ref="G104:H104"/>
    <mergeCell ref="A105:B105"/>
    <mergeCell ref="C105:D105"/>
    <mergeCell ref="E105:F105"/>
    <mergeCell ref="A82:B82"/>
    <mergeCell ref="C82:H82"/>
    <mergeCell ref="A83:B83"/>
    <mergeCell ref="E83:F83"/>
    <mergeCell ref="G83:H83"/>
    <mergeCell ref="F97:H97"/>
    <mergeCell ref="A97:E97"/>
    <mergeCell ref="A94:E94"/>
    <mergeCell ref="E103:F103"/>
    <mergeCell ref="A103:B103"/>
    <mergeCell ref="L142:M142"/>
    <mergeCell ref="A119:H119"/>
    <mergeCell ref="A120:A121"/>
    <mergeCell ref="A144:B144"/>
    <mergeCell ref="A134:B134"/>
    <mergeCell ref="A135:B135"/>
    <mergeCell ref="A136:B136"/>
    <mergeCell ref="A129:B129"/>
    <mergeCell ref="L118:M118"/>
    <mergeCell ref="A137:B137"/>
    <mergeCell ref="A138:B138"/>
    <mergeCell ref="B120:B121"/>
    <mergeCell ref="A133:H133"/>
    <mergeCell ref="A124:H124"/>
    <mergeCell ref="A139:B139"/>
    <mergeCell ref="A140:B140"/>
    <mergeCell ref="D139:F139"/>
    <mergeCell ref="G143:H145"/>
    <mergeCell ref="A122:H122"/>
    <mergeCell ref="A130:B130"/>
    <mergeCell ref="A131:B131"/>
    <mergeCell ref="A132:B132"/>
    <mergeCell ref="G125:H132"/>
    <mergeCell ref="A141:B141"/>
    <mergeCell ref="L116:M116"/>
    <mergeCell ref="A77:B77"/>
    <mergeCell ref="C108:D108"/>
    <mergeCell ref="E108:F108"/>
    <mergeCell ref="G108:H108"/>
    <mergeCell ref="A95:E95"/>
    <mergeCell ref="A115:H115"/>
    <mergeCell ref="E112:E113"/>
    <mergeCell ref="G112:H113"/>
    <mergeCell ref="A84:B84"/>
    <mergeCell ref="E84:F93"/>
    <mergeCell ref="A91:B91"/>
    <mergeCell ref="A92:B92"/>
    <mergeCell ref="A93:B93"/>
    <mergeCell ref="F94:H94"/>
    <mergeCell ref="F98:H98"/>
    <mergeCell ref="C103:D103"/>
    <mergeCell ref="F99:H99"/>
    <mergeCell ref="G103:H103"/>
    <mergeCell ref="G105:H105"/>
    <mergeCell ref="E109:F109"/>
    <mergeCell ref="C107:D107"/>
    <mergeCell ref="G107:H107"/>
    <mergeCell ref="A109:B10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A57:C58"/>
    <mergeCell ref="C50:E50"/>
    <mergeCell ref="D57:H57"/>
    <mergeCell ref="D58:H5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7:H170"/>
    <mergeCell ref="A166:B166"/>
    <mergeCell ref="E166:F166"/>
    <mergeCell ref="C166:D166"/>
    <mergeCell ref="G166:H166"/>
    <mergeCell ref="A102:H102"/>
    <mergeCell ref="A100:E100"/>
    <mergeCell ref="F100:H100"/>
    <mergeCell ref="A101:E101"/>
    <mergeCell ref="F101:H101"/>
    <mergeCell ref="A142:H142"/>
    <mergeCell ref="A108:B108"/>
    <mergeCell ref="A127:B127"/>
    <mergeCell ref="A162:H162"/>
    <mergeCell ref="A106:H106"/>
    <mergeCell ref="A165:H165"/>
    <mergeCell ref="A163:H163"/>
    <mergeCell ref="A159:H159"/>
    <mergeCell ref="A160:H160"/>
    <mergeCell ref="E107:F107"/>
    <mergeCell ref="B155:H155"/>
    <mergeCell ref="G118:H118"/>
    <mergeCell ref="B153:H153"/>
    <mergeCell ref="B149:H149"/>
    <mergeCell ref="B147:H147"/>
    <mergeCell ref="B148:H148"/>
    <mergeCell ref="A126:B126"/>
    <mergeCell ref="A111:H111"/>
    <mergeCell ref="B112:B113"/>
    <mergeCell ref="A112:A113"/>
    <mergeCell ref="C120:C121"/>
    <mergeCell ref="C109:D109"/>
    <mergeCell ref="A123:H123"/>
    <mergeCell ref="A128:B128"/>
    <mergeCell ref="A125:B125"/>
    <mergeCell ref="A146:H146"/>
    <mergeCell ref="C112:C113"/>
    <mergeCell ref="A114:H114"/>
    <mergeCell ref="A117:H117"/>
    <mergeCell ref="A145:B145"/>
    <mergeCell ref="G116:H116"/>
    <mergeCell ref="G134:H141"/>
    <mergeCell ref="A110:H110"/>
    <mergeCell ref="D54:H54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B158:H158"/>
    <mergeCell ref="C37:H37"/>
    <mergeCell ref="A16:B16"/>
    <mergeCell ref="C16:H16"/>
    <mergeCell ref="E41:H41"/>
    <mergeCell ref="A41:D41"/>
    <mergeCell ref="A164:H164"/>
    <mergeCell ref="A161:H161"/>
    <mergeCell ref="A143:B143"/>
    <mergeCell ref="A107:B107"/>
    <mergeCell ref="D120:D121"/>
    <mergeCell ref="E120:E121"/>
    <mergeCell ref="G120:H121"/>
    <mergeCell ref="A88:B88"/>
    <mergeCell ref="A89:B89"/>
    <mergeCell ref="A90:B90"/>
    <mergeCell ref="A80:B80"/>
    <mergeCell ref="C80:H80"/>
    <mergeCell ref="A75:B75"/>
    <mergeCell ref="F95:H95"/>
    <mergeCell ref="A48:B48"/>
    <mergeCell ref="C48:E48"/>
    <mergeCell ref="G48:H48"/>
    <mergeCell ref="G50:H5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0" max="16383" man="1"/>
    <brk id="212" max="16383" man="1"/>
    <brk id="2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4" sqref="B14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9" t="s">
        <v>107</v>
      </c>
      <c r="C3" s="189"/>
      <c r="D3" s="189"/>
      <c r="E3" s="189"/>
      <c r="F3" s="189"/>
      <c r="G3" s="189"/>
      <c r="H3" s="189"/>
    </row>
    <row r="4" spans="1:9" x14ac:dyDescent="0.3">
      <c r="A4" s="2"/>
      <c r="B4" s="3" t="s">
        <v>108</v>
      </c>
      <c r="C4" s="3" t="s">
        <v>109</v>
      </c>
      <c r="D4" s="3" t="s">
        <v>71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2025-09-12T05:25:02Z</cp:lastPrinted>
  <dcterms:created xsi:type="dcterms:W3CDTF">2019-07-16T09:29:46Z</dcterms:created>
  <dcterms:modified xsi:type="dcterms:W3CDTF">2025-09-12T05:34:42Z</dcterms:modified>
</cp:coreProperties>
</file>