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1" l="1"/>
  <c r="G155" i="1"/>
  <c r="G149" i="1"/>
  <c r="G143" i="1"/>
  <c r="G137" i="1"/>
  <c r="G131" i="1"/>
  <c r="G99" i="1"/>
  <c r="G95" i="1"/>
  <c r="J160" i="1"/>
  <c r="J154" i="1"/>
  <c r="J148" i="1"/>
  <c r="J142" i="1"/>
  <c r="J136" i="1"/>
  <c r="J112" i="1"/>
  <c r="J121" i="1"/>
  <c r="E158" i="1"/>
  <c r="E157" i="1"/>
  <c r="D164" i="1"/>
  <c r="J164" i="1" s="1"/>
  <c r="D163" i="1"/>
  <c r="J163" i="1" s="1"/>
  <c r="D158" i="1"/>
  <c r="J158" i="1" s="1"/>
  <c r="D157" i="1"/>
  <c r="J157" i="1" s="1"/>
  <c r="D155" i="1"/>
  <c r="J155" i="1" s="1"/>
  <c r="D165" i="1"/>
  <c r="J165" i="1" s="1"/>
  <c r="D162" i="1"/>
  <c r="J162" i="1" s="1"/>
  <c r="D161" i="1"/>
  <c r="J161" i="1" s="1"/>
  <c r="D159" i="1"/>
  <c r="J159" i="1" s="1"/>
  <c r="D156" i="1"/>
  <c r="J156" i="1" s="1"/>
  <c r="D153" i="1"/>
  <c r="J153" i="1" s="1"/>
  <c r="D152" i="1"/>
  <c r="J152" i="1" s="1"/>
  <c r="D151" i="1"/>
  <c r="J151" i="1" s="1"/>
  <c r="D150" i="1"/>
  <c r="J150" i="1" s="1"/>
  <c r="D149" i="1"/>
  <c r="J149" i="1" s="1"/>
  <c r="D147" i="1"/>
  <c r="J147" i="1" s="1"/>
  <c r="D146" i="1"/>
  <c r="J146" i="1" s="1"/>
  <c r="D145" i="1"/>
  <c r="J145" i="1" s="1"/>
  <c r="D144" i="1"/>
  <c r="J144" i="1" s="1"/>
  <c r="D143" i="1"/>
  <c r="J143" i="1" s="1"/>
  <c r="D141" i="1"/>
  <c r="J141" i="1" s="1"/>
  <c r="D140" i="1"/>
  <c r="J140" i="1" s="1"/>
  <c r="D139" i="1"/>
  <c r="J139" i="1" s="1"/>
  <c r="D138" i="1"/>
  <c r="J138" i="1" s="1"/>
  <c r="D137" i="1"/>
  <c r="J137" i="1" s="1"/>
  <c r="D135" i="1"/>
  <c r="J135" i="1" s="1"/>
  <c r="D134" i="1"/>
  <c r="J134" i="1" s="1"/>
  <c r="D133" i="1"/>
  <c r="J133" i="1" s="1"/>
  <c r="D132" i="1"/>
  <c r="J132" i="1" s="1"/>
  <c r="D131" i="1"/>
  <c r="J131" i="1" s="1"/>
  <c r="E127" i="1"/>
  <c r="E126" i="1"/>
  <c r="E125" i="1"/>
  <c r="D127" i="1"/>
  <c r="D126" i="1"/>
  <c r="D125" i="1"/>
  <c r="L129" i="1"/>
  <c r="J129" i="1"/>
  <c r="D117" i="1"/>
  <c r="J117" i="1" s="1"/>
  <c r="D114" i="1"/>
  <c r="J114" i="1" s="1"/>
  <c r="G104" i="1"/>
  <c r="G113" i="1"/>
  <c r="D115" i="1"/>
  <c r="J115" i="1" s="1"/>
  <c r="D113" i="1"/>
  <c r="J113" i="1" s="1"/>
  <c r="G49" i="1"/>
  <c r="C99" i="1" l="1"/>
  <c r="E99" i="1"/>
  <c r="L126" i="1"/>
  <c r="L127" i="1"/>
  <c r="L128" i="1"/>
  <c r="L125" i="1"/>
  <c r="J126" i="1"/>
  <c r="J127" i="1"/>
  <c r="J128" i="1"/>
  <c r="J125" i="1"/>
  <c r="K125" i="1" s="1"/>
  <c r="I109" i="1" l="1"/>
  <c r="E43" i="1" l="1"/>
  <c r="E42" i="1" s="1"/>
  <c r="G94" i="1"/>
  <c r="G96" i="1" s="1"/>
  <c r="I125" i="1"/>
  <c r="D120" i="1"/>
  <c r="J120" i="1" s="1"/>
  <c r="D119" i="1"/>
  <c r="J119" i="1" s="1"/>
  <c r="D118" i="1"/>
  <c r="J118" i="1" s="1"/>
  <c r="D116" i="1"/>
  <c r="D111" i="1"/>
  <c r="J111" i="1" s="1"/>
  <c r="D110" i="1"/>
  <c r="J110" i="1" s="1"/>
  <c r="D109" i="1"/>
  <c r="J109" i="1" s="1"/>
  <c r="D108" i="1"/>
  <c r="J108" i="1" s="1"/>
  <c r="D107" i="1"/>
  <c r="J107" i="1" s="1"/>
  <c r="D106" i="1"/>
  <c r="J106" i="1" s="1"/>
  <c r="D105" i="1"/>
  <c r="J105" i="1" s="1"/>
  <c r="D104" i="1"/>
  <c r="I104" i="1"/>
  <c r="C94" i="1" l="1"/>
  <c r="J104" i="1"/>
  <c r="C95" i="1"/>
  <c r="J116" i="1"/>
  <c r="E95" i="1"/>
  <c r="E94" i="1"/>
  <c r="C14" i="1"/>
  <c r="E96" i="1" l="1"/>
  <c r="C96" i="1"/>
  <c r="E29" i="1"/>
  <c r="F91" i="1" l="1"/>
  <c r="B168" i="1" l="1"/>
  <c r="B16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0" i="1"/>
  <c r="G125" i="1"/>
  <c r="A126" i="1"/>
  <c r="A127" i="1" s="1"/>
  <c r="A128" i="1" s="1"/>
  <c r="A129" i="1" s="1"/>
  <c r="J76" i="1"/>
  <c r="J75" i="1"/>
  <c r="J74" i="1"/>
  <c r="J73" i="1"/>
  <c r="C65" i="1"/>
  <c r="D54" i="1"/>
  <c r="C49" i="1"/>
  <c r="C50" i="1" s="1"/>
  <c r="E26" i="1"/>
  <c r="E24" i="1"/>
  <c r="E7" i="1"/>
  <c r="E3" i="1"/>
  <c r="D78" i="1" l="1"/>
  <c r="D59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l="1"/>
  <c r="J78" i="1" s="1"/>
  <c r="D70" i="1"/>
  <c r="D71" i="1"/>
  <c r="J67" i="1"/>
  <c r="D69" i="1"/>
  <c r="J66" i="1" l="1"/>
  <c r="G69" i="1"/>
  <c r="D63" i="1" s="1"/>
  <c r="F64" i="1" s="1"/>
  <c r="E69" i="1"/>
  <c r="I66" i="1"/>
  <c r="D64" i="1" l="1"/>
  <c r="I67" i="1"/>
  <c r="I65" i="1" s="1"/>
  <c r="C67" i="1" s="1"/>
</calcChain>
</file>

<file path=xl/sharedStrings.xml><?xml version="1.0" encoding="utf-8"?>
<sst xmlns="http://schemas.openxmlformats.org/spreadsheetml/2006/main" count="322" uniqueCount="231">
  <si>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</si>
  <si>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</si>
  <si>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</si>
  <si>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</si>
  <si>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</si>
  <si>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</si>
  <si>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</si>
  <si>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</si>
  <si>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</si>
  <si>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</si>
  <si>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</si>
  <si>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</si>
  <si>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</si>
  <si>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</si>
  <si>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</si>
  <si>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</si>
  <si>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</si>
  <si>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</si>
  <si>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</si>
  <si>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</si>
  <si>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</si>
  <si>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</si>
  <si>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</si>
  <si>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</si>
  <si>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</si>
  <si>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</si>
  <si>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</si>
  <si>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</si>
  <si>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</si>
  <si>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</si>
  <si>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</si>
  <si>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</si>
  <si>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</si>
  <si>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</si>
  <si>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</si>
  <si>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</si>
  <si>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</si>
  <si>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</si>
  <si>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</si>
  <si>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</si>
  <si>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</si>
  <si>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</si>
  <si>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</si>
  <si>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</si>
  <si>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</si>
  <si>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</si>
  <si>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</si>
  <si>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</si>
  <si>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</si>
  <si>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</si>
  <si>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</si>
  <si>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</si>
  <si>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</si>
  <si>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</si>
  <si>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</si>
  <si>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</si>
  <si>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</si>
  <si>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</si>
  <si>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</si>
  <si>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</si>
  <si>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</si>
  <si>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</si>
  <si>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</si>
  <si>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</si>
  <si>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</si>
  <si>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</si>
  <si>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</si>
  <si>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</si>
  <si>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</si>
  <si>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</si>
  <si>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</si>
  <si>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</si>
  <si>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</si>
  <si>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</si>
  <si>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</si>
  <si>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</si>
  <si>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</si>
  <si>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</si>
  <si>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</si>
  <si>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</si>
  <si>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</si>
  <si>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</si>
  <si>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</si>
  <si>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</si>
  <si>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</si>
  <si>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</si>
  <si>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</si>
  <si>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</si>
  <si>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</si>
  <si>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</si>
  <si>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</si>
  <si>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</si>
  <si>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</si>
  <si>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</si>
  <si>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</si>
  <si>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</si>
  <si>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</si>
  <si>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</si>
  <si>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</si>
  <si>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</si>
  <si>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</si>
  <si>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</si>
  <si>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</si>
  <si>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</si>
  <si>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</si>
  <si>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</si>
  <si>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</si>
  <si>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</si>
  <si>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</si>
  <si>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</si>
  <si>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</si>
  <si>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</si>
  <si>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</si>
  <si>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</si>
  <si>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</si>
  <si>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</si>
  <si>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</si>
  <si>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</si>
  <si>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</si>
  <si>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</si>
  <si>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</si>
  <si>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</si>
  <si>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</si>
  <si>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</si>
  <si>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</si>
  <si>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</si>
  <si>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</si>
  <si>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</si>
  <si>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</si>
  <si>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</si>
  <si>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</si>
  <si>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</si>
  <si>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</si>
  <si>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</si>
  <si>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</si>
  <si>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</si>
  <si>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</si>
  <si>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</si>
  <si>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</si>
  <si>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</si>
  <si>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</si>
  <si>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</si>
  <si>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</si>
  <si>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</si>
  <si>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</si>
  <si>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</si>
  <si>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</si>
  <si>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</si>
  <si>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</si>
  <si>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</si>
  <si>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</si>
  <si>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</si>
  <si>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</si>
  <si>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</si>
  <si>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</si>
  <si>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</si>
  <si>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</si>
  <si>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</si>
  <si>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</si>
  <si>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</si>
  <si>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</si>
  <si>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</si>
  <si>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</si>
  <si>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</si>
  <si>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</si>
  <si>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</si>
  <si>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</si>
  <si>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</si>
  <si>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</si>
  <si>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</si>
  <si>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Sanpada</t>
  </si>
  <si>
    <t>Sairama Signature</t>
  </si>
  <si>
    <t>P52000034539</t>
  </si>
  <si>
    <t>62B, Sector- 30</t>
  </si>
  <si>
    <t>Raigad</t>
  </si>
  <si>
    <t>Kharghar</t>
  </si>
  <si>
    <t>CISF Rd</t>
  </si>
  <si>
    <t>Sai Spring</t>
  </si>
  <si>
    <t>Open plot</t>
  </si>
  <si>
    <t>CISF Road</t>
  </si>
  <si>
    <t>Internal Road</t>
  </si>
  <si>
    <t>CIDCO</t>
  </si>
  <si>
    <t>As per RERA - 31/12/2026</t>
  </si>
  <si>
    <t>Shop</t>
  </si>
  <si>
    <t>Office</t>
  </si>
  <si>
    <t>1st Floor For Office &amp; Parking</t>
  </si>
  <si>
    <t>2nd To 4th Floor For Parking</t>
  </si>
  <si>
    <t>2BHK</t>
  </si>
  <si>
    <t>3BHK</t>
  </si>
  <si>
    <t>We considered Gross carpet area = Net carpet + Enclose balcony + Chajja Area.</t>
  </si>
  <si>
    <t>5.6KM from Kharghar Railway Station</t>
  </si>
  <si>
    <t>Flats</t>
  </si>
  <si>
    <t>Builder Saleable area</t>
  </si>
  <si>
    <t>Approved Plans, CC, Builder Saleable Area.</t>
  </si>
  <si>
    <t xml:space="preserve">Commencement-CC No
Valid Up to: </t>
  </si>
  <si>
    <t>Plot No</t>
  </si>
  <si>
    <t>50/- from 5th Floor</t>
  </si>
  <si>
    <t>Asmi</t>
  </si>
  <si>
    <t>Palas</t>
  </si>
  <si>
    <t>https://goo.gl/maps/cDkfRp6YwBua6vcQ7</t>
  </si>
  <si>
    <t>Latitude &amp; Longitude</t>
  </si>
  <si>
    <t>19.0685794,73.0700772</t>
  </si>
  <si>
    <t>Panvel</t>
  </si>
  <si>
    <t>CIDCO/BP-18015/TPO(NM &amp; K)/2022/10503</t>
  </si>
  <si>
    <t>Ground Floor for Commercial, Parking &amp; Meter Room</t>
  </si>
  <si>
    <t>5th Floor For Residential, Gymnasium, Swimming Pool, Driver Room &amp; Recreational Area</t>
  </si>
  <si>
    <t>Gymnasium</t>
  </si>
  <si>
    <t>Recreational Area</t>
  </si>
  <si>
    <t>6th &amp; 7th Floor</t>
  </si>
  <si>
    <t>8th to 18th Floor</t>
  </si>
  <si>
    <t>19th Floor</t>
  </si>
  <si>
    <t>20th Floor</t>
  </si>
  <si>
    <t>21st Floor</t>
  </si>
  <si>
    <t>22nd Floor</t>
  </si>
  <si>
    <t>Gr + 1st to 4th + 5th to 22nd Floor</t>
  </si>
  <si>
    <t xml:space="preserve">Gr + 1st to 4th + 5th to 22nd Floor
</t>
  </si>
  <si>
    <t xml:space="preserve">Vitrified tiles flooring, Granite Kitchen Platform, Decorative Enternace  etc.   </t>
  </si>
  <si>
    <t xml:space="preserve">We have updated revised plans &amp; CC (on 20/04/2023).
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</si>
  <si>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Email : vsjcapf@gmail.com. Web site : www.vsjadon.com
</t>
  </si>
  <si>
    <t xml:space="preserve">Sairama Housing Estate Pvt Ltd
</t>
  </si>
  <si>
    <t>Flats - 88, Shops - 8, Offices - 8</t>
  </si>
  <si>
    <t>On Site, we meet Mr. Mani Singh - 9022616161.</t>
  </si>
  <si>
    <t>9500 to 9700</t>
  </si>
  <si>
    <t>Sanket</t>
  </si>
  <si>
    <t>Verbal</t>
  </si>
  <si>
    <t>Site Meet Person Contact Details ( Name &amp; Contact No.)</t>
  </si>
  <si>
    <t>Mr. Nainesh 9022616161.</t>
  </si>
  <si>
    <t>Mr. Manish 9022616161</t>
  </si>
  <si>
    <t>Sunil Peravi</t>
  </si>
  <si>
    <t>Pranita Mhatre</t>
  </si>
  <si>
    <t xml:space="preserve">Construction work is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</si>
</sst>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4" fontId="0" fillId="0" borderId="0" xfId="0" applyNumberFormat="1"/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" fontId="10" fillId="0" borderId="7" xfId="0" applyNumberFormat="1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336176</xdr:colOff>
      <xdr:row>131</xdr:row>
      <xdr:rowOff>0</xdr:rowOff>
    </xdr:from>
    <xdr:to>
      <xdr:col>18</xdr:col>
      <xdr:colOff>123953</xdr:colOff>
      <xdr:row>155</xdr:row>
      <xdr:rowOff>24356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941" y="28395706"/>
          <a:ext cx="6003985" cy="4865298"/>
        </a:xfrm>
        <a:prstGeom prst="rect">
          <a:avLst/>
        </a:prstGeom>
      </xdr:spPr>
    </xdr:pic>
    <xdr:clientData/>
  </xdr:twoCellAnchor>
  <xdr:twoCellAnchor editAs="oneCell">
    <xdr:from>
      <xdr:col>1</xdr:col>
      <xdr:colOff>120508</xdr:colOff>
      <xdr:row>234</xdr:row>
      <xdr:rowOff>33617</xdr:rowOff>
    </xdr:from>
    <xdr:to>
      <xdr:col>6</xdr:col>
      <xdr:colOff>559887</xdr:colOff>
      <xdr:row>252</xdr:row>
      <xdr:rowOff>2911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8537" y="49989441"/>
          <a:ext cx="491052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493059</xdr:colOff>
      <xdr:row>253</xdr:row>
      <xdr:rowOff>91886</xdr:rowOff>
    </xdr:from>
    <xdr:to>
      <xdr:col>7</xdr:col>
      <xdr:colOff>164923</xdr:colOff>
      <xdr:row>273</xdr:row>
      <xdr:rowOff>17768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059" y="53880121"/>
          <a:ext cx="580148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619165</xdr:colOff>
      <xdr:row>263</xdr:row>
      <xdr:rowOff>114662</xdr:rowOff>
    </xdr:from>
    <xdr:to>
      <xdr:col>4</xdr:col>
      <xdr:colOff>671098</xdr:colOff>
      <xdr:row>268</xdr:row>
      <xdr:rowOff>48297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20436789">
          <a:off x="3218930" y="55919956"/>
          <a:ext cx="1060462" cy="942165"/>
        </a:xfrm>
        <a:prstGeom prst="rect">
          <a:avLst/>
        </a:prstGeom>
        <a:noFill/>
        <a:ln w="5715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8</xdr:col>
      <xdr:colOff>885825</xdr:colOff>
      <xdr:row>188</xdr:row>
      <xdr:rowOff>180975</xdr:rowOff>
    </xdr:from>
    <xdr:to>
      <xdr:col>16</xdr:col>
      <xdr:colOff>38584</xdr:colOff>
      <xdr:row>229</xdr:row>
      <xdr:rowOff>190500</xdr:rowOff>
    </xdr:to>
    <xdr:grpSp>
      <xdr:nvGrpSpPr>
        <xdr:cNvPr id="2" name="Group 1"/>
        <xdr:cNvGrpSpPr/>
      </xdr:nvGrpSpPr>
      <xdr:grpSpPr>
        <a:xfrm>
          <a:off x="7418854" y="40365269"/>
          <a:ext cx="5663377" cy="8268260"/>
          <a:chOff x="409575" y="40166925"/>
          <a:chExt cx="5639284" cy="8201025"/>
        </a:xfrm>
      </xdr:grpSpPr>
      <xdr:pic>
        <xdr:nvPicPr>
          <xdr:cNvPr id="16" name="Picture 15" descr="https://vsjcllp.vsjadon.com/upload/insp-23643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24125" y="46396274"/>
            <a:ext cx="1477217" cy="19716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643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7200" y="40166925"/>
            <a:ext cx="2726071" cy="3638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43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075" y="40166925"/>
            <a:ext cx="2726071" cy="3638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43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5" y="43881674"/>
            <a:ext cx="1819759" cy="2428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43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24100" y="43891199"/>
            <a:ext cx="1819759" cy="2428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435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29100" y="43891199"/>
            <a:ext cx="1819759" cy="2428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264968</xdr:colOff>
      <xdr:row>190</xdr:row>
      <xdr:rowOff>103909</xdr:rowOff>
    </xdr:from>
    <xdr:to>
      <xdr:col>7</xdr:col>
      <xdr:colOff>693593</xdr:colOff>
      <xdr:row>226</xdr:row>
      <xdr:rowOff>118629</xdr:rowOff>
    </xdr:to>
    <xdr:grpSp>
      <xdr:nvGrpSpPr>
        <xdr:cNvPr id="14" name="Group 13"/>
        <xdr:cNvGrpSpPr/>
      </xdr:nvGrpSpPr>
      <xdr:grpSpPr>
        <a:xfrm>
          <a:off x="264968" y="40691615"/>
          <a:ext cx="6132419" cy="7264926"/>
          <a:chOff x="-1090645" y="1116604"/>
          <a:chExt cx="8588152" cy="7928182"/>
        </a:xfrm>
      </xdr:grpSpPr>
      <xdr:pic>
        <xdr:nvPicPr>
          <xdr:cNvPr id="15" name="Picture 14" descr="https://vsjcllp.vsjadon.com/upload/insp-24687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04327" y="7493164"/>
            <a:ext cx="1162504" cy="15516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7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0171" y="1116604"/>
            <a:ext cx="2767690" cy="369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7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0809" y="7493165"/>
            <a:ext cx="2066913" cy="15516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87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090645" y="1116604"/>
            <a:ext cx="2767690" cy="369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87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29817" y="1116604"/>
            <a:ext cx="2767690" cy="369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6870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57545" y="7493164"/>
            <a:ext cx="2066913" cy="15516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870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7965" y="7493165"/>
            <a:ext cx="1162504" cy="15516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6870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6022" y="4906562"/>
            <a:ext cx="1869149" cy="2494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87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97569" y="4906562"/>
            <a:ext cx="1869149" cy="2494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870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0270" y="4916290"/>
            <a:ext cx="1869149" cy="2494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70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7804" y="4906562"/>
            <a:ext cx="1869149" cy="2494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0</xdr:rowOff>
    </xdr:from>
    <xdr:to>
      <xdr:col>6</xdr:col>
      <xdr:colOff>4567</xdr:colOff>
      <xdr:row>33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255282</xdr:colOff>
      <xdr:row>34</xdr:row>
      <xdr:rowOff>155994</xdr:rowOff>
    </xdr:from>
    <xdr:to>
      <xdr:col>15</xdr:col>
      <xdr:colOff>147790</xdr:colOff>
      <xdr:row>53</xdr:row>
      <xdr:rowOff>136494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6547" y="66442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255283</xdr:colOff>
      <xdr:row>15</xdr:row>
      <xdr:rowOff>0</xdr:rowOff>
    </xdr:from>
    <xdr:to>
      <xdr:col>15</xdr:col>
      <xdr:colOff>147791</xdr:colOff>
      <xdr:row>33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6548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155994</xdr:rowOff>
    </xdr:from>
    <xdr:to>
      <xdr:col>6</xdr:col>
      <xdr:colOff>4566</xdr:colOff>
      <xdr:row>53</xdr:row>
      <xdr:rowOff>136494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6442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149678</xdr:colOff>
      <xdr:row>0</xdr:row>
      <xdr:rowOff>0</xdr:rowOff>
    </xdr:from>
    <xdr:to>
      <xdr:col>6</xdr:col>
      <xdr:colOff>336729</xdr:colOff>
      <xdr:row>18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4357" y="0"/>
          <a:ext cx="202401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DkfRp6YwBua6vcQ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3"/>
  <sheetViews>
    <sheetView tabSelected="1" view="pageBreakPreview" topLeftCell="A58" zoomScale="85" zoomScaleNormal="100" zoomScaleSheetLayoutView="85" zoomScalePageLayoutView="85" workbookViewId="0">
      <selection activeCell="O68" sqref="O68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1.8554687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12" ht="46.5" customHeight="1" x14ac:dyDescent="0.25">
      <c r="A1" s="110" t="s">
        <v>218</v>
      </c>
      <c r="B1" s="110"/>
      <c r="C1" s="110"/>
      <c r="D1" s="110"/>
      <c r="E1" s="110"/>
      <c r="F1" s="110"/>
      <c r="G1" s="110"/>
      <c r="H1" s="110"/>
    </row>
    <row r="2" spans="1:12" ht="16.5" customHeight="1" x14ac:dyDescent="0.25">
      <c r="A2" s="92" t="s">
        <v>0</v>
      </c>
      <c r="B2" s="92"/>
      <c r="C2" s="92"/>
      <c r="D2" s="92"/>
      <c r="E2" s="92"/>
      <c r="F2" s="92"/>
      <c r="G2" s="92"/>
      <c r="H2" s="92"/>
    </row>
    <row r="3" spans="1:12" x14ac:dyDescent="0.25">
      <c r="A3" s="59" t="s">
        <v>1</v>
      </c>
      <c r="B3" s="59"/>
      <c r="C3" s="59"/>
      <c r="D3" s="59"/>
      <c r="E3" s="59" t="str">
        <f ca="1">TEXT(TODAY(),"DD/MM/YYYY")</f>
        <v>15/09/2025</v>
      </c>
      <c r="F3" s="59"/>
      <c r="G3" s="59"/>
      <c r="H3" s="59"/>
    </row>
    <row r="4" spans="1:12" ht="15" customHeight="1" x14ac:dyDescent="0.25">
      <c r="A4" s="59" t="s">
        <v>2</v>
      </c>
      <c r="B4" s="59"/>
      <c r="C4" s="59"/>
      <c r="D4" s="59"/>
      <c r="E4" s="59" t="s">
        <v>170</v>
      </c>
      <c r="F4" s="59"/>
      <c r="G4" s="59"/>
      <c r="H4" s="59"/>
    </row>
    <row r="5" spans="1:12" x14ac:dyDescent="0.25">
      <c r="A5" s="59" t="s">
        <v>3</v>
      </c>
      <c r="B5" s="59"/>
      <c r="C5" s="59"/>
      <c r="D5" s="59"/>
      <c r="E5" s="112">
        <v>45909</v>
      </c>
      <c r="F5" s="59"/>
      <c r="G5" s="59"/>
      <c r="H5" s="59"/>
    </row>
    <row r="6" spans="1:12" ht="16.5" customHeight="1" x14ac:dyDescent="0.25">
      <c r="A6" s="59" t="s">
        <v>4</v>
      </c>
      <c r="B6" s="59"/>
      <c r="C6" s="59"/>
      <c r="D6" s="59"/>
      <c r="E6" s="60" t="s">
        <v>219</v>
      </c>
      <c r="F6" s="59"/>
      <c r="G6" s="59"/>
      <c r="H6" s="59"/>
    </row>
    <row r="7" spans="1:12" ht="15" customHeight="1" x14ac:dyDescent="0.25">
      <c r="A7" s="59" t="s">
        <v>5</v>
      </c>
      <c r="B7" s="59"/>
      <c r="C7" s="59"/>
      <c r="D7" s="59"/>
      <c r="E7" s="59" t="str">
        <f>E6</f>
        <v xml:space="preserve">Sairama Housing Estate Pvt Ltd
</v>
      </c>
      <c r="F7" s="59"/>
      <c r="G7" s="59"/>
      <c r="H7" s="59"/>
    </row>
    <row r="8" spans="1:12" x14ac:dyDescent="0.25">
      <c r="A8" s="59" t="s">
        <v>6</v>
      </c>
      <c r="B8" s="59"/>
      <c r="C8" s="59"/>
      <c r="D8" s="59"/>
      <c r="E8" s="111" t="s">
        <v>171</v>
      </c>
      <c r="F8" s="111"/>
      <c r="G8" s="111"/>
      <c r="H8" s="111"/>
    </row>
    <row r="9" spans="1:12" x14ac:dyDescent="0.25">
      <c r="A9" s="59" t="s">
        <v>126</v>
      </c>
      <c r="B9" s="59"/>
      <c r="C9" s="59"/>
      <c r="D9" s="59"/>
      <c r="E9" s="59">
        <v>9910994073</v>
      </c>
      <c r="F9" s="59"/>
      <c r="G9" s="59"/>
      <c r="H9" s="59"/>
    </row>
    <row r="10" spans="1:12" x14ac:dyDescent="0.25">
      <c r="A10" s="59" t="s">
        <v>225</v>
      </c>
      <c r="B10" s="59"/>
      <c r="C10" s="59"/>
      <c r="D10" s="59"/>
      <c r="E10" s="59" t="s">
        <v>227</v>
      </c>
      <c r="F10" s="59"/>
      <c r="G10" s="59"/>
      <c r="H10" s="59"/>
      <c r="I10" s="59" t="s">
        <v>226</v>
      </c>
      <c r="J10" s="59"/>
      <c r="K10" s="59"/>
      <c r="L10" s="59"/>
    </row>
    <row r="11" spans="1:12" x14ac:dyDescent="0.25">
      <c r="A11" s="59" t="s">
        <v>7</v>
      </c>
      <c r="B11" s="59"/>
      <c r="C11" s="59"/>
      <c r="D11" s="59"/>
      <c r="E11" s="59" t="s">
        <v>127</v>
      </c>
      <c r="F11" s="59"/>
      <c r="G11" s="59"/>
      <c r="H11" s="59"/>
    </row>
    <row r="12" spans="1:12" x14ac:dyDescent="0.25">
      <c r="A12" s="62" t="s">
        <v>8</v>
      </c>
      <c r="B12" s="62"/>
      <c r="C12" s="62"/>
      <c r="D12" s="62"/>
      <c r="E12" s="113" t="s">
        <v>193</v>
      </c>
      <c r="F12" s="113"/>
      <c r="G12" s="113"/>
      <c r="H12" s="113"/>
    </row>
    <row r="13" spans="1:12" x14ac:dyDescent="0.25">
      <c r="A13" s="62" t="s">
        <v>9</v>
      </c>
      <c r="B13" s="62"/>
      <c r="C13" s="62"/>
      <c r="D13" s="62"/>
      <c r="E13" s="113" t="s">
        <v>172</v>
      </c>
      <c r="F13" s="114"/>
      <c r="G13" s="114"/>
      <c r="H13" s="114"/>
    </row>
    <row r="14" spans="1:12" ht="34.5" customHeight="1" x14ac:dyDescent="0.25">
      <c r="A14" s="105" t="s">
        <v>10</v>
      </c>
      <c r="B14" s="105"/>
      <c r="C14" s="10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Sairama Signature, Plot No.62B, Sector- 30, near Sai Spring, CISF Rd, Kharghar, Kharghar, Kharghar, Panvel, Raigad - 410210.</v>
      </c>
      <c r="D14" s="105"/>
      <c r="E14" s="105"/>
      <c r="F14" s="105"/>
      <c r="G14" s="105"/>
      <c r="H14" s="105"/>
    </row>
    <row r="15" spans="1:12" x14ac:dyDescent="0.25">
      <c r="A15" s="113" t="s">
        <v>195</v>
      </c>
      <c r="B15" s="113"/>
      <c r="C15" s="113" t="s">
        <v>173</v>
      </c>
      <c r="D15" s="113"/>
      <c r="E15" s="113"/>
      <c r="F15" s="113"/>
      <c r="G15" s="113"/>
      <c r="H15" s="113"/>
    </row>
    <row r="16" spans="1:12" ht="15.75" customHeight="1" x14ac:dyDescent="0.25">
      <c r="A16" s="60" t="s">
        <v>169</v>
      </c>
      <c r="B16" s="60"/>
      <c r="C16" s="60" t="s">
        <v>175</v>
      </c>
      <c r="D16" s="60"/>
      <c r="E16" s="60"/>
      <c r="F16" s="60"/>
      <c r="G16" s="60"/>
      <c r="H16" s="60"/>
    </row>
    <row r="17" spans="1:8" ht="15.75" customHeight="1" x14ac:dyDescent="0.25">
      <c r="A17" s="105" t="s">
        <v>11</v>
      </c>
      <c r="B17" s="105"/>
      <c r="C17" s="59" t="s">
        <v>176</v>
      </c>
      <c r="D17" s="59"/>
      <c r="E17" s="105" t="s">
        <v>75</v>
      </c>
      <c r="F17" s="105"/>
      <c r="G17" s="60" t="s">
        <v>175</v>
      </c>
      <c r="H17" s="60"/>
    </row>
    <row r="18" spans="1:8" x14ac:dyDescent="0.25">
      <c r="A18" s="62" t="s">
        <v>13</v>
      </c>
      <c r="B18" s="62"/>
      <c r="C18" s="60" t="s">
        <v>175</v>
      </c>
      <c r="D18" s="60"/>
      <c r="E18" s="105" t="s">
        <v>12</v>
      </c>
      <c r="F18" s="105"/>
      <c r="G18" s="115" t="s">
        <v>174</v>
      </c>
      <c r="H18" s="115"/>
    </row>
    <row r="19" spans="1:8" x14ac:dyDescent="0.25">
      <c r="A19" s="62" t="s">
        <v>76</v>
      </c>
      <c r="B19" s="62"/>
      <c r="C19" s="60" t="s">
        <v>202</v>
      </c>
      <c r="D19" s="60"/>
      <c r="E19" s="105" t="s">
        <v>14</v>
      </c>
      <c r="F19" s="105"/>
      <c r="G19" s="60">
        <v>410210</v>
      </c>
      <c r="H19" s="60"/>
    </row>
    <row r="20" spans="1:8" ht="32.25" customHeight="1" x14ac:dyDescent="0.25">
      <c r="A20" s="62" t="s">
        <v>128</v>
      </c>
      <c r="B20" s="62"/>
      <c r="C20" s="60" t="s">
        <v>177</v>
      </c>
      <c r="D20" s="60"/>
      <c r="E20" s="105" t="s">
        <v>15</v>
      </c>
      <c r="F20" s="105"/>
      <c r="G20" s="113" t="s">
        <v>190</v>
      </c>
      <c r="H20" s="113"/>
    </row>
    <row r="21" spans="1:8" ht="15" customHeight="1" x14ac:dyDescent="0.25">
      <c r="A21" s="105" t="s">
        <v>79</v>
      </c>
      <c r="B21" s="105"/>
      <c r="C21" s="105"/>
      <c r="D21" s="105"/>
      <c r="E21" s="59" t="s">
        <v>16</v>
      </c>
      <c r="F21" s="59"/>
      <c r="G21" s="59"/>
      <c r="H21" s="59"/>
    </row>
    <row r="22" spans="1:8" ht="18.75" customHeight="1" x14ac:dyDescent="0.25">
      <c r="A22" s="105"/>
      <c r="B22" s="105"/>
      <c r="C22" s="105"/>
      <c r="D22" s="105"/>
      <c r="E22" s="59"/>
      <c r="F22" s="59"/>
      <c r="G22" s="59"/>
      <c r="H22" s="59"/>
    </row>
    <row r="23" spans="1:8" ht="15" customHeight="1" x14ac:dyDescent="0.25">
      <c r="A23" s="105" t="s">
        <v>17</v>
      </c>
      <c r="B23" s="105"/>
      <c r="C23" s="105"/>
      <c r="D23" s="105"/>
      <c r="E23" s="60" t="s">
        <v>18</v>
      </c>
      <c r="F23" s="60"/>
      <c r="G23" s="60"/>
      <c r="H23" s="60"/>
    </row>
    <row r="24" spans="1:8" ht="15" customHeight="1" x14ac:dyDescent="0.25">
      <c r="A24" s="62" t="s">
        <v>19</v>
      </c>
      <c r="B24" s="62"/>
      <c r="C24" s="62"/>
      <c r="D24" s="62"/>
      <c r="E24" s="60" t="str">
        <f>IF(AND(G18="Mumbai"),"Upper Class","Middle Class")</f>
        <v>Middle Class</v>
      </c>
      <c r="F24" s="60"/>
      <c r="G24" s="60"/>
      <c r="H24" s="60"/>
    </row>
    <row r="25" spans="1:8" x14ac:dyDescent="0.25">
      <c r="A25" s="62" t="s">
        <v>20</v>
      </c>
      <c r="B25" s="62"/>
      <c r="C25" s="62"/>
      <c r="D25" s="62"/>
      <c r="E25" s="60" t="s">
        <v>21</v>
      </c>
      <c r="F25" s="60"/>
      <c r="G25" s="60"/>
      <c r="H25" s="60"/>
    </row>
    <row r="26" spans="1:8" ht="15.75" customHeight="1" x14ac:dyDescent="0.25">
      <c r="A26" s="62" t="s">
        <v>22</v>
      </c>
      <c r="B26" s="62"/>
      <c r="C26" s="62"/>
      <c r="D26" s="62"/>
      <c r="E26" s="60" t="str">
        <f>IF(AND(G18="Mumbai"),"Developed","Developing")</f>
        <v>Developing</v>
      </c>
      <c r="F26" s="60"/>
      <c r="G26" s="60"/>
      <c r="H26" s="60"/>
    </row>
    <row r="27" spans="1:8" x14ac:dyDescent="0.25">
      <c r="A27" s="62" t="s">
        <v>23</v>
      </c>
      <c r="B27" s="62"/>
      <c r="C27" s="62"/>
      <c r="D27" s="62"/>
      <c r="E27" s="60" t="s">
        <v>24</v>
      </c>
      <c r="F27" s="60"/>
      <c r="G27" s="60"/>
      <c r="H27" s="60"/>
    </row>
    <row r="28" spans="1:8" ht="15.75" customHeight="1" x14ac:dyDescent="0.25">
      <c r="A28" s="62" t="s">
        <v>84</v>
      </c>
      <c r="B28" s="62"/>
      <c r="C28" s="62"/>
      <c r="D28" s="62"/>
      <c r="E28" s="60" t="s">
        <v>85</v>
      </c>
      <c r="F28" s="60"/>
      <c r="G28" s="60"/>
      <c r="H28" s="60"/>
    </row>
    <row r="29" spans="1:8" ht="15" customHeight="1" x14ac:dyDescent="0.25">
      <c r="A29" s="62" t="s">
        <v>33</v>
      </c>
      <c r="B29" s="62"/>
      <c r="C29" s="62"/>
      <c r="D29" s="62"/>
      <c r="E29" s="6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0"/>
      <c r="G29" s="60"/>
      <c r="H29" s="60"/>
    </row>
    <row r="30" spans="1:8" ht="15.75" customHeight="1" x14ac:dyDescent="0.25">
      <c r="A30" s="62" t="s">
        <v>96</v>
      </c>
      <c r="B30" s="62"/>
      <c r="C30" s="62"/>
      <c r="D30" s="62"/>
      <c r="E30" s="60" t="s">
        <v>34</v>
      </c>
      <c r="F30" s="60"/>
      <c r="G30" s="60"/>
      <c r="H30" s="60"/>
    </row>
    <row r="31" spans="1:8" s="19" customFormat="1" x14ac:dyDescent="0.25">
      <c r="A31" s="119" t="s">
        <v>97</v>
      </c>
      <c r="B31" s="119"/>
      <c r="C31" s="118" t="s">
        <v>29</v>
      </c>
      <c r="D31" s="118"/>
      <c r="E31" s="118"/>
      <c r="F31" s="118" t="s">
        <v>31</v>
      </c>
      <c r="G31" s="118"/>
      <c r="H31" s="118"/>
    </row>
    <row r="32" spans="1:8" s="19" customFormat="1" x14ac:dyDescent="0.25">
      <c r="A32" s="116" t="s">
        <v>25</v>
      </c>
      <c r="B32" s="116" t="s">
        <v>30</v>
      </c>
      <c r="C32" s="117" t="s">
        <v>30</v>
      </c>
      <c r="D32" s="117"/>
      <c r="E32" s="117"/>
      <c r="F32" s="117" t="s">
        <v>178</v>
      </c>
      <c r="G32" s="117"/>
      <c r="H32" s="117"/>
    </row>
    <row r="33" spans="1:8" x14ac:dyDescent="0.25">
      <c r="A33" s="116" t="s">
        <v>26</v>
      </c>
      <c r="B33" s="116" t="s">
        <v>30</v>
      </c>
      <c r="C33" s="117" t="s">
        <v>30</v>
      </c>
      <c r="D33" s="117"/>
      <c r="E33" s="117"/>
      <c r="F33" s="117" t="s">
        <v>178</v>
      </c>
      <c r="G33" s="117"/>
      <c r="H33" s="117"/>
    </row>
    <row r="34" spans="1:8" s="19" customFormat="1" x14ac:dyDescent="0.25">
      <c r="A34" s="116" t="s">
        <v>28</v>
      </c>
      <c r="B34" s="116" t="s">
        <v>30</v>
      </c>
      <c r="C34" s="117" t="s">
        <v>30</v>
      </c>
      <c r="D34" s="117"/>
      <c r="E34" s="117"/>
      <c r="F34" s="117" t="s">
        <v>179</v>
      </c>
      <c r="G34" s="117"/>
      <c r="H34" s="117"/>
    </row>
    <row r="35" spans="1:8" x14ac:dyDescent="0.25">
      <c r="A35" s="116" t="s">
        <v>27</v>
      </c>
      <c r="B35" s="116" t="s">
        <v>30</v>
      </c>
      <c r="C35" s="117" t="s">
        <v>30</v>
      </c>
      <c r="D35" s="117"/>
      <c r="E35" s="117"/>
      <c r="F35" s="117" t="s">
        <v>180</v>
      </c>
      <c r="G35" s="117"/>
      <c r="H35" s="117"/>
    </row>
    <row r="36" spans="1:8" x14ac:dyDescent="0.25">
      <c r="A36" s="62" t="s">
        <v>32</v>
      </c>
      <c r="B36" s="62"/>
      <c r="C36" s="62"/>
      <c r="D36" s="62"/>
      <c r="E36" s="62"/>
      <c r="F36" s="62"/>
      <c r="G36" s="62"/>
      <c r="H36" s="62"/>
    </row>
    <row r="37" spans="1:8" ht="15.75" customHeight="1" x14ac:dyDescent="0.25">
      <c r="A37" s="62" t="s">
        <v>200</v>
      </c>
      <c r="B37" s="62"/>
      <c r="C37" s="174" t="s">
        <v>201</v>
      </c>
      <c r="D37" s="175"/>
      <c r="E37" s="175"/>
      <c r="F37" s="175"/>
      <c r="G37" s="175"/>
      <c r="H37" s="176"/>
    </row>
    <row r="38" spans="1:8" x14ac:dyDescent="0.25">
      <c r="A38" s="62" t="s">
        <v>168</v>
      </c>
      <c r="B38" s="62"/>
      <c r="C38" s="150" t="s">
        <v>199</v>
      </c>
      <c r="D38" s="60"/>
      <c r="E38" s="60"/>
      <c r="F38" s="60"/>
      <c r="G38" s="60"/>
      <c r="H38" s="60"/>
    </row>
    <row r="39" spans="1:8" x14ac:dyDescent="0.25">
      <c r="A39" s="102" t="s">
        <v>35</v>
      </c>
      <c r="B39" s="102"/>
      <c r="C39" s="102"/>
      <c r="D39" s="102"/>
      <c r="E39" s="102"/>
      <c r="F39" s="102"/>
      <c r="G39" s="102"/>
      <c r="H39" s="102"/>
    </row>
    <row r="40" spans="1:8" x14ac:dyDescent="0.25">
      <c r="A40" s="62" t="s">
        <v>36</v>
      </c>
      <c r="B40" s="62"/>
      <c r="C40" s="62"/>
      <c r="D40" s="62"/>
      <c r="E40" s="133">
        <v>1532.03</v>
      </c>
      <c r="F40" s="133"/>
      <c r="G40" s="133"/>
      <c r="H40" s="133"/>
    </row>
    <row r="41" spans="1:8" x14ac:dyDescent="0.25">
      <c r="A41" s="62" t="s">
        <v>37</v>
      </c>
      <c r="B41" s="62"/>
      <c r="C41" s="62"/>
      <c r="D41" s="62"/>
      <c r="E41" s="61">
        <v>1.5</v>
      </c>
      <c r="F41" s="61"/>
      <c r="G41" s="61"/>
      <c r="H41" s="61"/>
    </row>
    <row r="42" spans="1:8" x14ac:dyDescent="0.25">
      <c r="A42" s="114" t="s">
        <v>38</v>
      </c>
      <c r="B42" s="114"/>
      <c r="C42" s="114"/>
      <c r="D42" s="114"/>
      <c r="E42" s="143">
        <f>E43-E41</f>
        <v>3.7789553729365615</v>
      </c>
      <c r="F42" s="143"/>
      <c r="G42" s="143"/>
      <c r="H42" s="143"/>
    </row>
    <row r="43" spans="1:8" x14ac:dyDescent="0.25">
      <c r="A43" s="114" t="s">
        <v>39</v>
      </c>
      <c r="B43" s="114"/>
      <c r="C43" s="114"/>
      <c r="D43" s="114"/>
      <c r="E43" s="143">
        <f>E44/E40</f>
        <v>5.2789553729365615</v>
      </c>
      <c r="F43" s="143"/>
      <c r="G43" s="143"/>
      <c r="H43" s="143"/>
    </row>
    <row r="44" spans="1:8" x14ac:dyDescent="0.25">
      <c r="A44" s="114" t="s">
        <v>95</v>
      </c>
      <c r="B44" s="114"/>
      <c r="C44" s="114"/>
      <c r="D44" s="114"/>
      <c r="E44" s="144">
        <v>8087.518</v>
      </c>
      <c r="F44" s="144"/>
      <c r="G44" s="144"/>
      <c r="H44" s="144"/>
    </row>
    <row r="45" spans="1:8" x14ac:dyDescent="0.25">
      <c r="A45" s="114" t="s">
        <v>40</v>
      </c>
      <c r="B45" s="114"/>
      <c r="C45" s="114"/>
      <c r="D45" s="114"/>
      <c r="E45" s="114" t="s">
        <v>127</v>
      </c>
      <c r="F45" s="114"/>
      <c r="G45" s="114"/>
      <c r="H45" s="114"/>
    </row>
    <row r="46" spans="1:8" x14ac:dyDescent="0.25">
      <c r="A46" s="120" t="s">
        <v>41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25">
      <c r="A47" s="73" t="s">
        <v>156</v>
      </c>
      <c r="B47" s="74"/>
      <c r="C47" s="177" t="s">
        <v>181</v>
      </c>
      <c r="D47" s="178"/>
      <c r="E47" s="178"/>
      <c r="F47" s="178"/>
      <c r="G47" s="178"/>
      <c r="H47" s="179"/>
    </row>
    <row r="48" spans="1:8" ht="34.5" customHeight="1" x14ac:dyDescent="0.25">
      <c r="A48" s="73" t="s">
        <v>42</v>
      </c>
      <c r="B48" s="74"/>
      <c r="C48" s="73" t="s">
        <v>203</v>
      </c>
      <c r="D48" s="75"/>
      <c r="E48" s="74"/>
      <c r="F48" s="15" t="s">
        <v>43</v>
      </c>
      <c r="G48" s="76">
        <v>45008</v>
      </c>
      <c r="H48" s="74"/>
    </row>
    <row r="49" spans="1:14" ht="34.5" customHeight="1" x14ac:dyDescent="0.25">
      <c r="A49" s="73" t="s">
        <v>44</v>
      </c>
      <c r="B49" s="74"/>
      <c r="C49" s="73" t="str">
        <f>C48</f>
        <v>CIDCO/BP-18015/TPO(NM &amp; K)/2022/10503</v>
      </c>
      <c r="D49" s="75"/>
      <c r="E49" s="74"/>
      <c r="F49" s="15" t="s">
        <v>43</v>
      </c>
      <c r="G49" s="76">
        <f>G48</f>
        <v>45008</v>
      </c>
      <c r="H49" s="74"/>
    </row>
    <row r="50" spans="1:14" s="20" customFormat="1" ht="34.5" customHeight="1" x14ac:dyDescent="0.25">
      <c r="A50" s="124" t="s">
        <v>194</v>
      </c>
      <c r="B50" s="125"/>
      <c r="C50" s="73" t="str">
        <f>C49</f>
        <v>CIDCO/BP-18015/TPO(NM &amp; K)/2022/10503</v>
      </c>
      <c r="D50" s="75"/>
      <c r="E50" s="74"/>
      <c r="F50" s="15" t="s">
        <v>43</v>
      </c>
      <c r="G50" s="76">
        <v>45008</v>
      </c>
      <c r="H50" s="74"/>
    </row>
    <row r="51" spans="1:14" s="20" customFormat="1" x14ac:dyDescent="0.25">
      <c r="A51" s="126"/>
      <c r="B51" s="127"/>
      <c r="C51" s="130" t="s">
        <v>214</v>
      </c>
      <c r="D51" s="131"/>
      <c r="E51" s="131"/>
      <c r="F51" s="131"/>
      <c r="G51" s="131"/>
      <c r="H51" s="132"/>
    </row>
    <row r="52" spans="1:14" x14ac:dyDescent="0.25">
      <c r="A52" s="79" t="s">
        <v>45</v>
      </c>
      <c r="B52" s="80"/>
      <c r="C52" s="79" t="s">
        <v>108</v>
      </c>
      <c r="D52" s="81"/>
      <c r="E52" s="80"/>
      <c r="F52" s="43" t="s">
        <v>43</v>
      </c>
      <c r="G52" s="128" t="s">
        <v>30</v>
      </c>
      <c r="H52" s="129"/>
    </row>
    <row r="53" spans="1:14" x14ac:dyDescent="0.25">
      <c r="A53" s="109" t="s">
        <v>47</v>
      </c>
      <c r="B53" s="109"/>
      <c r="C53" s="109"/>
      <c r="D53" s="109"/>
      <c r="E53" s="109"/>
      <c r="F53" s="109"/>
      <c r="G53" s="109"/>
      <c r="H53" s="109"/>
    </row>
    <row r="54" spans="1:14" x14ac:dyDescent="0.25">
      <c r="A54" s="105" t="s">
        <v>94</v>
      </c>
      <c r="B54" s="105"/>
      <c r="C54" s="105"/>
      <c r="D54" s="62">
        <f>E44</f>
        <v>8087.518</v>
      </c>
      <c r="E54" s="62"/>
      <c r="F54" s="62"/>
      <c r="G54" s="62"/>
      <c r="H54" s="62"/>
    </row>
    <row r="55" spans="1:14" x14ac:dyDescent="0.25">
      <c r="A55" s="60" t="s">
        <v>48</v>
      </c>
      <c r="B55" s="59"/>
      <c r="C55" s="59"/>
      <c r="D55" s="59" t="s">
        <v>220</v>
      </c>
      <c r="E55" s="59"/>
      <c r="F55" s="59"/>
      <c r="G55" s="59"/>
      <c r="H55" s="59"/>
      <c r="I55" s="21"/>
    </row>
    <row r="56" spans="1:14" x14ac:dyDescent="0.25">
      <c r="A56" s="77" t="s">
        <v>49</v>
      </c>
      <c r="B56" s="78"/>
      <c r="C56" s="123"/>
      <c r="D56" s="121" t="s">
        <v>215</v>
      </c>
      <c r="E56" s="122"/>
      <c r="F56" s="122"/>
      <c r="G56" s="122"/>
      <c r="H56" s="122"/>
    </row>
    <row r="57" spans="1:14" ht="15.75" customHeight="1" x14ac:dyDescent="0.25">
      <c r="A57" s="77" t="s">
        <v>92</v>
      </c>
      <c r="B57" s="78"/>
      <c r="C57" s="78"/>
      <c r="D57" s="60" t="s">
        <v>215</v>
      </c>
      <c r="E57" s="59"/>
      <c r="F57" s="59"/>
      <c r="G57" s="59"/>
      <c r="H57" s="59"/>
    </row>
    <row r="58" spans="1:14" ht="15.75" customHeight="1" x14ac:dyDescent="0.25">
      <c r="A58" s="59" t="s">
        <v>46</v>
      </c>
      <c r="B58" s="59"/>
      <c r="C58" s="59"/>
      <c r="D58" s="157" t="s">
        <v>182</v>
      </c>
      <c r="E58" s="157"/>
      <c r="F58" s="157"/>
      <c r="G58" s="157"/>
      <c r="H58" s="157"/>
      <c r="J58" s="22"/>
      <c r="K58" s="21"/>
      <c r="N58" s="21"/>
    </row>
    <row r="59" spans="1:14" ht="15.75" customHeight="1" x14ac:dyDescent="0.25">
      <c r="A59" s="62" t="s">
        <v>90</v>
      </c>
      <c r="B59" s="62"/>
      <c r="C59" s="62"/>
      <c r="D59" s="169" t="str">
        <f>(IF(G52="NA","60 Years After Completion",IF(G52&lt;&gt;"NA",""&amp;60-ROUNDDOWN((E3-G52)/360,0)&amp;" Years"," ")))</f>
        <v>60 Years After Completion</v>
      </c>
      <c r="E59" s="169"/>
      <c r="F59" s="169"/>
      <c r="G59" s="169"/>
      <c r="H59" s="169"/>
      <c r="N59" s="21"/>
    </row>
    <row r="60" spans="1:14" ht="15.75" customHeight="1" x14ac:dyDescent="0.25">
      <c r="A60" s="62" t="s">
        <v>91</v>
      </c>
      <c r="B60" s="62"/>
      <c r="C60" s="62"/>
      <c r="D60" s="105" t="s">
        <v>24</v>
      </c>
      <c r="E60" s="105"/>
      <c r="F60" s="105"/>
      <c r="G60" s="105"/>
      <c r="H60" s="105"/>
      <c r="J60" s="23"/>
      <c r="K60" s="23"/>
    </row>
    <row r="61" spans="1:14" x14ac:dyDescent="0.25">
      <c r="A61" s="62" t="s">
        <v>77</v>
      </c>
      <c r="B61" s="62"/>
      <c r="C61" s="62"/>
      <c r="D61" s="60" t="s">
        <v>216</v>
      </c>
      <c r="E61" s="105"/>
      <c r="F61" s="105"/>
      <c r="G61" s="105"/>
      <c r="H61" s="105"/>
    </row>
    <row r="62" spans="1:14" x14ac:dyDescent="0.25">
      <c r="A62" s="105" t="s">
        <v>154</v>
      </c>
      <c r="B62" s="105"/>
      <c r="C62" s="105"/>
      <c r="D62" s="105" t="s">
        <v>30</v>
      </c>
      <c r="E62" s="105"/>
      <c r="F62" s="105"/>
      <c r="G62" s="105"/>
      <c r="H62" s="105"/>
      <c r="I62" s="24"/>
      <c r="J62" s="24"/>
      <c r="K62" s="24"/>
      <c r="L62" s="24"/>
      <c r="M62" s="24"/>
      <c r="N62" s="24"/>
    </row>
    <row r="63" spans="1:14" ht="15.75" customHeight="1" x14ac:dyDescent="0.25">
      <c r="A63" s="145" t="s">
        <v>89</v>
      </c>
      <c r="B63" s="145"/>
      <c r="C63" s="145"/>
      <c r="D63" s="121" t="str">
        <f>(IF(G69&gt;95%,"Nothing",IF(G69&gt;0%,"Cement, Aggregate, Steel, etc",IF(G69=0%,"Work not yet Started"))))</f>
        <v>Cement, Aggregate, Steel, etc</v>
      </c>
      <c r="E63" s="121"/>
      <c r="F63" s="121"/>
      <c r="G63" s="121"/>
      <c r="H63" s="121"/>
      <c r="J63" s="23"/>
    </row>
    <row r="64" spans="1:14" ht="33.75" customHeight="1" thickBot="1" x14ac:dyDescent="0.3">
      <c r="A64" s="142" t="s">
        <v>121</v>
      </c>
      <c r="B64" s="142"/>
      <c r="C64" s="142"/>
      <c r="D64" s="121" t="str">
        <f>(IF(D63="Nothing","Yes",IF(D63="Cement, Aggregate, Steel, etc","Under Construction",IF(D63="Work not yet Started","Work not yet Started"))))</f>
        <v>Under Construction</v>
      </c>
      <c r="E64" s="121"/>
      <c r="F64" s="121" t="str">
        <f>(IF(D63="Nothing","Yes",IF(D63="Cement, Aggregate, Steel, etc","Under Construction",IF(D63="Work not yet Started","Work not yet Started"))))</f>
        <v>Under Construction</v>
      </c>
      <c r="G64" s="121"/>
      <c r="H64" s="121"/>
    </row>
    <row r="65" spans="1:12" ht="15.75" customHeight="1" x14ac:dyDescent="0.25">
      <c r="A65" s="135" t="s">
        <v>146</v>
      </c>
      <c r="B65" s="136"/>
      <c r="C65" s="137" t="str">
        <f>D57</f>
        <v xml:space="preserve">Gr + 1st to 4th + 5th to 22nd Floor
</v>
      </c>
      <c r="D65" s="138"/>
      <c r="E65" s="138"/>
      <c r="F65" s="138"/>
      <c r="G65" s="138"/>
      <c r="H65" s="139"/>
      <c r="I65" s="45" t="str">
        <f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20 Floor, Painting upto 18 Floor, Finishing upto 5 Floor Completed</v>
      </c>
      <c r="J65" s="46" t="str">
        <f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20 Floor, Painting upto 18 Floor, Finishing upto 5 Floor</v>
      </c>
    </row>
    <row r="66" spans="1:12" x14ac:dyDescent="0.25">
      <c r="A66" s="52" t="s">
        <v>148</v>
      </c>
      <c r="B66" s="53">
        <v>0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83</v>
      </c>
      <c r="H66" s="54">
        <v>22</v>
      </c>
      <c r="I66" s="47" t="str">
        <f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8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51" customHeight="1" x14ac:dyDescent="0.25">
      <c r="A67" s="134" t="s">
        <v>93</v>
      </c>
      <c r="B67" s="120"/>
      <c r="C67" s="140" t="str">
        <f>(IF($G$52="NA",I65,"All work Completed. OC Received."))</f>
        <v>Excavation, Plinth, RCC Slab, Brickwork, Internal Plaster, External Plaster Completed, Flooring upto 20 Floor, Painting upto 18 Floor, Finishing upto 5 Floor Completed</v>
      </c>
      <c r="D67" s="140"/>
      <c r="E67" s="140"/>
      <c r="F67" s="140"/>
      <c r="G67" s="140"/>
      <c r="H67" s="141"/>
      <c r="I67" s="47" t="str">
        <f>IF(I66&lt;&gt;""," Completed","")</f>
        <v xml:space="preserve"> Completed</v>
      </c>
      <c r="J67" s="48" t="str">
        <f>IF(J65&lt;&gt;"","Completed","")</f>
        <v>Completed</v>
      </c>
    </row>
    <row r="68" spans="1:12" ht="15.75" customHeight="1" x14ac:dyDescent="0.25">
      <c r="A68" s="68" t="s">
        <v>50</v>
      </c>
      <c r="B68" s="69"/>
      <c r="C68" s="41" t="s">
        <v>145</v>
      </c>
      <c r="D68" s="41" t="s">
        <v>86</v>
      </c>
      <c r="E68" s="69" t="s">
        <v>88</v>
      </c>
      <c r="F68" s="69"/>
      <c r="G68" s="69" t="s">
        <v>87</v>
      </c>
      <c r="H68" s="146"/>
      <c r="I68" s="13" t="s">
        <v>147</v>
      </c>
      <c r="J68" s="25">
        <f>H66*25%</f>
        <v>5.5</v>
      </c>
    </row>
    <row r="69" spans="1:12" x14ac:dyDescent="0.25">
      <c r="A69" s="68" t="s">
        <v>134</v>
      </c>
      <c r="B69" s="69"/>
      <c r="C69" s="41">
        <f>J70</f>
        <v>22</v>
      </c>
      <c r="D69" s="16">
        <f>((100/H66)*C69)/100</f>
        <v>1.0000000000000002</v>
      </c>
      <c r="E69" s="158">
        <f>(((C70/H66*10)+(40/(D66+F66+H66)*C71)+(7.5/(H66)*C72)+(7.5/(H66)*C73)+(10/H66*C74)+(10/H66*C75)+(5/H66*C76)+(5/H66*C77)+(5/H66*C78))/100)</f>
        <v>0.8931818181818183</v>
      </c>
      <c r="F69" s="159"/>
      <c r="G69" s="158">
        <f>((((C69/H66)*20)+((C70/H66)*25)+(30/(H66+F66+D66)*C71)+(5/H66*C72)+(5/H66*C73)+(5/H66*C74)+(5/H66*C75)+(0/H66*C76)+(0/H66*C77)+(5/H66*C78))/100)</f>
        <v>0.94545454545454544</v>
      </c>
      <c r="H69" s="164"/>
      <c r="I69" s="13" t="s">
        <v>103</v>
      </c>
      <c r="J69" s="26">
        <f>H66*50%</f>
        <v>11</v>
      </c>
    </row>
    <row r="70" spans="1:12" x14ac:dyDescent="0.25">
      <c r="A70" s="68" t="s">
        <v>51</v>
      </c>
      <c r="B70" s="69"/>
      <c r="C70" s="51">
        <v>22</v>
      </c>
      <c r="D70" s="16">
        <f>((100/H66)*C70)/100</f>
        <v>1.0000000000000002</v>
      </c>
      <c r="E70" s="160"/>
      <c r="F70" s="161"/>
      <c r="G70" s="160"/>
      <c r="H70" s="165"/>
      <c r="I70" s="13" t="s">
        <v>104</v>
      </c>
      <c r="J70" s="26">
        <f>H66</f>
        <v>22</v>
      </c>
    </row>
    <row r="71" spans="1:12" ht="15.75" customHeight="1" x14ac:dyDescent="0.25">
      <c r="A71" s="68" t="s">
        <v>135</v>
      </c>
      <c r="B71" s="69"/>
      <c r="C71" s="41">
        <v>23</v>
      </c>
      <c r="D71" s="16">
        <f>((100/(D66+F66+H66))*C71)/100</f>
        <v>1</v>
      </c>
      <c r="E71" s="160"/>
      <c r="F71" s="161"/>
      <c r="G71" s="160"/>
      <c r="H71" s="165"/>
      <c r="I71" s="13" t="s">
        <v>105</v>
      </c>
      <c r="J71" s="27">
        <f>(IF(B66&gt;1,(H66/(B66+2)),H66/4))</f>
        <v>5.5</v>
      </c>
    </row>
    <row r="72" spans="1:12" ht="15.75" customHeight="1" x14ac:dyDescent="0.25">
      <c r="A72" s="68" t="s">
        <v>142</v>
      </c>
      <c r="B72" s="69" t="s">
        <v>136</v>
      </c>
      <c r="C72" s="41">
        <v>22</v>
      </c>
      <c r="D72" s="16">
        <f>((100/H66)*C72)/100</f>
        <v>1.0000000000000002</v>
      </c>
      <c r="E72" s="160"/>
      <c r="F72" s="161"/>
      <c r="G72" s="160"/>
      <c r="H72" s="165"/>
      <c r="I72" s="13" t="s">
        <v>106</v>
      </c>
      <c r="J72" s="27">
        <f>(IF(B66&gt;1,(H66/(B66+2)+J71),H66/4+J71))</f>
        <v>11</v>
      </c>
    </row>
    <row r="73" spans="1:12" ht="15.75" customHeight="1" x14ac:dyDescent="0.25">
      <c r="A73" s="68" t="s">
        <v>143</v>
      </c>
      <c r="B73" s="69" t="s">
        <v>136</v>
      </c>
      <c r="C73" s="41">
        <v>22</v>
      </c>
      <c r="D73" s="16">
        <f>((100/H66)*C73)/100</f>
        <v>1.0000000000000002</v>
      </c>
      <c r="E73" s="160"/>
      <c r="F73" s="161"/>
      <c r="G73" s="160"/>
      <c r="H73" s="165"/>
      <c r="I73" s="13" t="s">
        <v>152</v>
      </c>
      <c r="J73" s="27">
        <f>(IF(B66&gt;1,(H66/(B66+2)+J72),0))</f>
        <v>0</v>
      </c>
    </row>
    <row r="74" spans="1:12" ht="15" customHeight="1" x14ac:dyDescent="0.25">
      <c r="A74" s="68" t="s">
        <v>141</v>
      </c>
      <c r="B74" s="69" t="s">
        <v>138</v>
      </c>
      <c r="C74" s="41">
        <v>22</v>
      </c>
      <c r="D74" s="16">
        <f>((100/(H66))*C74)/100</f>
        <v>1.0000000000000002</v>
      </c>
      <c r="E74" s="160"/>
      <c r="F74" s="161"/>
      <c r="G74" s="160"/>
      <c r="H74" s="165"/>
      <c r="I74" s="13" t="s">
        <v>149</v>
      </c>
      <c r="J74" s="27">
        <f>(IF(B66&gt;2,(H66/(B66+2)+J73),0))</f>
        <v>0</v>
      </c>
    </row>
    <row r="75" spans="1:12" ht="15.75" customHeight="1" x14ac:dyDescent="0.25">
      <c r="A75" s="68" t="s">
        <v>137</v>
      </c>
      <c r="B75" s="69" t="s">
        <v>137</v>
      </c>
      <c r="C75" s="41">
        <v>20</v>
      </c>
      <c r="D75" s="16">
        <f>((100/H66)*C75)/100</f>
        <v>0.90909090909090917</v>
      </c>
      <c r="E75" s="160"/>
      <c r="F75" s="161"/>
      <c r="G75" s="160"/>
      <c r="H75" s="165"/>
      <c r="I75" s="13" t="s">
        <v>150</v>
      </c>
      <c r="J75" s="28">
        <f>(IF(B66&gt;3,(H66/(B66+2)+J74),0))</f>
        <v>0</v>
      </c>
    </row>
    <row r="76" spans="1:12" ht="15.75" customHeight="1" x14ac:dyDescent="0.25">
      <c r="A76" s="68" t="s">
        <v>144</v>
      </c>
      <c r="B76" s="69"/>
      <c r="C76" s="41">
        <v>18</v>
      </c>
      <c r="D76" s="16">
        <f>((100/H66)*C76)/100</f>
        <v>0.81818181818181823</v>
      </c>
      <c r="E76" s="160"/>
      <c r="F76" s="161"/>
      <c r="G76" s="160"/>
      <c r="H76" s="165"/>
      <c r="I76" s="13" t="s">
        <v>151</v>
      </c>
      <c r="J76" s="27">
        <f>(IF(B66&gt;4,(H66/(B66+2)+J75),0))</f>
        <v>0</v>
      </c>
    </row>
    <row r="77" spans="1:12" ht="15.75" customHeight="1" x14ac:dyDescent="0.25">
      <c r="A77" s="68" t="s">
        <v>139</v>
      </c>
      <c r="B77" s="69" t="s">
        <v>139</v>
      </c>
      <c r="C77" s="41">
        <v>5</v>
      </c>
      <c r="D77" s="16">
        <f>((100/(H66))*C77)/100</f>
        <v>0.22727272727272729</v>
      </c>
      <c r="E77" s="160"/>
      <c r="F77" s="161"/>
      <c r="G77" s="160"/>
      <c r="H77" s="165"/>
      <c r="I77" s="13" t="s">
        <v>153</v>
      </c>
      <c r="J77" s="27">
        <f>(IF(B66=1,(H66/(B66+3)+J72),IF(B66=0,(H66/4+J72),IF(B66&gt;1,0))))</f>
        <v>16.5</v>
      </c>
    </row>
    <row r="78" spans="1:12" ht="16.5" thickBot="1" x14ac:dyDescent="0.3">
      <c r="A78" s="167" t="s">
        <v>140</v>
      </c>
      <c r="B78" s="168"/>
      <c r="C78" s="42">
        <v>0</v>
      </c>
      <c r="D78" s="17">
        <f>((100/(H66))*C78)/100</f>
        <v>0</v>
      </c>
      <c r="E78" s="162"/>
      <c r="F78" s="163"/>
      <c r="G78" s="162"/>
      <c r="H78" s="166"/>
      <c r="I78" s="14" t="s">
        <v>107</v>
      </c>
      <c r="J78" s="29">
        <f>(IF(B66&gt;1.5,(H66/(B66+2)+J72+MAX(0,J73-J72)+MAX(0,J74-J73)+MAX(0,J75-J74)+MAX(0,J76-J75)+MAX(0,J77-J76)),IF(B66=1,(H66/(B66+3)+J77),IF(B66=0,H66/4+J77))))</f>
        <v>22</v>
      </c>
    </row>
    <row r="79" spans="1:12" x14ac:dyDescent="0.25">
      <c r="A79" s="148" t="s">
        <v>161</v>
      </c>
      <c r="B79" s="148"/>
      <c r="C79" s="148"/>
      <c r="D79" s="148"/>
      <c r="E79" s="148"/>
      <c r="F79" s="147" t="s">
        <v>166</v>
      </c>
      <c r="G79" s="147"/>
      <c r="H79" s="147"/>
    </row>
    <row r="80" spans="1:12" x14ac:dyDescent="0.25">
      <c r="A80" s="62" t="s">
        <v>164</v>
      </c>
      <c r="B80" s="62"/>
      <c r="C80" s="62"/>
      <c r="D80" s="62"/>
      <c r="E80" s="62"/>
      <c r="F80" s="70">
        <v>9700</v>
      </c>
      <c r="G80" s="70"/>
      <c r="H80" s="70"/>
      <c r="I80" s="57" t="s">
        <v>222</v>
      </c>
      <c r="J80" s="57" t="s">
        <v>223</v>
      </c>
      <c r="K80" s="58">
        <v>45216</v>
      </c>
      <c r="L80" s="57" t="s">
        <v>224</v>
      </c>
    </row>
    <row r="81" spans="1:8" x14ac:dyDescent="0.25">
      <c r="A81" s="62" t="s">
        <v>163</v>
      </c>
      <c r="B81" s="62"/>
      <c r="C81" s="62"/>
      <c r="D81" s="62"/>
      <c r="E81" s="62"/>
      <c r="F81" s="70">
        <v>15000</v>
      </c>
      <c r="G81" s="70"/>
      <c r="H81" s="70"/>
    </row>
    <row r="82" spans="1:8" x14ac:dyDescent="0.25">
      <c r="A82" s="62" t="s">
        <v>165</v>
      </c>
      <c r="B82" s="62"/>
      <c r="C82" s="62"/>
      <c r="D82" s="62"/>
      <c r="E82" s="62"/>
      <c r="F82" s="70">
        <v>11000</v>
      </c>
      <c r="G82" s="70"/>
      <c r="H82" s="70"/>
    </row>
    <row r="83" spans="1:8" s="30" customFormat="1" hidden="1" x14ac:dyDescent="0.25">
      <c r="A83" s="62" t="s">
        <v>162</v>
      </c>
      <c r="B83" s="62"/>
      <c r="C83" s="62"/>
      <c r="D83" s="62"/>
      <c r="E83" s="62"/>
      <c r="F83" s="189" t="s">
        <v>196</v>
      </c>
      <c r="G83" s="189"/>
      <c r="H83" s="189"/>
    </row>
    <row r="84" spans="1:8" s="30" customFormat="1" x14ac:dyDescent="0.25">
      <c r="A84" s="62" t="s">
        <v>98</v>
      </c>
      <c r="B84" s="62"/>
      <c r="C84" s="62"/>
      <c r="D84" s="62"/>
      <c r="E84" s="62"/>
      <c r="F84" s="70">
        <v>500000</v>
      </c>
      <c r="G84" s="70"/>
      <c r="H84" s="70"/>
    </row>
    <row r="85" spans="1:8" s="30" customFormat="1" x14ac:dyDescent="0.25">
      <c r="A85" s="62" t="s">
        <v>99</v>
      </c>
      <c r="B85" s="62"/>
      <c r="C85" s="62"/>
      <c r="D85" s="62"/>
      <c r="E85" s="62"/>
      <c r="F85" s="70">
        <v>300000</v>
      </c>
      <c r="G85" s="70"/>
      <c r="H85" s="70"/>
    </row>
    <row r="86" spans="1:8" s="30" customFormat="1" hidden="1" x14ac:dyDescent="0.25">
      <c r="A86" s="62" t="s">
        <v>167</v>
      </c>
      <c r="B86" s="62"/>
      <c r="C86" s="62"/>
      <c r="D86" s="62"/>
      <c r="E86" s="62"/>
      <c r="F86" s="70"/>
      <c r="G86" s="70"/>
      <c r="H86" s="70"/>
    </row>
    <row r="87" spans="1:8" s="30" customFormat="1" hidden="1" x14ac:dyDescent="0.25">
      <c r="A87" s="62" t="s">
        <v>100</v>
      </c>
      <c r="B87" s="62"/>
      <c r="C87" s="62"/>
      <c r="D87" s="62"/>
      <c r="E87" s="62"/>
      <c r="F87" s="70"/>
      <c r="G87" s="70"/>
      <c r="H87" s="70"/>
    </row>
    <row r="88" spans="1:8" s="30" customFormat="1" hidden="1" x14ac:dyDescent="0.25">
      <c r="A88" s="62" t="s">
        <v>101</v>
      </c>
      <c r="B88" s="62"/>
      <c r="C88" s="62"/>
      <c r="D88" s="62"/>
      <c r="E88" s="62"/>
      <c r="F88" s="70"/>
      <c r="G88" s="70"/>
      <c r="H88" s="70"/>
    </row>
    <row r="89" spans="1:8" s="30" customFormat="1" x14ac:dyDescent="0.25">
      <c r="A89" s="62" t="s">
        <v>102</v>
      </c>
      <c r="B89" s="62"/>
      <c r="C89" s="62"/>
      <c r="D89" s="62"/>
      <c r="E89" s="62"/>
      <c r="F89" s="70">
        <v>120000</v>
      </c>
      <c r="G89" s="70"/>
      <c r="H89" s="70"/>
    </row>
    <row r="90" spans="1:8" x14ac:dyDescent="0.25">
      <c r="A90" s="62" t="s">
        <v>52</v>
      </c>
      <c r="B90" s="62"/>
      <c r="C90" s="62"/>
      <c r="D90" s="62"/>
      <c r="E90" s="62"/>
      <c r="F90" s="70">
        <v>600000</v>
      </c>
      <c r="G90" s="70"/>
      <c r="H90" s="70"/>
    </row>
    <row r="91" spans="1:8" s="31" customFormat="1" x14ac:dyDescent="0.25">
      <c r="A91" s="102" t="s">
        <v>53</v>
      </c>
      <c r="B91" s="102"/>
      <c r="C91" s="102"/>
      <c r="D91" s="102"/>
      <c r="E91" s="102"/>
      <c r="F91" s="70">
        <f>F80*0.8</f>
        <v>7760</v>
      </c>
      <c r="G91" s="70"/>
      <c r="H91" s="70"/>
    </row>
    <row r="92" spans="1:8" s="32" customFormat="1" ht="15.75" customHeight="1" x14ac:dyDescent="0.25">
      <c r="A92" s="101" t="s">
        <v>78</v>
      </c>
      <c r="B92" s="101"/>
      <c r="C92" s="101"/>
      <c r="D92" s="101"/>
      <c r="E92" s="101"/>
      <c r="F92" s="101"/>
      <c r="G92" s="101"/>
      <c r="H92" s="101"/>
    </row>
    <row r="93" spans="1:8" s="32" customFormat="1" ht="15.75" customHeight="1" x14ac:dyDescent="0.25">
      <c r="A93" s="65" t="s">
        <v>54</v>
      </c>
      <c r="B93" s="65"/>
      <c r="C93" s="180" t="s">
        <v>81</v>
      </c>
      <c r="D93" s="180"/>
      <c r="E93" s="82" t="s">
        <v>55</v>
      </c>
      <c r="F93" s="82"/>
      <c r="G93" s="65" t="s">
        <v>56</v>
      </c>
      <c r="H93" s="65"/>
    </row>
    <row r="94" spans="1:8" s="32" customFormat="1" x14ac:dyDescent="0.25">
      <c r="A94" s="104" t="s">
        <v>183</v>
      </c>
      <c r="B94" s="104"/>
      <c r="C94" s="106">
        <f>COUNT(D104:D111)</f>
        <v>8</v>
      </c>
      <c r="D94" s="107"/>
      <c r="E94" s="172">
        <f>SUM(D104:D111)</f>
        <v>3229.1677079999995</v>
      </c>
      <c r="F94" s="173"/>
      <c r="G94" s="71">
        <f>SUM(F104:F111)</f>
        <v>6458</v>
      </c>
      <c r="H94" s="72"/>
    </row>
    <row r="95" spans="1:8" s="32" customFormat="1" x14ac:dyDescent="0.25">
      <c r="A95" s="190" t="s">
        <v>184</v>
      </c>
      <c r="B95" s="191"/>
      <c r="C95" s="151">
        <f>COUNT(D113:D120)</f>
        <v>8</v>
      </c>
      <c r="D95" s="152"/>
      <c r="E95" s="71">
        <f>SUM(D113:D120)</f>
        <v>1554.1709039999998</v>
      </c>
      <c r="F95" s="72"/>
      <c r="G95" s="71">
        <f>SUM(F113:F120)</f>
        <v>3107</v>
      </c>
      <c r="H95" s="72"/>
    </row>
    <row r="96" spans="1:8" s="32" customFormat="1" x14ac:dyDescent="0.25">
      <c r="A96" s="170" t="s">
        <v>155</v>
      </c>
      <c r="B96" s="171"/>
      <c r="C96" s="153">
        <f>SUM(C94:C95)</f>
        <v>16</v>
      </c>
      <c r="D96" s="154"/>
      <c r="E96" s="155">
        <f>SUM(E94:E95)</f>
        <v>4783.3386119999996</v>
      </c>
      <c r="F96" s="156"/>
      <c r="G96" s="181">
        <f>SUM(G94:G95)</f>
        <v>9565</v>
      </c>
      <c r="H96" s="182"/>
    </row>
    <row r="97" spans="1:14" s="32" customFormat="1" x14ac:dyDescent="0.25">
      <c r="A97" s="101" t="s">
        <v>72</v>
      </c>
      <c r="B97" s="101"/>
      <c r="C97" s="101"/>
      <c r="D97" s="101"/>
      <c r="E97" s="101"/>
      <c r="F97" s="101"/>
      <c r="G97" s="101"/>
      <c r="H97" s="101"/>
    </row>
    <row r="98" spans="1:14" s="32" customFormat="1" ht="15.75" customHeight="1" x14ac:dyDescent="0.25">
      <c r="A98" s="65" t="s">
        <v>54</v>
      </c>
      <c r="B98" s="65"/>
      <c r="C98" s="180" t="s">
        <v>81</v>
      </c>
      <c r="D98" s="180"/>
      <c r="E98" s="82" t="s">
        <v>55</v>
      </c>
      <c r="F98" s="82"/>
      <c r="G98" s="65" t="s">
        <v>56</v>
      </c>
      <c r="H98" s="65"/>
    </row>
    <row r="99" spans="1:14" s="32" customFormat="1" x14ac:dyDescent="0.25">
      <c r="A99" s="104" t="s">
        <v>191</v>
      </c>
      <c r="B99" s="104"/>
      <c r="C99" s="106">
        <f>COUNT(D125:D127)+COUNT(D131:D135)*2+COUNT(D137:D141)*11+COUNT(D143:D147,D149:D153,D155:D159,D161:D165)</f>
        <v>88</v>
      </c>
      <c r="D99" s="107"/>
      <c r="E99" s="172">
        <f>SUM(D125:D127)+SUM(D131:D135)*2+SUM(D137:D141)*11+SUM(D143:D147,D149:D153,D155:D159,D161:D165)</f>
        <v>66402.109565999985</v>
      </c>
      <c r="F99" s="173"/>
      <c r="G99" s="172">
        <f>SUM(F125:F127)+SUM(F131:F135)*2+SUM(F137:F141)*11+SUM(F143:F147,F149:F153,F155:F159,F161:F165)</f>
        <v>115943</v>
      </c>
      <c r="H99" s="173"/>
    </row>
    <row r="100" spans="1:14" s="31" customFormat="1" x14ac:dyDescent="0.25">
      <c r="A100" s="92" t="s">
        <v>57</v>
      </c>
      <c r="B100" s="92"/>
      <c r="C100" s="92"/>
      <c r="D100" s="92"/>
      <c r="E100" s="92"/>
      <c r="F100" s="92"/>
      <c r="G100" s="92"/>
      <c r="H100" s="92"/>
    </row>
    <row r="101" spans="1:14" x14ac:dyDescent="0.25">
      <c r="A101" s="92" t="s">
        <v>58</v>
      </c>
      <c r="B101" s="92"/>
      <c r="C101" s="92"/>
      <c r="D101" s="92"/>
      <c r="E101" s="92"/>
      <c r="F101" s="92"/>
      <c r="G101" s="92"/>
      <c r="H101" s="92"/>
    </row>
    <row r="102" spans="1:14" ht="47.25" customHeight="1" x14ac:dyDescent="0.25">
      <c r="A102" s="40" t="s">
        <v>123</v>
      </c>
      <c r="B102" s="40" t="s">
        <v>122</v>
      </c>
      <c r="C102" s="40" t="s">
        <v>59</v>
      </c>
      <c r="D102" s="40" t="s">
        <v>60</v>
      </c>
      <c r="E102" s="50" t="s">
        <v>160</v>
      </c>
      <c r="F102" s="40" t="s">
        <v>192</v>
      </c>
      <c r="G102" s="66" t="s">
        <v>62</v>
      </c>
      <c r="H102" s="67"/>
    </row>
    <row r="103" spans="1:14" s="34" customFormat="1" x14ac:dyDescent="0.25">
      <c r="A103" s="96" t="s">
        <v>204</v>
      </c>
      <c r="B103" s="97"/>
      <c r="C103" s="97"/>
      <c r="D103" s="97"/>
      <c r="E103" s="97"/>
      <c r="F103" s="97"/>
      <c r="G103" s="97"/>
      <c r="H103" s="98"/>
      <c r="J103" s="33"/>
    </row>
    <row r="104" spans="1:14" s="34" customFormat="1" ht="15.75" customHeight="1" x14ac:dyDescent="0.25">
      <c r="A104" s="93">
        <v>1</v>
      </c>
      <c r="B104" s="94"/>
      <c r="C104" s="39" t="s">
        <v>183</v>
      </c>
      <c r="D104" s="39">
        <f>34.104*10.764</f>
        <v>367.09545599999996</v>
      </c>
      <c r="E104" s="39">
        <v>0</v>
      </c>
      <c r="F104" s="39">
        <v>734</v>
      </c>
      <c r="G104" s="183" t="str">
        <f>A103</f>
        <v>Ground Floor for Commercial, Parking &amp; Meter Room</v>
      </c>
      <c r="H104" s="184"/>
      <c r="I104" s="39">
        <f>2.9*11.76+1.5*1.2</f>
        <v>35.903999999999996</v>
      </c>
      <c r="J104" s="34">
        <f>F104/D104</f>
        <v>1.9994799390815672</v>
      </c>
      <c r="L104" s="149"/>
      <c r="M104" s="149"/>
      <c r="N104" s="33"/>
    </row>
    <row r="105" spans="1:14" s="34" customFormat="1" ht="15.75" customHeight="1" x14ac:dyDescent="0.25">
      <c r="A105" s="93">
        <v>2</v>
      </c>
      <c r="B105" s="94"/>
      <c r="C105" s="39" t="s">
        <v>183</v>
      </c>
      <c r="D105" s="39">
        <f>32.34*10.764</f>
        <v>348.10776000000004</v>
      </c>
      <c r="E105" s="39">
        <v>0</v>
      </c>
      <c r="F105" s="39">
        <v>696</v>
      </c>
      <c r="G105" s="185"/>
      <c r="H105" s="186"/>
      <c r="I105" s="33"/>
      <c r="J105" s="34">
        <f t="shared" ref="J105:J121" si="0">F105/D105</f>
        <v>1.9993808813684588</v>
      </c>
      <c r="L105" s="149"/>
      <c r="M105" s="149"/>
      <c r="N105" s="33"/>
    </row>
    <row r="106" spans="1:14" s="34" customFormat="1" ht="15.75" customHeight="1" x14ac:dyDescent="0.25">
      <c r="A106" s="93">
        <v>3</v>
      </c>
      <c r="B106" s="94"/>
      <c r="C106" s="39" t="s">
        <v>183</v>
      </c>
      <c r="D106" s="39">
        <f>34.104*10.764</f>
        <v>367.09545599999996</v>
      </c>
      <c r="E106" s="39">
        <v>0</v>
      </c>
      <c r="F106" s="39">
        <v>734</v>
      </c>
      <c r="G106" s="185"/>
      <c r="H106" s="186"/>
      <c r="I106" s="33"/>
      <c r="J106" s="34">
        <f t="shared" si="0"/>
        <v>1.9994799390815672</v>
      </c>
      <c r="L106" s="149"/>
      <c r="M106" s="149"/>
      <c r="N106" s="33"/>
    </row>
    <row r="107" spans="1:14" s="34" customFormat="1" ht="15.75" customHeight="1" x14ac:dyDescent="0.25">
      <c r="A107" s="93">
        <v>4</v>
      </c>
      <c r="B107" s="94"/>
      <c r="C107" s="39" t="s">
        <v>183</v>
      </c>
      <c r="D107" s="39">
        <f>34.104*10.764</f>
        <v>367.09545599999996</v>
      </c>
      <c r="E107" s="39">
        <v>0</v>
      </c>
      <c r="F107" s="39">
        <v>734</v>
      </c>
      <c r="G107" s="185"/>
      <c r="H107" s="186"/>
      <c r="I107" s="33"/>
      <c r="J107" s="34">
        <f t="shared" si="0"/>
        <v>1.9994799390815672</v>
      </c>
      <c r="L107" s="149"/>
      <c r="M107" s="149"/>
      <c r="N107" s="33"/>
    </row>
    <row r="108" spans="1:14" s="34" customFormat="1" ht="15.75" customHeight="1" x14ac:dyDescent="0.25">
      <c r="A108" s="93">
        <v>5</v>
      </c>
      <c r="B108" s="94"/>
      <c r="C108" s="39" t="s">
        <v>183</v>
      </c>
      <c r="D108" s="39">
        <f>43.747*10.764</f>
        <v>470.89270799999997</v>
      </c>
      <c r="E108" s="39">
        <v>0</v>
      </c>
      <c r="F108" s="39">
        <v>942</v>
      </c>
      <c r="G108" s="185"/>
      <c r="H108" s="186"/>
      <c r="I108" s="33"/>
      <c r="J108" s="34">
        <f t="shared" si="0"/>
        <v>2.0004556961625322</v>
      </c>
      <c r="L108" s="149"/>
      <c r="M108" s="149"/>
      <c r="N108" s="33"/>
    </row>
    <row r="109" spans="1:14" s="34" customFormat="1" ht="15.75" customHeight="1" x14ac:dyDescent="0.25">
      <c r="A109" s="93">
        <v>6</v>
      </c>
      <c r="B109" s="94"/>
      <c r="C109" s="39" t="s">
        <v>183</v>
      </c>
      <c r="D109" s="39">
        <f>43.747*10.764</f>
        <v>470.89270799999997</v>
      </c>
      <c r="E109" s="39">
        <v>0</v>
      </c>
      <c r="F109" s="39">
        <v>942</v>
      </c>
      <c r="G109" s="185"/>
      <c r="H109" s="186"/>
      <c r="I109" s="33">
        <f>18000000/F109</f>
        <v>19108.28025477707</v>
      </c>
      <c r="J109" s="34">
        <f t="shared" si="0"/>
        <v>2.0004556961625322</v>
      </c>
      <c r="L109" s="149"/>
      <c r="M109" s="149"/>
      <c r="N109" s="33"/>
    </row>
    <row r="110" spans="1:14" s="34" customFormat="1" ht="15.75" customHeight="1" x14ac:dyDescent="0.25">
      <c r="A110" s="93">
        <v>7</v>
      </c>
      <c r="B110" s="94"/>
      <c r="C110" s="39" t="s">
        <v>183</v>
      </c>
      <c r="D110" s="39">
        <f>35.28*10.764</f>
        <v>379.75391999999999</v>
      </c>
      <c r="E110" s="39">
        <v>0</v>
      </c>
      <c r="F110" s="39">
        <v>760</v>
      </c>
      <c r="G110" s="185"/>
      <c r="H110" s="186"/>
      <c r="I110" s="33"/>
      <c r="J110" s="34">
        <f t="shared" si="0"/>
        <v>2.0012959971552102</v>
      </c>
      <c r="L110" s="149"/>
      <c r="M110" s="149"/>
      <c r="N110" s="33"/>
    </row>
    <row r="111" spans="1:14" s="34" customFormat="1" ht="15.75" customHeight="1" x14ac:dyDescent="0.25">
      <c r="A111" s="93">
        <v>8</v>
      </c>
      <c r="B111" s="94"/>
      <c r="C111" s="39" t="s">
        <v>183</v>
      </c>
      <c r="D111" s="39">
        <f>42.571*10.764</f>
        <v>458.23424399999993</v>
      </c>
      <c r="E111" s="39">
        <v>0</v>
      </c>
      <c r="F111" s="39">
        <v>916</v>
      </c>
      <c r="G111" s="187"/>
      <c r="H111" s="188"/>
      <c r="I111" s="33"/>
      <c r="J111" s="34">
        <f t="shared" si="0"/>
        <v>1.9989776233310057</v>
      </c>
      <c r="L111" s="149"/>
      <c r="M111" s="149"/>
      <c r="N111" s="33"/>
    </row>
    <row r="112" spans="1:14" s="34" customFormat="1" ht="15.75" customHeight="1" x14ac:dyDescent="0.25">
      <c r="A112" s="96" t="s">
        <v>185</v>
      </c>
      <c r="B112" s="97"/>
      <c r="C112" s="97"/>
      <c r="D112" s="97"/>
      <c r="E112" s="97"/>
      <c r="F112" s="97"/>
      <c r="G112" s="97"/>
      <c r="H112" s="98"/>
      <c r="J112" s="34" t="e">
        <f t="shared" si="0"/>
        <v>#DIV/0!</v>
      </c>
    </row>
    <row r="113" spans="1:14" s="34" customFormat="1" ht="15.75" customHeight="1" x14ac:dyDescent="0.25">
      <c r="A113" s="93">
        <v>1</v>
      </c>
      <c r="B113" s="94"/>
      <c r="C113" s="39" t="s">
        <v>184</v>
      </c>
      <c r="D113" s="39">
        <f t="shared" ref="D113:D115" si="1">16.414*10.764</f>
        <v>176.680296</v>
      </c>
      <c r="E113" s="39">
        <v>0</v>
      </c>
      <c r="F113" s="39">
        <v>353</v>
      </c>
      <c r="G113" s="183" t="str">
        <f>A112</f>
        <v>1st Floor For Office &amp; Parking</v>
      </c>
      <c r="H113" s="184"/>
      <c r="I113" s="39"/>
      <c r="J113" s="34">
        <f t="shared" si="0"/>
        <v>1.9979590706594696</v>
      </c>
      <c r="L113" s="149"/>
      <c r="M113" s="149"/>
      <c r="N113" s="33"/>
    </row>
    <row r="114" spans="1:14" s="34" customFormat="1" ht="15.75" customHeight="1" x14ac:dyDescent="0.25">
      <c r="A114" s="93">
        <v>2</v>
      </c>
      <c r="B114" s="94"/>
      <c r="C114" s="39" t="s">
        <v>184</v>
      </c>
      <c r="D114" s="39">
        <f>15.565*10.764</f>
        <v>167.54165999999998</v>
      </c>
      <c r="E114" s="39">
        <v>0</v>
      </c>
      <c r="F114" s="39">
        <v>335</v>
      </c>
      <c r="G114" s="185"/>
      <c r="H114" s="186"/>
      <c r="I114" s="39"/>
      <c r="J114" s="34">
        <f t="shared" si="0"/>
        <v>1.999502690853129</v>
      </c>
      <c r="L114" s="149"/>
      <c r="M114" s="149"/>
      <c r="N114" s="33"/>
    </row>
    <row r="115" spans="1:14" s="34" customFormat="1" ht="15.75" customHeight="1" x14ac:dyDescent="0.25">
      <c r="A115" s="93">
        <v>3</v>
      </c>
      <c r="B115" s="94"/>
      <c r="C115" s="39" t="s">
        <v>184</v>
      </c>
      <c r="D115" s="39">
        <f t="shared" si="1"/>
        <v>176.680296</v>
      </c>
      <c r="E115" s="39">
        <v>0</v>
      </c>
      <c r="F115" s="39">
        <v>353</v>
      </c>
      <c r="G115" s="185"/>
      <c r="H115" s="186"/>
      <c r="I115" s="39"/>
      <c r="J115" s="34">
        <f t="shared" si="0"/>
        <v>1.9979590706594696</v>
      </c>
      <c r="L115" s="149"/>
      <c r="M115" s="149"/>
      <c r="N115" s="33"/>
    </row>
    <row r="116" spans="1:14" s="34" customFormat="1" ht="15.75" customHeight="1" x14ac:dyDescent="0.25">
      <c r="A116" s="93">
        <v>4</v>
      </c>
      <c r="B116" s="94"/>
      <c r="C116" s="39" t="s">
        <v>184</v>
      </c>
      <c r="D116" s="39">
        <f>16.414*10.764</f>
        <v>176.680296</v>
      </c>
      <c r="E116" s="39">
        <v>0</v>
      </c>
      <c r="F116" s="39">
        <v>353</v>
      </c>
      <c r="G116" s="185"/>
      <c r="H116" s="186"/>
      <c r="I116" s="39"/>
      <c r="J116" s="34">
        <f t="shared" si="0"/>
        <v>1.9979590706594696</v>
      </c>
      <c r="L116" s="149"/>
      <c r="M116" s="149"/>
      <c r="N116" s="33"/>
    </row>
    <row r="117" spans="1:14" s="34" customFormat="1" ht="15.75" customHeight="1" x14ac:dyDescent="0.25">
      <c r="A117" s="93">
        <v>5</v>
      </c>
      <c r="B117" s="94"/>
      <c r="C117" s="39" t="s">
        <v>184</v>
      </c>
      <c r="D117" s="39">
        <f>21.055*10.764</f>
        <v>226.63601999999997</v>
      </c>
      <c r="E117" s="39">
        <v>0</v>
      </c>
      <c r="F117" s="39">
        <v>453</v>
      </c>
      <c r="G117" s="185"/>
      <c r="H117" s="186"/>
      <c r="I117" s="33"/>
      <c r="J117" s="34">
        <f t="shared" si="0"/>
        <v>1.9987996612365504</v>
      </c>
      <c r="L117" s="149"/>
      <c r="M117" s="149"/>
      <c r="N117" s="33"/>
    </row>
    <row r="118" spans="1:14" s="34" customFormat="1" ht="15.75" customHeight="1" x14ac:dyDescent="0.25">
      <c r="A118" s="93">
        <v>6</v>
      </c>
      <c r="B118" s="94"/>
      <c r="C118" s="39" t="s">
        <v>184</v>
      </c>
      <c r="D118" s="39">
        <f>21.055*10.764</f>
        <v>226.63601999999997</v>
      </c>
      <c r="E118" s="39">
        <v>0</v>
      </c>
      <c r="F118" s="39">
        <v>453</v>
      </c>
      <c r="G118" s="185"/>
      <c r="H118" s="186"/>
      <c r="I118" s="33"/>
      <c r="J118" s="34">
        <f t="shared" si="0"/>
        <v>1.9987996612365504</v>
      </c>
      <c r="L118" s="149"/>
      <c r="M118" s="149"/>
      <c r="N118" s="33"/>
    </row>
    <row r="119" spans="1:14" s="34" customFormat="1" ht="15.75" customHeight="1" x14ac:dyDescent="0.25">
      <c r="A119" s="93">
        <v>7</v>
      </c>
      <c r="B119" s="94"/>
      <c r="C119" s="39" t="s">
        <v>184</v>
      </c>
      <c r="D119" s="39">
        <f>16.98*10.764</f>
        <v>182.77271999999999</v>
      </c>
      <c r="E119" s="39">
        <v>0</v>
      </c>
      <c r="F119" s="39">
        <v>366</v>
      </c>
      <c r="G119" s="185"/>
      <c r="H119" s="186"/>
      <c r="I119" s="33"/>
      <c r="J119" s="34">
        <f t="shared" si="0"/>
        <v>2.0024870232275362</v>
      </c>
      <c r="L119" s="149"/>
      <c r="M119" s="149"/>
      <c r="N119" s="33"/>
    </row>
    <row r="120" spans="1:14" s="34" customFormat="1" ht="15.75" customHeight="1" x14ac:dyDescent="0.25">
      <c r="A120" s="93">
        <v>8</v>
      </c>
      <c r="B120" s="94"/>
      <c r="C120" s="39" t="s">
        <v>184</v>
      </c>
      <c r="D120" s="39">
        <f>20.489*10.764</f>
        <v>220.54359600000001</v>
      </c>
      <c r="E120" s="39">
        <v>0</v>
      </c>
      <c r="F120" s="39">
        <v>441</v>
      </c>
      <c r="G120" s="187"/>
      <c r="H120" s="188"/>
      <c r="I120" s="33"/>
      <c r="J120" s="34">
        <f t="shared" si="0"/>
        <v>1.9996046495949944</v>
      </c>
      <c r="L120" s="149"/>
      <c r="M120" s="149"/>
      <c r="N120" s="33"/>
    </row>
    <row r="121" spans="1:14" s="34" customFormat="1" x14ac:dyDescent="0.25">
      <c r="A121" s="93"/>
      <c r="B121" s="108"/>
      <c r="C121" s="108"/>
      <c r="D121" s="108"/>
      <c r="E121" s="108"/>
      <c r="F121" s="108"/>
      <c r="G121" s="108"/>
      <c r="H121" s="94"/>
      <c r="I121" s="33"/>
      <c r="J121" s="34" t="e">
        <f t="shared" si="0"/>
        <v>#DIV/0!</v>
      </c>
      <c r="N121" s="33"/>
    </row>
    <row r="122" spans="1:14" ht="47.25" customHeight="1" x14ac:dyDescent="0.25">
      <c r="A122" s="49" t="s">
        <v>124</v>
      </c>
      <c r="B122" s="49" t="s">
        <v>125</v>
      </c>
      <c r="C122" s="40" t="s">
        <v>59</v>
      </c>
      <c r="D122" s="40" t="s">
        <v>60</v>
      </c>
      <c r="E122" s="50" t="s">
        <v>61</v>
      </c>
      <c r="F122" s="40" t="s">
        <v>192</v>
      </c>
      <c r="G122" s="66" t="s">
        <v>62</v>
      </c>
      <c r="H122" s="67"/>
      <c r="I122" s="33"/>
    </row>
    <row r="123" spans="1:14" s="34" customFormat="1" x14ac:dyDescent="0.25">
      <c r="A123" s="96" t="s">
        <v>186</v>
      </c>
      <c r="B123" s="97"/>
      <c r="C123" s="97"/>
      <c r="D123" s="97"/>
      <c r="E123" s="97"/>
      <c r="F123" s="97"/>
      <c r="G123" s="97"/>
      <c r="H123" s="98"/>
      <c r="J123" s="33"/>
    </row>
    <row r="124" spans="1:14" s="34" customFormat="1" x14ac:dyDescent="0.25">
      <c r="A124" s="103" t="s">
        <v>205</v>
      </c>
      <c r="B124" s="103"/>
      <c r="C124" s="103"/>
      <c r="D124" s="103"/>
      <c r="E124" s="103"/>
      <c r="F124" s="103"/>
      <c r="G124" s="103"/>
      <c r="H124" s="103"/>
      <c r="I124" s="33"/>
      <c r="L124" s="149"/>
      <c r="M124" s="149"/>
    </row>
    <row r="125" spans="1:14" s="34" customFormat="1" ht="15.75" customHeight="1" x14ac:dyDescent="0.25">
      <c r="A125" s="64">
        <v>1</v>
      </c>
      <c r="B125" s="64"/>
      <c r="C125" s="39" t="s">
        <v>187</v>
      </c>
      <c r="D125" s="39">
        <f>(72.513+1.5*3+0.75*(2.45+3))*10.764</f>
        <v>872.9657820000001</v>
      </c>
      <c r="E125" s="39">
        <f>(3*0.61+5.56*2.14)*10.764</f>
        <v>147.77249760000001</v>
      </c>
      <c r="F125" s="39">
        <v>1734</v>
      </c>
      <c r="G125" s="183" t="str">
        <f>A124</f>
        <v>5th Floor For Residential, Gymnasium, Swimming Pool, Driver Room &amp; Recreational Area</v>
      </c>
      <c r="H125" s="184"/>
      <c r="I125" s="39">
        <f>(2.9*5.2+1.53*3.05+2.75*3.36+2.9*3.66+1.22*2.05+2.14*1.22+1*1.22+3.36*2.15+2.9*1.3)</f>
        <v>56.926299999999991</v>
      </c>
      <c r="J125" s="34">
        <f>F125*10000+600000+120000</f>
        <v>18060000</v>
      </c>
      <c r="K125" s="34">
        <f>J125/F125</f>
        <v>10415.224913494809</v>
      </c>
      <c r="L125" s="55">
        <f>F125/D125</f>
        <v>1.9863321515619266</v>
      </c>
      <c r="N125" s="33"/>
    </row>
    <row r="126" spans="1:14" s="34" customFormat="1" x14ac:dyDescent="0.25">
      <c r="A126" s="64">
        <f>A125+1</f>
        <v>2</v>
      </c>
      <c r="B126" s="64"/>
      <c r="C126" s="39" t="s">
        <v>188</v>
      </c>
      <c r="D126" s="39">
        <f>(55.696+2.9*1.5+0.75*(2.14+2.75))*10.764</f>
        <v>685.81211399999995</v>
      </c>
      <c r="E126" s="39">
        <f>(2.3*3.46)*10.764</f>
        <v>85.659911999999991</v>
      </c>
      <c r="F126" s="39">
        <v>1306</v>
      </c>
      <c r="G126" s="185"/>
      <c r="H126" s="186"/>
      <c r="I126" s="33"/>
      <c r="J126" s="34">
        <f t="shared" ref="J126:J128" si="2">F126*10000+600000+120000</f>
        <v>13780000</v>
      </c>
      <c r="L126" s="55">
        <f t="shared" ref="L126:L128" si="3">F126/D126</f>
        <v>1.9043116523310641</v>
      </c>
      <c r="N126" s="33"/>
    </row>
    <row r="127" spans="1:14" s="34" customFormat="1" x14ac:dyDescent="0.25">
      <c r="A127" s="64">
        <f>A126+1</f>
        <v>3</v>
      </c>
      <c r="B127" s="64"/>
      <c r="C127" s="39" t="s">
        <v>187</v>
      </c>
      <c r="D127" s="39">
        <f>(57.482+1.5*2.9+0.75*(2.9+2.75))*10.764</f>
        <v>711.17209800000001</v>
      </c>
      <c r="E127" s="39">
        <f>(0.76*1.32+3*0.78+2.5*3.05)*10.764</f>
        <v>118.06170479999999</v>
      </c>
      <c r="F127" s="39">
        <v>1458</v>
      </c>
      <c r="G127" s="185"/>
      <c r="H127" s="186"/>
      <c r="I127" s="33"/>
      <c r="J127" s="34">
        <f t="shared" si="2"/>
        <v>15300000</v>
      </c>
      <c r="L127" s="55">
        <f t="shared" si="3"/>
        <v>2.0501366745127845</v>
      </c>
      <c r="N127" s="33"/>
    </row>
    <row r="128" spans="1:14" s="34" customFormat="1" x14ac:dyDescent="0.25">
      <c r="A128" s="64">
        <f>A127+1</f>
        <v>4</v>
      </c>
      <c r="B128" s="64"/>
      <c r="C128" s="93" t="s">
        <v>206</v>
      </c>
      <c r="D128" s="108"/>
      <c r="E128" s="108"/>
      <c r="F128" s="94"/>
      <c r="G128" s="185"/>
      <c r="H128" s="186"/>
      <c r="I128" s="33"/>
      <c r="J128" s="34">
        <f t="shared" si="2"/>
        <v>720000</v>
      </c>
      <c r="L128" s="55" t="e">
        <f t="shared" si="3"/>
        <v>#DIV/0!</v>
      </c>
      <c r="N128" s="33"/>
    </row>
    <row r="129" spans="1:14" s="34" customFormat="1" x14ac:dyDescent="0.25">
      <c r="A129" s="64">
        <f>A128+1</f>
        <v>5</v>
      </c>
      <c r="B129" s="64"/>
      <c r="C129" s="93" t="s">
        <v>207</v>
      </c>
      <c r="D129" s="108"/>
      <c r="E129" s="108"/>
      <c r="F129" s="94"/>
      <c r="G129" s="187"/>
      <c r="H129" s="188"/>
      <c r="I129" s="33"/>
      <c r="J129" s="34">
        <f t="shared" ref="J129" si="4">F129*10000+600000+120000</f>
        <v>720000</v>
      </c>
      <c r="L129" s="55" t="e">
        <f t="shared" ref="L129" si="5">F129/D129</f>
        <v>#DIV/0!</v>
      </c>
      <c r="N129" s="33"/>
    </row>
    <row r="130" spans="1:14" s="34" customFormat="1" ht="15.75" customHeight="1" x14ac:dyDescent="0.25">
      <c r="A130" s="96" t="s">
        <v>208</v>
      </c>
      <c r="B130" s="97"/>
      <c r="C130" s="97"/>
      <c r="D130" s="97"/>
      <c r="E130" s="97"/>
      <c r="F130" s="97"/>
      <c r="G130" s="97"/>
      <c r="H130" s="98"/>
      <c r="I130" s="33"/>
    </row>
    <row r="131" spans="1:14" s="34" customFormat="1" ht="15.75" customHeight="1" x14ac:dyDescent="0.25">
      <c r="A131" s="93">
        <v>1</v>
      </c>
      <c r="B131" s="94"/>
      <c r="C131" s="39" t="s">
        <v>188</v>
      </c>
      <c r="D131" s="39">
        <f>(72.513+1.5*3+0.75*(2.45+3+2.4+2.75))*10.764</f>
        <v>914.54173200000002</v>
      </c>
      <c r="E131" s="39">
        <v>0</v>
      </c>
      <c r="F131" s="39">
        <v>1601</v>
      </c>
      <c r="G131" s="183" t="str">
        <f>A130</f>
        <v>6th &amp; 7th Floor</v>
      </c>
      <c r="H131" s="184"/>
      <c r="I131" s="33"/>
      <c r="J131" s="34">
        <f t="shared" ref="J131:J165" si="6">F131/D131</f>
        <v>1.7506035470888714</v>
      </c>
    </row>
    <row r="132" spans="1:14" s="34" customFormat="1" ht="15.75" customHeight="1" x14ac:dyDescent="0.25">
      <c r="A132" s="93">
        <v>2</v>
      </c>
      <c r="B132" s="94"/>
      <c r="C132" s="39" t="s">
        <v>187</v>
      </c>
      <c r="D132" s="39">
        <f>(55.696+2.9*1.5+0.75*(2.14+2.75+2.75))*10.764</f>
        <v>708.01286399999992</v>
      </c>
      <c r="E132" s="39">
        <v>0</v>
      </c>
      <c r="F132" s="39">
        <v>1203</v>
      </c>
      <c r="G132" s="185"/>
      <c r="H132" s="186"/>
      <c r="I132" s="33"/>
      <c r="J132" s="34">
        <f t="shared" si="6"/>
        <v>1.6991216701960943</v>
      </c>
    </row>
    <row r="133" spans="1:14" s="34" customFormat="1" ht="15.75" customHeight="1" x14ac:dyDescent="0.25">
      <c r="A133" s="93">
        <v>3</v>
      </c>
      <c r="B133" s="94"/>
      <c r="C133" s="39" t="s">
        <v>187</v>
      </c>
      <c r="D133" s="39">
        <f>(57.482+1.5*2.9+0.75*(2.9+2.75+2.45))*10.764</f>
        <v>730.95094799999993</v>
      </c>
      <c r="E133" s="39">
        <v>0</v>
      </c>
      <c r="F133" s="39">
        <v>1273</v>
      </c>
      <c r="G133" s="185"/>
      <c r="H133" s="186"/>
      <c r="I133" s="33"/>
      <c r="J133" s="34">
        <f t="shared" si="6"/>
        <v>1.7415669320672393</v>
      </c>
    </row>
    <row r="134" spans="1:14" s="34" customFormat="1" ht="15.75" customHeight="1" x14ac:dyDescent="0.25">
      <c r="A134" s="93">
        <v>4</v>
      </c>
      <c r="B134" s="94"/>
      <c r="C134" s="39" t="s">
        <v>187</v>
      </c>
      <c r="D134" s="39">
        <f>(56.267+1.5*2.9+0.75*(2.75+2.9+2.45))*10.764</f>
        <v>717.87268800000004</v>
      </c>
      <c r="E134" s="39">
        <v>0</v>
      </c>
      <c r="F134" s="39">
        <v>1252</v>
      </c>
      <c r="G134" s="185"/>
      <c r="H134" s="186"/>
      <c r="I134" s="33"/>
      <c r="J134" s="34">
        <f t="shared" si="6"/>
        <v>1.7440418348942675</v>
      </c>
    </row>
    <row r="135" spans="1:14" s="34" customFormat="1" ht="15.75" customHeight="1" x14ac:dyDescent="0.25">
      <c r="A135" s="93">
        <v>5</v>
      </c>
      <c r="B135" s="94"/>
      <c r="C135" s="39" t="s">
        <v>187</v>
      </c>
      <c r="D135" s="39">
        <f>(56.049+1.5*2.9+0.75*(2.75+2.15+2.9))*10.764</f>
        <v>713.1042359999999</v>
      </c>
      <c r="E135" s="39">
        <v>0</v>
      </c>
      <c r="F135" s="39">
        <v>1243</v>
      </c>
      <c r="G135" s="187"/>
      <c r="H135" s="188"/>
      <c r="I135" s="33"/>
      <c r="J135" s="34">
        <f t="shared" si="6"/>
        <v>1.743083180899798</v>
      </c>
    </row>
    <row r="136" spans="1:14" s="34" customFormat="1" ht="15.75" customHeight="1" x14ac:dyDescent="0.25">
      <c r="A136" s="96" t="s">
        <v>209</v>
      </c>
      <c r="B136" s="97"/>
      <c r="C136" s="97"/>
      <c r="D136" s="97"/>
      <c r="E136" s="97"/>
      <c r="F136" s="97"/>
      <c r="G136" s="97"/>
      <c r="H136" s="98"/>
      <c r="I136" s="33"/>
      <c r="J136" s="34" t="e">
        <f t="shared" si="6"/>
        <v>#DIV/0!</v>
      </c>
    </row>
    <row r="137" spans="1:14" s="34" customFormat="1" ht="15.75" customHeight="1" x14ac:dyDescent="0.25">
      <c r="A137" s="93">
        <v>1</v>
      </c>
      <c r="B137" s="94"/>
      <c r="C137" s="39" t="s">
        <v>188</v>
      </c>
      <c r="D137" s="39">
        <f>(72.513+1.5*3+0.75*(2.45+3+2.4+2.75))*10.764</f>
        <v>914.54173200000002</v>
      </c>
      <c r="E137" s="39">
        <v>0</v>
      </c>
      <c r="F137" s="39">
        <v>1601</v>
      </c>
      <c r="G137" s="183" t="str">
        <f>A136</f>
        <v>8th to 18th Floor</v>
      </c>
      <c r="H137" s="184"/>
      <c r="I137" s="33"/>
      <c r="J137" s="34">
        <f t="shared" si="6"/>
        <v>1.7506035470888714</v>
      </c>
    </row>
    <row r="138" spans="1:14" s="34" customFormat="1" ht="15.75" customHeight="1" x14ac:dyDescent="0.25">
      <c r="A138" s="93">
        <v>2</v>
      </c>
      <c r="B138" s="94"/>
      <c r="C138" s="39" t="s">
        <v>187</v>
      </c>
      <c r="D138" s="39">
        <f>(55.696+2.9*1.5+0.75*(2.14+2.75+2.75))*10.764</f>
        <v>708.01286399999992</v>
      </c>
      <c r="E138" s="39">
        <v>0</v>
      </c>
      <c r="F138" s="39">
        <v>1203</v>
      </c>
      <c r="G138" s="185"/>
      <c r="H138" s="186"/>
      <c r="I138" s="33"/>
      <c r="J138" s="34">
        <f t="shared" si="6"/>
        <v>1.6991216701960943</v>
      </c>
    </row>
    <row r="139" spans="1:14" s="34" customFormat="1" ht="15.75" customHeight="1" x14ac:dyDescent="0.25">
      <c r="A139" s="93">
        <v>3</v>
      </c>
      <c r="B139" s="94"/>
      <c r="C139" s="39" t="s">
        <v>187</v>
      </c>
      <c r="D139" s="39">
        <f>(57.482+1.5*2.9+0.75*(2.9+2.75+2.45))*10.764</f>
        <v>730.95094799999993</v>
      </c>
      <c r="E139" s="39">
        <v>0</v>
      </c>
      <c r="F139" s="39">
        <v>1273</v>
      </c>
      <c r="G139" s="185"/>
      <c r="H139" s="186"/>
      <c r="I139" s="33"/>
      <c r="J139" s="34">
        <f t="shared" si="6"/>
        <v>1.7415669320672393</v>
      </c>
    </row>
    <row r="140" spans="1:14" s="34" customFormat="1" ht="15.75" customHeight="1" x14ac:dyDescent="0.25">
      <c r="A140" s="93">
        <v>4</v>
      </c>
      <c r="B140" s="94"/>
      <c r="C140" s="39" t="s">
        <v>187</v>
      </c>
      <c r="D140" s="39">
        <f>(56.267+1.5*2.9+0.75*(2.75+2.9+2.45))*10.764</f>
        <v>717.87268800000004</v>
      </c>
      <c r="E140" s="39">
        <v>0</v>
      </c>
      <c r="F140" s="39">
        <v>1252</v>
      </c>
      <c r="G140" s="185"/>
      <c r="H140" s="186"/>
      <c r="I140" s="33"/>
      <c r="J140" s="34">
        <f t="shared" si="6"/>
        <v>1.7440418348942675</v>
      </c>
    </row>
    <row r="141" spans="1:14" s="34" customFormat="1" ht="15.75" customHeight="1" x14ac:dyDescent="0.25">
      <c r="A141" s="93">
        <v>5</v>
      </c>
      <c r="B141" s="94"/>
      <c r="C141" s="39" t="s">
        <v>187</v>
      </c>
      <c r="D141" s="39">
        <f>(56.049+1.5*2.9+0.75*(2.75+2.15+2.9))*10.764</f>
        <v>713.1042359999999</v>
      </c>
      <c r="E141" s="39">
        <v>0</v>
      </c>
      <c r="F141" s="39">
        <v>1243</v>
      </c>
      <c r="G141" s="187"/>
      <c r="H141" s="188"/>
      <c r="I141" s="33"/>
      <c r="J141" s="34">
        <f t="shared" si="6"/>
        <v>1.743083180899798</v>
      </c>
    </row>
    <row r="142" spans="1:14" s="34" customFormat="1" ht="15.75" customHeight="1" x14ac:dyDescent="0.25">
      <c r="A142" s="96" t="s">
        <v>210</v>
      </c>
      <c r="B142" s="97"/>
      <c r="C142" s="97"/>
      <c r="D142" s="97"/>
      <c r="E142" s="97"/>
      <c r="F142" s="97"/>
      <c r="G142" s="97"/>
      <c r="H142" s="98"/>
      <c r="I142" s="33"/>
      <c r="J142" s="34" t="e">
        <f t="shared" si="6"/>
        <v>#DIV/0!</v>
      </c>
    </row>
    <row r="143" spans="1:14" s="34" customFormat="1" x14ac:dyDescent="0.25">
      <c r="A143" s="93">
        <v>1</v>
      </c>
      <c r="B143" s="94"/>
      <c r="C143" s="39" t="s">
        <v>188</v>
      </c>
      <c r="D143" s="39">
        <f>(72.513+1.5*3+0.75*(2.45+3+2.4+2.75))*10.764</f>
        <v>914.54173200000002</v>
      </c>
      <c r="E143" s="39">
        <v>0</v>
      </c>
      <c r="F143" s="39">
        <v>1601</v>
      </c>
      <c r="G143" s="183" t="str">
        <f>A142</f>
        <v>19th Floor</v>
      </c>
      <c r="H143" s="184"/>
      <c r="I143" s="33"/>
      <c r="J143" s="34">
        <f t="shared" si="6"/>
        <v>1.7506035470888714</v>
      </c>
    </row>
    <row r="144" spans="1:14" s="34" customFormat="1" x14ac:dyDescent="0.25">
      <c r="A144" s="93">
        <v>2</v>
      </c>
      <c r="B144" s="94"/>
      <c r="C144" s="39" t="s">
        <v>187</v>
      </c>
      <c r="D144" s="39">
        <f>(55.696+2.9*1.5+0.75*(2.14+2.75+2.75))*10.764</f>
        <v>708.01286399999992</v>
      </c>
      <c r="E144" s="39">
        <v>0</v>
      </c>
      <c r="F144" s="39">
        <v>1203</v>
      </c>
      <c r="G144" s="185"/>
      <c r="H144" s="186"/>
      <c r="I144" s="33"/>
      <c r="J144" s="34">
        <f t="shared" si="6"/>
        <v>1.6991216701960943</v>
      </c>
    </row>
    <row r="145" spans="1:10" s="34" customFormat="1" ht="15.75" customHeight="1" x14ac:dyDescent="0.25">
      <c r="A145" s="93">
        <v>3</v>
      </c>
      <c r="B145" s="94"/>
      <c r="C145" s="39" t="s">
        <v>187</v>
      </c>
      <c r="D145" s="39">
        <f>(57.482+1.5*2.9+0.75*(2.9+2.75+2.45))*10.764</f>
        <v>730.95094799999993</v>
      </c>
      <c r="E145" s="39">
        <v>0</v>
      </c>
      <c r="F145" s="39">
        <v>1273</v>
      </c>
      <c r="G145" s="185"/>
      <c r="H145" s="186"/>
      <c r="I145" s="33"/>
      <c r="J145" s="34">
        <f t="shared" si="6"/>
        <v>1.7415669320672393</v>
      </c>
    </row>
    <row r="146" spans="1:10" s="34" customFormat="1" ht="15.75" customHeight="1" x14ac:dyDescent="0.25">
      <c r="A146" s="93">
        <v>4</v>
      </c>
      <c r="B146" s="94"/>
      <c r="C146" s="39" t="s">
        <v>187</v>
      </c>
      <c r="D146" s="39">
        <f>(56.267+1.5*2.9+0.75*(2.75+2.9+2.45))*10.764</f>
        <v>717.87268800000004</v>
      </c>
      <c r="E146" s="39">
        <v>0</v>
      </c>
      <c r="F146" s="39">
        <v>1252</v>
      </c>
      <c r="G146" s="185"/>
      <c r="H146" s="186"/>
      <c r="I146" s="33"/>
      <c r="J146" s="34">
        <f t="shared" si="6"/>
        <v>1.7440418348942675</v>
      </c>
    </row>
    <row r="147" spans="1:10" s="34" customFormat="1" ht="15.75" customHeight="1" x14ac:dyDescent="0.25">
      <c r="A147" s="93">
        <v>5</v>
      </c>
      <c r="B147" s="94"/>
      <c r="C147" s="39" t="s">
        <v>187</v>
      </c>
      <c r="D147" s="39">
        <f>(56.049+1.5*2.9+0.75*(2.75+2.15+2.9))*10.764</f>
        <v>713.1042359999999</v>
      </c>
      <c r="E147" s="39">
        <v>0</v>
      </c>
      <c r="F147" s="39">
        <v>1243</v>
      </c>
      <c r="G147" s="187"/>
      <c r="H147" s="188"/>
      <c r="I147" s="33"/>
      <c r="J147" s="34">
        <f t="shared" si="6"/>
        <v>1.743083180899798</v>
      </c>
    </row>
    <row r="148" spans="1:10" s="34" customFormat="1" ht="15.75" customHeight="1" x14ac:dyDescent="0.25">
      <c r="A148" s="96" t="s">
        <v>211</v>
      </c>
      <c r="B148" s="97"/>
      <c r="C148" s="97"/>
      <c r="D148" s="97"/>
      <c r="E148" s="97"/>
      <c r="F148" s="97"/>
      <c r="G148" s="97"/>
      <c r="H148" s="98"/>
      <c r="I148" s="33"/>
      <c r="J148" s="34" t="e">
        <f t="shared" si="6"/>
        <v>#DIV/0!</v>
      </c>
    </row>
    <row r="149" spans="1:10" s="34" customFormat="1" x14ac:dyDescent="0.25">
      <c r="A149" s="93">
        <v>1</v>
      </c>
      <c r="B149" s="94"/>
      <c r="C149" s="39" t="s">
        <v>188</v>
      </c>
      <c r="D149" s="39">
        <f>(72.513+1.5*3+0.75*(2.45+3+2.4+2.75))*10.764</f>
        <v>914.54173200000002</v>
      </c>
      <c r="E149" s="39">
        <v>0</v>
      </c>
      <c r="F149" s="39">
        <v>1601</v>
      </c>
      <c r="G149" s="183" t="str">
        <f>A148</f>
        <v>20th Floor</v>
      </c>
      <c r="H149" s="184"/>
      <c r="I149" s="33"/>
      <c r="J149" s="34">
        <f t="shared" si="6"/>
        <v>1.7506035470888714</v>
      </c>
    </row>
    <row r="150" spans="1:10" s="34" customFormat="1" x14ac:dyDescent="0.25">
      <c r="A150" s="93">
        <v>2</v>
      </c>
      <c r="B150" s="94"/>
      <c r="C150" s="39" t="s">
        <v>187</v>
      </c>
      <c r="D150" s="39">
        <f>(55.696+2.9*1.5+0.75*(2.14+2.75+2.75))*10.764</f>
        <v>708.01286399999992</v>
      </c>
      <c r="E150" s="39">
        <v>0</v>
      </c>
      <c r="F150" s="39">
        <v>1203</v>
      </c>
      <c r="G150" s="185"/>
      <c r="H150" s="186"/>
      <c r="I150" s="33"/>
      <c r="J150" s="34">
        <f t="shared" si="6"/>
        <v>1.6991216701960943</v>
      </c>
    </row>
    <row r="151" spans="1:10" s="34" customFormat="1" ht="15.75" customHeight="1" x14ac:dyDescent="0.25">
      <c r="A151" s="93">
        <v>3</v>
      </c>
      <c r="B151" s="94"/>
      <c r="C151" s="39" t="s">
        <v>187</v>
      </c>
      <c r="D151" s="39">
        <f>(57.482+1.5*2.9+0.75*(2.9+2.75+2.45))*10.764</f>
        <v>730.95094799999993</v>
      </c>
      <c r="E151" s="39">
        <v>0</v>
      </c>
      <c r="F151" s="39">
        <v>1273</v>
      </c>
      <c r="G151" s="185"/>
      <c r="H151" s="186"/>
      <c r="I151" s="33"/>
      <c r="J151" s="34">
        <f t="shared" si="6"/>
        <v>1.7415669320672393</v>
      </c>
    </row>
    <row r="152" spans="1:10" s="34" customFormat="1" ht="15.75" customHeight="1" x14ac:dyDescent="0.25">
      <c r="A152" s="93">
        <v>4</v>
      </c>
      <c r="B152" s="94"/>
      <c r="C152" s="39" t="s">
        <v>187</v>
      </c>
      <c r="D152" s="39">
        <f>(56.267+1.5*2.9+0.75*(2.75+2.9+2.45))*10.764</f>
        <v>717.87268800000004</v>
      </c>
      <c r="E152" s="39">
        <v>0</v>
      </c>
      <c r="F152" s="39">
        <v>1252</v>
      </c>
      <c r="G152" s="185"/>
      <c r="H152" s="186"/>
      <c r="I152" s="33"/>
      <c r="J152" s="34">
        <f t="shared" si="6"/>
        <v>1.7440418348942675</v>
      </c>
    </row>
    <row r="153" spans="1:10" s="34" customFormat="1" ht="15.75" customHeight="1" x14ac:dyDescent="0.25">
      <c r="A153" s="93">
        <v>5</v>
      </c>
      <c r="B153" s="94"/>
      <c r="C153" s="39" t="s">
        <v>187</v>
      </c>
      <c r="D153" s="39">
        <f>(56.049+1.5*2.9+0.75*(2.75+2.15+2.9))*10.764</f>
        <v>713.1042359999999</v>
      </c>
      <c r="E153" s="39">
        <v>0</v>
      </c>
      <c r="F153" s="39">
        <v>1243</v>
      </c>
      <c r="G153" s="187"/>
      <c r="H153" s="188"/>
      <c r="I153" s="33"/>
      <c r="J153" s="34">
        <f t="shared" si="6"/>
        <v>1.743083180899798</v>
      </c>
    </row>
    <row r="154" spans="1:10" s="34" customFormat="1" ht="15.75" customHeight="1" x14ac:dyDescent="0.25">
      <c r="A154" s="96" t="s">
        <v>212</v>
      </c>
      <c r="B154" s="97"/>
      <c r="C154" s="97"/>
      <c r="D154" s="97"/>
      <c r="E154" s="97"/>
      <c r="F154" s="97"/>
      <c r="G154" s="97"/>
      <c r="H154" s="98"/>
      <c r="I154" s="33"/>
      <c r="J154" s="34" t="e">
        <f t="shared" si="6"/>
        <v>#DIV/0!</v>
      </c>
    </row>
    <row r="155" spans="1:10" s="34" customFormat="1" x14ac:dyDescent="0.25">
      <c r="A155" s="93">
        <v>1</v>
      </c>
      <c r="B155" s="94"/>
      <c r="C155" s="39" t="s">
        <v>188</v>
      </c>
      <c r="D155" s="39">
        <f>(72.513+1.5*3+0.75*(2.45+3+2.4+2.75))*10.764</f>
        <v>914.54173200000002</v>
      </c>
      <c r="E155" s="39">
        <v>0</v>
      </c>
      <c r="F155" s="39">
        <v>1601</v>
      </c>
      <c r="G155" s="183" t="str">
        <f>A154</f>
        <v>21st Floor</v>
      </c>
      <c r="H155" s="184"/>
      <c r="I155" s="33"/>
      <c r="J155" s="34">
        <f t="shared" si="6"/>
        <v>1.7506035470888714</v>
      </c>
    </row>
    <row r="156" spans="1:10" s="34" customFormat="1" x14ac:dyDescent="0.25">
      <c r="A156" s="93">
        <v>2</v>
      </c>
      <c r="B156" s="94"/>
      <c r="C156" s="39" t="s">
        <v>187</v>
      </c>
      <c r="D156" s="39">
        <f>(55.696+2.9*1.5+0.75*(2.14+2.75+2.75))*10.764</f>
        <v>708.01286399999992</v>
      </c>
      <c r="E156" s="39">
        <v>0</v>
      </c>
      <c r="F156" s="39">
        <v>1203</v>
      </c>
      <c r="G156" s="185"/>
      <c r="H156" s="186"/>
      <c r="I156" s="33"/>
      <c r="J156" s="34">
        <f t="shared" si="6"/>
        <v>1.6991216701960943</v>
      </c>
    </row>
    <row r="157" spans="1:10" s="34" customFormat="1" ht="15.75" customHeight="1" x14ac:dyDescent="0.25">
      <c r="A157" s="93">
        <v>3</v>
      </c>
      <c r="B157" s="94"/>
      <c r="C157" s="39" t="s">
        <v>187</v>
      </c>
      <c r="D157" s="39">
        <f>(53.912+1.5*2.9+0.75*(2.9+2.75+2.45))*10.764</f>
        <v>692.52346799999998</v>
      </c>
      <c r="E157" s="39">
        <f>1.2*2.45*10.764</f>
        <v>31.646159999999998</v>
      </c>
      <c r="F157" s="39">
        <v>1231</v>
      </c>
      <c r="G157" s="185"/>
      <c r="H157" s="186"/>
      <c r="I157" s="33"/>
      <c r="J157" s="34">
        <f t="shared" si="6"/>
        <v>1.777557089227769</v>
      </c>
    </row>
    <row r="158" spans="1:10" s="34" customFormat="1" ht="15.75" customHeight="1" x14ac:dyDescent="0.25">
      <c r="A158" s="93">
        <v>4</v>
      </c>
      <c r="B158" s="94"/>
      <c r="C158" s="39" t="s">
        <v>187</v>
      </c>
      <c r="D158" s="39">
        <f>(50.359+1.5*2.9+0.75*(2.75+2.9+2.45))*10.764</f>
        <v>654.27897600000006</v>
      </c>
      <c r="E158" s="39">
        <f>1.2*2.45*10.764</f>
        <v>31.646159999999998</v>
      </c>
      <c r="F158" s="39">
        <v>1200</v>
      </c>
      <c r="G158" s="185"/>
      <c r="H158" s="186"/>
      <c r="I158" s="33"/>
      <c r="J158" s="34">
        <f t="shared" si="6"/>
        <v>1.8340800239927011</v>
      </c>
    </row>
    <row r="159" spans="1:10" s="34" customFormat="1" ht="15.75" customHeight="1" x14ac:dyDescent="0.25">
      <c r="A159" s="93">
        <v>5</v>
      </c>
      <c r="B159" s="94"/>
      <c r="C159" s="39" t="s">
        <v>187</v>
      </c>
      <c r="D159" s="39">
        <f>(56.049+1.5*2.9+0.75*(2.75+2.15+2.9))*10.764</f>
        <v>713.1042359999999</v>
      </c>
      <c r="E159" s="39">
        <v>0</v>
      </c>
      <c r="F159" s="39">
        <v>1243</v>
      </c>
      <c r="G159" s="187"/>
      <c r="H159" s="188"/>
      <c r="I159" s="33"/>
      <c r="J159" s="34">
        <f t="shared" si="6"/>
        <v>1.743083180899798</v>
      </c>
    </row>
    <row r="160" spans="1:10" s="34" customFormat="1" ht="15.75" customHeight="1" x14ac:dyDescent="0.25">
      <c r="A160" s="96" t="s">
        <v>213</v>
      </c>
      <c r="B160" s="97"/>
      <c r="C160" s="97"/>
      <c r="D160" s="97"/>
      <c r="E160" s="97"/>
      <c r="F160" s="97"/>
      <c r="G160" s="97"/>
      <c r="H160" s="98"/>
      <c r="I160" s="33"/>
      <c r="J160" s="34" t="e">
        <f t="shared" si="6"/>
        <v>#DIV/0!</v>
      </c>
    </row>
    <row r="161" spans="1:10" s="34" customFormat="1" x14ac:dyDescent="0.25">
      <c r="A161" s="93">
        <v>1</v>
      </c>
      <c r="B161" s="94"/>
      <c r="C161" s="39" t="s">
        <v>188</v>
      </c>
      <c r="D161" s="39">
        <f>(72.513+1.5*3+0.75*(2.45+3+2.4+2.75))*10.764</f>
        <v>914.54173200000002</v>
      </c>
      <c r="E161" s="39">
        <v>0</v>
      </c>
      <c r="F161" s="39">
        <v>1601</v>
      </c>
      <c r="G161" s="183" t="str">
        <f>A160</f>
        <v>22nd Floor</v>
      </c>
      <c r="H161" s="184"/>
      <c r="I161" s="33"/>
      <c r="J161" s="34">
        <f t="shared" si="6"/>
        <v>1.7506035470888714</v>
      </c>
    </row>
    <row r="162" spans="1:10" s="34" customFormat="1" x14ac:dyDescent="0.25">
      <c r="A162" s="93">
        <v>2</v>
      </c>
      <c r="B162" s="94"/>
      <c r="C162" s="39" t="s">
        <v>187</v>
      </c>
      <c r="D162" s="39">
        <f>(55.696+2.9*1.5+0.75*(2.14+2.75+2.75))*10.764</f>
        <v>708.01286399999992</v>
      </c>
      <c r="E162" s="39">
        <v>0</v>
      </c>
      <c r="F162" s="39">
        <v>1203</v>
      </c>
      <c r="G162" s="185"/>
      <c r="H162" s="186"/>
      <c r="I162" s="33"/>
      <c r="J162" s="34">
        <f t="shared" si="6"/>
        <v>1.6991216701960943</v>
      </c>
    </row>
    <row r="163" spans="1:10" s="34" customFormat="1" ht="15.75" customHeight="1" x14ac:dyDescent="0.25">
      <c r="A163" s="93">
        <v>3</v>
      </c>
      <c r="B163" s="94"/>
      <c r="C163" s="39" t="s">
        <v>187</v>
      </c>
      <c r="D163" s="39">
        <f>(53.912+1.5*2.9+0.75*(2.9+2.75+2.45))*10.764</f>
        <v>692.52346799999998</v>
      </c>
      <c r="E163" s="39">
        <v>0</v>
      </c>
      <c r="F163" s="39">
        <v>1200</v>
      </c>
      <c r="G163" s="185"/>
      <c r="H163" s="186"/>
      <c r="I163" s="33"/>
      <c r="J163" s="34">
        <f t="shared" si="6"/>
        <v>1.7327932632602134</v>
      </c>
    </row>
    <row r="164" spans="1:10" s="34" customFormat="1" ht="15.75" customHeight="1" x14ac:dyDescent="0.25">
      <c r="A164" s="93">
        <v>4</v>
      </c>
      <c r="B164" s="94"/>
      <c r="C164" s="39" t="s">
        <v>187</v>
      </c>
      <c r="D164" s="39">
        <f>(50.359+1.5*2.9+0.75*(2.75+2.9+2.45))*10.764</f>
        <v>654.27897600000006</v>
      </c>
      <c r="E164" s="39">
        <v>0</v>
      </c>
      <c r="F164" s="39">
        <v>1140</v>
      </c>
      <c r="G164" s="185"/>
      <c r="H164" s="186"/>
      <c r="I164" s="33"/>
      <c r="J164" s="34">
        <f t="shared" si="6"/>
        <v>1.742376022793066</v>
      </c>
    </row>
    <row r="165" spans="1:10" s="34" customFormat="1" ht="15.75" customHeight="1" x14ac:dyDescent="0.25">
      <c r="A165" s="93">
        <v>5</v>
      </c>
      <c r="B165" s="94"/>
      <c r="C165" s="39" t="s">
        <v>187</v>
      </c>
      <c r="D165" s="39">
        <f>(56.049+1.5*2.9+0.75*(2.75+2.15+2.9))*10.764</f>
        <v>713.1042359999999</v>
      </c>
      <c r="E165" s="39">
        <v>0</v>
      </c>
      <c r="F165" s="39">
        <v>1243</v>
      </c>
      <c r="G165" s="187"/>
      <c r="H165" s="188"/>
      <c r="I165" s="33"/>
      <c r="J165" s="34">
        <f t="shared" si="6"/>
        <v>1.743083180899798</v>
      </c>
    </row>
    <row r="166" spans="1:10" s="32" customFormat="1" x14ac:dyDescent="0.25">
      <c r="A166" s="95" t="s">
        <v>70</v>
      </c>
      <c r="B166" s="95"/>
      <c r="C166" s="95"/>
      <c r="D166" s="95"/>
      <c r="E166" s="95"/>
      <c r="F166" s="95"/>
      <c r="G166" s="95"/>
      <c r="H166" s="95"/>
    </row>
    <row r="167" spans="1:10" s="32" customFormat="1" x14ac:dyDescent="0.25">
      <c r="A167" s="44" t="s">
        <v>158</v>
      </c>
      <c r="B167" s="86" t="s">
        <v>230</v>
      </c>
      <c r="C167" s="87"/>
      <c r="D167" s="87"/>
      <c r="E167" s="87"/>
      <c r="F167" s="87"/>
      <c r="G167" s="87"/>
      <c r="H167" s="88"/>
    </row>
    <row r="168" spans="1:10" s="32" customFormat="1" x14ac:dyDescent="0.25">
      <c r="A168" s="44" t="s">
        <v>158</v>
      </c>
      <c r="B168" s="89" t="str">
        <f>(IF(F122="Saleable area Loading :","We have considered Saleable area of Flats as per our Calculation.","We considered Saleable area of Flat as per Builder area Sheet."))</f>
        <v>We considered Saleable area of Flat as per Builder area Sheet.</v>
      </c>
      <c r="C168" s="90"/>
      <c r="D168" s="90"/>
      <c r="E168" s="90"/>
      <c r="F168" s="90"/>
      <c r="G168" s="90"/>
      <c r="H168" s="91"/>
    </row>
    <row r="169" spans="1:10" s="32" customFormat="1" x14ac:dyDescent="0.25">
      <c r="A169" s="44" t="s">
        <v>158</v>
      </c>
      <c r="B169" s="89" t="str">
        <f>(IF(F102="Saleable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69" s="90"/>
      <c r="D169" s="90"/>
      <c r="E169" s="90"/>
      <c r="F169" s="90"/>
      <c r="G169" s="90"/>
      <c r="H169" s="91"/>
    </row>
    <row r="170" spans="1:10" s="32" customFormat="1" x14ac:dyDescent="0.25">
      <c r="A170" s="44" t="s">
        <v>158</v>
      </c>
      <c r="B170" s="83" t="s">
        <v>129</v>
      </c>
      <c r="C170" s="84"/>
      <c r="D170" s="84"/>
      <c r="E170" s="84"/>
      <c r="F170" s="84"/>
      <c r="G170" s="84"/>
      <c r="H170" s="85"/>
    </row>
    <row r="171" spans="1:10" s="32" customFormat="1" x14ac:dyDescent="0.25">
      <c r="A171" s="44" t="s">
        <v>158</v>
      </c>
      <c r="B171" s="83" t="s">
        <v>189</v>
      </c>
      <c r="C171" s="84"/>
      <c r="D171" s="84"/>
      <c r="E171" s="84"/>
      <c r="F171" s="84"/>
      <c r="G171" s="84"/>
      <c r="H171" s="85"/>
    </row>
    <row r="172" spans="1:10" s="32" customFormat="1" x14ac:dyDescent="0.25">
      <c r="A172" s="44" t="s">
        <v>158</v>
      </c>
      <c r="B172" s="83" t="s">
        <v>157</v>
      </c>
      <c r="C172" s="84"/>
      <c r="D172" s="84"/>
      <c r="E172" s="84"/>
      <c r="F172" s="84"/>
      <c r="G172" s="84"/>
      <c r="H172" s="85"/>
    </row>
    <row r="173" spans="1:10" s="32" customFormat="1" x14ac:dyDescent="0.25">
      <c r="A173" s="44" t="s">
        <v>158</v>
      </c>
      <c r="B173" s="83" t="s">
        <v>130</v>
      </c>
      <c r="C173" s="84"/>
      <c r="D173" s="84"/>
      <c r="E173" s="84"/>
      <c r="F173" s="84"/>
      <c r="G173" s="84"/>
      <c r="H173" s="85"/>
    </row>
    <row r="174" spans="1:10" s="32" customFormat="1" ht="34.5" customHeight="1" x14ac:dyDescent="0.25">
      <c r="A174" s="44" t="s">
        <v>158</v>
      </c>
      <c r="B174" s="83" t="s">
        <v>159</v>
      </c>
      <c r="C174" s="84"/>
      <c r="D174" s="84"/>
      <c r="E174" s="84"/>
      <c r="F174" s="84"/>
      <c r="G174" s="84"/>
      <c r="H174" s="85"/>
    </row>
    <row r="175" spans="1:10" s="32" customFormat="1" x14ac:dyDescent="0.25">
      <c r="A175" s="44" t="s">
        <v>158</v>
      </c>
      <c r="B175" s="83" t="s">
        <v>131</v>
      </c>
      <c r="C175" s="84"/>
      <c r="D175" s="84"/>
      <c r="E175" s="84"/>
      <c r="F175" s="84"/>
      <c r="G175" s="84"/>
      <c r="H175" s="85"/>
    </row>
    <row r="176" spans="1:10" s="32" customFormat="1" hidden="1" x14ac:dyDescent="0.25">
      <c r="A176" s="44" t="s">
        <v>158</v>
      </c>
      <c r="B176" s="86" t="s">
        <v>221</v>
      </c>
      <c r="C176" s="87"/>
      <c r="D176" s="87"/>
      <c r="E176" s="87"/>
      <c r="F176" s="87"/>
      <c r="G176" s="87"/>
      <c r="H176" s="88"/>
    </row>
    <row r="177" spans="1:8" s="32" customFormat="1" x14ac:dyDescent="0.25">
      <c r="A177" s="44" t="s">
        <v>158</v>
      </c>
      <c r="B177" s="86" t="s">
        <v>217</v>
      </c>
      <c r="C177" s="87"/>
      <c r="D177" s="87"/>
      <c r="E177" s="87"/>
      <c r="F177" s="87"/>
      <c r="G177" s="87"/>
      <c r="H177" s="88"/>
    </row>
    <row r="178" spans="1:8" x14ac:dyDescent="0.25">
      <c r="A178" s="109" t="s">
        <v>63</v>
      </c>
      <c r="B178" s="109"/>
      <c r="C178" s="109"/>
      <c r="D178" s="109"/>
      <c r="E178" s="109"/>
      <c r="F178" s="109"/>
      <c r="G178" s="109"/>
      <c r="H178" s="109"/>
    </row>
    <row r="179" spans="1:8" x14ac:dyDescent="0.25">
      <c r="A179" s="62" t="s">
        <v>64</v>
      </c>
      <c r="B179" s="62"/>
      <c r="C179" s="62"/>
      <c r="D179" s="62"/>
      <c r="E179" s="62"/>
      <c r="F179" s="62"/>
      <c r="G179" s="62"/>
      <c r="H179" s="62"/>
    </row>
    <row r="180" spans="1:8" ht="15.75" customHeight="1" x14ac:dyDescent="0.25">
      <c r="A180" s="63" t="s">
        <v>65</v>
      </c>
      <c r="B180" s="63"/>
      <c r="C180" s="63"/>
      <c r="D180" s="63"/>
      <c r="E180" s="63"/>
      <c r="F180" s="63"/>
      <c r="G180" s="63"/>
      <c r="H180" s="63"/>
    </row>
    <row r="181" spans="1:8" x14ac:dyDescent="0.25">
      <c r="A181" s="62" t="s">
        <v>66</v>
      </c>
      <c r="B181" s="62"/>
      <c r="C181" s="62"/>
      <c r="D181" s="62"/>
      <c r="E181" s="62"/>
      <c r="F181" s="62"/>
      <c r="G181" s="62"/>
      <c r="H181" s="62"/>
    </row>
    <row r="182" spans="1:8" x14ac:dyDescent="0.25">
      <c r="A182" s="62" t="s">
        <v>67</v>
      </c>
      <c r="B182" s="62"/>
      <c r="C182" s="62"/>
      <c r="D182" s="62"/>
      <c r="E182" s="62"/>
      <c r="F182" s="62"/>
      <c r="G182" s="62"/>
      <c r="H182" s="62"/>
    </row>
    <row r="183" spans="1:8" x14ac:dyDescent="0.25">
      <c r="A183" s="62" t="s">
        <v>132</v>
      </c>
      <c r="B183" s="62"/>
      <c r="C183" s="62"/>
      <c r="D183" s="62"/>
      <c r="E183" s="62"/>
      <c r="F183" s="62"/>
      <c r="G183" s="62"/>
      <c r="H183" s="62"/>
    </row>
    <row r="184" spans="1:8" ht="35.25" hidden="1" customHeight="1" x14ac:dyDescent="0.25">
      <c r="A184" s="105" t="s">
        <v>133</v>
      </c>
      <c r="B184" s="105"/>
      <c r="C184" s="105"/>
      <c r="D184" s="105"/>
      <c r="E184" s="105"/>
      <c r="F184" s="105"/>
      <c r="G184" s="105"/>
      <c r="H184" s="105"/>
    </row>
    <row r="185" spans="1:8" x14ac:dyDescent="0.25">
      <c r="A185" s="100" t="s">
        <v>80</v>
      </c>
      <c r="B185" s="100"/>
      <c r="C185" s="100" t="s">
        <v>228</v>
      </c>
      <c r="D185" s="100"/>
      <c r="E185" s="100" t="s">
        <v>109</v>
      </c>
      <c r="F185" s="100"/>
      <c r="G185" s="100" t="s">
        <v>229</v>
      </c>
      <c r="H185" s="100"/>
    </row>
    <row r="186" spans="1:8" x14ac:dyDescent="0.25">
      <c r="A186" s="99" t="s">
        <v>82</v>
      </c>
      <c r="B186" s="99"/>
      <c r="C186" s="99"/>
      <c r="D186" s="99"/>
      <c r="E186" s="99"/>
      <c r="F186" s="99"/>
      <c r="G186" s="99"/>
      <c r="H186" s="99"/>
    </row>
    <row r="187" spans="1:8" x14ac:dyDescent="0.25">
      <c r="A187" s="99"/>
      <c r="B187" s="99"/>
      <c r="C187" s="99"/>
      <c r="D187" s="99"/>
      <c r="E187" s="99"/>
      <c r="F187" s="99"/>
      <c r="G187" s="99"/>
      <c r="H187" s="99"/>
    </row>
    <row r="188" spans="1:8" x14ac:dyDescent="0.25">
      <c r="A188" s="99"/>
      <c r="B188" s="99"/>
      <c r="C188" s="99"/>
      <c r="D188" s="99"/>
      <c r="E188" s="99"/>
      <c r="F188" s="99"/>
      <c r="G188" s="99"/>
      <c r="H188" s="99"/>
    </row>
    <row r="189" spans="1:8" x14ac:dyDescent="0.25">
      <c r="A189" s="99"/>
      <c r="B189" s="99"/>
      <c r="C189" s="99"/>
      <c r="D189" s="99"/>
      <c r="E189" s="99"/>
      <c r="F189" s="99"/>
      <c r="G189" s="99"/>
      <c r="H189" s="99"/>
    </row>
    <row r="190" spans="1:8" x14ac:dyDescent="0.25">
      <c r="A190" s="35" t="s">
        <v>68</v>
      </c>
      <c r="B190" s="36"/>
      <c r="C190" s="36"/>
      <c r="D190" s="35" t="str">
        <f>E8</f>
        <v>Sairama Signature</v>
      </c>
      <c r="F190" s="36"/>
      <c r="G190" s="36"/>
      <c r="H190" s="36"/>
    </row>
    <row r="191" spans="1:8" x14ac:dyDescent="0.25">
      <c r="A191" s="36"/>
      <c r="B191" s="36"/>
      <c r="C191" s="36"/>
      <c r="D191" s="36"/>
      <c r="E191" s="36"/>
      <c r="F191" s="36"/>
      <c r="G191" s="36"/>
      <c r="H191" s="36"/>
    </row>
    <row r="192" spans="1:8" x14ac:dyDescent="0.25">
      <c r="A192" s="36"/>
      <c r="B192" s="36"/>
      <c r="C192" s="36"/>
      <c r="D192" s="36"/>
      <c r="E192" s="36"/>
      <c r="F192" s="36"/>
      <c r="G192" s="36"/>
      <c r="H192" s="36"/>
    </row>
    <row r="193" ht="15" customHeight="1" x14ac:dyDescent="0.25"/>
    <row r="233" spans="1:8" x14ac:dyDescent="0.25">
      <c r="A233" s="38" t="s">
        <v>69</v>
      </c>
      <c r="B233" s="18"/>
      <c r="C233" s="18"/>
      <c r="D233" s="18"/>
      <c r="E233" s="18"/>
      <c r="F233" s="18"/>
      <c r="G233" s="18"/>
      <c r="H233" s="18"/>
    </row>
  </sheetData>
  <mergeCells count="326">
    <mergeCell ref="A154:H154"/>
    <mergeCell ref="A155:B155"/>
    <mergeCell ref="A146:B146"/>
    <mergeCell ref="A147:B147"/>
    <mergeCell ref="A148:H148"/>
    <mergeCell ref="G155:H159"/>
    <mergeCell ref="G161:H165"/>
    <mergeCell ref="A161:B161"/>
    <mergeCell ref="A162:B162"/>
    <mergeCell ref="A163:B163"/>
    <mergeCell ref="A164:B164"/>
    <mergeCell ref="A165:B165"/>
    <mergeCell ref="A156:B156"/>
    <mergeCell ref="A157:B157"/>
    <mergeCell ref="A158:B158"/>
    <mergeCell ref="A159:B159"/>
    <mergeCell ref="A160:H160"/>
    <mergeCell ref="C129:F129"/>
    <mergeCell ref="G125:H129"/>
    <mergeCell ref="A149:B149"/>
    <mergeCell ref="A150:B150"/>
    <mergeCell ref="A141:B141"/>
    <mergeCell ref="A142:H142"/>
    <mergeCell ref="A143:B143"/>
    <mergeCell ref="A144:B144"/>
    <mergeCell ref="A145:B145"/>
    <mergeCell ref="A136:H136"/>
    <mergeCell ref="A137:B137"/>
    <mergeCell ref="A138:B138"/>
    <mergeCell ref="A139:B139"/>
    <mergeCell ref="A140:B140"/>
    <mergeCell ref="G131:H135"/>
    <mergeCell ref="G137:H141"/>
    <mergeCell ref="G143:H147"/>
    <mergeCell ref="G149:H153"/>
    <mergeCell ref="A151:B151"/>
    <mergeCell ref="A152:B152"/>
    <mergeCell ref="A153:B153"/>
    <mergeCell ref="A134:B134"/>
    <mergeCell ref="A131:B131"/>
    <mergeCell ref="A130:H130"/>
    <mergeCell ref="C37:H37"/>
    <mergeCell ref="L113:M113"/>
    <mergeCell ref="L114:M114"/>
    <mergeCell ref="L115:M115"/>
    <mergeCell ref="A113:B113"/>
    <mergeCell ref="A114:B114"/>
    <mergeCell ref="A115:B115"/>
    <mergeCell ref="A47:B47"/>
    <mergeCell ref="C47:H47"/>
    <mergeCell ref="C93:D93"/>
    <mergeCell ref="F88:H88"/>
    <mergeCell ref="G93:H93"/>
    <mergeCell ref="A89:E89"/>
    <mergeCell ref="C94:D94"/>
    <mergeCell ref="E94:F94"/>
    <mergeCell ref="G96:H96"/>
    <mergeCell ref="C98:D98"/>
    <mergeCell ref="G98:H98"/>
    <mergeCell ref="G113:H120"/>
    <mergeCell ref="G104:H111"/>
    <mergeCell ref="A84:E84"/>
    <mergeCell ref="F83:H83"/>
    <mergeCell ref="F89:H89"/>
    <mergeCell ref="A95:B95"/>
    <mergeCell ref="A88:E88"/>
    <mergeCell ref="F82:H82"/>
    <mergeCell ref="A87:E87"/>
    <mergeCell ref="A82:E82"/>
    <mergeCell ref="E99:F99"/>
    <mergeCell ref="G99:H99"/>
    <mergeCell ref="E93:F93"/>
    <mergeCell ref="A93:B93"/>
    <mergeCell ref="F87:H87"/>
    <mergeCell ref="A85:E85"/>
    <mergeCell ref="F85:H85"/>
    <mergeCell ref="A86:E86"/>
    <mergeCell ref="C38:H38"/>
    <mergeCell ref="A110:B110"/>
    <mergeCell ref="A111:B111"/>
    <mergeCell ref="G95:H95"/>
    <mergeCell ref="E95:F95"/>
    <mergeCell ref="C95:D95"/>
    <mergeCell ref="C96:D96"/>
    <mergeCell ref="E96:F96"/>
    <mergeCell ref="A59:C59"/>
    <mergeCell ref="D58:H58"/>
    <mergeCell ref="E69:F78"/>
    <mergeCell ref="G69:H78"/>
    <mergeCell ref="A77:B77"/>
    <mergeCell ref="A78:B78"/>
    <mergeCell ref="D59:H59"/>
    <mergeCell ref="A109:B109"/>
    <mergeCell ref="A108:B108"/>
    <mergeCell ref="A96:B96"/>
    <mergeCell ref="F81:H81"/>
    <mergeCell ref="A81:E81"/>
    <mergeCell ref="A83:E83"/>
    <mergeCell ref="A104:B104"/>
    <mergeCell ref="A105:B105"/>
    <mergeCell ref="A106:B106"/>
    <mergeCell ref="A127:B127"/>
    <mergeCell ref="A128:B128"/>
    <mergeCell ref="L124:M124"/>
    <mergeCell ref="A123:H123"/>
    <mergeCell ref="L107:M107"/>
    <mergeCell ref="L106:M106"/>
    <mergeCell ref="L105:M105"/>
    <mergeCell ref="L104:M104"/>
    <mergeCell ref="L108:M108"/>
    <mergeCell ref="L109:M109"/>
    <mergeCell ref="L110:M110"/>
    <mergeCell ref="L111:M111"/>
    <mergeCell ref="L119:M119"/>
    <mergeCell ref="L120:M120"/>
    <mergeCell ref="L116:M116"/>
    <mergeCell ref="L117:M117"/>
    <mergeCell ref="L118:M118"/>
    <mergeCell ref="A112:H112"/>
    <mergeCell ref="C128:F128"/>
    <mergeCell ref="A38:B38"/>
    <mergeCell ref="A61:C61"/>
    <mergeCell ref="D61:H61"/>
    <mergeCell ref="A64:C64"/>
    <mergeCell ref="D64:H64"/>
    <mergeCell ref="A62:C62"/>
    <mergeCell ref="D62:H62"/>
    <mergeCell ref="A135:B135"/>
    <mergeCell ref="E42:H42"/>
    <mergeCell ref="E43:H43"/>
    <mergeCell ref="E44:H44"/>
    <mergeCell ref="E45:H45"/>
    <mergeCell ref="A43:D43"/>
    <mergeCell ref="A76:B76"/>
    <mergeCell ref="A63:C63"/>
    <mergeCell ref="D63:H63"/>
    <mergeCell ref="A69:B69"/>
    <mergeCell ref="G68:H68"/>
    <mergeCell ref="F86:H86"/>
    <mergeCell ref="A80:E80"/>
    <mergeCell ref="F79:H79"/>
    <mergeCell ref="F84:H84"/>
    <mergeCell ref="A79:E79"/>
    <mergeCell ref="E68:F68"/>
    <mergeCell ref="A40:D40"/>
    <mergeCell ref="E40:H4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F32:H32"/>
    <mergeCell ref="F33:H33"/>
    <mergeCell ref="A39:H39"/>
    <mergeCell ref="A58:C58"/>
    <mergeCell ref="F35:H35"/>
    <mergeCell ref="A37:B37"/>
    <mergeCell ref="A44:D44"/>
    <mergeCell ref="A45:D45"/>
    <mergeCell ref="A46:H46"/>
    <mergeCell ref="D56:H56"/>
    <mergeCell ref="A56:C56"/>
    <mergeCell ref="G49:H49"/>
    <mergeCell ref="A50:B51"/>
    <mergeCell ref="A49:B49"/>
    <mergeCell ref="A53:H53"/>
    <mergeCell ref="A54:C54"/>
    <mergeCell ref="A55:C55"/>
    <mergeCell ref="D55:H55"/>
    <mergeCell ref="G52:H52"/>
    <mergeCell ref="C51:H51"/>
    <mergeCell ref="A42:D42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86:H189"/>
    <mergeCell ref="A185:B185"/>
    <mergeCell ref="E185:F185"/>
    <mergeCell ref="C185:D185"/>
    <mergeCell ref="G185:H185"/>
    <mergeCell ref="A92:H92"/>
    <mergeCell ref="A90:E90"/>
    <mergeCell ref="F90:H90"/>
    <mergeCell ref="A91:E91"/>
    <mergeCell ref="F91:H91"/>
    <mergeCell ref="A124:H124"/>
    <mergeCell ref="A99:B99"/>
    <mergeCell ref="A133:B133"/>
    <mergeCell ref="A94:B94"/>
    <mergeCell ref="A181:H181"/>
    <mergeCell ref="A97:H97"/>
    <mergeCell ref="A184:H184"/>
    <mergeCell ref="A182:H182"/>
    <mergeCell ref="C99:D99"/>
    <mergeCell ref="B167:H167"/>
    <mergeCell ref="B174:H174"/>
    <mergeCell ref="A121:H121"/>
    <mergeCell ref="A126:B126"/>
    <mergeCell ref="B177:H177"/>
    <mergeCell ref="A179:H179"/>
    <mergeCell ref="E98:F98"/>
    <mergeCell ref="B175:H175"/>
    <mergeCell ref="B176:H176"/>
    <mergeCell ref="B173:H173"/>
    <mergeCell ref="B169:H169"/>
    <mergeCell ref="A100:H100"/>
    <mergeCell ref="A132:B132"/>
    <mergeCell ref="A101:H101"/>
    <mergeCell ref="B168:H168"/>
    <mergeCell ref="B170:H170"/>
    <mergeCell ref="B171:H171"/>
    <mergeCell ref="A166:H166"/>
    <mergeCell ref="B172:H172"/>
    <mergeCell ref="A107:B107"/>
    <mergeCell ref="A103:H103"/>
    <mergeCell ref="G102:H102"/>
    <mergeCell ref="A116:B116"/>
    <mergeCell ref="A117:B117"/>
    <mergeCell ref="A118:B118"/>
    <mergeCell ref="A119:B119"/>
    <mergeCell ref="A120:B120"/>
    <mergeCell ref="A129:B129"/>
    <mergeCell ref="A178:H178"/>
    <mergeCell ref="I10:L10"/>
    <mergeCell ref="A16:B16"/>
    <mergeCell ref="C16:H16"/>
    <mergeCell ref="E41:H41"/>
    <mergeCell ref="A41:D41"/>
    <mergeCell ref="A183:H183"/>
    <mergeCell ref="A180:H180"/>
    <mergeCell ref="A125:B125"/>
    <mergeCell ref="A98:B98"/>
    <mergeCell ref="G122:H122"/>
    <mergeCell ref="A74:B74"/>
    <mergeCell ref="F80:H80"/>
    <mergeCell ref="G94:H94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4" max="16383" man="1"/>
    <brk id="189" max="16383" man="1"/>
    <brk id="23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B16" sqref="B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2" t="s">
        <v>110</v>
      </c>
      <c r="C3" s="192"/>
      <c r="D3" s="192"/>
      <c r="E3" s="192"/>
      <c r="F3" s="192"/>
      <c r="G3" s="192"/>
      <c r="H3" s="192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"/>
  <sheetViews>
    <sheetView zoomScale="70" zoomScaleNormal="70" workbookViewId="0">
      <selection activeCell="B6" sqref="B6"/>
    </sheetView>
  </sheetViews>
  <sheetFormatPr defaultRowHeight="15" x14ac:dyDescent="0.25"/>
  <cols>
    <col min="1" max="1" width="12.42578125" bestFit="1" customWidth="1"/>
  </cols>
  <sheetData>
    <row r="1" spans="1:3" x14ac:dyDescent="0.25">
      <c r="A1" s="56">
        <v>44741</v>
      </c>
      <c r="B1" t="s">
        <v>197</v>
      </c>
      <c r="C1" t="s">
        <v>198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2025-09-15T12:54:00Z</cp:lastPrinted>
  <dcterms:created xsi:type="dcterms:W3CDTF">2019-07-16T09:29:46Z</dcterms:created>
  <dcterms:modified xsi:type="dcterms:W3CDTF">2025-09-15T12:55:55Z</dcterms:modified>
</cp:coreProperties>
</file>