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3.09\"/>
    </mc:Choice>
  </mc:AlternateContent>
  <xr:revisionPtr revIDLastSave="0" documentId="13_ncr:1_{AF4A0A84-E5E1-4F97-8578-A22B37D59F1F}"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5" i="1" l="1"/>
  <c r="I143" i="1"/>
  <c r="B85" i="1"/>
  <c r="J95" i="1" s="1"/>
  <c r="C128" i="1"/>
  <c r="G205" i="1"/>
  <c r="E205" i="1"/>
  <c r="D205" i="1"/>
  <c r="E203" i="1"/>
  <c r="I203" i="1"/>
  <c r="D203" i="1"/>
  <c r="G203" i="1"/>
  <c r="E201" i="1"/>
  <c r="E200" i="1"/>
  <c r="E199" i="1"/>
  <c r="E198" i="1"/>
  <c r="E197" i="1"/>
  <c r="E196" i="1"/>
  <c r="E195" i="1"/>
  <c r="D201" i="1"/>
  <c r="D200" i="1"/>
  <c r="D199" i="1"/>
  <c r="D198" i="1"/>
  <c r="D197" i="1"/>
  <c r="D196" i="1"/>
  <c r="D195" i="1"/>
  <c r="E183" i="1"/>
  <c r="E172" i="1"/>
  <c r="G180" i="1"/>
  <c r="E181" i="1"/>
  <c r="E180" i="1"/>
  <c r="E179" i="1"/>
  <c r="E178" i="1"/>
  <c r="E177" i="1"/>
  <c r="D183" i="1"/>
  <c r="E182" i="1"/>
  <c r="D182" i="1"/>
  <c r="D181" i="1"/>
  <c r="D180" i="1"/>
  <c r="D179" i="1"/>
  <c r="D178" i="1"/>
  <c r="D177" i="1"/>
  <c r="E193" i="1"/>
  <c r="E191" i="1"/>
  <c r="E192" i="1"/>
  <c r="E190" i="1"/>
  <c r="E189" i="1"/>
  <c r="E188" i="1"/>
  <c r="E187" i="1"/>
  <c r="D193" i="1"/>
  <c r="D192" i="1"/>
  <c r="D191" i="1"/>
  <c r="D190" i="1"/>
  <c r="D189" i="1"/>
  <c r="D188" i="1"/>
  <c r="D187" i="1"/>
  <c r="E175" i="1"/>
  <c r="E174" i="1"/>
  <c r="E173" i="1"/>
  <c r="E171" i="1"/>
  <c r="E170" i="1"/>
  <c r="E169" i="1"/>
  <c r="D175" i="1"/>
  <c r="D174" i="1"/>
  <c r="D173" i="1"/>
  <c r="D172" i="1"/>
  <c r="D171" i="1"/>
  <c r="D170" i="1"/>
  <c r="I175" i="1"/>
  <c r="D169" i="1"/>
  <c r="J169" i="1"/>
  <c r="I169" i="1"/>
  <c r="C114" i="1"/>
  <c r="H85" i="1"/>
  <c r="F205" i="1" l="1"/>
  <c r="H205" i="1" s="1"/>
  <c r="G160" i="1" s="1"/>
  <c r="J93" i="1"/>
  <c r="J89" i="1"/>
  <c r="C88" i="1" s="1"/>
  <c r="D97" i="1"/>
  <c r="D95" i="1"/>
  <c r="D93" i="1"/>
  <c r="D91" i="1"/>
  <c r="D96" i="1"/>
  <c r="D94" i="1"/>
  <c r="D92" i="1"/>
  <c r="D90" i="1"/>
  <c r="J88" i="1"/>
  <c r="J87" i="1"/>
  <c r="J84" i="1"/>
  <c r="J86" i="1" s="1"/>
  <c r="F203" i="1"/>
  <c r="E159" i="1" s="1"/>
  <c r="J90" i="1"/>
  <c r="J91" i="1" s="1"/>
  <c r="J96" i="1" s="1"/>
  <c r="J92" i="1"/>
  <c r="J94" i="1"/>
  <c r="C160" i="1"/>
  <c r="E160" i="1"/>
  <c r="G201" i="1"/>
  <c r="G200" i="1"/>
  <c r="G199" i="1"/>
  <c r="G198" i="1"/>
  <c r="G197" i="1"/>
  <c r="G196" i="1"/>
  <c r="G195" i="1"/>
  <c r="F200" i="1"/>
  <c r="G193" i="1"/>
  <c r="G192" i="1"/>
  <c r="G191" i="1"/>
  <c r="G190" i="1"/>
  <c r="G189" i="1"/>
  <c r="G188" i="1"/>
  <c r="G187" i="1"/>
  <c r="G175" i="1"/>
  <c r="G174" i="1"/>
  <c r="G173" i="1"/>
  <c r="G172" i="1"/>
  <c r="G171" i="1"/>
  <c r="G170" i="1"/>
  <c r="G169" i="1"/>
  <c r="G183" i="1"/>
  <c r="G182" i="1"/>
  <c r="G181" i="1"/>
  <c r="G179" i="1"/>
  <c r="G178" i="1"/>
  <c r="G177" i="1"/>
  <c r="F175" i="1"/>
  <c r="I164" i="1"/>
  <c r="E43" i="1"/>
  <c r="C159" i="1" l="1"/>
  <c r="H203" i="1"/>
  <c r="G159" i="1" s="1"/>
  <c r="J97" i="1"/>
  <c r="C89" i="1"/>
  <c r="E88" i="1" s="1"/>
  <c r="D88" i="1"/>
  <c r="H200" i="1"/>
  <c r="H175" i="1"/>
  <c r="C158" i="1"/>
  <c r="C157" i="1"/>
  <c r="F197" i="1"/>
  <c r="H197" i="1" s="1"/>
  <c r="F173" i="1"/>
  <c r="H173" i="1" s="1"/>
  <c r="K173" i="1" s="1"/>
  <c r="F192" i="1"/>
  <c r="H192" i="1" s="1"/>
  <c r="F174" i="1"/>
  <c r="H174" i="1" s="1"/>
  <c r="F187" i="1"/>
  <c r="H187" i="1" s="1"/>
  <c r="F198" i="1"/>
  <c r="H198" i="1" s="1"/>
  <c r="F178" i="1"/>
  <c r="H178" i="1" s="1"/>
  <c r="F180" i="1"/>
  <c r="H180" i="1" s="1"/>
  <c r="F182" i="1"/>
  <c r="H182" i="1" s="1"/>
  <c r="F190" i="1"/>
  <c r="H190" i="1" s="1"/>
  <c r="F189" i="1"/>
  <c r="H189" i="1" s="1"/>
  <c r="F191" i="1"/>
  <c r="H191" i="1" s="1"/>
  <c r="F193" i="1"/>
  <c r="H193" i="1" s="1"/>
  <c r="F196" i="1"/>
  <c r="H196" i="1" s="1"/>
  <c r="F179" i="1"/>
  <c r="H179" i="1" s="1"/>
  <c r="F201" i="1"/>
  <c r="H201" i="1" s="1"/>
  <c r="F177" i="1"/>
  <c r="H177" i="1" s="1"/>
  <c r="F181" i="1"/>
  <c r="H181" i="1" s="1"/>
  <c r="F183" i="1"/>
  <c r="H183" i="1" s="1"/>
  <c r="F188" i="1"/>
  <c r="F195" i="1"/>
  <c r="H195" i="1" s="1"/>
  <c r="F199" i="1"/>
  <c r="H199" i="1" s="1"/>
  <c r="L174" i="1" l="1"/>
  <c r="J174" i="1"/>
  <c r="K174" i="1"/>
  <c r="I157" i="1"/>
  <c r="K175" i="1"/>
  <c r="J175" i="1"/>
  <c r="J85" i="1"/>
  <c r="G88" i="1"/>
  <c r="D89" i="1"/>
  <c r="I85" i="1" s="1"/>
  <c r="C161" i="1"/>
  <c r="H188" i="1"/>
  <c r="G158" i="1" s="1"/>
  <c r="E158" i="1"/>
  <c r="I86" i="1" l="1"/>
  <c r="I84" i="1" s="1"/>
  <c r="C86" i="1" s="1"/>
  <c r="B38" i="6"/>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30" i="1"/>
  <c r="B208" i="1"/>
  <c r="F172" i="1"/>
  <c r="H172" i="1" s="1"/>
  <c r="K172" i="1" s="1"/>
  <c r="F171" i="1"/>
  <c r="H171" i="1" s="1"/>
  <c r="K171" i="1" s="1"/>
  <c r="F170" i="1"/>
  <c r="H170" i="1" s="1"/>
  <c r="K170" i="1" s="1"/>
  <c r="F169" i="1"/>
  <c r="F154" i="1"/>
  <c r="C100" i="1"/>
  <c r="B71" i="1"/>
  <c r="D64" i="1"/>
  <c r="D56" i="1"/>
  <c r="G51" i="1"/>
  <c r="G52" i="1" s="1"/>
  <c r="C51" i="1"/>
  <c r="C52" i="1" s="1"/>
  <c r="E44" i="1"/>
  <c r="E45" i="1" s="1"/>
  <c r="S33" i="1"/>
  <c r="E31" i="1"/>
  <c r="E28" i="1"/>
  <c r="E26" i="1"/>
  <c r="C16" i="1"/>
  <c r="I15" i="1"/>
  <c r="Z13" i="1"/>
  <c r="E8" i="1"/>
  <c r="E3" i="1"/>
  <c r="B217" i="1" s="1"/>
  <c r="H101" i="1"/>
  <c r="H169" i="1" l="1"/>
  <c r="E157" i="1"/>
  <c r="E161" i="1" s="1"/>
  <c r="J78" i="1"/>
  <c r="J79" i="1"/>
  <c r="I42" i="7"/>
  <c r="H42" i="7" s="1"/>
  <c r="L42" i="7"/>
  <c r="K42" i="7" s="1"/>
  <c r="J100" i="1"/>
  <c r="J102" i="1" s="1"/>
  <c r="D109" i="1"/>
  <c r="D108" i="1"/>
  <c r="D113" i="1"/>
  <c r="D107" i="1"/>
  <c r="J103" i="1"/>
  <c r="D112" i="1"/>
  <c r="J105" i="1"/>
  <c r="C104" i="1" s="1"/>
  <c r="D106" i="1"/>
  <c r="D111" i="1"/>
  <c r="J104" i="1"/>
  <c r="D110" i="1"/>
  <c r="D42" i="7"/>
  <c r="B101" i="1"/>
  <c r="J80" i="1"/>
  <c r="J81" i="1"/>
  <c r="I52" i="1"/>
  <c r="H71" i="1"/>
  <c r="G157" i="1" l="1"/>
  <c r="G161" i="1" s="1"/>
  <c r="K169" i="1"/>
  <c r="J73" i="1"/>
  <c r="D82" i="1"/>
  <c r="D80" i="1"/>
  <c r="D78" i="1"/>
  <c r="D76" i="1"/>
  <c r="J74" i="1"/>
  <c r="D79" i="1"/>
  <c r="D77" i="1"/>
  <c r="D81" i="1"/>
  <c r="D83" i="1"/>
  <c r="J75" i="1"/>
  <c r="C74" i="1" s="1"/>
  <c r="J70" i="1"/>
  <c r="J72" i="1" s="1"/>
  <c r="J76" i="1"/>
  <c r="J77" i="1" s="1"/>
  <c r="J82" i="1" s="1"/>
  <c r="J83" i="1" s="1"/>
  <c r="C75" i="1" s="1"/>
  <c r="E74" i="1" s="1"/>
  <c r="E98" i="1" s="1"/>
  <c r="D44" i="7"/>
  <c r="E44" i="7"/>
  <c r="D104" i="1"/>
  <c r="J109" i="1"/>
  <c r="J106" i="1"/>
  <c r="J107" i="1" s="1"/>
  <c r="J112" i="1" s="1"/>
  <c r="J113" i="1" s="1"/>
  <c r="C105" i="1" s="1"/>
  <c r="J111" i="1"/>
  <c r="J108" i="1"/>
  <c r="J110" i="1"/>
  <c r="B129" i="1" l="1"/>
  <c r="G74" i="1"/>
  <c r="D74" i="1"/>
  <c r="J71" i="1" s="1"/>
  <c r="D75" i="1"/>
  <c r="E104" i="1"/>
  <c r="D105" i="1"/>
  <c r="I101" i="1" s="1"/>
  <c r="J101" i="1"/>
  <c r="G104" i="1"/>
  <c r="H129" i="1"/>
  <c r="D68" i="1" l="1"/>
  <c r="F69" i="1" s="1"/>
  <c r="H98" i="1"/>
  <c r="J133" i="1"/>
  <c r="D132" i="1" s="1"/>
  <c r="J131" i="1"/>
  <c r="J128" i="1"/>
  <c r="J130" i="1" s="1"/>
  <c r="D141" i="1"/>
  <c r="D139" i="1"/>
  <c r="D137" i="1"/>
  <c r="D135" i="1"/>
  <c r="D140" i="1"/>
  <c r="D138" i="1"/>
  <c r="D136" i="1"/>
  <c r="D134" i="1"/>
  <c r="J132" i="1"/>
  <c r="J139" i="1"/>
  <c r="J137" i="1"/>
  <c r="J138" i="1"/>
  <c r="J136" i="1"/>
  <c r="J134" i="1"/>
  <c r="J135" i="1" s="1"/>
  <c r="J140" i="1" s="1"/>
  <c r="J141" i="1" s="1"/>
  <c r="B115" i="1"/>
  <c r="I71" i="1"/>
  <c r="I72" i="1" s="1"/>
  <c r="I70" i="1" s="1"/>
  <c r="C72" i="1" s="1"/>
  <c r="I102" i="1"/>
  <c r="I100" i="1" s="1"/>
  <c r="C102" i="1" s="1"/>
  <c r="H115" i="1"/>
  <c r="D69" i="1" l="1"/>
  <c r="E132" i="1"/>
  <c r="D133" i="1"/>
  <c r="I129" i="1" s="1"/>
  <c r="I130" i="1" s="1"/>
  <c r="G132" i="1"/>
  <c r="J129" i="1"/>
  <c r="D126" i="1"/>
  <c r="D124" i="1"/>
  <c r="D122" i="1"/>
  <c r="D120" i="1"/>
  <c r="J118" i="1"/>
  <c r="J119" i="1"/>
  <c r="C118" i="1" s="1"/>
  <c r="J117" i="1"/>
  <c r="J114" i="1"/>
  <c r="J116" i="1" s="1"/>
  <c r="D127" i="1"/>
  <c r="D125" i="1"/>
  <c r="D123" i="1"/>
  <c r="D121" i="1"/>
  <c r="J124" i="1"/>
  <c r="J122" i="1"/>
  <c r="J120" i="1"/>
  <c r="J125" i="1"/>
  <c r="J123" i="1"/>
  <c r="I128" i="1" l="1"/>
  <c r="C130" i="1" s="1"/>
  <c r="J121" i="1"/>
  <c r="J126" i="1" s="1"/>
  <c r="J127" i="1" s="1"/>
  <c r="C119" i="1" s="1"/>
  <c r="G118" i="1" s="1"/>
  <c r="D118" i="1"/>
  <c r="J115" i="1" l="1"/>
  <c r="E118" i="1"/>
  <c r="D119" i="1"/>
  <c r="I115" i="1" s="1"/>
  <c r="I116" i="1" l="1"/>
  <c r="I114" i="1" s="1"/>
  <c r="C1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6"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47" authorId="1" shapeId="0" xr:uid="{00000000-0006-0000-0000-000004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5" authorId="1" shapeId="0" xr:uid="{00000000-0006-0000-0000-000005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<sst xmlns="http://schemas.openxmlformats.org/spreadsheetml/2006/main" count="758" uniqueCount="413">
  <si>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</si>
  <si>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</si>
  <si>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</si>
  <si>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</si>
  <si>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</si>
  <si>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</si>
  <si>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</si>
  <si>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</si>
  <si>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</si>
  <si>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</si>
  <si>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</si>
  <si>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</si>
  <si>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</si>
  <si>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</si>
  <si>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</si>
  <si>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</si>
  <si>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</si>
  <si>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</si>
  <si>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</si>
  <si>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</si>
  <si>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</si>
  <si>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</si>
  <si>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</si>
  <si>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</si>
  <si>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</si>
  <si>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</si>
  <si>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</si>
  <si>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</si>
  <si>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</si>
  <si>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</si>
  <si>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</si>
  <si>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</si>
  <si>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</si>
  <si>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</si>
  <si>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</si>
  <si>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</si>
  <si>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</si>
  <si>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</si>
  <si>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</si>
  <si>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</si>
  <si>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</si>
  <si>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</si>
  <si>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</si>
  <si>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</si>
  <si>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</si>
  <si>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</si>
  <si>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</si>
  <si>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</si>
  <si>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</si>
  <si>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</si>
  <si>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</si>
  <si>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</si>
  <si>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</si>
  <si>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</si>
  <si>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</si>
  <si>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</si>
  <si>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</si>
  <si>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</si>
  <si>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</si>
  <si>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</si>
  <si>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</si>
  <si>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</si>
  <si>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</si>
  <si>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</si>
  <si>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</si>
  <si>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</si>
  <si>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</si>
  <si>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</si>
  <si>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</si>
  <si>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</si>
  <si>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</si>
  <si>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</si>
  <si>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</si>
  <si>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</si>
  <si>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</si>
  <si>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</si>
  <si>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</si>
  <si>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</si>
  <si>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</si>
  <si>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</si>
  <si>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</si>
  <si>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</si>
  <si>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</si>
  <si>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</si>
  <si>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</si>
  <si>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</si>
  <si>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</si>
  <si>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</si>
  <si>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</si>
  <si>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</si>
  <si>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</si>
  <si>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</si>
  <si>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</si>
  <si>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</si>
  <si>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</si>
  <si>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</si>
  <si>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</si>
  <si>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</si>
  <si>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</si>
  <si>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</si>
  <si>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</si>
  <si>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</si>
  <si>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</si>
  <si>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</si>
  <si>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</si>
  <si>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</si>
  <si>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</si>
  <si>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</si>
  <si>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</si>
  <si>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</si>
  <si>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</si>
  <si>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</si>
  <si>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</si>
  <si>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</si>
  <si>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</si>
  <si>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</si>
  <si>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</si>
  <si>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</si>
  <si>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</si>
  <si>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</si>
  <si>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</si>
  <si>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</si>
  <si>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</si>
  <si>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</si>
  <si>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</si>
  <si>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</si>
  <si>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</si>
  <si>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</si>
  <si>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</si>
  <si>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</si>
  <si>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</si>
  <si>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</si>
  <si>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</si>
  <si>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</si>
  <si>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</si>
  <si>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</si>
  <si>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</si>
  <si>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</si>
  <si>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</si>
  <si>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</si>
  <si>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</si>
  <si>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</si>
  <si>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</si>
  <si>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</si>
  <si>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</si>
  <si>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</si>
  <si>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</si>
  <si>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</si>
  <si>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</si>
  <si>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</si>
  <si>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</si>
  <si>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</si>
  <si>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</si>
  <si>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</si>
  <si>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</si>
  <si>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</si>
  <si>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</si>
  <si>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</si>
  <si>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</si>
  <si>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</si>
  <si>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</si>
  <si>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</si>
  <si>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</si>
  <si>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</si>
  <si>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</si>
  <si>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</si>
  <si>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</si>
  <si>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</si>
  <si>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</si>
  <si>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</si>
  <si>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</si>
  <si>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</si>
  <si>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</si>
  <si>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</si>
  <si>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</si>
  <si>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</si>
  <si>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</si>
  <si>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</si>
  <si>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</si>
  <si>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</si>
  <si>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</si>
  <si>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</si>
  <si>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</si>
  <si>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</si>
  <si>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</si>
  <si>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</si>
  <si>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</si>
  <si>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</si>
  <si>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</si>
  <si>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</si>
  <si>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</si>
  <si>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</si>
  <si>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</si>
  <si>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</si>
  <si>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</si>
  <si>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</si>
  <si>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</si>
  <si>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</si>
  <si>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</si>
  <si>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</si>
  <si>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</si>
  <si>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</si>
  <si>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</si>
  <si>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</si>
  <si>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</si>
  <si>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</si>
  <si>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</si>
  <si>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</si>
  <si>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</si>
  <si>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</si>
  <si>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</si>
  <si>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</si>
  <si>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</si>
  <si>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</si>
  <si>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</si>
  <si>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</si>
  <si>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</si>
  <si>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</si>
  <si>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</si>
  <si>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</si>
  <si>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</si>
  <si>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</si>
  <si>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</si>
  <si>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</si>
  <si>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</si>
  <si>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</si>
  <si>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</si>
  <si>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</si>
  <si>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</si>
  <si>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</si>
  <si>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</si>
  <si>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</si>
  <si>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</si>
  <si>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</si>
  <si>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</si>
  <si>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</si>
  <si>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</si>
  <si>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</si>
  <si>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</si>
  <si>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</si>
  <si>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</si>
  <si>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</si>
  <si>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</si>
  <si>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</si>
  <si>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</si>
  <si>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</si>
  <si>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</si>
  <si>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</si>
  <si>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</si>
  <si>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</si>
  <si>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</si>
  <si>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</si>
  <si>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</si>
  <si>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</si>
  <si>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</si>
  <si>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</si>
  <si>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</si>
  <si>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</si>
  <si>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</si>
  <si>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</si>
  <si>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</si>
  <si>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</si>
  <si>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</si>
  <si>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</si>
  <si>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</si>
  <si>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</si>
  <si>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</si>
  <si>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</si>
  <si>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</si>
  <si>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</si>
  <si>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</si>
  <si>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</si>
  <si>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</si>
  <si>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</si>
  <si>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</si>
  <si>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</si>
  <si>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</si>
  <si>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</si>
  <si>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</si>
  <si>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</si>
  <si>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</si>
  <si>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</si>
  <si>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</si>
  <si>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</si>
  <si>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</si>
  <si>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</si>
  <si>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</si>
  <si>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</si>
  <si>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</si>
  <si>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</si>
  <si>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</si>
  <si>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</si>
  <si>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</si>
  <si>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</si>
  <si>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</si>
  <si>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</si>
  <si>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</si>
  <si>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</si>
  <si>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</si>
  <si>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</si>
  <si>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</si>
  <si>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</si>
  <si>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</si>
  <si>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</si>
  <si>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</si>
  <si>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</si>
  <si>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</si>
  <si>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</si>
  <si>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</si>
  <si>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</si>
  <si>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</si>
  <si>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</si>
  <si>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</si>
  <si>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</si>
  <si>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</si>
  <si>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</si>
  <si>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</si>
  <si>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</si>
  <si>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</si>
  <si>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</si>
  <si>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</si>
  <si>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</si>
  <si>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</si>
  <si>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</si>
  <si>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</si>
  <si>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</si>
  <si>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</si>
  <si>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</si>
  <si>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</si>
  <si>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</si>
  <si>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</si>
  <si>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</si>
  <si>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</si>
  <si>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</si>
  <si>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</si>
  <si>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</si>
  <si>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</si>
  <si>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</si>
  <si>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</si>
  <si>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</si>
  <si>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</si>
  <si>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</si>
  <si>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</si>
  <si>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</si>
  <si>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</si>
  <si>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</si>
  <si>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</si>
  <si>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</si>
  <si>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</si>
  <si>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</si>
  <si>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</si>
  <si>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</si>
  <si>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</si>
  <si>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</si>
  <si>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</si>
  <si>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Samarth Sai Builders &amp; Developers</t>
  </si>
  <si>
    <t>P51700077747</t>
  </si>
  <si>
    <t>Survey No</t>
  </si>
  <si>
    <t>Adavli - Dhokli</t>
  </si>
  <si>
    <t>https://maps.app.goo.gl/RGDbCKHtYieKMEzy5</t>
  </si>
  <si>
    <t>1st to 6th Floor</t>
  </si>
  <si>
    <t>Ground Floor For Parking</t>
  </si>
  <si>
    <t>7th Floor</t>
  </si>
  <si>
    <t>1BHK</t>
  </si>
  <si>
    <t>2BHK</t>
  </si>
  <si>
    <t>Seasons Sahara T4</t>
  </si>
  <si>
    <t>Other Plot</t>
  </si>
  <si>
    <t>Haji Malang Road</t>
  </si>
  <si>
    <t>KDMC/TPD/BP/27Village/2024-25/09</t>
  </si>
  <si>
    <t xml:space="preserve">Details of Residential in Building   </t>
  </si>
  <si>
    <r>
      <t xml:space="preserve">Flat No.
</t>
    </r>
    <r>
      <rPr>
        <b/>
        <sz val="11"/>
        <rFont val="Times New Roman"/>
        <family val="1"/>
      </rPr>
      <t>(Approved Plan)</t>
    </r>
  </si>
  <si>
    <t>As per RERA - 31/12/2026</t>
  </si>
  <si>
    <t>https://www.99acres.com/seasons-sahara-kalyan-east-mumbai-beyond-thane-npxid-r330671</t>
  </si>
  <si>
    <r>
      <t xml:space="preserve">Proposed Amenities :                                                                                                                                                                                                                         </t>
    </r>
    <r>
      <rPr>
        <b/>
        <sz val="12"/>
        <rFont val="Times New Roman"/>
        <family val="1"/>
      </rPr>
      <t xml:space="preserve">                                               </t>
    </r>
  </si>
  <si>
    <t>Approved Plans, CC &amp; Sale Plan</t>
  </si>
  <si>
    <t>23, Hissa No. 2</t>
  </si>
  <si>
    <t>19.212248,73.129624</t>
  </si>
  <si>
    <t>Building</t>
  </si>
  <si>
    <t>Season Sahara T-4</t>
  </si>
  <si>
    <t>Internal Road</t>
  </si>
  <si>
    <t>02 Buildings &amp; 02 Row House</t>
  </si>
  <si>
    <t>Building A &amp; B = G + 1st to 7th Floor
Row House 1 &amp; 2 = Gr + 1st to 2nd Floor</t>
  </si>
  <si>
    <t>Building No.1A &amp; 1B
Row House 1 &amp; 2</t>
  </si>
  <si>
    <t>Building No.1A = G + 1st to 7th Floor
Building No.1B = G + 1st to 7th Floor
Row House 1 = Gr + 1st to 2nd Floor
Row House 2 = Gr + 1st to 2nd Floor</t>
  </si>
  <si>
    <t>Building No.1A = G + 1st to 7th Floor</t>
  </si>
  <si>
    <t>Row House 1 = Gr + 1st to 2nd Floor</t>
  </si>
  <si>
    <t>Building No.1B = G + 1st to 7th Floor</t>
  </si>
  <si>
    <t>Parking, Lift, Compound Wall, 24X7 Water Supply, Street Lighting, Internal Roads &amp; Footpaths, Fire Fighting System, Recreation Facilities</t>
  </si>
  <si>
    <t>https://bharatpropertty.com/property/seasons-sahara-nano-building-no-a-and-b-1-and-2-bhk-apartments-in-thane/</t>
  </si>
  <si>
    <t>1st to 6th Floor Residential</t>
  </si>
  <si>
    <t>Building No.1A</t>
  </si>
  <si>
    <t>Building No.1B</t>
  </si>
  <si>
    <t>Balcony + AP Area</t>
  </si>
  <si>
    <t>We considered Gross carpet area = Net carpet + Encl Balcony + Balcony + AP Area</t>
  </si>
  <si>
    <t>Row House 1</t>
  </si>
  <si>
    <t>Row House 1 (Gr + 1st to 2nd Floor)</t>
  </si>
  <si>
    <t>3BHK</t>
  </si>
  <si>
    <t>Row House 2 (Gr + 1st to 2nd Floor)</t>
  </si>
  <si>
    <t>Row House 2</t>
  </si>
  <si>
    <t>Row House 2 = Gr + 1st to 2nd Floor</t>
  </si>
  <si>
    <t>Building No.1A, 1B &amp; Row House 1 = Construction work is in process at the time of Visit (labour found).
Row House 2 = Work not yet started.</t>
  </si>
  <si>
    <t>Part II - Building No.1A = G + 1st to 7th Floor</t>
  </si>
  <si>
    <t>Average Progress %</t>
  </si>
  <si>
    <t>Average Disbursement %</t>
  </si>
  <si>
    <t xml:space="preserve">Average of Part I &amp; II (Building No.1 A) </t>
  </si>
  <si>
    <t>Flats - 98, Row House - 2</t>
  </si>
  <si>
    <t>Seasons Sahara Nano Building No.A &amp; B</t>
  </si>
  <si>
    <t>Kalyan East</t>
  </si>
  <si>
    <t>Recommended rate of the Row House Per Sq. Ft.</t>
  </si>
  <si>
    <t>3.5KM from Kalyan Junction Railway Station</t>
  </si>
  <si>
    <t>Mr. Rajesh 9029836398</t>
  </si>
  <si>
    <t>Mangesh</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</si>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</sst>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6" fillId="0" borderId="0" applyNumberFormat="0" applyFill="0" applyBorder="0" applyAlignment="0" applyProtection="0"/>
  </cellStyleXfs>
  <cellXfs count="24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29" fillId="0" borderId="0" xfId="1" applyFont="1"/>
    <xf numFmtId="1" fontId="7" fillId="0" borderId="1" xfId="1" applyNumberFormat="1" applyFont="1" applyBorder="1" applyAlignment="1">
      <alignment horizontal="center" vertical="center"/>
    </xf>
    <xf numFmtId="0" fontId="26"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9" fontId="12" fillId="0" borderId="3" xfId="8" applyFont="1" applyFill="1" applyBorder="1" applyAlignment="1" applyProtection="1">
      <alignment horizontal="center" vertical="top" wrapText="1"/>
      <protection locked="0"/>
    </xf>
    <xf numFmtId="168" fontId="7" fillId="0" borderId="0" xfId="1" applyNumberFormat="1" applyFont="1"/>
    <xf numFmtId="9" fontId="13" fillId="3" borderId="30" xfId="8" applyFont="1" applyFill="1" applyBorder="1" applyAlignment="1" applyProtection="1">
      <alignment horizontal="center" vertical="center" wrapText="1"/>
      <protection locked="0"/>
    </xf>
    <xf numFmtId="9" fontId="13" fillId="3" borderId="7" xfId="8" applyFont="1" applyFill="1" applyBorder="1" applyAlignment="1" applyProtection="1">
      <alignment horizontal="center" vertical="center" wrapText="1"/>
      <protection locked="0"/>
    </xf>
    <xf numFmtId="0" fontId="13" fillId="3" borderId="30" xfId="1" applyFont="1" applyFill="1" applyBorder="1" applyAlignment="1" applyProtection="1">
      <alignment horizontal="center" vertical="center" wrapText="1"/>
      <protection locked="0"/>
    </xf>
    <xf numFmtId="0" fontId="13" fillId="3" borderId="7" xfId="1" applyFont="1" applyFill="1" applyBorder="1" applyAlignment="1" applyProtection="1">
      <alignment horizontal="center" vertical="center" wrapText="1"/>
      <protection locked="0"/>
    </xf>
    <xf numFmtId="9" fontId="13" fillId="3" borderId="31" xfId="8" applyFont="1" applyFill="1" applyBorder="1" applyAlignment="1" applyProtection="1">
      <alignment horizontal="center" vertical="center" wrapText="1"/>
      <protection locked="0"/>
    </xf>
    <xf numFmtId="9" fontId="13" fillId="3" borderId="39"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0" fontId="12" fillId="0" borderId="35"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3" fillId="3" borderId="38" xfId="1" applyFont="1" applyFill="1" applyBorder="1" applyAlignment="1" applyProtection="1">
      <alignment horizontal="center" vertical="center" wrapText="1"/>
      <protection locked="0"/>
    </xf>
    <xf numFmtId="0" fontId="13" fillId="3" borderId="6" xfId="1" applyFont="1" applyFill="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8"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65" fontId="6"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7" fillId="0" borderId="0" xfId="1" applyFont="1" applyAlignment="1">
      <alignment horizontal="center" vertical="center"/>
    </xf>
    <xf numFmtId="0" fontId="13" fillId="0" borderId="36"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7"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top" wrapText="1"/>
      <protection locked="0"/>
    </xf>
    <xf numFmtId="0" fontId="6" fillId="0" borderId="24"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8</xdr:col>
      <xdr:colOff>333136</xdr:colOff>
      <xdr:row>18</xdr:row>
      <xdr:rowOff>127987</xdr:rowOff>
    </xdr:from>
    <xdr:to>
      <xdr:col>15</xdr:col>
      <xdr:colOff>675238</xdr:colOff>
      <xdr:row>21</xdr:row>
      <xdr:rowOff>386735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48211" y="4776187"/>
          <a:ext cx="6380952" cy="858823"/>
        </a:xfrm>
        <a:prstGeom prst="rect">
          <a:avLst/>
        </a:prstGeom>
      </xdr:spPr>
    </xdr:pic>
    <xdr:clientData/>
  </xdr:twoCellAnchor>
  <xdr:twoCellAnchor>
    <xdr:from>
      <xdr:col>0</xdr:col>
      <xdr:colOff>540203</xdr:colOff>
      <xdr:row>334</xdr:row>
      <xdr:rowOff>26329</xdr:rowOff>
    </xdr:from>
    <xdr:to>
      <xdr:col>7</xdr:col>
      <xdr:colOff>22860</xdr:colOff>
      <xdr:row>354</xdr:row>
      <xdr:rowOff>7620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40203" y="65169709"/>
          <a:ext cx="5212897" cy="3943691"/>
          <a:chOff x="-224287" y="0"/>
          <a:chExt cx="7297948" cy="4623758"/>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24287" y="0"/>
            <a:ext cx="7297948" cy="4623758"/>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rot="993653">
            <a:off x="2800288" y="2133745"/>
            <a:ext cx="289491" cy="68815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2000"/>
          </a:p>
        </xdr:txBody>
      </xdr:sp>
    </xdr:grpSp>
    <xdr:clientData/>
  </xdr:twoCellAnchor>
  <xdr:twoCellAnchor editAs="oneCell">
    <xdr:from>
      <xdr:col>12</xdr:col>
      <xdr:colOff>251734</xdr:colOff>
      <xdr:row>163</xdr:row>
      <xdr:rowOff>450346</xdr:rowOff>
    </xdr:from>
    <xdr:to>
      <xdr:col>19</xdr:col>
      <xdr:colOff>70727</xdr:colOff>
      <xdr:row>182</xdr:row>
      <xdr:rowOff>196978</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stretch>
          <a:fillRect/>
        </a:stretch>
      </xdr:blipFill>
      <xdr:spPr>
        <a:xfrm>
          <a:off x="10167259" y="31492321"/>
          <a:ext cx="4981543" cy="3947157"/>
        </a:xfrm>
        <a:prstGeom prst="rect">
          <a:avLst/>
        </a:prstGeom>
      </xdr:spPr>
    </xdr:pic>
    <xdr:clientData/>
  </xdr:twoCellAnchor>
  <xdr:twoCellAnchor editAs="oneCell">
    <xdr:from>
      <xdr:col>13</xdr:col>
      <xdr:colOff>597593</xdr:colOff>
      <xdr:row>194</xdr:row>
      <xdr:rowOff>39380</xdr:rowOff>
    </xdr:from>
    <xdr:to>
      <xdr:col>16</xdr:col>
      <xdr:colOff>302796</xdr:colOff>
      <xdr:row>203</xdr:row>
      <xdr:rowOff>46359</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1303693" y="37672655"/>
          <a:ext cx="2134078" cy="1807204"/>
        </a:xfrm>
        <a:prstGeom prst="rect">
          <a:avLst/>
        </a:prstGeom>
      </xdr:spPr>
    </xdr:pic>
    <xdr:clientData/>
  </xdr:twoCellAnchor>
  <xdr:twoCellAnchor editAs="oneCell">
    <xdr:from>
      <xdr:col>8</xdr:col>
      <xdr:colOff>752475</xdr:colOff>
      <xdr:row>45</xdr:row>
      <xdr:rowOff>85725</xdr:rowOff>
    </xdr:from>
    <xdr:to>
      <xdr:col>13</xdr:col>
      <xdr:colOff>209069</xdr:colOff>
      <xdr:row>56</xdr:row>
      <xdr:rowOff>97716</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
        <a:stretch>
          <a:fillRect/>
        </a:stretch>
      </xdr:blipFill>
      <xdr:spPr>
        <a:xfrm>
          <a:off x="7067550" y="10344150"/>
          <a:ext cx="3847619" cy="2688516"/>
        </a:xfrm>
        <a:prstGeom prst="rect">
          <a:avLst/>
        </a:prstGeom>
      </xdr:spPr>
    </xdr:pic>
    <xdr:clientData/>
  </xdr:twoCellAnchor>
  <xdr:twoCellAnchor editAs="oneCell">
    <xdr:from>
      <xdr:col>10</xdr:col>
      <xdr:colOff>490257</xdr:colOff>
      <xdr:row>139</xdr:row>
      <xdr:rowOff>138392</xdr:rowOff>
    </xdr:from>
    <xdr:to>
      <xdr:col>18</xdr:col>
      <xdr:colOff>160345</xdr:colOff>
      <xdr:row>162</xdr:row>
      <xdr:rowOff>145676</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a:stretch>
          <a:fillRect/>
        </a:stretch>
      </xdr:blipFill>
      <xdr:spPr>
        <a:xfrm>
          <a:off x="8729382" y="27979967"/>
          <a:ext cx="5785138" cy="3007659"/>
        </a:xfrm>
        <a:prstGeom prst="rect">
          <a:avLst/>
        </a:prstGeom>
      </xdr:spPr>
    </xdr:pic>
    <xdr:clientData/>
  </xdr:twoCellAnchor>
  <xdr:twoCellAnchor editAs="oneCell">
    <xdr:from>
      <xdr:col>8</xdr:col>
      <xdr:colOff>275345</xdr:colOff>
      <xdr:row>8</xdr:row>
      <xdr:rowOff>199303</xdr:rowOff>
    </xdr:from>
    <xdr:to>
      <xdr:col>15</xdr:col>
      <xdr:colOff>771557</xdr:colOff>
      <xdr:row>17</xdr:row>
      <xdr:rowOff>128561</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7"/>
        <a:stretch>
          <a:fillRect/>
        </a:stretch>
      </xdr:blipFill>
      <xdr:spPr>
        <a:xfrm>
          <a:off x="6590420" y="2180503"/>
          <a:ext cx="6535062" cy="2396233"/>
        </a:xfrm>
        <a:prstGeom prst="rect">
          <a:avLst/>
        </a:prstGeom>
      </xdr:spPr>
    </xdr:pic>
    <xdr:clientData/>
  </xdr:twoCellAnchor>
  <xdr:twoCellAnchor>
    <xdr:from>
      <xdr:col>0</xdr:col>
      <xdr:colOff>756557</xdr:colOff>
      <xdr:row>272</xdr:row>
      <xdr:rowOff>54426</xdr:rowOff>
    </xdr:from>
    <xdr:to>
      <xdr:col>6</xdr:col>
      <xdr:colOff>662940</xdr:colOff>
      <xdr:row>311</xdr:row>
      <xdr:rowOff>68580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756557" y="52914366"/>
          <a:ext cx="4882243" cy="7740834"/>
          <a:chOff x="1123950" y="47529750"/>
          <a:chExt cx="4449253" cy="8350716"/>
        </a:xfrm>
      </xdr:grpSpPr>
      <xdr:grpSp>
        <xdr:nvGrpSpPr>
          <xdr:cNvPr id="8" name="Group 7">
            <a:extLst>
              <a:ext uri="{FF2B5EF4-FFF2-40B4-BE49-F238E27FC236}">
                <a16:creationId xmlns:a16="http://schemas.microsoft.com/office/drawing/2014/main" id="{00000000-0008-0000-0000-000008000000}"/>
              </a:ext>
            </a:extLst>
          </xdr:cNvPr>
          <xdr:cNvGrpSpPr/>
        </xdr:nvGrpSpPr>
        <xdr:grpSpPr>
          <a:xfrm>
            <a:off x="1123950" y="47529750"/>
            <a:ext cx="4449253" cy="8350716"/>
            <a:chOff x="1204374" y="86265"/>
            <a:chExt cx="4449253" cy="8350716"/>
          </a:xfrm>
        </xdr:grpSpPr>
        <xdr:grpSp>
          <xdr:nvGrpSpPr>
            <xdr:cNvPr id="9" name="Group 8">
              <a:extLst>
                <a:ext uri="{FF2B5EF4-FFF2-40B4-BE49-F238E27FC236}">
                  <a16:creationId xmlns:a16="http://schemas.microsoft.com/office/drawing/2014/main" id="{00000000-0008-0000-0000-000009000000}"/>
                </a:ext>
              </a:extLst>
            </xdr:cNvPr>
            <xdr:cNvGrpSpPr/>
          </xdr:nvGrpSpPr>
          <xdr:grpSpPr>
            <a:xfrm>
              <a:off x="1204374" y="86265"/>
              <a:ext cx="4449253" cy="5079700"/>
              <a:chOff x="0" y="0"/>
              <a:chExt cx="2609850" cy="4010025"/>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0" y="0"/>
                <a:ext cx="2609850" cy="4010025"/>
              </a:xfrm>
              <a:prstGeom prst="rect">
                <a:avLst/>
              </a:prstGeom>
              <a:ln>
                <a:solidFill>
                  <a:schemeClr val="tx1"/>
                </a:solidFill>
              </a:ln>
            </xdr:spPr>
          </xdr:pic>
          <xdr:sp macro="" textlink="">
            <xdr:nvSpPr>
              <xdr:cNvPr id="12" name="Freeform 11">
                <a:extLst>
                  <a:ext uri="{FF2B5EF4-FFF2-40B4-BE49-F238E27FC236}">
                    <a16:creationId xmlns:a16="http://schemas.microsoft.com/office/drawing/2014/main" id="{00000000-0008-0000-0000-00000C000000}"/>
                  </a:ext>
                </a:extLst>
              </xdr:cNvPr>
              <xdr:cNvSpPr/>
            </xdr:nvSpPr>
            <xdr:spPr>
              <a:xfrm>
                <a:off x="923925" y="1657350"/>
                <a:ext cx="885825" cy="790575"/>
              </a:xfrm>
              <a:custGeom>
                <a:avLst/>
                <a:gdLst>
                  <a:gd name="connsiteX0" fmla="*/ 0 w 885825"/>
                  <a:gd name="connsiteY0" fmla="*/ 0 h 790575"/>
                  <a:gd name="connsiteX1" fmla="*/ 581025 w 885825"/>
                  <a:gd name="connsiteY1" fmla="*/ 0 h 790575"/>
                  <a:gd name="connsiteX2" fmla="*/ 885825 w 885825"/>
                  <a:gd name="connsiteY2" fmla="*/ 0 h 790575"/>
                  <a:gd name="connsiteX3" fmla="*/ 885825 w 885825"/>
                  <a:gd name="connsiteY3" fmla="*/ 571501 h 790575"/>
                  <a:gd name="connsiteX4" fmla="*/ 581025 w 885825"/>
                  <a:gd name="connsiteY4" fmla="*/ 571501 h 790575"/>
                  <a:gd name="connsiteX5" fmla="*/ 581025 w 885825"/>
                  <a:gd name="connsiteY5" fmla="*/ 790575 h 790575"/>
                  <a:gd name="connsiteX6" fmla="*/ 0 w 885825"/>
                  <a:gd name="connsiteY6" fmla="*/ 790575 h 790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85825" h="790575">
                    <a:moveTo>
                      <a:pt x="0" y="0"/>
                    </a:moveTo>
                    <a:lnTo>
                      <a:pt x="581025" y="0"/>
                    </a:lnTo>
                    <a:lnTo>
                      <a:pt x="885825" y="0"/>
                    </a:lnTo>
                    <a:lnTo>
                      <a:pt x="885825" y="571501"/>
                    </a:lnTo>
                    <a:lnTo>
                      <a:pt x="581025" y="571501"/>
                    </a:lnTo>
                    <a:lnTo>
                      <a:pt x="581025" y="790575"/>
                    </a:lnTo>
                    <a:lnTo>
                      <a:pt x="0" y="79057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2000"/>
              </a:p>
            </xdr:txBody>
          </xdr:sp>
          <xdr:sp macro="" textlink="">
            <xdr:nvSpPr>
              <xdr:cNvPr id="13" name="Freeform 12">
                <a:extLst>
                  <a:ext uri="{FF2B5EF4-FFF2-40B4-BE49-F238E27FC236}">
                    <a16:creationId xmlns:a16="http://schemas.microsoft.com/office/drawing/2014/main" id="{00000000-0008-0000-0000-00000D000000}"/>
                  </a:ext>
                </a:extLst>
              </xdr:cNvPr>
              <xdr:cNvSpPr/>
            </xdr:nvSpPr>
            <xdr:spPr>
              <a:xfrm rot="16200000">
                <a:off x="933450" y="2438399"/>
                <a:ext cx="771525" cy="790575"/>
              </a:xfrm>
              <a:custGeom>
                <a:avLst/>
                <a:gdLst>
                  <a:gd name="connsiteX0" fmla="*/ 0 w 885825"/>
                  <a:gd name="connsiteY0" fmla="*/ 0 h 790575"/>
                  <a:gd name="connsiteX1" fmla="*/ 581025 w 885825"/>
                  <a:gd name="connsiteY1" fmla="*/ 0 h 790575"/>
                  <a:gd name="connsiteX2" fmla="*/ 885825 w 885825"/>
                  <a:gd name="connsiteY2" fmla="*/ 0 h 790575"/>
                  <a:gd name="connsiteX3" fmla="*/ 885825 w 885825"/>
                  <a:gd name="connsiteY3" fmla="*/ 571501 h 790575"/>
                  <a:gd name="connsiteX4" fmla="*/ 581025 w 885825"/>
                  <a:gd name="connsiteY4" fmla="*/ 571501 h 790575"/>
                  <a:gd name="connsiteX5" fmla="*/ 581025 w 885825"/>
                  <a:gd name="connsiteY5" fmla="*/ 790575 h 790575"/>
                  <a:gd name="connsiteX6" fmla="*/ 0 w 885825"/>
                  <a:gd name="connsiteY6" fmla="*/ 790575 h 790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85825" h="790575">
                    <a:moveTo>
                      <a:pt x="0" y="0"/>
                    </a:moveTo>
                    <a:lnTo>
                      <a:pt x="581025" y="0"/>
                    </a:lnTo>
                    <a:lnTo>
                      <a:pt x="885825" y="0"/>
                    </a:lnTo>
                    <a:lnTo>
                      <a:pt x="885825" y="571501"/>
                    </a:lnTo>
                    <a:lnTo>
                      <a:pt x="581025" y="571501"/>
                    </a:lnTo>
                    <a:lnTo>
                      <a:pt x="581025" y="790575"/>
                    </a:lnTo>
                    <a:lnTo>
                      <a:pt x="0" y="79057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2000"/>
              </a:p>
            </xdr:txBody>
          </xdr:sp>
          <xdr:sp macro="" textlink="">
            <xdr:nvSpPr>
              <xdr:cNvPr id="14" name="TextBox 41">
                <a:extLst>
                  <a:ext uri="{FF2B5EF4-FFF2-40B4-BE49-F238E27FC236}">
                    <a16:creationId xmlns:a16="http://schemas.microsoft.com/office/drawing/2014/main" id="{00000000-0008-0000-0000-00000E000000}"/>
                  </a:ext>
                </a:extLst>
              </xdr:cNvPr>
              <xdr:cNvSpPr txBox="1"/>
            </xdr:nvSpPr>
            <xdr:spPr>
              <a:xfrm>
                <a:off x="949195" y="1350936"/>
                <a:ext cx="905689" cy="5560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Building No. A</a:t>
                </a:r>
                <a:endParaRPr lang="en-IN" sz="2000" b="1">
                  <a:solidFill>
                    <a:srgbClr val="FF0000"/>
                  </a:solidFill>
                </a:endParaRPr>
              </a:p>
            </xdr:txBody>
          </xdr:sp>
          <xdr:sp macro="" textlink="">
            <xdr:nvSpPr>
              <xdr:cNvPr id="15" name="TextBox 46">
                <a:extLst>
                  <a:ext uri="{FF2B5EF4-FFF2-40B4-BE49-F238E27FC236}">
                    <a16:creationId xmlns:a16="http://schemas.microsoft.com/office/drawing/2014/main" id="{00000000-0008-0000-0000-00000F000000}"/>
                  </a:ext>
                </a:extLst>
              </xdr:cNvPr>
              <xdr:cNvSpPr txBox="1"/>
            </xdr:nvSpPr>
            <xdr:spPr>
              <a:xfrm>
                <a:off x="937138" y="3210311"/>
                <a:ext cx="900047" cy="5560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Building No. B</a:t>
                </a:r>
                <a:endParaRPr lang="en-IN" sz="2000" b="1">
                  <a:solidFill>
                    <a:srgbClr val="FF0000"/>
                  </a:solidFill>
                </a:endParaRPr>
              </a:p>
            </xdr:txBody>
          </xdr:sp>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rot="21152149">
                <a:off x="414366" y="3246309"/>
                <a:ext cx="720000" cy="720000"/>
              </a:xfrm>
              <a:prstGeom prst="rect">
                <a:avLst/>
              </a:prstGeom>
            </xdr:spPr>
          </xdr:pic>
          <xdr:sp macro="" textlink="">
            <xdr:nvSpPr>
              <xdr:cNvPr id="37" name="TextBox 41">
                <a:extLst>
                  <a:ext uri="{FF2B5EF4-FFF2-40B4-BE49-F238E27FC236}">
                    <a16:creationId xmlns:a16="http://schemas.microsoft.com/office/drawing/2014/main" id="{00000000-0008-0000-0000-000025000000}"/>
                  </a:ext>
                </a:extLst>
              </xdr:cNvPr>
              <xdr:cNvSpPr txBox="1"/>
            </xdr:nvSpPr>
            <xdr:spPr>
              <a:xfrm>
                <a:off x="740842" y="622817"/>
                <a:ext cx="1030296" cy="5076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rgbClr val="FF0000"/>
                    </a:solidFill>
                  </a:rPr>
                  <a:t>Row</a:t>
                </a:r>
                <a:r>
                  <a:rPr lang="en-US" sz="1800" b="1" baseline="0">
                    <a:solidFill>
                      <a:srgbClr val="FF0000"/>
                    </a:solidFill>
                  </a:rPr>
                  <a:t> House 1 &amp; 2</a:t>
                </a:r>
                <a:endParaRPr lang="en-IN" sz="1800" b="1">
                  <a:solidFill>
                    <a:srgbClr val="FF0000"/>
                  </a:solidFill>
                </a:endParaRPr>
              </a:p>
            </xdr:txBody>
          </xdr:sp>
        </xdr:grpSp>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0"/>
            <a:stretch>
              <a:fillRect/>
            </a:stretch>
          </xdr:blipFill>
          <xdr:spPr>
            <a:xfrm>
              <a:off x="1675458" y="5306505"/>
              <a:ext cx="3375377" cy="3130476"/>
            </a:xfrm>
            <a:prstGeom prst="rect">
              <a:avLst/>
            </a:prstGeom>
            <a:ln>
              <a:solidFill>
                <a:schemeClr val="tx1"/>
              </a:solidFill>
            </a:ln>
          </xdr:spPr>
        </xdr:pic>
      </xdr:grpSp>
      <xdr:sp macro="" textlink="">
        <xdr:nvSpPr>
          <xdr:cNvPr id="36" name="Rectangle 35">
            <a:extLst>
              <a:ext uri="{FF2B5EF4-FFF2-40B4-BE49-F238E27FC236}">
                <a16:creationId xmlns:a16="http://schemas.microsoft.com/office/drawing/2014/main" id="{00000000-0008-0000-0000-000024000000}"/>
              </a:ext>
            </a:extLst>
          </xdr:cNvPr>
          <xdr:cNvSpPr/>
        </xdr:nvSpPr>
        <xdr:spPr>
          <a:xfrm>
            <a:off x="2828925" y="47796450"/>
            <a:ext cx="742950" cy="561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200"/>
          </a:p>
        </xdr:txBody>
      </xdr:sp>
    </xdr:grpSp>
    <xdr:clientData/>
  </xdr:twoCellAnchor>
  <xdr:twoCellAnchor editAs="oneCell">
    <xdr:from>
      <xdr:col>9</xdr:col>
      <xdr:colOff>36029</xdr:colOff>
      <xdr:row>214</xdr:row>
      <xdr:rowOff>0</xdr:rowOff>
    </xdr:from>
    <xdr:to>
      <xdr:col>13</xdr:col>
      <xdr:colOff>549659</xdr:colOff>
      <xdr:row>221</xdr:row>
      <xdr:rowOff>118241</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1"/>
        <a:stretch>
          <a:fillRect/>
        </a:stretch>
      </xdr:blipFill>
      <xdr:spPr>
        <a:xfrm>
          <a:off x="7513154" y="42243375"/>
          <a:ext cx="3742605" cy="918341"/>
        </a:xfrm>
        <a:prstGeom prst="rect">
          <a:avLst/>
        </a:prstGeom>
      </xdr:spPr>
    </xdr:pic>
    <xdr:clientData/>
  </xdr:twoCellAnchor>
  <xdr:twoCellAnchor editAs="oneCell">
    <xdr:from>
      <xdr:col>12</xdr:col>
      <xdr:colOff>66434</xdr:colOff>
      <xdr:row>189</xdr:row>
      <xdr:rowOff>108858</xdr:rowOff>
    </xdr:from>
    <xdr:to>
      <xdr:col>16</xdr:col>
      <xdr:colOff>583266</xdr:colOff>
      <xdr:row>194</xdr:row>
      <xdr:rowOff>28951</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1"/>
        <a:stretch>
          <a:fillRect/>
        </a:stretch>
      </xdr:blipFill>
      <xdr:spPr>
        <a:xfrm>
          <a:off x="9981959" y="36742008"/>
          <a:ext cx="3736282" cy="920218"/>
        </a:xfrm>
        <a:prstGeom prst="rect">
          <a:avLst/>
        </a:prstGeom>
      </xdr:spPr>
    </xdr:pic>
    <xdr:clientData/>
  </xdr:twoCellAnchor>
  <xdr:twoCellAnchor editAs="oneCell">
    <xdr:from>
      <xdr:col>10</xdr:col>
      <xdr:colOff>168088</xdr:colOff>
      <xdr:row>159</xdr:row>
      <xdr:rowOff>168088</xdr:rowOff>
    </xdr:from>
    <xdr:to>
      <xdr:col>14</xdr:col>
      <xdr:colOff>777674</xdr:colOff>
      <xdr:row>165</xdr:row>
      <xdr:rowOff>145338</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2"/>
        <a:stretch>
          <a:fillRect/>
        </a:stretch>
      </xdr:blipFill>
      <xdr:spPr>
        <a:xfrm>
          <a:off x="8407213" y="30409963"/>
          <a:ext cx="3914761" cy="1577450"/>
        </a:xfrm>
        <a:prstGeom prst="rect">
          <a:avLst/>
        </a:prstGeom>
      </xdr:spPr>
    </xdr:pic>
    <xdr:clientData/>
  </xdr:twoCellAnchor>
  <xdr:twoCellAnchor editAs="oneCell">
    <xdr:from>
      <xdr:col>10</xdr:col>
      <xdr:colOff>533794</xdr:colOff>
      <xdr:row>131</xdr:row>
      <xdr:rowOff>119215</xdr:rowOff>
    </xdr:from>
    <xdr:to>
      <xdr:col>19</xdr:col>
      <xdr:colOff>299952</xdr:colOff>
      <xdr:row>152</xdr:row>
      <xdr:rowOff>56983</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3"/>
        <a:stretch>
          <a:fillRect/>
        </a:stretch>
      </xdr:blipFill>
      <xdr:spPr>
        <a:xfrm>
          <a:off x="8772919" y="26360590"/>
          <a:ext cx="6605108" cy="2538093"/>
        </a:xfrm>
        <a:prstGeom prst="rect">
          <a:avLst/>
        </a:prstGeom>
      </xdr:spPr>
    </xdr:pic>
    <xdr:clientData/>
  </xdr:twoCellAnchor>
  <xdr:twoCellAnchor editAs="oneCell">
    <xdr:from>
      <xdr:col>12</xdr:col>
      <xdr:colOff>475451</xdr:colOff>
      <xdr:row>160</xdr:row>
      <xdr:rowOff>185697</xdr:rowOff>
    </xdr:from>
    <xdr:to>
      <xdr:col>21</xdr:col>
      <xdr:colOff>596194</xdr:colOff>
      <xdr:row>171</xdr:row>
      <xdr:rowOff>137074</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3"/>
        <a:stretch>
          <a:fillRect/>
        </a:stretch>
      </xdr:blipFill>
      <xdr:spPr>
        <a:xfrm>
          <a:off x="10390976" y="30627597"/>
          <a:ext cx="6607268" cy="2551702"/>
        </a:xfrm>
        <a:prstGeom prst="rect">
          <a:avLst/>
        </a:prstGeom>
      </xdr:spPr>
    </xdr:pic>
    <xdr:clientData/>
  </xdr:twoCellAnchor>
  <xdr:twoCellAnchor editAs="oneCell">
    <xdr:from>
      <xdr:col>13</xdr:col>
      <xdr:colOff>267339</xdr:colOff>
      <xdr:row>174</xdr:row>
      <xdr:rowOff>56027</xdr:rowOff>
    </xdr:from>
    <xdr:to>
      <xdr:col>18</xdr:col>
      <xdr:colOff>540749</xdr:colOff>
      <xdr:row>187</xdr:row>
      <xdr:rowOff>76725</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4"/>
        <a:stretch>
          <a:fillRect/>
        </a:stretch>
      </xdr:blipFill>
      <xdr:spPr>
        <a:xfrm>
          <a:off x="10973439" y="33698327"/>
          <a:ext cx="3921485" cy="2611498"/>
        </a:xfrm>
        <a:prstGeom prst="rect">
          <a:avLst/>
        </a:prstGeom>
      </xdr:spPr>
    </xdr:pic>
    <xdr:clientData/>
  </xdr:twoCellAnchor>
  <xdr:twoCellAnchor editAs="oneCell">
    <xdr:from>
      <xdr:col>12</xdr:col>
      <xdr:colOff>32656</xdr:colOff>
      <xdr:row>158</xdr:row>
      <xdr:rowOff>96337</xdr:rowOff>
    </xdr:from>
    <xdr:to>
      <xdr:col>17</xdr:col>
      <xdr:colOff>580545</xdr:colOff>
      <xdr:row>178</xdr:row>
      <xdr:rowOff>1700</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5"/>
        <a:stretch>
          <a:fillRect/>
        </a:stretch>
      </xdr:blipFill>
      <xdr:spPr>
        <a:xfrm>
          <a:off x="10228216" y="29875297"/>
          <a:ext cx="4479809" cy="4264003"/>
        </a:xfrm>
        <a:prstGeom prst="rect">
          <a:avLst/>
        </a:prstGeom>
      </xdr:spPr>
    </xdr:pic>
    <xdr:clientData/>
  </xdr:twoCellAnchor>
  <xdr:twoCellAnchor editAs="oneCell">
    <xdr:from>
      <xdr:col>0</xdr:col>
      <xdr:colOff>734785</xdr:colOff>
      <xdr:row>314</xdr:row>
      <xdr:rowOff>81642</xdr:rowOff>
    </xdr:from>
    <xdr:to>
      <xdr:col>6</xdr:col>
      <xdr:colOff>530678</xdr:colOff>
      <xdr:row>333</xdr:row>
      <xdr:rowOff>80018</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6"/>
        <a:stretch>
          <a:fillRect/>
        </a:stretch>
      </xdr:blipFill>
      <xdr:spPr>
        <a:xfrm>
          <a:off x="734785" y="62527542"/>
          <a:ext cx="4644118" cy="3798851"/>
        </a:xfrm>
        <a:prstGeom prst="rect">
          <a:avLst/>
        </a:prstGeom>
        <a:ln>
          <a:solidFill>
            <a:sysClr val="windowText" lastClr="000000"/>
          </a:solidFill>
        </a:ln>
      </xdr:spPr>
    </xdr:pic>
    <xdr:clientData/>
  </xdr:twoCellAnchor>
  <xdr:twoCellAnchor>
    <xdr:from>
      <xdr:col>9</xdr:col>
      <xdr:colOff>54124</xdr:colOff>
      <xdr:row>230</xdr:row>
      <xdr:rowOff>156657</xdr:rowOff>
    </xdr:from>
    <xdr:to>
      <xdr:col>15</xdr:col>
      <xdr:colOff>689533</xdr:colOff>
      <xdr:row>265</xdr:row>
      <xdr:rowOff>4995</xdr:rowOff>
    </xdr:to>
    <xdr:grpSp>
      <xdr:nvGrpSpPr>
        <xdr:cNvPr id="52" name="Group 51">
          <a:extLst>
            <a:ext uri="{FF2B5EF4-FFF2-40B4-BE49-F238E27FC236}">
              <a16:creationId xmlns:a16="http://schemas.microsoft.com/office/drawing/2014/main" id="{47FA3A29-3913-4E84-83C7-D3937485FDE3}"/>
            </a:ext>
          </a:extLst>
        </xdr:cNvPr>
        <xdr:cNvGrpSpPr/>
      </xdr:nvGrpSpPr>
      <xdr:grpSpPr>
        <a:xfrm>
          <a:off x="7735084" y="44604117"/>
          <a:ext cx="5656989" cy="6782538"/>
          <a:chOff x="537882" y="464490"/>
          <a:chExt cx="5512433" cy="6848316"/>
        </a:xfrm>
      </xdr:grpSpPr>
      <xdr:grpSp>
        <xdr:nvGrpSpPr>
          <xdr:cNvPr id="53" name="Group 52">
            <a:extLst>
              <a:ext uri="{FF2B5EF4-FFF2-40B4-BE49-F238E27FC236}">
                <a16:creationId xmlns:a16="http://schemas.microsoft.com/office/drawing/2014/main" id="{360AC41B-42F2-4823-BAE4-A16DC7E39BDB}"/>
              </a:ext>
            </a:extLst>
          </xdr:cNvPr>
          <xdr:cNvGrpSpPr/>
        </xdr:nvGrpSpPr>
        <xdr:grpSpPr>
          <a:xfrm>
            <a:off x="537882" y="510066"/>
            <a:ext cx="5424607" cy="6802740"/>
            <a:chOff x="537882" y="510066"/>
            <a:chExt cx="5424607" cy="6802740"/>
          </a:xfrm>
        </xdr:grpSpPr>
        <xdr:pic>
          <xdr:nvPicPr>
            <xdr:cNvPr id="68" name="Picture 67">
              <a:extLst>
                <a:ext uri="{FF2B5EF4-FFF2-40B4-BE49-F238E27FC236}">
                  <a16:creationId xmlns:a16="http://schemas.microsoft.com/office/drawing/2014/main" id="{6FA28B07-260E-4664-9458-66EBDA449AE3}"/>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37882" y="510066"/>
              <a:ext cx="3357334" cy="2520000"/>
            </a:xfrm>
            <a:prstGeom prst="rect">
              <a:avLst/>
            </a:prstGeom>
            <a:ln>
              <a:solidFill>
                <a:schemeClr val="tx1"/>
              </a:solidFill>
            </a:ln>
          </xdr:spPr>
        </xdr:pic>
        <xdr:pic>
          <xdr:nvPicPr>
            <xdr:cNvPr id="69" name="Picture 68">
              <a:extLst>
                <a:ext uri="{FF2B5EF4-FFF2-40B4-BE49-F238E27FC236}">
                  <a16:creationId xmlns:a16="http://schemas.microsoft.com/office/drawing/2014/main" id="{ED572694-58B6-47AC-BD45-9223901BFB33}"/>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074458" y="510066"/>
              <a:ext cx="1888031" cy="2520000"/>
            </a:xfrm>
            <a:prstGeom prst="rect">
              <a:avLst/>
            </a:prstGeom>
            <a:ln>
              <a:solidFill>
                <a:schemeClr val="tx1"/>
              </a:solidFill>
            </a:ln>
          </xdr:spPr>
        </xdr:pic>
        <xdr:pic>
          <xdr:nvPicPr>
            <xdr:cNvPr id="70" name="Picture 69">
              <a:extLst>
                <a:ext uri="{FF2B5EF4-FFF2-40B4-BE49-F238E27FC236}">
                  <a16:creationId xmlns:a16="http://schemas.microsoft.com/office/drawing/2014/main" id="{229F38DC-D9C3-4C95-A698-AEA1E173BB05}"/>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544448" y="3191436"/>
              <a:ext cx="2008204" cy="2160000"/>
            </a:xfrm>
            <a:prstGeom prst="rect">
              <a:avLst/>
            </a:prstGeom>
            <a:ln>
              <a:solidFill>
                <a:schemeClr val="tx1"/>
              </a:solidFill>
            </a:ln>
          </xdr:spPr>
        </xdr:pic>
        <xdr:pic>
          <xdr:nvPicPr>
            <xdr:cNvPr id="71" name="Picture 70">
              <a:extLst>
                <a:ext uri="{FF2B5EF4-FFF2-40B4-BE49-F238E27FC236}">
                  <a16:creationId xmlns:a16="http://schemas.microsoft.com/office/drawing/2014/main" id="{419B0E23-F70D-4F3A-BF7F-20383DC911D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689389" y="3191436"/>
              <a:ext cx="3273100" cy="2160000"/>
            </a:xfrm>
            <a:prstGeom prst="rect">
              <a:avLst/>
            </a:prstGeom>
            <a:ln>
              <a:solidFill>
                <a:schemeClr val="tx1"/>
              </a:solidFill>
            </a:ln>
          </xdr:spPr>
        </xdr:pic>
        <xdr:pic>
          <xdr:nvPicPr>
            <xdr:cNvPr id="72" name="Picture 71">
              <a:extLst>
                <a:ext uri="{FF2B5EF4-FFF2-40B4-BE49-F238E27FC236}">
                  <a16:creationId xmlns:a16="http://schemas.microsoft.com/office/drawing/2014/main" id="{2BF9E2B3-973D-416D-AD32-77FF56F15C5F}"/>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16164" y="5512806"/>
              <a:ext cx="2398095" cy="1800000"/>
            </a:xfrm>
            <a:prstGeom prst="rect">
              <a:avLst/>
            </a:prstGeom>
            <a:ln>
              <a:solidFill>
                <a:schemeClr val="tx1"/>
              </a:solidFill>
            </a:ln>
          </xdr:spPr>
        </xdr:pic>
        <xdr:pic>
          <xdr:nvPicPr>
            <xdr:cNvPr id="73" name="Picture 72">
              <a:extLst>
                <a:ext uri="{FF2B5EF4-FFF2-40B4-BE49-F238E27FC236}">
                  <a16:creationId xmlns:a16="http://schemas.microsoft.com/office/drawing/2014/main" id="{3B01EB1F-EA73-4290-BA7E-BDC9220505C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085976" y="5512806"/>
              <a:ext cx="1348594" cy="1800000"/>
            </a:xfrm>
            <a:prstGeom prst="rect">
              <a:avLst/>
            </a:prstGeom>
            <a:ln>
              <a:solidFill>
                <a:schemeClr val="tx1"/>
              </a:solidFill>
            </a:ln>
          </xdr:spPr>
        </xdr:pic>
        <xdr:pic>
          <xdr:nvPicPr>
            <xdr:cNvPr id="74" name="Picture 73">
              <a:extLst>
                <a:ext uri="{FF2B5EF4-FFF2-40B4-BE49-F238E27FC236}">
                  <a16:creationId xmlns:a16="http://schemas.microsoft.com/office/drawing/2014/main" id="{83A80599-AA38-44F9-B9FC-F6F11859F9AD}"/>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06287" y="5512806"/>
              <a:ext cx="1348594" cy="1800000"/>
            </a:xfrm>
            <a:prstGeom prst="rect">
              <a:avLst/>
            </a:prstGeom>
            <a:ln>
              <a:solidFill>
                <a:schemeClr val="tx1"/>
              </a:solidFill>
            </a:ln>
          </xdr:spPr>
        </xdr:pic>
      </xdr:grpSp>
      <xdr:sp macro="" textlink="">
        <xdr:nvSpPr>
          <xdr:cNvPr id="57" name="TextBox 125">
            <a:extLst>
              <a:ext uri="{FF2B5EF4-FFF2-40B4-BE49-F238E27FC236}">
                <a16:creationId xmlns:a16="http://schemas.microsoft.com/office/drawing/2014/main" id="{2CF38A65-1C3F-4AAE-A0B8-9422D4A91176}"/>
              </a:ext>
            </a:extLst>
          </xdr:cNvPr>
          <xdr:cNvSpPr txBox="1"/>
        </xdr:nvSpPr>
        <xdr:spPr>
          <a:xfrm>
            <a:off x="1764954" y="1777342"/>
            <a:ext cx="91242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1A</a:t>
            </a:r>
            <a:endParaRPr lang="en-IN" b="1">
              <a:solidFill>
                <a:srgbClr val="FF0000"/>
              </a:solidFill>
            </a:endParaRPr>
          </a:p>
        </xdr:txBody>
      </xdr:sp>
      <xdr:sp macro="" textlink="">
        <xdr:nvSpPr>
          <xdr:cNvPr id="58" name="TextBox 126">
            <a:extLst>
              <a:ext uri="{FF2B5EF4-FFF2-40B4-BE49-F238E27FC236}">
                <a16:creationId xmlns:a16="http://schemas.microsoft.com/office/drawing/2014/main" id="{3996C59C-EF96-4B4A-9CBA-E073AC00F4A2}"/>
              </a:ext>
            </a:extLst>
          </xdr:cNvPr>
          <xdr:cNvSpPr txBox="1"/>
        </xdr:nvSpPr>
        <xdr:spPr>
          <a:xfrm>
            <a:off x="4020862" y="624902"/>
            <a:ext cx="91242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1A</a:t>
            </a:r>
            <a:endParaRPr lang="en-IN" b="1">
              <a:solidFill>
                <a:srgbClr val="FF0000"/>
              </a:solidFill>
            </a:endParaRPr>
          </a:p>
        </xdr:txBody>
      </xdr:sp>
      <xdr:sp macro="" textlink="">
        <xdr:nvSpPr>
          <xdr:cNvPr id="63" name="TextBox 127">
            <a:extLst>
              <a:ext uri="{FF2B5EF4-FFF2-40B4-BE49-F238E27FC236}">
                <a16:creationId xmlns:a16="http://schemas.microsoft.com/office/drawing/2014/main" id="{E8DCE636-BB4E-43E5-9566-C90A633864BC}"/>
              </a:ext>
            </a:extLst>
          </xdr:cNvPr>
          <xdr:cNvSpPr txBox="1"/>
        </xdr:nvSpPr>
        <xdr:spPr>
          <a:xfrm>
            <a:off x="5147504" y="464490"/>
            <a:ext cx="90281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1B</a:t>
            </a:r>
            <a:endParaRPr lang="en-IN" b="1">
              <a:solidFill>
                <a:srgbClr val="FF0000"/>
              </a:solidFill>
            </a:endParaRPr>
          </a:p>
        </xdr:txBody>
      </xdr:sp>
      <xdr:sp macro="" textlink="">
        <xdr:nvSpPr>
          <xdr:cNvPr id="64" name="TextBox 128">
            <a:extLst>
              <a:ext uri="{FF2B5EF4-FFF2-40B4-BE49-F238E27FC236}">
                <a16:creationId xmlns:a16="http://schemas.microsoft.com/office/drawing/2014/main" id="{A21B4157-C9A1-4C2F-AB8F-759B073D8DFA}"/>
              </a:ext>
            </a:extLst>
          </xdr:cNvPr>
          <xdr:cNvSpPr txBox="1"/>
        </xdr:nvSpPr>
        <xdr:spPr>
          <a:xfrm>
            <a:off x="1097144" y="4982104"/>
            <a:ext cx="90281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1B</a:t>
            </a:r>
            <a:endParaRPr lang="en-IN" b="1">
              <a:solidFill>
                <a:srgbClr val="FF0000"/>
              </a:solidFill>
            </a:endParaRPr>
          </a:p>
        </xdr:txBody>
      </xdr:sp>
      <xdr:cxnSp macro="">
        <xdr:nvCxnSpPr>
          <xdr:cNvPr id="66" name="Straight Arrow Connector 65">
            <a:extLst>
              <a:ext uri="{FF2B5EF4-FFF2-40B4-BE49-F238E27FC236}">
                <a16:creationId xmlns:a16="http://schemas.microsoft.com/office/drawing/2014/main" id="{F64F2BC4-01AD-47EC-B68A-B57F010C8C91}"/>
              </a:ext>
            </a:extLst>
          </xdr:cNvPr>
          <xdr:cNvCxnSpPr>
            <a:cxnSpLocks/>
          </xdr:cNvCxnSpPr>
        </xdr:nvCxnSpPr>
        <xdr:spPr>
          <a:xfrm flipH="1">
            <a:off x="5180584" y="759689"/>
            <a:ext cx="187646" cy="23454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FD651073-9D5D-48B6-B577-96876EC70048}"/>
              </a:ext>
            </a:extLst>
          </xdr:cNvPr>
          <xdr:cNvCxnSpPr>
            <a:cxnSpLocks/>
          </xdr:cNvCxnSpPr>
        </xdr:nvCxnSpPr>
        <xdr:spPr>
          <a:xfrm>
            <a:off x="4221480" y="994234"/>
            <a:ext cx="104459" cy="889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365761</xdr:colOff>
      <xdr:row>230</xdr:row>
      <xdr:rowOff>88557</xdr:rowOff>
    </xdr:from>
    <xdr:to>
      <xdr:col>7</xdr:col>
      <xdr:colOff>99061</xdr:colOff>
      <xdr:row>270</xdr:row>
      <xdr:rowOff>91441</xdr:rowOff>
    </xdr:to>
    <xdr:grpSp>
      <xdr:nvGrpSpPr>
        <xdr:cNvPr id="75" name="Group 74">
          <a:extLst>
            <a:ext uri="{FF2B5EF4-FFF2-40B4-BE49-F238E27FC236}">
              <a16:creationId xmlns:a16="http://schemas.microsoft.com/office/drawing/2014/main" id="{F70E7E73-6E5F-11AB-A4C7-5D71DD79DE7F}"/>
            </a:ext>
          </a:extLst>
        </xdr:cNvPr>
        <xdr:cNvGrpSpPr/>
      </xdr:nvGrpSpPr>
      <xdr:grpSpPr>
        <a:xfrm>
          <a:off x="365761" y="44536017"/>
          <a:ext cx="5463540" cy="7927684"/>
          <a:chOff x="365761" y="44536017"/>
          <a:chExt cx="5463540" cy="7927684"/>
        </a:xfrm>
      </xdr:grpSpPr>
      <xdr:grpSp>
        <xdr:nvGrpSpPr>
          <xdr:cNvPr id="3" name="Group 2">
            <a:extLst>
              <a:ext uri="{FF2B5EF4-FFF2-40B4-BE49-F238E27FC236}">
                <a16:creationId xmlns:a16="http://schemas.microsoft.com/office/drawing/2014/main" id="{86ABE5A4-D02B-DAEC-F068-C3A74D149028}"/>
              </a:ext>
            </a:extLst>
          </xdr:cNvPr>
          <xdr:cNvGrpSpPr/>
        </xdr:nvGrpSpPr>
        <xdr:grpSpPr>
          <a:xfrm>
            <a:off x="365761" y="44536017"/>
            <a:ext cx="5463540" cy="7927684"/>
            <a:chOff x="740716" y="158231"/>
            <a:chExt cx="5911025" cy="8394329"/>
          </a:xfrm>
        </xdr:grpSpPr>
        <xdr:pic>
          <xdr:nvPicPr>
            <xdr:cNvPr id="5" name="Picture 4">
              <a:extLst>
                <a:ext uri="{FF2B5EF4-FFF2-40B4-BE49-F238E27FC236}">
                  <a16:creationId xmlns:a16="http://schemas.microsoft.com/office/drawing/2014/main" id="{EF4870E0-8103-AC56-9833-45C1BB04016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757145" y="639256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a:extLst>
                <a:ext uri="{FF2B5EF4-FFF2-40B4-BE49-F238E27FC236}">
                  <a16:creationId xmlns:a16="http://schemas.microsoft.com/office/drawing/2014/main" id="{FB00EEA2-3A98-447F-1000-42AACBBC4C7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40716" y="158231"/>
              <a:ext cx="2886252" cy="38519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a:extLst>
                <a:ext uri="{FF2B5EF4-FFF2-40B4-BE49-F238E27FC236}">
                  <a16:creationId xmlns:a16="http://schemas.microsoft.com/office/drawing/2014/main" id="{FD263362-0C1B-C7AE-C009-F67FFBECD044}"/>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66428" y="4121347"/>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a:extLst>
                <a:ext uri="{FF2B5EF4-FFF2-40B4-BE49-F238E27FC236}">
                  <a16:creationId xmlns:a16="http://schemas.microsoft.com/office/drawing/2014/main" id="{C023588F-9805-F469-C4F6-1C91C7DC329D}"/>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757145" y="161115"/>
              <a:ext cx="2886252" cy="38519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a:extLst>
                <a:ext uri="{FF2B5EF4-FFF2-40B4-BE49-F238E27FC236}">
                  <a16:creationId xmlns:a16="http://schemas.microsoft.com/office/drawing/2014/main" id="{F2C20B46-43B2-2675-AB5B-B25009F7678C}"/>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774405" y="4121347"/>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a:extLst>
                <a:ext uri="{FF2B5EF4-FFF2-40B4-BE49-F238E27FC236}">
                  <a16:creationId xmlns:a16="http://schemas.microsoft.com/office/drawing/2014/main" id="{E8E7A713-602E-4644-C60F-60EFC421CD7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032335" y="6380203"/>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9" name="TextBox 125">
            <a:extLst>
              <a:ext uri="{FF2B5EF4-FFF2-40B4-BE49-F238E27FC236}">
                <a16:creationId xmlns:a16="http://schemas.microsoft.com/office/drawing/2014/main" id="{416C869C-5E59-4995-B157-F3EA3B3A60FB}"/>
              </a:ext>
            </a:extLst>
          </xdr:cNvPr>
          <xdr:cNvSpPr txBox="1"/>
        </xdr:nvSpPr>
        <xdr:spPr>
          <a:xfrm>
            <a:off x="365761" y="44536017"/>
            <a:ext cx="937024" cy="36573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1A</a:t>
            </a:r>
            <a:endParaRPr lang="en-IN" b="1">
              <a:solidFill>
                <a:srgbClr val="FF0000"/>
              </a:solidFill>
            </a:endParaRPr>
          </a:p>
        </xdr:txBody>
      </xdr:sp>
      <xdr:sp macro="" textlink="">
        <xdr:nvSpPr>
          <xdr:cNvPr id="50" name="TextBox 125">
            <a:extLst>
              <a:ext uri="{FF2B5EF4-FFF2-40B4-BE49-F238E27FC236}">
                <a16:creationId xmlns:a16="http://schemas.microsoft.com/office/drawing/2014/main" id="{1D85B7A8-A667-40CA-090A-0AC389750779}"/>
              </a:ext>
            </a:extLst>
          </xdr:cNvPr>
          <xdr:cNvSpPr txBox="1"/>
        </xdr:nvSpPr>
        <xdr:spPr>
          <a:xfrm>
            <a:off x="3179400" y="44596081"/>
            <a:ext cx="937024" cy="36573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1B</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bharatpropertty.com/property/seasons-sahara-nano-building-no-a-and-b-1-and-2-bhk-apartments-in-thane/" TargetMode="External"/><Relationship Id="rId7" Type="http://schemas.openxmlformats.org/officeDocument/2006/relationships/vmlDrawing" Target="../drawings/vmlDrawing2.vml"/><Relationship Id="rId2" Type="http://schemas.openxmlformats.org/officeDocument/2006/relationships/hyperlink" Target="https://www.99acres.com/seasons-sahara-kalyan-east-mumbai-beyond-thane-npxid-r330671" TargetMode="External"/><Relationship Id="rId1" Type="http://schemas.openxmlformats.org/officeDocument/2006/relationships/hyperlink" Target="https://maps.app.goo.gl/RGDbCKHtYieKMEzy5"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14"/>
  <sheetViews>
    <sheetView tabSelected="1" view="pageBreakPreview" topLeftCell="A22" zoomScaleNormal="100" zoomScaleSheetLayoutView="100" zoomScalePageLayoutView="85" workbookViewId="0">
      <selection activeCell="M30" sqref="M30"/>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88" t="s">
        <v>156</v>
      </c>
      <c r="B1" s="188"/>
      <c r="C1" s="188"/>
      <c r="D1" s="188"/>
      <c r="E1" s="188"/>
      <c r="F1" s="188"/>
      <c r="G1" s="188"/>
      <c r="H1" s="188"/>
    </row>
    <row r="2" spans="1:26" ht="16.5" customHeight="1" x14ac:dyDescent="0.3">
      <c r="A2" s="175" t="s">
        <v>0</v>
      </c>
      <c r="B2" s="175"/>
      <c r="C2" s="175"/>
      <c r="D2" s="175"/>
      <c r="E2" s="175"/>
      <c r="F2" s="175"/>
      <c r="G2" s="175"/>
      <c r="H2" s="175"/>
    </row>
    <row r="3" spans="1:26" x14ac:dyDescent="0.3">
      <c r="A3" s="153" t="s">
        <v>1</v>
      </c>
      <c r="B3" s="153"/>
      <c r="C3" s="153"/>
      <c r="D3" s="153"/>
      <c r="E3" s="153" t="str">
        <f ca="1">TEXT(TODAY(),"DD/MM/YYYY")</f>
        <v>13/09/2025</v>
      </c>
      <c r="F3" s="153"/>
      <c r="G3" s="153"/>
      <c r="H3" s="153"/>
      <c r="K3" s="49" t="s">
        <v>224</v>
      </c>
      <c r="L3" s="48" t="s">
        <v>222</v>
      </c>
      <c r="M3" s="48" t="s">
        <v>227</v>
      </c>
      <c r="N3" s="48" t="s">
        <v>225</v>
      </c>
      <c r="O3" s="48" t="s">
        <v>339</v>
      </c>
      <c r="P3" s="48" t="s">
        <v>228</v>
      </c>
    </row>
    <row r="4" spans="1:26" ht="15" customHeight="1" x14ac:dyDescent="0.3">
      <c r="A4" s="153" t="s">
        <v>221</v>
      </c>
      <c r="B4" s="153"/>
      <c r="C4" s="153"/>
      <c r="D4" s="153"/>
      <c r="E4" s="153" t="s">
        <v>222</v>
      </c>
      <c r="F4" s="153"/>
      <c r="G4" s="153"/>
      <c r="H4" s="153"/>
      <c r="K4" s="47" t="s">
        <v>223</v>
      </c>
      <c r="L4" s="48" t="s">
        <v>161</v>
      </c>
      <c r="M4" s="48" t="s">
        <v>232</v>
      </c>
      <c r="N4" s="48" t="s">
        <v>234</v>
      </c>
      <c r="O4" s="48" t="s">
        <v>326</v>
      </c>
      <c r="P4" s="48"/>
    </row>
    <row r="5" spans="1:26" ht="15" customHeight="1" x14ac:dyDescent="0.3">
      <c r="A5" s="153" t="s">
        <v>2</v>
      </c>
      <c r="B5" s="153"/>
      <c r="C5" s="153"/>
      <c r="D5" s="153"/>
      <c r="E5" s="153" t="s">
        <v>161</v>
      </c>
      <c r="F5" s="153"/>
      <c r="G5" s="153"/>
      <c r="H5" s="153"/>
      <c r="K5" s="47"/>
      <c r="L5" s="48" t="s">
        <v>229</v>
      </c>
      <c r="M5" s="48" t="s">
        <v>233</v>
      </c>
      <c r="N5" s="48" t="s">
        <v>235</v>
      </c>
      <c r="O5" s="48" t="s">
        <v>327</v>
      </c>
      <c r="P5" s="48"/>
    </row>
    <row r="6" spans="1:26" x14ac:dyDescent="0.3">
      <c r="A6" s="153" t="s">
        <v>3</v>
      </c>
      <c r="B6" s="153"/>
      <c r="C6" s="153"/>
      <c r="D6" s="153"/>
      <c r="E6" s="189">
        <v>45908</v>
      </c>
      <c r="F6" s="153"/>
      <c r="G6" s="153"/>
      <c r="H6" s="153"/>
      <c r="K6" s="47"/>
      <c r="L6" s="48" t="s">
        <v>230</v>
      </c>
      <c r="M6" s="48" t="s">
        <v>337</v>
      </c>
      <c r="N6" s="48"/>
      <c r="O6" s="48" t="s">
        <v>328</v>
      </c>
      <c r="P6" s="48"/>
    </row>
    <row r="7" spans="1:26" ht="16.5" customHeight="1" x14ac:dyDescent="0.3">
      <c r="A7" s="153" t="s">
        <v>4</v>
      </c>
      <c r="B7" s="153"/>
      <c r="C7" s="153"/>
      <c r="D7" s="153"/>
      <c r="E7" s="153" t="s">
        <v>355</v>
      </c>
      <c r="F7" s="153"/>
      <c r="G7" s="153"/>
      <c r="H7" s="153"/>
      <c r="K7" s="47"/>
      <c r="L7" s="48" t="s">
        <v>231</v>
      </c>
      <c r="M7" s="48"/>
      <c r="N7" s="48"/>
      <c r="O7" s="48" t="s">
        <v>328</v>
      </c>
      <c r="P7" s="48"/>
    </row>
    <row r="8" spans="1:26" ht="15" customHeight="1" x14ac:dyDescent="0.3">
      <c r="A8" s="153" t="s">
        <v>5</v>
      </c>
      <c r="B8" s="153"/>
      <c r="C8" s="153"/>
      <c r="D8" s="153"/>
      <c r="E8" s="153" t="str">
        <f>E7</f>
        <v>M/s. Samarth Sai Builders &amp; Developers</v>
      </c>
      <c r="F8" s="153"/>
      <c r="G8" s="153"/>
      <c r="H8" s="153"/>
      <c r="K8" s="47"/>
      <c r="L8" s="48"/>
      <c r="M8" s="48"/>
      <c r="N8" s="48"/>
      <c r="O8" s="48" t="s">
        <v>329</v>
      </c>
      <c r="P8" s="48"/>
    </row>
    <row r="9" spans="1:26" x14ac:dyDescent="0.3">
      <c r="A9" s="153" t="s">
        <v>6</v>
      </c>
      <c r="B9" s="153"/>
      <c r="C9" s="153"/>
      <c r="D9" s="153"/>
      <c r="E9" s="118" t="s">
        <v>406</v>
      </c>
      <c r="F9" s="118"/>
      <c r="G9" s="118"/>
      <c r="H9" s="118"/>
      <c r="K9" s="47"/>
      <c r="L9" s="48"/>
      <c r="M9" s="48"/>
      <c r="N9" s="48"/>
      <c r="O9" s="48" t="s">
        <v>330</v>
      </c>
      <c r="P9" s="48"/>
    </row>
    <row r="10" spans="1:26" x14ac:dyDescent="0.3">
      <c r="A10" s="153" t="s">
        <v>158</v>
      </c>
      <c r="B10" s="153"/>
      <c r="C10" s="153"/>
      <c r="D10" s="153"/>
      <c r="E10" s="153" t="s">
        <v>28</v>
      </c>
      <c r="F10" s="153"/>
      <c r="G10" s="153"/>
      <c r="H10" s="153"/>
      <c r="K10" s="47"/>
      <c r="L10" s="48"/>
      <c r="M10" s="48"/>
      <c r="N10" s="48"/>
      <c r="O10" s="48" t="s">
        <v>331</v>
      </c>
      <c r="P10" s="48"/>
    </row>
    <row r="11" spans="1:26" x14ac:dyDescent="0.3">
      <c r="A11" s="153" t="s">
        <v>159</v>
      </c>
      <c r="B11" s="153"/>
      <c r="C11" s="153"/>
      <c r="D11" s="153"/>
      <c r="E11" s="153" t="s">
        <v>410</v>
      </c>
      <c r="F11" s="153"/>
      <c r="G11" s="153"/>
      <c r="H11" s="153"/>
      <c r="O11" s="48" t="s">
        <v>332</v>
      </c>
    </row>
    <row r="12" spans="1:26" ht="35.25" customHeight="1" x14ac:dyDescent="0.3">
      <c r="A12" s="153" t="s">
        <v>7</v>
      </c>
      <c r="B12" s="153"/>
      <c r="C12" s="153"/>
      <c r="D12" s="153"/>
      <c r="E12" s="190" t="s">
        <v>382</v>
      </c>
      <c r="F12" s="153"/>
      <c r="G12" s="153"/>
      <c r="H12" s="153"/>
    </row>
    <row r="13" spans="1:26" x14ac:dyDescent="0.3">
      <c r="A13" s="153" t="s">
        <v>162</v>
      </c>
      <c r="B13" s="153"/>
      <c r="C13" s="153"/>
      <c r="D13" s="153"/>
      <c r="E13" s="153" t="s">
        <v>28</v>
      </c>
      <c r="F13" s="153"/>
      <c r="G13" s="153"/>
      <c r="H13" s="153"/>
      <c r="S13" s="48" t="s">
        <v>168</v>
      </c>
      <c r="T13" s="48" t="s">
        <v>177</v>
      </c>
      <c r="U13" s="48" t="s">
        <v>163</v>
      </c>
      <c r="V13" s="48" t="s">
        <v>182</v>
      </c>
      <c r="W13" s="48" t="s">
        <v>200</v>
      </c>
      <c r="X13"/>
      <c r="Y13" t="s">
        <v>182</v>
      </c>
      <c r="Z13" t="e">
        <f ca="1">OFFSET($S$13,1,MATCH($G20,$S$13:$W$13,0)-1,15,1)</f>
        <v>#VALUE!</v>
      </c>
    </row>
    <row r="14" spans="1:26" x14ac:dyDescent="0.3">
      <c r="A14" s="144" t="s">
        <v>267</v>
      </c>
      <c r="B14" s="144"/>
      <c r="C14" s="144"/>
      <c r="D14" s="144"/>
      <c r="E14" s="190" t="s">
        <v>374</v>
      </c>
      <c r="F14" s="190"/>
      <c r="G14" s="190"/>
      <c r="H14" s="190"/>
      <c r="S14" s="48" t="s">
        <v>168</v>
      </c>
      <c r="T14" s="48" t="s">
        <v>175</v>
      </c>
      <c r="U14" s="48" t="s">
        <v>197</v>
      </c>
      <c r="V14" s="48" t="s">
        <v>183</v>
      </c>
      <c r="W14" s="48" t="s">
        <v>201</v>
      </c>
      <c r="X14"/>
      <c r="Y14"/>
      <c r="Z14"/>
    </row>
    <row r="15" spans="1:26" x14ac:dyDescent="0.3">
      <c r="A15" s="144" t="s">
        <v>8</v>
      </c>
      <c r="B15" s="144"/>
      <c r="C15" s="144"/>
      <c r="D15" s="144"/>
      <c r="E15" s="190" t="s">
        <v>356</v>
      </c>
      <c r="F15" s="153"/>
      <c r="G15" s="153"/>
      <c r="H15" s="153"/>
      <c r="I15" s="145" t="e">
        <f ca="1">OFFSET($D$5,1,MATCH($J13,$D$5:$H$5,0)-1,15,1)</f>
        <v>#N/A</v>
      </c>
      <c r="J15" s="146"/>
      <c r="K15" s="146"/>
      <c r="L15" s="146"/>
      <c r="M15" s="146"/>
      <c r="N15" s="146"/>
      <c r="O15" s="146"/>
      <c r="P15" s="146"/>
      <c r="S15" s="48" t="s">
        <v>169</v>
      </c>
      <c r="T15" s="48" t="s">
        <v>176</v>
      </c>
      <c r="U15" s="48" t="s">
        <v>198</v>
      </c>
      <c r="V15" s="48" t="s">
        <v>184</v>
      </c>
      <c r="W15" s="48" t="s">
        <v>214</v>
      </c>
      <c r="X15"/>
      <c r="Y15"/>
      <c r="Z15"/>
    </row>
    <row r="16" spans="1:26" ht="48.75" customHeight="1" x14ac:dyDescent="0.3">
      <c r="A16" s="142" t="s">
        <v>9</v>
      </c>
      <c r="B16" s="142"/>
      <c r="C16" s="142" t="str">
        <f>CONCATENATE((IF(OR(E9="",E9="NA"),"",E9)),", ",(IF(OR(A17="",A17="NA"),"",A17)),".",(IF(OR(C17="",C17="NA"),"",C17)),", near ",(IF(OR(C22="",C22="NA"),"",C22)),", ",(IF(OR(C19="",C19="NA"),"",C19)),", ",(IF(OR(C18="",C18="NA"),"",C18)),", ",(IF(OR(G19="",G19="NA"),"",G19)),", ",(IF(OR(C20="",C20="NA"),"",C20)),", ",(IF(OR(C21="",C21="NA"),"",C21)),", ",(IF(OR(G20="",G20="NA"),"",G20))," - ",(IF(OR(G21="",G21="NA"),"",G21)),".")</f>
        <v>Seasons Sahara Nano Building No.A &amp; B, Survey No.23, Hissa No. 2, near Seasons Sahara T4, Internal Road, Adavli - Dhokli, Adavli - Dhokli, Kalyan East, Ambernath, Thane - 421306.</v>
      </c>
      <c r="D16" s="142"/>
      <c r="E16" s="142"/>
      <c r="F16" s="142"/>
      <c r="G16" s="142"/>
      <c r="H16" s="142"/>
      <c r="S16" s="48" t="s">
        <v>170</v>
      </c>
      <c r="T16" s="48" t="s">
        <v>178</v>
      </c>
      <c r="U16" s="48" t="s">
        <v>199</v>
      </c>
      <c r="V16" s="48" t="s">
        <v>185</v>
      </c>
      <c r="W16" s="48" t="s">
        <v>202</v>
      </c>
      <c r="X16"/>
      <c r="Y16"/>
      <c r="Z16"/>
    </row>
    <row r="17" spans="1:26" x14ac:dyDescent="0.3">
      <c r="A17" s="190" t="s">
        <v>357</v>
      </c>
      <c r="B17" s="190"/>
      <c r="C17" s="190" t="s">
        <v>375</v>
      </c>
      <c r="D17" s="190"/>
      <c r="E17" s="190"/>
      <c r="F17" s="190"/>
      <c r="G17" s="190"/>
      <c r="H17" s="190"/>
      <c r="S17" s="48" t="s">
        <v>171</v>
      </c>
      <c r="T17" s="48" t="s">
        <v>179</v>
      </c>
      <c r="U17" s="48" t="s">
        <v>163</v>
      </c>
      <c r="V17" s="48" t="s">
        <v>186</v>
      </c>
      <c r="W17" s="48" t="s">
        <v>203</v>
      </c>
      <c r="X17"/>
      <c r="Y17"/>
      <c r="Z17"/>
    </row>
    <row r="18" spans="1:26" ht="15.75" customHeight="1" x14ac:dyDescent="0.3">
      <c r="A18" s="190" t="s">
        <v>154</v>
      </c>
      <c r="B18" s="190"/>
      <c r="C18" s="190" t="s">
        <v>358</v>
      </c>
      <c r="D18" s="190"/>
      <c r="E18" s="190"/>
      <c r="F18" s="190"/>
      <c r="G18" s="190"/>
      <c r="H18" s="190"/>
      <c r="S18" s="48" t="s">
        <v>172</v>
      </c>
      <c r="T18" s="48" t="s">
        <v>177</v>
      </c>
      <c r="U18" s="48"/>
      <c r="V18" s="48" t="s">
        <v>187</v>
      </c>
      <c r="W18" s="48" t="s">
        <v>204</v>
      </c>
      <c r="X18"/>
      <c r="Y18"/>
      <c r="Z18"/>
    </row>
    <row r="19" spans="1:26" ht="15.75" customHeight="1" x14ac:dyDescent="0.3">
      <c r="A19" s="142" t="s">
        <v>10</v>
      </c>
      <c r="B19" s="142"/>
      <c r="C19" s="153" t="s">
        <v>379</v>
      </c>
      <c r="D19" s="153"/>
      <c r="E19" s="142" t="s">
        <v>69</v>
      </c>
      <c r="F19" s="142"/>
      <c r="G19" s="190" t="s">
        <v>358</v>
      </c>
      <c r="H19" s="190"/>
      <c r="S19" s="48" t="s">
        <v>173</v>
      </c>
      <c r="T19" s="48" t="s">
        <v>180</v>
      </c>
      <c r="U19" s="48"/>
      <c r="V19" s="48" t="s">
        <v>188</v>
      </c>
      <c r="W19" s="48" t="s">
        <v>205</v>
      </c>
      <c r="X19"/>
      <c r="Y19"/>
      <c r="Z19"/>
    </row>
    <row r="20" spans="1:26" x14ac:dyDescent="0.3">
      <c r="A20" s="144" t="s">
        <v>12</v>
      </c>
      <c r="B20" s="144"/>
      <c r="C20" s="190" t="s">
        <v>407</v>
      </c>
      <c r="D20" s="190"/>
      <c r="E20" s="142" t="s">
        <v>11</v>
      </c>
      <c r="F20" s="142"/>
      <c r="G20" s="191" t="s">
        <v>168</v>
      </c>
      <c r="H20" s="191"/>
      <c r="S20" s="48" t="s">
        <v>174</v>
      </c>
      <c r="T20" s="48" t="s">
        <v>181</v>
      </c>
      <c r="U20" s="48"/>
      <c r="V20" s="48" t="s">
        <v>189</v>
      </c>
      <c r="W20" s="48" t="s">
        <v>206</v>
      </c>
      <c r="X20"/>
      <c r="Y20"/>
      <c r="Z20"/>
    </row>
    <row r="21" spans="1:26" x14ac:dyDescent="0.3">
      <c r="A21" s="144" t="s">
        <v>70</v>
      </c>
      <c r="B21" s="144"/>
      <c r="C21" s="190" t="s">
        <v>173</v>
      </c>
      <c r="D21" s="190"/>
      <c r="E21" s="142" t="s">
        <v>13</v>
      </c>
      <c r="F21" s="142"/>
      <c r="G21" s="190">
        <v>421306</v>
      </c>
      <c r="H21" s="190"/>
      <c r="S21" s="48"/>
      <c r="T21" s="48"/>
      <c r="U21" s="48"/>
      <c r="V21" s="48" t="s">
        <v>190</v>
      </c>
      <c r="W21" s="48" t="s">
        <v>207</v>
      </c>
      <c r="X21"/>
      <c r="Y21"/>
      <c r="Z21"/>
    </row>
    <row r="22" spans="1:26" ht="32.25" customHeight="1" x14ac:dyDescent="0.3">
      <c r="A22" s="144" t="s">
        <v>115</v>
      </c>
      <c r="B22" s="144"/>
      <c r="C22" s="190" t="s">
        <v>365</v>
      </c>
      <c r="D22" s="190"/>
      <c r="E22" s="142" t="s">
        <v>14</v>
      </c>
      <c r="F22" s="142"/>
      <c r="G22" s="190" t="s">
        <v>409</v>
      </c>
      <c r="H22" s="190"/>
      <c r="S22" s="48"/>
      <c r="T22" s="48"/>
      <c r="U22" s="48"/>
      <c r="V22" s="48" t="s">
        <v>191</v>
      </c>
      <c r="W22" s="48" t="s">
        <v>208</v>
      </c>
      <c r="X22"/>
      <c r="Y22"/>
      <c r="Z22"/>
    </row>
    <row r="23" spans="1:26" ht="15" customHeight="1" x14ac:dyDescent="0.3">
      <c r="A23" s="142" t="s">
        <v>71</v>
      </c>
      <c r="B23" s="142"/>
      <c r="C23" s="142"/>
      <c r="D23" s="142"/>
      <c r="E23" s="153" t="s">
        <v>15</v>
      </c>
      <c r="F23" s="153"/>
      <c r="G23" s="153"/>
      <c r="H23" s="153"/>
      <c r="S23" s="48"/>
      <c r="T23" s="48"/>
      <c r="U23" s="48"/>
      <c r="V23" s="48" t="s">
        <v>192</v>
      </c>
      <c r="W23" s="48" t="s">
        <v>209</v>
      </c>
      <c r="X23"/>
      <c r="Y23"/>
      <c r="Z23"/>
    </row>
    <row r="24" spans="1:26" ht="18.75" customHeight="1" x14ac:dyDescent="0.3">
      <c r="A24" s="142"/>
      <c r="B24" s="142"/>
      <c r="C24" s="142"/>
      <c r="D24" s="142"/>
      <c r="E24" s="153"/>
      <c r="F24" s="153"/>
      <c r="G24" s="153"/>
      <c r="H24" s="153"/>
      <c r="S24" s="48"/>
      <c r="T24" s="48"/>
      <c r="U24" s="48"/>
      <c r="V24" s="48" t="s">
        <v>193</v>
      </c>
      <c r="W24" s="48" t="s">
        <v>210</v>
      </c>
      <c r="X24"/>
      <c r="Y24"/>
      <c r="Z24"/>
    </row>
    <row r="25" spans="1:26" ht="15" customHeight="1" x14ac:dyDescent="0.3">
      <c r="A25" s="142" t="s">
        <v>16</v>
      </c>
      <c r="B25" s="142"/>
      <c r="C25" s="142"/>
      <c r="D25" s="142"/>
      <c r="E25" s="190" t="s">
        <v>17</v>
      </c>
      <c r="F25" s="190"/>
      <c r="G25" s="190"/>
      <c r="H25" s="190"/>
      <c r="S25" s="48"/>
      <c r="T25" s="48"/>
      <c r="U25" s="48"/>
      <c r="V25" s="48" t="s">
        <v>194</v>
      </c>
      <c r="W25" s="48" t="s">
        <v>211</v>
      </c>
      <c r="X25"/>
      <c r="Y25"/>
      <c r="Z25"/>
    </row>
    <row r="26" spans="1:26" ht="15" customHeight="1" x14ac:dyDescent="0.3">
      <c r="A26" s="144" t="s">
        <v>18</v>
      </c>
      <c r="B26" s="144"/>
      <c r="C26" s="144"/>
      <c r="D26" s="144"/>
      <c r="E26" s="190" t="str">
        <f>IF(AND(G20="Mumbai"),"Upper Class","Middle Class")</f>
        <v>Middle Class</v>
      </c>
      <c r="F26" s="190"/>
      <c r="G26" s="190"/>
      <c r="H26" s="190"/>
      <c r="S26" s="48"/>
      <c r="T26" s="48"/>
      <c r="U26" s="48"/>
      <c r="V26" s="48" t="s">
        <v>195</v>
      </c>
      <c r="W26" s="48" t="s">
        <v>212</v>
      </c>
      <c r="X26"/>
      <c r="Y26"/>
      <c r="Z26"/>
    </row>
    <row r="27" spans="1:26" x14ac:dyDescent="0.3">
      <c r="A27" s="144" t="s">
        <v>19</v>
      </c>
      <c r="B27" s="144"/>
      <c r="C27" s="144"/>
      <c r="D27" s="144"/>
      <c r="E27" s="190" t="s">
        <v>20</v>
      </c>
      <c r="F27" s="190"/>
      <c r="G27" s="190"/>
      <c r="H27" s="190"/>
      <c r="S27" s="48"/>
      <c r="T27" s="48"/>
      <c r="U27" s="48"/>
      <c r="V27" s="48" t="s">
        <v>196</v>
      </c>
      <c r="W27" s="48" t="s">
        <v>213</v>
      </c>
      <c r="X27"/>
      <c r="Y27"/>
      <c r="Z27"/>
    </row>
    <row r="28" spans="1:26" ht="15.75" customHeight="1" x14ac:dyDescent="0.3">
      <c r="A28" s="144" t="s">
        <v>21</v>
      </c>
      <c r="B28" s="144"/>
      <c r="C28" s="144"/>
      <c r="D28" s="144"/>
      <c r="E28" s="190" t="str">
        <f>IF(AND(G20="Mumbai"),"Developed","Developing")</f>
        <v>Developing</v>
      </c>
      <c r="F28" s="190"/>
      <c r="G28" s="190"/>
      <c r="H28" s="190"/>
    </row>
    <row r="29" spans="1:26" x14ac:dyDescent="0.3">
      <c r="A29" s="144" t="s">
        <v>22</v>
      </c>
      <c r="B29" s="144"/>
      <c r="C29" s="144"/>
      <c r="D29" s="144"/>
      <c r="E29" s="190" t="s">
        <v>23</v>
      </c>
      <c r="F29" s="190"/>
      <c r="G29" s="190"/>
      <c r="H29" s="190"/>
    </row>
    <row r="30" spans="1:26" ht="15.75" customHeight="1" x14ac:dyDescent="0.3">
      <c r="A30" s="144" t="s">
        <v>76</v>
      </c>
      <c r="B30" s="144"/>
      <c r="C30" s="144"/>
      <c r="D30" s="144"/>
      <c r="E30" s="190" t="s">
        <v>77</v>
      </c>
      <c r="F30" s="190"/>
      <c r="G30" s="190"/>
      <c r="H30" s="190"/>
    </row>
    <row r="31" spans="1:26" ht="15" customHeight="1" x14ac:dyDescent="0.3">
      <c r="A31" s="144" t="s">
        <v>30</v>
      </c>
      <c r="B31" s="144"/>
      <c r="C31" s="144"/>
      <c r="D31" s="144"/>
      <c r="E31" s="190"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1" s="190"/>
      <c r="G31" s="190"/>
      <c r="H31" s="190"/>
    </row>
    <row r="32" spans="1:26" ht="15.75" customHeight="1" x14ac:dyDescent="0.3">
      <c r="A32" s="144" t="s">
        <v>88</v>
      </c>
      <c r="B32" s="144"/>
      <c r="C32" s="144"/>
      <c r="D32" s="144"/>
      <c r="E32" s="190" t="s">
        <v>31</v>
      </c>
      <c r="F32" s="190"/>
      <c r="G32" s="190"/>
      <c r="H32" s="190"/>
    </row>
    <row r="33" spans="1:19" s="19" customFormat="1" x14ac:dyDescent="0.3">
      <c r="A33" s="199" t="s">
        <v>89</v>
      </c>
      <c r="B33" s="199"/>
      <c r="C33" s="196" t="s">
        <v>164</v>
      </c>
      <c r="D33" s="197"/>
      <c r="E33" s="198"/>
      <c r="F33" s="196" t="s">
        <v>29</v>
      </c>
      <c r="G33" s="197"/>
      <c r="H33" s="198"/>
      <c r="S33" s="19" t="e">
        <f ca="1">OFFSET($S$13,1,MATCH($G20,$S$13:$W$13,0)-1,15,1)</f>
        <v>#VALUE!</v>
      </c>
    </row>
    <row r="34" spans="1:19" s="19" customFormat="1" x14ac:dyDescent="0.3">
      <c r="A34" s="192" t="s">
        <v>24</v>
      </c>
      <c r="B34" s="192" t="s">
        <v>28</v>
      </c>
      <c r="C34" s="193" t="s">
        <v>366</v>
      </c>
      <c r="D34" s="194"/>
      <c r="E34" s="195"/>
      <c r="F34" s="193" t="s">
        <v>377</v>
      </c>
      <c r="G34" s="194"/>
      <c r="H34" s="195"/>
    </row>
    <row r="35" spans="1:19" x14ac:dyDescent="0.3">
      <c r="A35" s="192" t="s">
        <v>25</v>
      </c>
      <c r="B35" s="192" t="s">
        <v>28</v>
      </c>
      <c r="C35" s="193" t="s">
        <v>366</v>
      </c>
      <c r="D35" s="194"/>
      <c r="E35" s="195"/>
      <c r="F35" s="193" t="s">
        <v>377</v>
      </c>
      <c r="G35" s="194"/>
      <c r="H35" s="195"/>
    </row>
    <row r="36" spans="1:19" s="19" customFormat="1" x14ac:dyDescent="0.3">
      <c r="A36" s="192" t="s">
        <v>27</v>
      </c>
      <c r="B36" s="192" t="s">
        <v>28</v>
      </c>
      <c r="C36" s="193" t="s">
        <v>366</v>
      </c>
      <c r="D36" s="194"/>
      <c r="E36" s="195"/>
      <c r="F36" s="193" t="s">
        <v>378</v>
      </c>
      <c r="G36" s="194"/>
      <c r="H36" s="195"/>
    </row>
    <row r="37" spans="1:19" x14ac:dyDescent="0.3">
      <c r="A37" s="192" t="s">
        <v>26</v>
      </c>
      <c r="B37" s="192" t="s">
        <v>28</v>
      </c>
      <c r="C37" s="193" t="s">
        <v>10</v>
      </c>
      <c r="D37" s="194"/>
      <c r="E37" s="195"/>
      <c r="F37" s="193" t="s">
        <v>367</v>
      </c>
      <c r="G37" s="194"/>
      <c r="H37" s="195"/>
    </row>
    <row r="38" spans="1:19" x14ac:dyDescent="0.3">
      <c r="A38" s="144" t="s">
        <v>268</v>
      </c>
      <c r="B38" s="144"/>
      <c r="C38" s="144"/>
      <c r="D38" s="144"/>
      <c r="E38" s="144"/>
      <c r="F38" s="144"/>
      <c r="G38" s="144"/>
      <c r="H38" s="144"/>
    </row>
    <row r="39" spans="1:19" ht="15.75" customHeight="1" x14ac:dyDescent="0.3">
      <c r="A39" s="144" t="s">
        <v>157</v>
      </c>
      <c r="B39" s="144"/>
      <c r="C39" s="185" t="s">
        <v>376</v>
      </c>
      <c r="D39" s="185"/>
      <c r="E39" s="185"/>
      <c r="F39" s="185"/>
      <c r="G39" s="185"/>
      <c r="H39" s="185"/>
    </row>
    <row r="40" spans="1:19" x14ac:dyDescent="0.3">
      <c r="A40" s="144" t="s">
        <v>153</v>
      </c>
      <c r="B40" s="144"/>
      <c r="C40" s="222" t="s">
        <v>359</v>
      </c>
      <c r="D40" s="190"/>
      <c r="E40" s="190"/>
      <c r="F40" s="190"/>
      <c r="G40" s="190"/>
      <c r="H40" s="190"/>
    </row>
    <row r="41" spans="1:19" x14ac:dyDescent="0.3">
      <c r="A41" s="185" t="s">
        <v>32</v>
      </c>
      <c r="B41" s="185"/>
      <c r="C41" s="185"/>
      <c r="D41" s="185"/>
      <c r="E41" s="185"/>
      <c r="F41" s="185"/>
      <c r="G41" s="185"/>
      <c r="H41" s="185"/>
    </row>
    <row r="42" spans="1:19" x14ac:dyDescent="0.3">
      <c r="A42" s="144" t="s">
        <v>33</v>
      </c>
      <c r="B42" s="144"/>
      <c r="C42" s="144"/>
      <c r="D42" s="144"/>
      <c r="E42" s="203">
        <v>2666</v>
      </c>
      <c r="F42" s="203"/>
      <c r="G42" s="203"/>
      <c r="H42" s="203"/>
    </row>
    <row r="43" spans="1:19" x14ac:dyDescent="0.3">
      <c r="A43" s="144" t="s">
        <v>34</v>
      </c>
      <c r="B43" s="144"/>
      <c r="C43" s="144"/>
      <c r="D43" s="144"/>
      <c r="E43" s="159">
        <f>2932.6/E42</f>
        <v>1.0999999999999999</v>
      </c>
      <c r="F43" s="159"/>
      <c r="G43" s="159"/>
      <c r="H43" s="159"/>
    </row>
    <row r="44" spans="1:19" x14ac:dyDescent="0.3">
      <c r="A44" s="144" t="s">
        <v>35</v>
      </c>
      <c r="B44" s="144"/>
      <c r="C44" s="144"/>
      <c r="D44" s="144"/>
      <c r="E44" s="159">
        <f>E46/E42-E43</f>
        <v>0.73798199549887511</v>
      </c>
      <c r="F44" s="159"/>
      <c r="G44" s="159"/>
      <c r="H44" s="159"/>
    </row>
    <row r="45" spans="1:19" x14ac:dyDescent="0.3">
      <c r="A45" s="144" t="s">
        <v>36</v>
      </c>
      <c r="B45" s="144"/>
      <c r="C45" s="144"/>
      <c r="D45" s="144"/>
      <c r="E45" s="159">
        <f>E43+E44</f>
        <v>1.837981995498875</v>
      </c>
      <c r="F45" s="159"/>
      <c r="G45" s="159"/>
      <c r="H45" s="159"/>
    </row>
    <row r="46" spans="1:19" x14ac:dyDescent="0.3">
      <c r="A46" s="144" t="s">
        <v>87</v>
      </c>
      <c r="B46" s="144"/>
      <c r="C46" s="144"/>
      <c r="D46" s="144"/>
      <c r="E46" s="204">
        <v>4900.0600000000004</v>
      </c>
      <c r="F46" s="204"/>
      <c r="G46" s="204"/>
      <c r="H46" s="204"/>
    </row>
    <row r="47" spans="1:19" x14ac:dyDescent="0.3">
      <c r="A47" s="153" t="s">
        <v>37</v>
      </c>
      <c r="B47" s="153"/>
      <c r="C47" s="153"/>
      <c r="D47" s="153"/>
      <c r="E47" s="153" t="s">
        <v>380</v>
      </c>
      <c r="F47" s="153"/>
      <c r="G47" s="153"/>
      <c r="H47" s="153"/>
    </row>
    <row r="48" spans="1:19" x14ac:dyDescent="0.3">
      <c r="A48" s="185" t="s">
        <v>38</v>
      </c>
      <c r="B48" s="185"/>
      <c r="C48" s="185"/>
      <c r="D48" s="185"/>
      <c r="E48" s="185"/>
      <c r="F48" s="185"/>
      <c r="G48" s="185"/>
      <c r="H48" s="185"/>
    </row>
    <row r="49" spans="1:22" ht="33.75" customHeight="1" x14ac:dyDescent="0.3">
      <c r="A49" s="160" t="s">
        <v>144</v>
      </c>
      <c r="B49" s="161"/>
      <c r="C49" s="207" t="s">
        <v>249</v>
      </c>
      <c r="D49" s="208"/>
      <c r="E49" s="208"/>
      <c r="F49" s="208"/>
      <c r="G49" s="208"/>
      <c r="H49" s="209"/>
      <c r="R49" t="s">
        <v>241</v>
      </c>
      <c r="S49" s="50" t="s">
        <v>163</v>
      </c>
      <c r="T49" s="50" t="s">
        <v>168</v>
      </c>
      <c r="U49" s="50" t="s">
        <v>182</v>
      </c>
      <c r="V49" s="50" t="s">
        <v>177</v>
      </c>
    </row>
    <row r="50" spans="1:22" ht="15.75" customHeight="1" x14ac:dyDescent="0.3">
      <c r="A50" s="160" t="s">
        <v>39</v>
      </c>
      <c r="B50" s="161"/>
      <c r="C50" s="160" t="s">
        <v>368</v>
      </c>
      <c r="D50" s="214"/>
      <c r="E50" s="161"/>
      <c r="F50" s="17" t="s">
        <v>40</v>
      </c>
      <c r="G50" s="215">
        <v>45485</v>
      </c>
      <c r="H50" s="216"/>
      <c r="R50"/>
      <c r="S50" s="50" t="s">
        <v>242</v>
      </c>
      <c r="T50" s="50" t="s">
        <v>247</v>
      </c>
      <c r="U50" s="50" t="s">
        <v>258</v>
      </c>
      <c r="V50" s="50" t="s">
        <v>263</v>
      </c>
    </row>
    <row r="51" spans="1:22" x14ac:dyDescent="0.3">
      <c r="A51" s="160" t="s">
        <v>41</v>
      </c>
      <c r="B51" s="161"/>
      <c r="C51" s="160" t="str">
        <f>C50</f>
        <v>KDMC/TPD/BP/27Village/2024-25/09</v>
      </c>
      <c r="D51" s="214"/>
      <c r="E51" s="161"/>
      <c r="F51" s="17" t="s">
        <v>40</v>
      </c>
      <c r="G51" s="215">
        <f>G50</f>
        <v>45485</v>
      </c>
      <c r="H51" s="216"/>
      <c r="R51"/>
      <c r="S51" s="50" t="s">
        <v>243</v>
      </c>
      <c r="T51" s="50" t="s">
        <v>340</v>
      </c>
      <c r="U51" s="50" t="s">
        <v>256</v>
      </c>
      <c r="V51" s="50" t="s">
        <v>264</v>
      </c>
    </row>
    <row r="52" spans="1:22" s="20" customFormat="1" ht="15.75" customHeight="1" x14ac:dyDescent="0.3">
      <c r="A52" s="217" t="s">
        <v>148</v>
      </c>
      <c r="B52" s="218"/>
      <c r="C52" s="217" t="str">
        <f>C51</f>
        <v>KDMC/TPD/BP/27Village/2024-25/09</v>
      </c>
      <c r="D52" s="230"/>
      <c r="E52" s="218"/>
      <c r="F52" s="17" t="s">
        <v>40</v>
      </c>
      <c r="G52" s="215">
        <f>G51</f>
        <v>45485</v>
      </c>
      <c r="H52" s="216"/>
      <c r="I52" s="19" t="str">
        <f ca="1">IF(G52&gt;EDATE(E3,-48),"NO REMARK","CC REMARK FOR CC")</f>
        <v>NO REMARK</v>
      </c>
      <c r="J52" s="70"/>
      <c r="R52"/>
      <c r="S52" s="50" t="s">
        <v>244</v>
      </c>
      <c r="T52" s="50" t="s">
        <v>249</v>
      </c>
      <c r="U52" s="50" t="s">
        <v>246</v>
      </c>
      <c r="V52" s="50" t="s">
        <v>265</v>
      </c>
    </row>
    <row r="53" spans="1:22" s="20" customFormat="1" ht="35.25" customHeight="1" x14ac:dyDescent="0.3">
      <c r="A53" s="219"/>
      <c r="B53" s="220"/>
      <c r="C53" s="160" t="s">
        <v>381</v>
      </c>
      <c r="D53" s="214"/>
      <c r="E53" s="214"/>
      <c r="F53" s="214"/>
      <c r="G53" s="214"/>
      <c r="H53" s="161"/>
      <c r="R53"/>
      <c r="S53" s="50"/>
      <c r="T53" s="50"/>
      <c r="U53" s="50"/>
      <c r="V53" s="66"/>
    </row>
    <row r="54" spans="1:22" x14ac:dyDescent="0.3">
      <c r="A54" s="149" t="s">
        <v>42</v>
      </c>
      <c r="B54" s="150"/>
      <c r="C54" s="149" t="s">
        <v>101</v>
      </c>
      <c r="D54" s="151"/>
      <c r="E54" s="150"/>
      <c r="F54" s="40" t="s">
        <v>40</v>
      </c>
      <c r="G54" s="154" t="s">
        <v>28</v>
      </c>
      <c r="H54" s="155"/>
      <c r="R54"/>
      <c r="S54" s="67"/>
      <c r="T54" s="50" t="s">
        <v>257</v>
      </c>
      <c r="U54" s="67"/>
      <c r="V54" s="67"/>
    </row>
    <row r="55" spans="1:22" x14ac:dyDescent="0.3">
      <c r="A55" s="187" t="s">
        <v>44</v>
      </c>
      <c r="B55" s="187"/>
      <c r="C55" s="187"/>
      <c r="D55" s="187"/>
      <c r="E55" s="187"/>
      <c r="F55" s="187"/>
      <c r="G55" s="187"/>
      <c r="H55" s="187"/>
      <c r="S55" s="67"/>
      <c r="T55" s="50" t="s">
        <v>266</v>
      </c>
      <c r="U55" s="67"/>
      <c r="V55" s="67"/>
    </row>
    <row r="56" spans="1:22" x14ac:dyDescent="0.3">
      <c r="A56" s="142" t="s">
        <v>86</v>
      </c>
      <c r="B56" s="142"/>
      <c r="C56" s="142"/>
      <c r="D56" s="144">
        <f>E46</f>
        <v>4900.0600000000004</v>
      </c>
      <c r="E56" s="144"/>
      <c r="F56" s="144"/>
      <c r="G56" s="144"/>
      <c r="H56" s="144"/>
      <c r="R56"/>
    </row>
    <row r="57" spans="1:22" x14ac:dyDescent="0.3">
      <c r="A57" s="190" t="s">
        <v>45</v>
      </c>
      <c r="B57" s="153"/>
      <c r="C57" s="153"/>
      <c r="D57" s="153" t="s">
        <v>405</v>
      </c>
      <c r="E57" s="153"/>
      <c r="F57" s="153"/>
      <c r="G57" s="153"/>
      <c r="H57" s="153"/>
      <c r="I57" s="21"/>
      <c r="R57"/>
    </row>
    <row r="58" spans="1:22" ht="64.5" customHeight="1" x14ac:dyDescent="0.3">
      <c r="A58" s="103" t="s">
        <v>46</v>
      </c>
      <c r="B58" s="104"/>
      <c r="C58" s="206"/>
      <c r="D58" s="143" t="s">
        <v>383</v>
      </c>
      <c r="E58" s="205"/>
      <c r="F58" s="205"/>
      <c r="G58" s="205"/>
      <c r="H58" s="205"/>
      <c r="R58"/>
    </row>
    <row r="59" spans="1:22" ht="15.75" customHeight="1" x14ac:dyDescent="0.3">
      <c r="A59" s="103" t="s">
        <v>84</v>
      </c>
      <c r="B59" s="104"/>
      <c r="C59" s="104"/>
      <c r="D59" s="210" t="s">
        <v>384</v>
      </c>
      <c r="E59" s="211"/>
      <c r="F59" s="211"/>
      <c r="G59" s="211"/>
      <c r="H59" s="212"/>
      <c r="I59" s="85" t="s">
        <v>372</v>
      </c>
      <c r="R59"/>
    </row>
    <row r="60" spans="1:22" ht="15.75" customHeight="1" x14ac:dyDescent="0.3">
      <c r="A60" s="105"/>
      <c r="B60" s="106"/>
      <c r="C60" s="106"/>
      <c r="D60" s="200" t="s">
        <v>386</v>
      </c>
      <c r="E60" s="201"/>
      <c r="F60" s="201"/>
      <c r="G60" s="201"/>
      <c r="H60" s="202"/>
      <c r="R60"/>
    </row>
    <row r="61" spans="1:22" ht="15.75" customHeight="1" x14ac:dyDescent="0.3">
      <c r="A61" s="105"/>
      <c r="B61" s="106"/>
      <c r="C61" s="106"/>
      <c r="D61" s="200" t="s">
        <v>385</v>
      </c>
      <c r="E61" s="201"/>
      <c r="F61" s="201"/>
      <c r="G61" s="201"/>
      <c r="H61" s="202"/>
      <c r="R61"/>
    </row>
    <row r="62" spans="1:22" ht="15.75" customHeight="1" x14ac:dyDescent="0.3">
      <c r="A62" s="107"/>
      <c r="B62" s="108"/>
      <c r="C62" s="108"/>
      <c r="D62" s="109" t="s">
        <v>399</v>
      </c>
      <c r="E62" s="110"/>
      <c r="F62" s="110"/>
      <c r="G62" s="110"/>
      <c r="H62" s="111"/>
      <c r="R62"/>
    </row>
    <row r="63" spans="1:22" ht="15.75" customHeight="1" x14ac:dyDescent="0.3">
      <c r="A63" s="144" t="s">
        <v>43</v>
      </c>
      <c r="B63" s="144"/>
      <c r="C63" s="144"/>
      <c r="D63" s="213" t="s">
        <v>371</v>
      </c>
      <c r="E63" s="213"/>
      <c r="F63" s="213"/>
      <c r="G63" s="213"/>
      <c r="H63" s="213"/>
      <c r="J63" s="22"/>
      <c r="K63" s="21"/>
      <c r="N63" s="21"/>
      <c r="S63"/>
    </row>
    <row r="64" spans="1:22" ht="15.75" customHeight="1" x14ac:dyDescent="0.3">
      <c r="A64" s="144" t="s">
        <v>82</v>
      </c>
      <c r="B64" s="144"/>
      <c r="C64" s="144"/>
      <c r="D64" s="221" t="str">
        <f>(IF(G54="NA","60 Years After Completion",IF(G54&lt;&gt;"NA",""&amp;60-ROUNDDOWN((E3-G54)/360,0)&amp;" Years"," ")))</f>
        <v>60 Years After Completion</v>
      </c>
      <c r="E64" s="221"/>
      <c r="F64" s="221"/>
      <c r="G64" s="221"/>
      <c r="H64" s="221"/>
      <c r="N64" s="21"/>
      <c r="S64"/>
    </row>
    <row r="65" spans="1:19" ht="15.75" customHeight="1" x14ac:dyDescent="0.3">
      <c r="A65" s="144" t="s">
        <v>83</v>
      </c>
      <c r="B65" s="144"/>
      <c r="C65" s="144"/>
      <c r="D65" s="142" t="s">
        <v>23</v>
      </c>
      <c r="E65" s="142"/>
      <c r="F65" s="142"/>
      <c r="G65" s="142"/>
      <c r="H65" s="142"/>
      <c r="J65" s="23"/>
      <c r="K65" s="23"/>
      <c r="S65"/>
    </row>
    <row r="66" spans="1:19" ht="49.5" customHeight="1" x14ac:dyDescent="0.3">
      <c r="A66" s="153" t="s">
        <v>373</v>
      </c>
      <c r="B66" s="153"/>
      <c r="C66" s="153"/>
      <c r="D66" s="190" t="s">
        <v>387</v>
      </c>
      <c r="E66" s="142"/>
      <c r="F66" s="142"/>
      <c r="G66" s="142"/>
      <c r="H66" s="142"/>
      <c r="I66" s="85" t="s">
        <v>388</v>
      </c>
      <c r="S66"/>
    </row>
    <row r="67" spans="1:19" x14ac:dyDescent="0.3">
      <c r="A67" s="142" t="s">
        <v>141</v>
      </c>
      <c r="B67" s="142"/>
      <c r="C67" s="142"/>
      <c r="D67" s="142" t="s">
        <v>28</v>
      </c>
      <c r="E67" s="142"/>
      <c r="F67" s="142"/>
      <c r="G67" s="142"/>
      <c r="H67" s="142"/>
      <c r="I67" s="24"/>
      <c r="J67" s="24"/>
      <c r="K67" s="24"/>
      <c r="L67" s="24"/>
      <c r="M67" s="24"/>
      <c r="N67" s="24"/>
    </row>
    <row r="68" spans="1:19" ht="15.75" customHeight="1" x14ac:dyDescent="0.3">
      <c r="A68" s="232" t="s">
        <v>81</v>
      </c>
      <c r="B68" s="232"/>
      <c r="C68" s="232"/>
      <c r="D68" s="143" t="str">
        <f ca="1">(IF(G74&gt;95%,"Nothing",IF(G74&gt;0%,"Cement, Aggregate, Steel, etc",IF(G74=0%,"Work not yet Started"))))</f>
        <v>Cement, Aggregate, Steel, etc</v>
      </c>
      <c r="E68" s="143"/>
      <c r="F68" s="143"/>
      <c r="G68" s="143"/>
      <c r="H68" s="143"/>
      <c r="J68" s="23"/>
      <c r="S68"/>
    </row>
    <row r="69" spans="1:19" ht="33.75" customHeight="1" thickBot="1" x14ac:dyDescent="0.35">
      <c r="A69" s="231" t="s">
        <v>114</v>
      </c>
      <c r="B69" s="231"/>
      <c r="C69" s="231"/>
      <c r="D69" s="143" t="str">
        <f ca="1">(IF(D68="Nothing","Yes",IF(D68="Cement, Aggregate, Steel, etc","Under Construction",IF(D68="Work not yet Started","Work not yet Started"))))</f>
        <v>Under Construction</v>
      </c>
      <c r="E69" s="143"/>
      <c r="F69" s="143" t="str">
        <f ca="1">(IF(D68="Nothing","Yes",IF(D68="Cement, Aggregate, Steel, etc","Under Construction",IF(D68="Work not yet Started","Work not yet Started"))))</f>
        <v>Under Construction</v>
      </c>
      <c r="G69" s="143"/>
      <c r="H69" s="143"/>
      <c r="S69"/>
    </row>
    <row r="70" spans="1:19" ht="15.75" customHeight="1" x14ac:dyDescent="0.3">
      <c r="A70" s="112" t="s">
        <v>133</v>
      </c>
      <c r="B70" s="113"/>
      <c r="C70" s="114" t="s">
        <v>384</v>
      </c>
      <c r="D70" s="115"/>
      <c r="E70" s="115"/>
      <c r="F70" s="115"/>
      <c r="G70" s="115"/>
      <c r="H70" s="116"/>
      <c r="I70" s="42" t="str">
        <f ca="1">IF(D83=100%,"All work Completed. Possession granted to the Building.",IF(D82=100%,"All work Completed, Waiting for OC",I71&amp;""&amp;I72&amp;""&amp;J71&amp;""&amp;J70&amp;" "&amp;J72))</f>
        <v>Excavation, Plinth Completed, RCC upto 4 Slab Completed</v>
      </c>
      <c r="J70" s="43" t="str">
        <f ca="1">(IF(C76=(D71+F71+H71),"",IF(C76&gt;0,",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RCC upto 4 Slab</v>
      </c>
      <c r="S70"/>
    </row>
    <row r="71" spans="1:19" x14ac:dyDescent="0.3">
      <c r="A71" s="15" t="s">
        <v>135</v>
      </c>
      <c r="B71" s="46">
        <f>IF(AND(ISNUMBER(SEARCH("1B",C70))),1,IF(AND(ISNUMBER(SEARCH("2B",C70))),2,IF(AND(ISNUMBER(SEARCH("3B",C70))),3,IF(AND(ISNUMBER(SEARCH("4B",C70))),4,IF(ISNUMBER(SEARCH("5B",C70)),5,0)))))</f>
        <v>0</v>
      </c>
      <c r="C71" s="46" t="s">
        <v>68</v>
      </c>
      <c r="D71" s="46">
        <v>1</v>
      </c>
      <c r="E71" s="46" t="s">
        <v>67</v>
      </c>
      <c r="F71" s="46">
        <v>0</v>
      </c>
      <c r="G71" s="46" t="s">
        <v>75</v>
      </c>
      <c r="H71" s="16">
        <f ca="1">--TRIM(RIGHT(SUBSTITUTE(LEFT(C70,_xlfn.AGGREGATE(16,6,FIND({0,1,2,3,4,5,6,7,8,9},C70,ROW(INDIRECT("1:"&amp;LEN(C70)))),1))," ",REPT(" ",LEN(C70))),LEN(C70)))</f>
        <v>7</v>
      </c>
      <c r="I71" s="44" t="str">
        <f ca="1">IF(D74=100%,"Excavation","")&amp;IF(D75=100%,", Plinth","")&amp;IF(D76=100%,", RCC Slab","")&amp;IF(D77=100%,", Brickwork","")&amp;IF(D78=100%,", Internal Plaster","")&amp;IF(D79=100%,", External Plaster","")&amp;IF(D80=100%,", Flooring","")&amp;IF(D81=100%,", Painting","")&amp;IF(D82=100%,", Building common Amenities","")</f>
        <v>Excavation, Plinth</v>
      </c>
      <c r="J71" s="45" t="str">
        <f ca="1">(IF(C74=0,"Work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c r="S71"/>
    </row>
    <row r="72" spans="1:19" x14ac:dyDescent="0.3">
      <c r="A72" s="117" t="s">
        <v>85</v>
      </c>
      <c r="B72" s="118"/>
      <c r="C72" s="119" t="str">
        <f ca="1">I70</f>
        <v>Excavation, Plinth Completed, RCC upto 4 Slab Completed</v>
      </c>
      <c r="D72" s="119"/>
      <c r="E72" s="119"/>
      <c r="F72" s="119"/>
      <c r="G72" s="119"/>
      <c r="H72" s="120"/>
      <c r="I72" s="44" t="str">
        <f ca="1">IF(I71&lt;&gt;""," Completed","")</f>
        <v xml:space="preserve"> Completed</v>
      </c>
      <c r="J72" s="45" t="str">
        <f ca="1">IF(J70&lt;&gt;"","Completed","")</f>
        <v>Completed</v>
      </c>
      <c r="S72"/>
    </row>
    <row r="73" spans="1:19" ht="15.75" customHeight="1" x14ac:dyDescent="0.3">
      <c r="A73" s="121" t="s">
        <v>47</v>
      </c>
      <c r="B73" s="122"/>
      <c r="C73" s="86" t="s">
        <v>132</v>
      </c>
      <c r="D73" s="86" t="s">
        <v>78</v>
      </c>
      <c r="E73" s="122" t="s">
        <v>80</v>
      </c>
      <c r="F73" s="122"/>
      <c r="G73" s="122" t="s">
        <v>79</v>
      </c>
      <c r="H73" s="123"/>
      <c r="I73" s="13" t="s">
        <v>134</v>
      </c>
      <c r="J73" s="25">
        <f ca="1">H71*25%</f>
        <v>1.75</v>
      </c>
      <c r="S73"/>
    </row>
    <row r="74" spans="1:19" x14ac:dyDescent="0.3">
      <c r="A74" s="121" t="s">
        <v>121</v>
      </c>
      <c r="B74" s="122"/>
      <c r="C74" s="86">
        <f ca="1">J75</f>
        <v>7</v>
      </c>
      <c r="D74" s="87">
        <f ca="1">((100/H71)*C74)/100</f>
        <v>1</v>
      </c>
      <c r="E74" s="124">
        <f ca="1">(((C75/H71*10)+(40/(D71+F71+H71)*C76)+(7.5/(H71)*C77)+(7.5/(H71)*C78)+(10/H71*C79)+(10/H71*C80)+(5/H71*C81)+(5/H71*C82)+(5/H71*C83))/100)</f>
        <v>0.3</v>
      </c>
      <c r="F74" s="125"/>
      <c r="G74" s="124">
        <f ca="1">((((C74/H71)*20)+((C75/H71)*25)+(30/(H71+F71+D71)*C76)+(5/H71*C77)+(5/H71*C78)+(5/H71*C79)+(5/H71*C80)+(0/H71*C81)+(0/H71*C82)+(5/H71*C83))/100)</f>
        <v>0.6</v>
      </c>
      <c r="H74" s="128"/>
      <c r="I74" s="13" t="s">
        <v>96</v>
      </c>
      <c r="J74" s="26">
        <f ca="1">H71*50%</f>
        <v>3.5</v>
      </c>
    </row>
    <row r="75" spans="1:19" x14ac:dyDescent="0.3">
      <c r="A75" s="121" t="s">
        <v>48</v>
      </c>
      <c r="B75" s="122"/>
      <c r="C75" s="86">
        <f ca="1">J83</f>
        <v>7</v>
      </c>
      <c r="D75" s="87">
        <f ca="1">((100/H71)*C75)/100</f>
        <v>1</v>
      </c>
      <c r="E75" s="126"/>
      <c r="F75" s="127"/>
      <c r="G75" s="126"/>
      <c r="H75" s="129"/>
      <c r="I75" s="13" t="s">
        <v>97</v>
      </c>
      <c r="J75" s="26">
        <f ca="1">H71</f>
        <v>7</v>
      </c>
      <c r="S75"/>
    </row>
    <row r="76" spans="1:19" ht="15.75" customHeight="1" x14ac:dyDescent="0.3">
      <c r="A76" s="121" t="s">
        <v>122</v>
      </c>
      <c r="B76" s="122"/>
      <c r="C76" s="86">
        <v>4</v>
      </c>
      <c r="D76" s="87">
        <f ca="1">((100/(D71+F71+H71))*C76)/100</f>
        <v>0.5</v>
      </c>
      <c r="E76" s="126"/>
      <c r="F76" s="127"/>
      <c r="G76" s="126"/>
      <c r="H76" s="129"/>
      <c r="I76" s="13" t="s">
        <v>98</v>
      </c>
      <c r="J76" s="27">
        <f ca="1">(IF(B71&gt;1,(H71/(B71+2)),H71/4))</f>
        <v>1.75</v>
      </c>
      <c r="S76"/>
    </row>
    <row r="77" spans="1:19" ht="15.75" customHeight="1" x14ac:dyDescent="0.3">
      <c r="A77" s="121" t="s">
        <v>129</v>
      </c>
      <c r="B77" s="122" t="s">
        <v>123</v>
      </c>
      <c r="C77" s="86">
        <v>0</v>
      </c>
      <c r="D77" s="87">
        <f ca="1">((100/H71)*C77)/100</f>
        <v>0</v>
      </c>
      <c r="E77" s="126"/>
      <c r="F77" s="127"/>
      <c r="G77" s="126"/>
      <c r="H77" s="129"/>
      <c r="I77" s="13" t="s">
        <v>99</v>
      </c>
      <c r="J77" s="27">
        <f ca="1">(IF(B71&gt;1,(H71/(B71+2)+J76),H71/4+J76))</f>
        <v>3.5</v>
      </c>
    </row>
    <row r="78" spans="1:19" ht="15.75" customHeight="1" x14ac:dyDescent="0.3">
      <c r="A78" s="121" t="s">
        <v>130</v>
      </c>
      <c r="B78" s="122" t="s">
        <v>123</v>
      </c>
      <c r="C78" s="86">
        <v>0</v>
      </c>
      <c r="D78" s="87">
        <f ca="1">((100/H71)*C78)/100</f>
        <v>0</v>
      </c>
      <c r="E78" s="126"/>
      <c r="F78" s="127"/>
      <c r="G78" s="126"/>
      <c r="H78" s="129"/>
      <c r="I78" s="13" t="s">
        <v>139</v>
      </c>
      <c r="J78" s="27">
        <f>(IF(B71&gt;1,(H71/(B71+2)+J77),0))</f>
        <v>0</v>
      </c>
    </row>
    <row r="79" spans="1:19" ht="15" customHeight="1" x14ac:dyDescent="0.3">
      <c r="A79" s="121" t="s">
        <v>128</v>
      </c>
      <c r="B79" s="122" t="s">
        <v>125</v>
      </c>
      <c r="C79" s="86">
        <v>0</v>
      </c>
      <c r="D79" s="87">
        <f ca="1">((100/(H71))*C79)/100</f>
        <v>0</v>
      </c>
      <c r="E79" s="126"/>
      <c r="F79" s="127"/>
      <c r="G79" s="126"/>
      <c r="H79" s="129"/>
      <c r="I79" s="13" t="s">
        <v>136</v>
      </c>
      <c r="J79" s="27">
        <f>(IF(B71&gt;2,(H71/(B71+2)+J78),0))</f>
        <v>0</v>
      </c>
    </row>
    <row r="80" spans="1:19" ht="15.75" customHeight="1" x14ac:dyDescent="0.3">
      <c r="A80" s="121" t="s">
        <v>124</v>
      </c>
      <c r="B80" s="122" t="s">
        <v>124</v>
      </c>
      <c r="C80" s="86">
        <v>0</v>
      </c>
      <c r="D80" s="87">
        <f ca="1">((100/H71)*C80)/100</f>
        <v>0</v>
      </c>
      <c r="E80" s="126"/>
      <c r="F80" s="127"/>
      <c r="G80" s="126"/>
      <c r="H80" s="129"/>
      <c r="I80" s="13" t="s">
        <v>137</v>
      </c>
      <c r="J80" s="28">
        <f>(IF(B71&gt;3,(H71/(B71+2)+J79),0))</f>
        <v>0</v>
      </c>
    </row>
    <row r="81" spans="1:19" ht="15.75" customHeight="1" x14ac:dyDescent="0.3">
      <c r="A81" s="121" t="s">
        <v>131</v>
      </c>
      <c r="B81" s="122"/>
      <c r="C81" s="86">
        <v>0</v>
      </c>
      <c r="D81" s="87">
        <f ca="1">((100/H71)*C81)/100</f>
        <v>0</v>
      </c>
      <c r="E81" s="126"/>
      <c r="F81" s="127"/>
      <c r="G81" s="126"/>
      <c r="H81" s="129"/>
      <c r="I81" s="13" t="s">
        <v>138</v>
      </c>
      <c r="J81" s="27">
        <f>(IF(B71&gt;4,(H71/(B71+2)+J80),0))</f>
        <v>0</v>
      </c>
    </row>
    <row r="82" spans="1:19" ht="15.75" customHeight="1" x14ac:dyDescent="0.3">
      <c r="A82" s="121" t="s">
        <v>126</v>
      </c>
      <c r="B82" s="122" t="s">
        <v>126</v>
      </c>
      <c r="C82" s="86">
        <v>0</v>
      </c>
      <c r="D82" s="87">
        <f ca="1">((100/(H71))*C82)/100</f>
        <v>0</v>
      </c>
      <c r="E82" s="126"/>
      <c r="F82" s="127"/>
      <c r="G82" s="126"/>
      <c r="H82" s="129"/>
      <c r="I82" s="13" t="s">
        <v>140</v>
      </c>
      <c r="J82" s="27">
        <f ca="1">(IF(B71=1,(H71/(B71+3)+J77),IF(B71=0,(H71/4+J77),IF(B71&gt;1,0))))</f>
        <v>5.25</v>
      </c>
    </row>
    <row r="83" spans="1:19" ht="16.2" thickBot="1" x14ac:dyDescent="0.35">
      <c r="A83" s="101" t="s">
        <v>127</v>
      </c>
      <c r="B83" s="102"/>
      <c r="C83" s="88">
        <v>0</v>
      </c>
      <c r="D83" s="89">
        <f ca="1">((100/(H71))*C83)/100</f>
        <v>0</v>
      </c>
      <c r="E83" s="139"/>
      <c r="F83" s="140"/>
      <c r="G83" s="139"/>
      <c r="H83" s="141"/>
      <c r="I83" s="14" t="s">
        <v>100</v>
      </c>
      <c r="J83" s="29">
        <f ca="1">(IF(B71&gt;1.5,(H71/(B71+2)+J77+MAX(0,J78-J77)+MAX(0,J79-J78)+MAX(0,J80-J79)+MAX(0,J81-J80)+MAX(0,J82-J81)),IF(B71=1,(H71/(B71+3)+J82),IF(B71=0,H71/4+J82))))</f>
        <v>7</v>
      </c>
    </row>
    <row r="84" spans="1:19" ht="15.75" hidden="1" customHeight="1" x14ac:dyDescent="0.3">
      <c r="A84" s="112" t="s">
        <v>133</v>
      </c>
      <c r="B84" s="113"/>
      <c r="C84" s="114" t="s">
        <v>401</v>
      </c>
      <c r="D84" s="115"/>
      <c r="E84" s="115"/>
      <c r="F84" s="115"/>
      <c r="G84" s="115"/>
      <c r="H84" s="116"/>
      <c r="I84" s="42" t="str">
        <f ca="1">IF(D97=100%,"All work Completed. Possession granted to the Building.",IF(D96=100%,"All work Completed, Waiting for OC",I85&amp;""&amp;I86&amp;""&amp;J85&amp;""&amp;J84&amp;" "&amp;J86))</f>
        <v xml:space="preserve">Excavation Completed, Plinth work is process </v>
      </c>
      <c r="J84" s="43" t="str">
        <f ca="1">(IF(C90=(D85+F85+H85),"",IF(C90&gt;0,",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
      </c>
      <c r="S84"/>
    </row>
    <row r="85" spans="1:19" hidden="1" x14ac:dyDescent="0.3">
      <c r="A85" s="15" t="s">
        <v>135</v>
      </c>
      <c r="B85" s="46">
        <f>IF(AND(ISNUMBER(SEARCH("1B",C84))),1,IF(AND(ISNUMBER(SEARCH("2B",C84))),2,IF(AND(ISNUMBER(SEARCH("3B",C84))),3,IF(AND(ISNUMBER(SEARCH("4B",C84))),4,IF(ISNUMBER(SEARCH("5B",C84)),5,0)))))</f>
        <v>0</v>
      </c>
      <c r="C85" s="46" t="s">
        <v>68</v>
      </c>
      <c r="D85" s="46">
        <v>1</v>
      </c>
      <c r="E85" s="46" t="s">
        <v>67</v>
      </c>
      <c r="F85" s="46">
        <v>0</v>
      </c>
      <c r="G85" s="46" t="s">
        <v>75</v>
      </c>
      <c r="H85" s="16">
        <f ca="1">--TRIM(RIGHT(SUBSTITUTE(LEFT(C84,_xlfn.AGGREGATE(16,6,FIND({0,1,2,3,4,5,6,7,8,9},C84,ROW(INDIRECT("1:"&amp;LEN(C84)))),1))," ",REPT(" ",LEN(C84))),LEN(C84)))</f>
        <v>7</v>
      </c>
      <c r="I85" s="44" t="str">
        <f ca="1">IF(D88=100%,"Excavation","")&amp;IF(D89=100%,", Plinth","")&amp;IF(D90=100%,", RCC Slab","")&amp;IF(D91=100%,", Brickwork","")&amp;IF(D92=100%,", Internal Plaster","")&amp;IF(D93=100%,", External Plaster","")&amp;IF(D94=100%,", Flooring","")&amp;IF(D95=100%,", Painting","")&amp;IF(D96=100%,", Building common Amenities","")</f>
        <v>Excavation</v>
      </c>
      <c r="J85" s="45" t="str">
        <f ca="1">(IF(C88=0,"Work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 Plinth work is process</v>
      </c>
      <c r="S85"/>
    </row>
    <row r="86" spans="1:19" hidden="1" x14ac:dyDescent="0.3">
      <c r="A86" s="117" t="s">
        <v>85</v>
      </c>
      <c r="B86" s="118"/>
      <c r="C86" s="119" t="str">
        <f ca="1">I84</f>
        <v xml:space="preserve">Excavation Completed, Plinth work is process </v>
      </c>
      <c r="D86" s="119"/>
      <c r="E86" s="119"/>
      <c r="F86" s="119"/>
      <c r="G86" s="119"/>
      <c r="H86" s="120"/>
      <c r="I86" s="44" t="str">
        <f ca="1">IF(I85&lt;&gt;""," Completed","")</f>
        <v xml:space="preserve"> Completed</v>
      </c>
      <c r="J86" s="45" t="str">
        <f ca="1">IF(J84&lt;&gt;"","Completed","")</f>
        <v/>
      </c>
      <c r="S86"/>
    </row>
    <row r="87" spans="1:19" ht="15.75" hidden="1" customHeight="1" x14ac:dyDescent="0.3">
      <c r="A87" s="121" t="s">
        <v>47</v>
      </c>
      <c r="B87" s="122"/>
      <c r="C87" s="86" t="s">
        <v>132</v>
      </c>
      <c r="D87" s="86" t="s">
        <v>78</v>
      </c>
      <c r="E87" s="122" t="s">
        <v>80</v>
      </c>
      <c r="F87" s="122"/>
      <c r="G87" s="122" t="s">
        <v>79</v>
      </c>
      <c r="H87" s="123"/>
      <c r="I87" s="13" t="s">
        <v>134</v>
      </c>
      <c r="J87" s="25">
        <f ca="1">H85*25%</f>
        <v>1.75</v>
      </c>
      <c r="S87"/>
    </row>
    <row r="88" spans="1:19" hidden="1" x14ac:dyDescent="0.3">
      <c r="A88" s="121" t="s">
        <v>121</v>
      </c>
      <c r="B88" s="122"/>
      <c r="C88" s="86">
        <f ca="1">J89</f>
        <v>7</v>
      </c>
      <c r="D88" s="87">
        <f ca="1">((100/H85)*C88)/100</f>
        <v>1</v>
      </c>
      <c r="E88" s="124">
        <f ca="1">(((C89/H85*10)+(40/(D85+F85+H85)*C90)+(7.5/(H85)*C91)+(7.5/(H85)*C92)+(10/H85*C93)+(10/H85*C94)+(5/H85*C95)+(5/H85*C96)+(5/H85*C97))/100)</f>
        <v>7.4999999999999997E-2</v>
      </c>
      <c r="F88" s="125"/>
      <c r="G88" s="124">
        <f ca="1">((((C88/H85)*20)+((C89/H85)*25)+(30/(H85+F85+D85)*C90)+(5/H85*C91)+(5/H85*C92)+(5/H85*C93)+(5/H85*C94)+(0/H85*C95)+(0/H85*C96)+(5/H85*C97))/100)</f>
        <v>0.38750000000000001</v>
      </c>
      <c r="H88" s="128"/>
      <c r="I88" s="13" t="s">
        <v>96</v>
      </c>
      <c r="J88" s="26">
        <f ca="1">H85*50%</f>
        <v>3.5</v>
      </c>
    </row>
    <row r="89" spans="1:19" hidden="1" x14ac:dyDescent="0.3">
      <c r="A89" s="121" t="s">
        <v>48</v>
      </c>
      <c r="B89" s="122"/>
      <c r="C89" s="91">
        <f ca="1">J96</f>
        <v>5.25</v>
      </c>
      <c r="D89" s="87">
        <f ca="1">((100/H85)*C89)/100</f>
        <v>0.75</v>
      </c>
      <c r="E89" s="126"/>
      <c r="F89" s="127"/>
      <c r="G89" s="126"/>
      <c r="H89" s="129"/>
      <c r="I89" s="13" t="s">
        <v>97</v>
      </c>
      <c r="J89" s="26">
        <f ca="1">H85</f>
        <v>7</v>
      </c>
      <c r="S89"/>
    </row>
    <row r="90" spans="1:19" ht="15.75" hidden="1" customHeight="1" x14ac:dyDescent="0.3">
      <c r="A90" s="121" t="s">
        <v>122</v>
      </c>
      <c r="B90" s="122"/>
      <c r="C90" s="86">
        <v>0</v>
      </c>
      <c r="D90" s="87">
        <f ca="1">((100/(D85+F85+H85))*C90)/100</f>
        <v>0</v>
      </c>
      <c r="E90" s="126"/>
      <c r="F90" s="127"/>
      <c r="G90" s="126"/>
      <c r="H90" s="129"/>
      <c r="I90" s="13" t="s">
        <v>98</v>
      </c>
      <c r="J90" s="27">
        <f ca="1">(IF(B85&gt;1,(H85/(B85+2)),H85/4))</f>
        <v>1.75</v>
      </c>
      <c r="S90"/>
    </row>
    <row r="91" spans="1:19" ht="15.75" hidden="1" customHeight="1" x14ac:dyDescent="0.3">
      <c r="A91" s="121" t="s">
        <v>129</v>
      </c>
      <c r="B91" s="122" t="s">
        <v>123</v>
      </c>
      <c r="C91" s="86">
        <v>0</v>
      </c>
      <c r="D91" s="87">
        <f ca="1">((100/H85)*C91)/100</f>
        <v>0</v>
      </c>
      <c r="E91" s="126"/>
      <c r="F91" s="127"/>
      <c r="G91" s="126"/>
      <c r="H91" s="129"/>
      <c r="I91" s="13" t="s">
        <v>99</v>
      </c>
      <c r="J91" s="27">
        <f ca="1">(IF(B85&gt;1,(H85/(B85+2)+J90),H85/4+J90))</f>
        <v>3.5</v>
      </c>
    </row>
    <row r="92" spans="1:19" ht="15.75" hidden="1" customHeight="1" x14ac:dyDescent="0.3">
      <c r="A92" s="121" t="s">
        <v>130</v>
      </c>
      <c r="B92" s="122" t="s">
        <v>123</v>
      </c>
      <c r="C92" s="86">
        <v>0</v>
      </c>
      <c r="D92" s="87">
        <f ca="1">((100/H85)*C92)/100</f>
        <v>0</v>
      </c>
      <c r="E92" s="126"/>
      <c r="F92" s="127"/>
      <c r="G92" s="126"/>
      <c r="H92" s="129"/>
      <c r="I92" s="13" t="s">
        <v>139</v>
      </c>
      <c r="J92" s="27">
        <f>(IF(B85&gt;1,(H85/(B85+2)+J91),0))</f>
        <v>0</v>
      </c>
    </row>
    <row r="93" spans="1:19" ht="15" hidden="1" customHeight="1" x14ac:dyDescent="0.3">
      <c r="A93" s="121" t="s">
        <v>128</v>
      </c>
      <c r="B93" s="122" t="s">
        <v>125</v>
      </c>
      <c r="C93" s="86">
        <v>0</v>
      </c>
      <c r="D93" s="87">
        <f ca="1">((100/(H85))*C93)/100</f>
        <v>0</v>
      </c>
      <c r="E93" s="126"/>
      <c r="F93" s="127"/>
      <c r="G93" s="126"/>
      <c r="H93" s="129"/>
      <c r="I93" s="13" t="s">
        <v>136</v>
      </c>
      <c r="J93" s="27">
        <f>(IF(B85&gt;2,(H85/(B85+2)+J92),0))</f>
        <v>0</v>
      </c>
    </row>
    <row r="94" spans="1:19" ht="15.75" hidden="1" customHeight="1" x14ac:dyDescent="0.3">
      <c r="A94" s="121" t="s">
        <v>124</v>
      </c>
      <c r="B94" s="122" t="s">
        <v>124</v>
      </c>
      <c r="C94" s="86">
        <v>0</v>
      </c>
      <c r="D94" s="87">
        <f ca="1">((100/H85)*C94)/100</f>
        <v>0</v>
      </c>
      <c r="E94" s="126"/>
      <c r="F94" s="127"/>
      <c r="G94" s="126"/>
      <c r="H94" s="129"/>
      <c r="I94" s="13" t="s">
        <v>137</v>
      </c>
      <c r="J94" s="28">
        <f>(IF(B85&gt;3,(H85/(B85+2)+J93),0))</f>
        <v>0</v>
      </c>
    </row>
    <row r="95" spans="1:19" ht="15.75" hidden="1" customHeight="1" x14ac:dyDescent="0.3">
      <c r="A95" s="121" t="s">
        <v>131</v>
      </c>
      <c r="B95" s="122"/>
      <c r="C95" s="86">
        <v>0</v>
      </c>
      <c r="D95" s="87">
        <f ca="1">((100/H85)*C95)/100</f>
        <v>0</v>
      </c>
      <c r="E95" s="126"/>
      <c r="F95" s="127"/>
      <c r="G95" s="126"/>
      <c r="H95" s="129"/>
      <c r="I95" s="13" t="s">
        <v>138</v>
      </c>
      <c r="J95" s="27">
        <f>(IF(B85&gt;4,(H85/(B85+2)+J94),0))</f>
        <v>0</v>
      </c>
    </row>
    <row r="96" spans="1:19" ht="15.75" hidden="1" customHeight="1" x14ac:dyDescent="0.3">
      <c r="A96" s="121" t="s">
        <v>126</v>
      </c>
      <c r="B96" s="122" t="s">
        <v>126</v>
      </c>
      <c r="C96" s="86">
        <v>0</v>
      </c>
      <c r="D96" s="87">
        <f ca="1">((100/(H85))*C96)/100</f>
        <v>0</v>
      </c>
      <c r="E96" s="126"/>
      <c r="F96" s="127"/>
      <c r="G96" s="126"/>
      <c r="H96" s="129"/>
      <c r="I96" s="13" t="s">
        <v>140</v>
      </c>
      <c r="J96" s="27">
        <f ca="1">(IF(B85=1,(H85/(B85+3)+J91),IF(B85=0,(H85/4+J91),IF(B85&gt;1,0))))</f>
        <v>5.25</v>
      </c>
    </row>
    <row r="97" spans="1:22" ht="16.2" hidden="1" thickBot="1" x14ac:dyDescent="0.35">
      <c r="A97" s="130" t="s">
        <v>127</v>
      </c>
      <c r="B97" s="131"/>
      <c r="C97" s="92">
        <v>0</v>
      </c>
      <c r="D97" s="93">
        <f ca="1">((100/(H85))*C97)/100</f>
        <v>0</v>
      </c>
      <c r="E97" s="126"/>
      <c r="F97" s="127"/>
      <c r="G97" s="126"/>
      <c r="H97" s="129"/>
      <c r="I97" s="14" t="s">
        <v>100</v>
      </c>
      <c r="J97" s="29">
        <f ca="1">(IF(B85&gt;1.5,(H85/(B85+2)+J91+MAX(0,J92-J91)+MAX(0,J93-J92)+MAX(0,J94-J93)+MAX(0,J95-J94)+MAX(0,J96-J95)),IF(B85=1,(H85/(B85+3)+J96),IF(B85=0,H85/4+J96))))</f>
        <v>7</v>
      </c>
    </row>
    <row r="98" spans="1:22" hidden="1" x14ac:dyDescent="0.3">
      <c r="A98" s="132" t="s">
        <v>404</v>
      </c>
      <c r="B98" s="97"/>
      <c r="C98" s="97" t="s">
        <v>402</v>
      </c>
      <c r="D98" s="97"/>
      <c r="E98" s="95">
        <f ca="1">AVERAGE(E74,E88)</f>
        <v>0.1875</v>
      </c>
      <c r="F98" s="97" t="s">
        <v>403</v>
      </c>
      <c r="G98" s="97"/>
      <c r="H98" s="99">
        <f ca="1">AVERAGE(G74,G88)</f>
        <v>0.49375000000000002</v>
      </c>
      <c r="I98" s="13"/>
      <c r="J98" s="27"/>
    </row>
    <row r="99" spans="1:22" ht="16.2" hidden="1" thickBot="1" x14ac:dyDescent="0.35">
      <c r="A99" s="133"/>
      <c r="B99" s="98"/>
      <c r="C99" s="98"/>
      <c r="D99" s="98"/>
      <c r="E99" s="96"/>
      <c r="F99" s="98"/>
      <c r="G99" s="98"/>
      <c r="H99" s="100"/>
      <c r="I99" s="13"/>
      <c r="J99" s="27"/>
    </row>
    <row r="100" spans="1:22" x14ac:dyDescent="0.3">
      <c r="A100" s="224" t="s">
        <v>133</v>
      </c>
      <c r="B100" s="225"/>
      <c r="C100" s="226" t="str">
        <f>D60</f>
        <v>Building No.1B = G + 1st to 7th Floor</v>
      </c>
      <c r="D100" s="227"/>
      <c r="E100" s="227"/>
      <c r="F100" s="227"/>
      <c r="G100" s="227"/>
      <c r="H100" s="228"/>
      <c r="I100" s="42" t="str">
        <f ca="1">IF(D113=100%,"All work Completed. Possession granted to the Building.",IF(D112=100%,"All work Completed, Waiting for OC",I101&amp;""&amp;I102&amp;""&amp;J101&amp;""&amp;J100&amp;" "&amp;J102))</f>
        <v>Excavation, Plinth, RCC Slab Completed, Brickwork upto 2 Floor Completed</v>
      </c>
      <c r="J100" s="43" t="str">
        <f ca="1">(IF(C106=(D101+F101+H101),"",IF(C106&gt;0,", RCC upto "&amp;C106&amp;" Slab","")))&amp;(IF(C107=H101,"",IF(C107&gt;0,", Brickwork upto "&amp;C107&amp;" Floor","")))&amp;(IF(C108=H101,"",IF(C108&gt;0,", Internal Plaster upto "&amp;C108&amp;" Floor","")))&amp;(IF(C109=H101,"",IF(C109&gt;0,", External Plaster upto "&amp;C109&amp;" Floor","")))&amp;(IF(C110=H101,"",IF(C110&gt;0,", Flooring upto "&amp;C110&amp;" Floor","")))&amp;(IF(C111=H101,"",IF(C111&gt;0,", Painting upto "&amp;C111&amp;" Floor","")))&amp;(IF(C112=H101,"",IF(C112&gt;0,", Finishing upto "&amp;C112&amp;" Floor","")))&amp;(IF(C113=H101,"",IF(C113&gt;0,", Possession upto "&amp;C113&amp;" Floor","")))</f>
        <v>, Brickwork upto 2 Floor</v>
      </c>
      <c r="R100" t="s">
        <v>241</v>
      </c>
      <c r="S100" t="s">
        <v>163</v>
      </c>
      <c r="T100" t="s">
        <v>168</v>
      </c>
      <c r="U100" t="s">
        <v>182</v>
      </c>
      <c r="V100" t="s">
        <v>177</v>
      </c>
    </row>
    <row r="101" spans="1:22" x14ac:dyDescent="0.3">
      <c r="A101" s="15" t="s">
        <v>135</v>
      </c>
      <c r="B101" s="46">
        <f>IF(AND(ISNUMBER(SEARCH("1B",C100))),1,IF(AND(ISNUMBER(SEARCH("2B",C100))),2,IF(AND(ISNUMBER(SEARCH("3B",C100))),3,IF(AND(ISNUMBER(SEARCH("4B",C100))),4,IF(ISNUMBER(SEARCH("5B",C100)),5,0)))))</f>
        <v>1</v>
      </c>
      <c r="C101" s="46" t="s">
        <v>68</v>
      </c>
      <c r="D101" s="46">
        <v>1</v>
      </c>
      <c r="E101" s="46" t="s">
        <v>67</v>
      </c>
      <c r="F101" s="46">
        <v>0</v>
      </c>
      <c r="G101" s="46" t="s">
        <v>75</v>
      </c>
      <c r="H101" s="16">
        <f ca="1">--TRIM(RIGHT(SUBSTITUTE(LEFT(C100,_xlfn.AGGREGATE(16,6,FIND({0,1,2,3,4,5,6,7,8,9},C100,ROW(INDIRECT("1:"&amp;LEN(C100)))),1))," ",REPT(" ",LEN(C100))),LEN(C100)))</f>
        <v>7</v>
      </c>
      <c r="I101" s="44" t="str">
        <f ca="1">IF(D104=100%,"Excavation","")&amp;IF(D105=100%,", Plinth","")&amp;IF(D106=100%,", RCC Slab","")&amp;IF(D107=100%,", Brickwork","")&amp;IF(D108=100%,", Internal Plaster","")&amp;IF(D109=100%,", External Plaster","")&amp;IF(D110=100%,", Flooring","")&amp;IF(D111=100%,", Painting","")&amp;IF(D112=100%,", Building common Amenities","")</f>
        <v>Excavation, Plinth, RCC Slab</v>
      </c>
      <c r="J101" s="45" t="str">
        <f ca="1">(IF(C104=0,"Work not yet Started.",IF(D104=25%,"Piling work in process",IF(D104=50%,"Excavation work in process",IF(D104=100%,"","0")))))&amp;(IF(C105=0%,"",IF(C105=J106,", Footing work is process",IF(C105=J107,", Footing work Completed",IF(C105=J108,", 1st Basement Completed",IF(C105=J109,", 1st &amp; 2nd Basement Completed",IF(C105=J110,", 1st to 3rd Basement Completed",IF(C105=J111,", 1st to 4th Basement Completed",IF(C105=J112,", Plinth work is process",IF(C105=J113,"","0"))))))))))</f>
        <v/>
      </c>
      <c r="R101"/>
      <c r="S101">
        <v>800000</v>
      </c>
      <c r="T101">
        <v>150000</v>
      </c>
      <c r="U101">
        <v>100000</v>
      </c>
      <c r="V101">
        <v>100000</v>
      </c>
    </row>
    <row r="102" spans="1:22" ht="33" customHeight="1" x14ac:dyDescent="0.3">
      <c r="A102" s="117" t="s">
        <v>85</v>
      </c>
      <c r="B102" s="118"/>
      <c r="C102" s="119" t="str">
        <f ca="1">I100</f>
        <v>Excavation, Plinth, RCC Slab Completed, Brickwork upto 2 Floor Completed</v>
      </c>
      <c r="D102" s="119"/>
      <c r="E102" s="119"/>
      <c r="F102" s="119"/>
      <c r="G102" s="119"/>
      <c r="H102" s="120"/>
      <c r="I102" s="44" t="str">
        <f ca="1">IF(I101&lt;&gt;""," Completed","")</f>
        <v xml:space="preserve"> Completed</v>
      </c>
      <c r="J102" s="45" t="str">
        <f ca="1">IF(J100&lt;&gt;"","Completed","")</f>
        <v>Completed</v>
      </c>
      <c r="R102"/>
      <c r="S102">
        <v>900000</v>
      </c>
      <c r="T102">
        <v>200000</v>
      </c>
      <c r="U102">
        <v>150000</v>
      </c>
      <c r="V102">
        <v>150000</v>
      </c>
    </row>
    <row r="103" spans="1:22" x14ac:dyDescent="0.3">
      <c r="A103" s="121" t="s">
        <v>47</v>
      </c>
      <c r="B103" s="122"/>
      <c r="C103" s="86" t="s">
        <v>132</v>
      </c>
      <c r="D103" s="86" t="s">
        <v>78</v>
      </c>
      <c r="E103" s="122" t="s">
        <v>80</v>
      </c>
      <c r="F103" s="122"/>
      <c r="G103" s="122" t="s">
        <v>79</v>
      </c>
      <c r="H103" s="123"/>
      <c r="I103" s="13" t="s">
        <v>134</v>
      </c>
      <c r="J103" s="25">
        <f ca="1">H101*25%</f>
        <v>1.75</v>
      </c>
      <c r="R103"/>
      <c r="S103">
        <v>1000000</v>
      </c>
      <c r="T103">
        <v>250000</v>
      </c>
      <c r="U103">
        <v>200000</v>
      </c>
      <c r="V103">
        <v>200000</v>
      </c>
    </row>
    <row r="104" spans="1:22" s="30" customFormat="1" x14ac:dyDescent="0.3">
      <c r="A104" s="121" t="s">
        <v>121</v>
      </c>
      <c r="B104" s="122"/>
      <c r="C104" s="86">
        <f ca="1">J105</f>
        <v>7</v>
      </c>
      <c r="D104" s="87">
        <f ca="1">((100/H101)*C104)/100</f>
        <v>1</v>
      </c>
      <c r="E104" s="124">
        <f ca="1">(((C105/H101*10)+(40/(D101+F101+H101)*C106)+(7.5/(H101)*C107)+(7.5/(H101)*C108)+(10/H101*C109)+(10/H101*C110)+(5/H101*C111)+(5/H101*C112)+(5/H101*C113))/100)</f>
        <v>0.52142857142857146</v>
      </c>
      <c r="F104" s="125"/>
      <c r="G104" s="124">
        <f ca="1">((((C104/H101)*20)+((C105/H101)*25)+(30/(H101+F101+D101)*C106)+(5/H101*C107)+(5/H101*C108)+(5/H101*C109)+(5/H101*C110)+(0/H101*C111)+(0/H101*C112)+(5/H101*C113))/100)</f>
        <v>0.76428571428571435</v>
      </c>
      <c r="H104" s="128"/>
      <c r="I104" s="13" t="s">
        <v>96</v>
      </c>
      <c r="J104" s="26">
        <f ca="1">H101*50%</f>
        <v>3.5</v>
      </c>
      <c r="K104" s="18"/>
      <c r="R104"/>
      <c r="S104">
        <v>1100000</v>
      </c>
      <c r="T104">
        <v>300000</v>
      </c>
      <c r="U104">
        <v>250000</v>
      </c>
      <c r="V104" s="20">
        <v>250000</v>
      </c>
    </row>
    <row r="105" spans="1:22" s="30" customFormat="1" x14ac:dyDescent="0.3">
      <c r="A105" s="121" t="s">
        <v>48</v>
      </c>
      <c r="B105" s="122"/>
      <c r="C105" s="86">
        <f ca="1">J113</f>
        <v>7</v>
      </c>
      <c r="D105" s="87">
        <f ca="1">((100/H101)*C105)/100</f>
        <v>1</v>
      </c>
      <c r="E105" s="126"/>
      <c r="F105" s="127"/>
      <c r="G105" s="126"/>
      <c r="H105" s="129"/>
      <c r="I105" s="13" t="s">
        <v>97</v>
      </c>
      <c r="J105" s="26">
        <f ca="1">H101</f>
        <v>7</v>
      </c>
      <c r="K105" s="18"/>
      <c r="R105"/>
      <c r="S105">
        <v>1200000</v>
      </c>
      <c r="T105">
        <v>350000</v>
      </c>
      <c r="U105">
        <v>300000</v>
      </c>
      <c r="V105">
        <v>300000</v>
      </c>
    </row>
    <row r="106" spans="1:22" s="30" customFormat="1" x14ac:dyDescent="0.3">
      <c r="A106" s="121" t="s">
        <v>122</v>
      </c>
      <c r="B106" s="122"/>
      <c r="C106" s="86">
        <v>8</v>
      </c>
      <c r="D106" s="87">
        <f ca="1">((100/(D101+F101+H101))*C106)/100</f>
        <v>1</v>
      </c>
      <c r="E106" s="126"/>
      <c r="F106" s="127"/>
      <c r="G106" s="126"/>
      <c r="H106" s="129"/>
      <c r="I106" s="13" t="s">
        <v>98</v>
      </c>
      <c r="J106" s="27">
        <f ca="1">(IF(B101&gt;1,(H101/(B101+2)),H101/4))</f>
        <v>1.75</v>
      </c>
      <c r="K106" s="18"/>
      <c r="R106"/>
      <c r="S106">
        <v>1300000</v>
      </c>
      <c r="T106">
        <v>400000</v>
      </c>
      <c r="U106">
        <v>350000</v>
      </c>
      <c r="V106" s="20">
        <v>400000</v>
      </c>
    </row>
    <row r="107" spans="1:22" s="30" customFormat="1" x14ac:dyDescent="0.3">
      <c r="A107" s="121" t="s">
        <v>129</v>
      </c>
      <c r="B107" s="122" t="s">
        <v>123</v>
      </c>
      <c r="C107" s="86">
        <v>2</v>
      </c>
      <c r="D107" s="87">
        <f ca="1">((100/H101)*C107)/100</f>
        <v>0.28571428571428575</v>
      </c>
      <c r="E107" s="126"/>
      <c r="F107" s="127"/>
      <c r="G107" s="126"/>
      <c r="H107" s="129"/>
      <c r="I107" s="13" t="s">
        <v>99</v>
      </c>
      <c r="J107" s="27">
        <f ca="1">(IF(B101&gt;1,(H101/(B101+2)+J106),H101/4+J106))</f>
        <v>3.5</v>
      </c>
      <c r="K107" s="18"/>
      <c r="R107"/>
      <c r="S107">
        <v>1400000</v>
      </c>
      <c r="T107">
        <v>500000</v>
      </c>
      <c r="U107">
        <v>400000</v>
      </c>
      <c r="V107"/>
    </row>
    <row r="108" spans="1:22" s="30" customFormat="1" x14ac:dyDescent="0.3">
      <c r="A108" s="121" t="s">
        <v>130</v>
      </c>
      <c r="B108" s="122" t="s">
        <v>123</v>
      </c>
      <c r="C108" s="86">
        <v>0</v>
      </c>
      <c r="D108" s="87">
        <f ca="1">((100/H101)*C108)/100</f>
        <v>0</v>
      </c>
      <c r="E108" s="126"/>
      <c r="F108" s="127"/>
      <c r="G108" s="126"/>
      <c r="H108" s="129"/>
      <c r="I108" s="13" t="s">
        <v>139</v>
      </c>
      <c r="J108" s="27">
        <f>(IF(B101&gt;1,(H101/(B101+2)+J107),0))</f>
        <v>0</v>
      </c>
      <c r="K108" s="18"/>
      <c r="R108"/>
      <c r="S108">
        <v>1500000</v>
      </c>
      <c r="T108">
        <v>600000</v>
      </c>
      <c r="U108">
        <v>500000</v>
      </c>
      <c r="V108" s="20"/>
    </row>
    <row r="109" spans="1:22" s="30" customFormat="1" x14ac:dyDescent="0.3">
      <c r="A109" s="121" t="s">
        <v>128</v>
      </c>
      <c r="B109" s="122" t="s">
        <v>125</v>
      </c>
      <c r="C109" s="86">
        <v>0</v>
      </c>
      <c r="D109" s="87">
        <f ca="1">((100/(H101))*C109)/100</f>
        <v>0</v>
      </c>
      <c r="E109" s="126"/>
      <c r="F109" s="127"/>
      <c r="G109" s="126"/>
      <c r="H109" s="129"/>
      <c r="I109" s="13" t="s">
        <v>136</v>
      </c>
      <c r="J109" s="27">
        <f>(IF(B101&gt;2,(H101/(B101+2)+J108),0))</f>
        <v>0</v>
      </c>
      <c r="K109" s="18"/>
      <c r="R109"/>
      <c r="S109">
        <v>1600000</v>
      </c>
      <c r="T109">
        <v>700000</v>
      </c>
      <c r="U109">
        <v>600000</v>
      </c>
      <c r="V109"/>
    </row>
    <row r="110" spans="1:22" s="30" customFormat="1" x14ac:dyDescent="0.3">
      <c r="A110" s="121" t="s">
        <v>124</v>
      </c>
      <c r="B110" s="122" t="s">
        <v>124</v>
      </c>
      <c r="C110" s="86">
        <v>0</v>
      </c>
      <c r="D110" s="87">
        <f ca="1">((100/H101)*C110)/100</f>
        <v>0</v>
      </c>
      <c r="E110" s="126"/>
      <c r="F110" s="127"/>
      <c r="G110" s="126"/>
      <c r="H110" s="129"/>
      <c r="I110" s="13" t="s">
        <v>137</v>
      </c>
      <c r="J110" s="28">
        <f>(IF(B101&gt;3,(H101/(B101+2)+J109),0))</f>
        <v>0</v>
      </c>
      <c r="K110" s="18"/>
      <c r="R110"/>
      <c r="S110">
        <v>1700000</v>
      </c>
      <c r="T110">
        <v>800000</v>
      </c>
      <c r="U110"/>
      <c r="V110" s="20"/>
    </row>
    <row r="111" spans="1:22" x14ac:dyDescent="0.3">
      <c r="A111" s="121" t="s">
        <v>131</v>
      </c>
      <c r="B111" s="122"/>
      <c r="C111" s="86">
        <v>0</v>
      </c>
      <c r="D111" s="87">
        <f ca="1">((100/H101)*C111)/100</f>
        <v>0</v>
      </c>
      <c r="E111" s="126"/>
      <c r="F111" s="127"/>
      <c r="G111" s="126"/>
      <c r="H111" s="129"/>
      <c r="I111" s="13" t="s">
        <v>138</v>
      </c>
      <c r="J111" s="27">
        <f>(IF(B101&gt;4,(H101/(B101+2)+J110),0))</f>
        <v>0</v>
      </c>
      <c r="R111"/>
      <c r="S111">
        <v>1800000</v>
      </c>
      <c r="T111">
        <v>900000</v>
      </c>
      <c r="U111"/>
    </row>
    <row r="112" spans="1:22" s="31" customFormat="1" x14ac:dyDescent="0.3">
      <c r="A112" s="121" t="s">
        <v>126</v>
      </c>
      <c r="B112" s="122" t="s">
        <v>126</v>
      </c>
      <c r="C112" s="86">
        <v>0</v>
      </c>
      <c r="D112" s="87">
        <f ca="1">((100/(H101))*C112)/100</f>
        <v>0</v>
      </c>
      <c r="E112" s="126"/>
      <c r="F112" s="127"/>
      <c r="G112" s="126"/>
      <c r="H112" s="129"/>
      <c r="I112" s="13" t="s">
        <v>140</v>
      </c>
      <c r="J112" s="27">
        <f ca="1">(IF(B101=1,(H101/(B101+3)+J107),IF(B101=0,(H101/4+J107),IF(B101&gt;1,0))))</f>
        <v>5.25</v>
      </c>
      <c r="K112" s="18"/>
      <c r="R112" s="18"/>
      <c r="S112" s="18"/>
      <c r="T112">
        <v>1000000</v>
      </c>
      <c r="U112"/>
      <c r="V112" s="18"/>
    </row>
    <row r="113" spans="1:20" s="32" customFormat="1" ht="16.2" thickBot="1" x14ac:dyDescent="0.35">
      <c r="A113" s="101" t="s">
        <v>127</v>
      </c>
      <c r="B113" s="102"/>
      <c r="C113" s="88">
        <v>0</v>
      </c>
      <c r="D113" s="89">
        <f ca="1">((100/(H101))*C113)/100</f>
        <v>0</v>
      </c>
      <c r="E113" s="139"/>
      <c r="F113" s="140"/>
      <c r="G113" s="139"/>
      <c r="H113" s="141"/>
      <c r="I113" s="14" t="s">
        <v>100</v>
      </c>
      <c r="J113" s="29">
        <f ca="1">(IF(B101&gt;1.5,(H101/(B101+2)+J107+MAX(0,J108-J107)+MAX(0,J109-J108)+MAX(0,J110-J109)+MAX(0,J111-J110)+MAX(0,J112-J111)),IF(B101=1,(H101/(B101+3)+J112),IF(B101=0,H101/4+J112))))</f>
        <v>7</v>
      </c>
      <c r="K113" s="18"/>
      <c r="T113"/>
    </row>
    <row r="114" spans="1:20" s="32" customFormat="1" ht="15.75" customHeight="1" x14ac:dyDescent="0.3">
      <c r="A114" s="112" t="s">
        <v>133</v>
      </c>
      <c r="B114" s="113"/>
      <c r="C114" s="114" t="str">
        <f>D61</f>
        <v>Row House 1 = Gr + 1st to 2nd Floor</v>
      </c>
      <c r="D114" s="115"/>
      <c r="E114" s="115"/>
      <c r="F114" s="115"/>
      <c r="G114" s="115"/>
      <c r="H114" s="116"/>
      <c r="I114" s="42" t="str">
        <f ca="1">IF(D127=100%,"All work Completed. Possession granted to the Building.",IF(D126=100%,"All work Completed, Waiting for OC",I115&amp;""&amp;I116&amp;""&amp;J115&amp;""&amp;J114&amp;" "&amp;J116))</f>
        <v xml:space="preserve">Excavation, Plinth Completed </v>
      </c>
      <c r="J114" s="43" t="str">
        <f ca="1">(IF(C120=(D115+F115+H115),"",IF(C120&gt;0,", RCC upto "&amp;C120&amp;" Slab","")))&amp;(IF(C121=H115,"",IF(C121&gt;0,", Brickwork upto "&amp;C121&amp;" Floor","")))&amp;(IF(C122=H115,"",IF(C122&gt;0,", Internal Plaster upto "&amp;C122&amp;" Floor","")))&amp;(IF(C123=H115,"",IF(C123&gt;0,", External Plaster upto "&amp;C123&amp;" Floor","")))&amp;(IF(C124=H115,"",IF(C124&gt;0,", Flooring upto "&amp;C124&amp;" Floor","")))&amp;(IF(C125=H115,"",IF(C125&gt;0,", Painting upto "&amp;C125&amp;" Floor","")))&amp;(IF(C126=H115,"",IF(C126&gt;0,", Finishing upto "&amp;C126&amp;" Floor","")))&amp;(IF(C127=H115,"",IF(C127&gt;0,", Possession upto "&amp;C127&amp;" Floor","")))</f>
        <v/>
      </c>
      <c r="K114" s="18"/>
      <c r="T114"/>
    </row>
    <row r="115" spans="1:20" s="32" customFormat="1" x14ac:dyDescent="0.3">
      <c r="A115" s="15" t="s">
        <v>135</v>
      </c>
      <c r="B115" s="46">
        <f>IF(AND(ISNUMBER(SEARCH("1B",C114))),1,IF(AND(ISNUMBER(SEARCH("2B",C114))),2,IF(AND(ISNUMBER(SEARCH("3B",C114))),3,IF(AND(ISNUMBER(SEARCH("4B",C114))),4,IF(ISNUMBER(SEARCH("5B",C114)),5,0)))))</f>
        <v>0</v>
      </c>
      <c r="C115" s="46" t="s">
        <v>68</v>
      </c>
      <c r="D115" s="46">
        <v>1</v>
      </c>
      <c r="E115" s="46" t="s">
        <v>67</v>
      </c>
      <c r="F115" s="46">
        <v>0</v>
      </c>
      <c r="G115" s="46" t="s">
        <v>75</v>
      </c>
      <c r="H115" s="16">
        <f ca="1">--TRIM(RIGHT(SUBSTITUTE(LEFT(C114,_xlfn.AGGREGATE(16,6,FIND({0,1,2,3,4,5,6,7,8,9},C114,ROW(INDIRECT("1:"&amp;LEN(C114)))),1))," ",REPT(" ",LEN(C114))),LEN(C114)))</f>
        <v>2</v>
      </c>
      <c r="I115" s="44" t="str">
        <f ca="1">IF(D118=100%,"Excavation","")&amp;IF(D119=100%,", Plinth","")&amp;IF(D120=100%,", RCC Slab","")&amp;IF(D121=100%,", Brickwork","")&amp;IF(D122=100%,", Internal Plaster","")&amp;IF(D123=100%,", External Plaster","")&amp;IF(D124=100%,", Flooring","")&amp;IF(D125=100%,", Painting","")&amp;IF(D126=100%,", Building common Amenities","")</f>
        <v>Excavation, Plinth</v>
      </c>
      <c r="J115" s="45" t="str">
        <f ca="1">(IF(C118=0,"Work not yet Started.",IF(D118=25%,"Piling work in process",IF(D118=50%,"Excavation work in process",IF(D118=100%,"","0")))))&amp;(IF(C119=0%,"",IF(C119=J120,", Footing work is process",IF(C119=J121,", Footing work Completed",IF(C119=J122,", 1st Basement Completed",IF(C119=J123,", 1st &amp; 2nd Basement Completed",IF(C119=J124,", 1st to 3rd Basement Completed",IF(C119=J125,", 1st to 4th Basement Completed",IF(C119=J126,", Plinth work is process",IF(C119=J127,"","0"))))))))))</f>
        <v/>
      </c>
      <c r="K115" s="18"/>
      <c r="T115"/>
    </row>
    <row r="116" spans="1:20" s="32" customFormat="1" x14ac:dyDescent="0.3">
      <c r="A116" s="117" t="s">
        <v>85</v>
      </c>
      <c r="B116" s="118"/>
      <c r="C116" s="119" t="str">
        <f ca="1">I114</f>
        <v xml:space="preserve">Excavation, Plinth Completed </v>
      </c>
      <c r="D116" s="119"/>
      <c r="E116" s="119"/>
      <c r="F116" s="119"/>
      <c r="G116" s="119"/>
      <c r="H116" s="120"/>
      <c r="I116" s="44" t="str">
        <f ca="1">IF(I115&lt;&gt;""," Completed","")</f>
        <v xml:space="preserve"> Completed</v>
      </c>
      <c r="J116" s="45" t="str">
        <f ca="1">IF(J114&lt;&gt;"","Completed","")</f>
        <v/>
      </c>
      <c r="K116" s="18"/>
      <c r="T116"/>
    </row>
    <row r="117" spans="1:20" s="32" customFormat="1" x14ac:dyDescent="0.3">
      <c r="A117" s="121" t="s">
        <v>47</v>
      </c>
      <c r="B117" s="122"/>
      <c r="C117" s="86" t="s">
        <v>132</v>
      </c>
      <c r="D117" s="86" t="s">
        <v>78</v>
      </c>
      <c r="E117" s="122" t="s">
        <v>80</v>
      </c>
      <c r="F117" s="122"/>
      <c r="G117" s="122" t="s">
        <v>79</v>
      </c>
      <c r="H117" s="123"/>
      <c r="I117" s="13" t="s">
        <v>134</v>
      </c>
      <c r="J117" s="25">
        <f ca="1">H115*25%</f>
        <v>0.5</v>
      </c>
      <c r="K117" s="18"/>
      <c r="T117"/>
    </row>
    <row r="118" spans="1:20" s="31" customFormat="1" x14ac:dyDescent="0.3">
      <c r="A118" s="121" t="s">
        <v>121</v>
      </c>
      <c r="B118" s="122"/>
      <c r="C118" s="86">
        <f ca="1">J119</f>
        <v>2</v>
      </c>
      <c r="D118" s="87">
        <f ca="1">((100/H115)*C118)/100</f>
        <v>1</v>
      </c>
      <c r="E118" s="124">
        <f ca="1">(((C119/H115*10)+(40/(D115+F115+H115)*C120)+(7.5/(H115)*C121)+(7.5/(H115)*C122)+(10/H115*C123)+(10/H115*C124)+(5/H115*C125)+(5/H115*C126)+(5/H115*C127))/100)</f>
        <v>0.1</v>
      </c>
      <c r="F118" s="125"/>
      <c r="G118" s="124">
        <f ca="1">((((C118/H115)*20)+((C119/H115)*25)+(30/(H115+F115+D115)*C120)+(5/H115*C121)+(5/H115*C122)+(5/H115*C123)+(5/H115*C124)+(0/H115*C125)+(0/H115*C126)+(5/H115*C127))/100)</f>
        <v>0.45</v>
      </c>
      <c r="H118" s="128"/>
      <c r="I118" s="13" t="s">
        <v>96</v>
      </c>
      <c r="J118" s="26">
        <f ca="1">H115*50%</f>
        <v>1</v>
      </c>
      <c r="K118" s="30"/>
      <c r="T118" s="32"/>
    </row>
    <row r="119" spans="1:20" x14ac:dyDescent="0.3">
      <c r="A119" s="121" t="s">
        <v>48</v>
      </c>
      <c r="B119" s="122"/>
      <c r="C119" s="91">
        <f ca="1">J127</f>
        <v>2</v>
      </c>
      <c r="D119" s="87">
        <f ca="1">((100/H115)*C119)/100</f>
        <v>1</v>
      </c>
      <c r="E119" s="126"/>
      <c r="F119" s="127"/>
      <c r="G119" s="126"/>
      <c r="H119" s="129"/>
      <c r="I119" s="13" t="s">
        <v>97</v>
      </c>
      <c r="J119" s="26">
        <f ca="1">H115</f>
        <v>2</v>
      </c>
      <c r="K119" s="30"/>
      <c r="T119" s="32"/>
    </row>
    <row r="120" spans="1:20" x14ac:dyDescent="0.3">
      <c r="A120" s="121" t="s">
        <v>122</v>
      </c>
      <c r="B120" s="122"/>
      <c r="C120" s="86">
        <v>0</v>
      </c>
      <c r="D120" s="87">
        <f ca="1">((100/(D115+F115+H115))*C120)/100</f>
        <v>0</v>
      </c>
      <c r="E120" s="126"/>
      <c r="F120" s="127"/>
      <c r="G120" s="126"/>
      <c r="H120" s="129"/>
      <c r="I120" s="13" t="s">
        <v>98</v>
      </c>
      <c r="J120" s="27">
        <f ca="1">(IF(B115&gt;1,(H115/(B115+2)),H115/4))</f>
        <v>0.5</v>
      </c>
      <c r="K120" s="30"/>
      <c r="T120" s="34"/>
    </row>
    <row r="121" spans="1:20" s="34" customFormat="1" x14ac:dyDescent="0.3">
      <c r="A121" s="121" t="s">
        <v>129</v>
      </c>
      <c r="B121" s="122" t="s">
        <v>123</v>
      </c>
      <c r="C121" s="86">
        <v>0</v>
      </c>
      <c r="D121" s="87">
        <f ca="1">((100/H115)*C121)/100</f>
        <v>0</v>
      </c>
      <c r="E121" s="126"/>
      <c r="F121" s="127"/>
      <c r="G121" s="126"/>
      <c r="H121" s="129"/>
      <c r="I121" s="13" t="s">
        <v>99</v>
      </c>
      <c r="J121" s="27">
        <f ca="1">(IF(B115&gt;1,(H115/(B115+2)+J120),H115/4+J120))</f>
        <v>1</v>
      </c>
      <c r="K121" s="30"/>
    </row>
    <row r="122" spans="1:20" s="34" customFormat="1" x14ac:dyDescent="0.3">
      <c r="A122" s="121" t="s">
        <v>130</v>
      </c>
      <c r="B122" s="122" t="s">
        <v>123</v>
      </c>
      <c r="C122" s="86">
        <v>0</v>
      </c>
      <c r="D122" s="87">
        <f ca="1">((100/H115)*C122)/100</f>
        <v>0</v>
      </c>
      <c r="E122" s="126"/>
      <c r="F122" s="127"/>
      <c r="G122" s="126"/>
      <c r="H122" s="129"/>
      <c r="I122" s="13" t="s">
        <v>139</v>
      </c>
      <c r="J122" s="27">
        <f>(IF(B115&gt;1,(H115/(B115+2)+J121),0))</f>
        <v>0</v>
      </c>
      <c r="K122" s="30"/>
    </row>
    <row r="123" spans="1:20" s="34" customFormat="1" x14ac:dyDescent="0.3">
      <c r="A123" s="121" t="s">
        <v>128</v>
      </c>
      <c r="B123" s="122" t="s">
        <v>125</v>
      </c>
      <c r="C123" s="86">
        <v>0</v>
      </c>
      <c r="D123" s="87">
        <f ca="1">((100/(H115))*C123)/100</f>
        <v>0</v>
      </c>
      <c r="E123" s="126"/>
      <c r="F123" s="127"/>
      <c r="G123" s="126"/>
      <c r="H123" s="129"/>
      <c r="I123" s="13" t="s">
        <v>136</v>
      </c>
      <c r="J123" s="27">
        <f>(IF(B115&gt;2,(H115/(B115+2)+J122),0))</f>
        <v>0</v>
      </c>
      <c r="K123" s="30"/>
    </row>
    <row r="124" spans="1:20" s="34" customFormat="1" x14ac:dyDescent="0.3">
      <c r="A124" s="121" t="s">
        <v>124</v>
      </c>
      <c r="B124" s="122" t="s">
        <v>124</v>
      </c>
      <c r="C124" s="86">
        <v>0</v>
      </c>
      <c r="D124" s="87">
        <f ca="1">((100/H115)*C124)/100</f>
        <v>0</v>
      </c>
      <c r="E124" s="126"/>
      <c r="F124" s="127"/>
      <c r="G124" s="126"/>
      <c r="H124" s="129"/>
      <c r="I124" s="13" t="s">
        <v>137</v>
      </c>
      <c r="J124" s="28">
        <f>(IF(B115&gt;3,(H115/(B115+2)+J123),0))</f>
        <v>0</v>
      </c>
      <c r="K124" s="30"/>
    </row>
    <row r="125" spans="1:20" s="34" customFormat="1" ht="15.75" customHeight="1" x14ac:dyDescent="0.3">
      <c r="A125" s="121" t="s">
        <v>131</v>
      </c>
      <c r="B125" s="122"/>
      <c r="C125" s="86">
        <v>0</v>
      </c>
      <c r="D125" s="87">
        <f ca="1">((100/H115)*C125)/100</f>
        <v>0</v>
      </c>
      <c r="E125" s="126"/>
      <c r="F125" s="127"/>
      <c r="G125" s="126"/>
      <c r="H125" s="129"/>
      <c r="I125" s="13" t="s">
        <v>138</v>
      </c>
      <c r="J125" s="27">
        <f>(IF(B115&gt;4,(H115/(B115+2)+J124),0))</f>
        <v>0</v>
      </c>
      <c r="K125" s="18"/>
      <c r="L125" s="223"/>
      <c r="M125" s="223"/>
      <c r="N125" s="33"/>
    </row>
    <row r="126" spans="1:20" s="34" customFormat="1" ht="15.75" customHeight="1" x14ac:dyDescent="0.3">
      <c r="A126" s="121" t="s">
        <v>126</v>
      </c>
      <c r="B126" s="122" t="s">
        <v>126</v>
      </c>
      <c r="C126" s="86">
        <v>0</v>
      </c>
      <c r="D126" s="87">
        <f ca="1">((100/(H115))*C126)/100</f>
        <v>0</v>
      </c>
      <c r="E126" s="126"/>
      <c r="F126" s="127"/>
      <c r="G126" s="126"/>
      <c r="H126" s="129"/>
      <c r="I126" s="13" t="s">
        <v>140</v>
      </c>
      <c r="J126" s="27">
        <f ca="1">(IF(B115=1,(H115/(B115+3)+J121),IF(B115=0,(H115/4+J121),IF(B115&gt;1,0))))</f>
        <v>1.5</v>
      </c>
      <c r="K126" s="31"/>
      <c r="L126" s="223"/>
      <c r="M126" s="223"/>
      <c r="N126" s="33"/>
    </row>
    <row r="127" spans="1:20" s="34" customFormat="1" ht="15.75" customHeight="1" thickBot="1" x14ac:dyDescent="0.35">
      <c r="A127" s="101" t="s">
        <v>127</v>
      </c>
      <c r="B127" s="102"/>
      <c r="C127" s="88">
        <v>0</v>
      </c>
      <c r="D127" s="89">
        <f ca="1">((100/(H115))*C127)/100</f>
        <v>0</v>
      </c>
      <c r="E127" s="139"/>
      <c r="F127" s="140"/>
      <c r="G127" s="139"/>
      <c r="H127" s="141"/>
      <c r="I127" s="14" t="s">
        <v>100</v>
      </c>
      <c r="J127" s="29">
        <f ca="1">(IF(B115&gt;1.5,(H115/(B115+2)+J121+MAX(0,J122-J121)+MAX(0,J123-J122)+MAX(0,J124-J123)+MAX(0,J125-J124)+MAX(0,J126-J125)),IF(B115=1,(H115/(B115+3)+J126),IF(B115=0,H115/4+J126))))</f>
        <v>2</v>
      </c>
      <c r="K127" s="32"/>
      <c r="L127" s="223"/>
      <c r="M127" s="223"/>
      <c r="N127" s="33"/>
    </row>
    <row r="128" spans="1:20" s="34" customFormat="1" ht="15.75" customHeight="1" x14ac:dyDescent="0.3">
      <c r="A128" s="112" t="s">
        <v>133</v>
      </c>
      <c r="B128" s="113"/>
      <c r="C128" s="114" t="str">
        <f>D62</f>
        <v>Row House 2 = Gr + 1st to 2nd Floor</v>
      </c>
      <c r="D128" s="115"/>
      <c r="E128" s="115"/>
      <c r="F128" s="115"/>
      <c r="G128" s="115"/>
      <c r="H128" s="116"/>
      <c r="I128" s="42" t="str">
        <f ca="1">IF(D141=100%,"All work Completed. Possession granted to the Building.",IF(D140=100%,"All work Completed, Waiting for OC",I129&amp;""&amp;I130&amp;""&amp;J129&amp;""&amp;J128&amp;" "&amp;J130))</f>
        <v xml:space="preserve">Work not yet Started. </v>
      </c>
      <c r="J128" s="43" t="str">
        <f ca="1">(IF(C134=(D129+F129+H129),"",IF(C134&gt;0,", RCC upto "&amp;C134&amp;" Slab","")))&amp;(IF(C135=H129,"",IF(C135&gt;0,", Brickwork upto "&amp;C135&amp;" Floor","")))&amp;(IF(C136=H129,"",IF(C136&gt;0,", Internal Plaster upto "&amp;C136&amp;" Floor","")))&amp;(IF(C137=H129,"",IF(C137&gt;0,", External Plaster upto "&amp;C137&amp;" Floor","")))&amp;(IF(C138=H129,"",IF(C138&gt;0,", Flooring upto "&amp;C138&amp;" Floor","")))&amp;(IF(C139=H129,"",IF(C139&gt;0,", Painting upto "&amp;C139&amp;" Floor","")))&amp;(IF(C140=H129,"",IF(C140&gt;0,", Finishing upto "&amp;C140&amp;" Floor","")))&amp;(IF(C141=H129,"",IF(C141&gt;0,", Possession upto "&amp;C141&amp;" Floor","")))</f>
        <v/>
      </c>
      <c r="K128" s="32"/>
      <c r="L128" s="223"/>
      <c r="M128" s="223"/>
      <c r="N128" s="33"/>
      <c r="T128" s="18"/>
    </row>
    <row r="129" spans="1:20" s="34" customFormat="1" ht="15.75" customHeight="1" x14ac:dyDescent="0.3">
      <c r="A129" s="15" t="s">
        <v>135</v>
      </c>
      <c r="B129" s="46">
        <f>IF(AND(ISNUMBER(SEARCH("1B",C128))),1,IF(AND(ISNUMBER(SEARCH("2B",C128))),2,IF(AND(ISNUMBER(SEARCH("3B",C128))),3,IF(AND(ISNUMBER(SEARCH("4B",C128))),4,IF(ISNUMBER(SEARCH("5B",C128)),5,0)))))</f>
        <v>0</v>
      </c>
      <c r="C129" s="46" t="s">
        <v>68</v>
      </c>
      <c r="D129" s="46">
        <v>1</v>
      </c>
      <c r="E129" s="46" t="s">
        <v>67</v>
      </c>
      <c r="F129" s="46">
        <v>0</v>
      </c>
      <c r="G129" s="46" t="s">
        <v>75</v>
      </c>
      <c r="H129" s="16">
        <f ca="1">--TRIM(RIGHT(SUBSTITUTE(LEFT(C128,_xlfn.AGGREGATE(16,6,FIND({0,1,2,3,4,5,6,7,8,9},C128,ROW(INDIRECT("1:"&amp;LEN(C128)))),1))," ",REPT(" ",LEN(C128))),LEN(C128)))</f>
        <v>2</v>
      </c>
      <c r="I129" s="44" t="str">
        <f ca="1">IF(D132=100%,"Excavation","")&amp;IF(D133=100%,", Plinth","")&amp;IF(D134=100%,", RCC Slab","")&amp;IF(D135=100%,", Brickwork","")&amp;IF(D136=100%,", Internal Plaster","")&amp;IF(D137=100%,", External Plaster","")&amp;IF(D138=100%,", Flooring","")&amp;IF(D139=100%,", Painting","")&amp;IF(D140=100%,", Building common Amenities","")</f>
        <v/>
      </c>
      <c r="J129" s="45" t="str">
        <f>(IF(C132=0,"Work not yet Started.",IF(D132=25%,"Piling work in process",IF(D132=50%,"Excavation work in process",IF(D132=100%,"","0")))))&amp;(IF(C133=0%,"",IF(C133=J134,", Footing work is process",IF(C133=J135,", Footing work Completed",IF(C133=J136,", 1st Basement Completed",IF(C133=J137,", 1st &amp; 2nd Basement Completed",IF(C133=J138,", 1st to 3rd Basement Completed",IF(C133=J139,", 1st to 4th Basement Completed",IF(C133=J140,", Plinth work is process",IF(C133=J141,"","0"))))))))))</f>
        <v>Work not yet Started.</v>
      </c>
      <c r="K129" s="32"/>
      <c r="L129" s="223"/>
      <c r="M129" s="223"/>
      <c r="N129" s="33"/>
    </row>
    <row r="130" spans="1:20" s="34" customFormat="1" ht="15.75" customHeight="1" x14ac:dyDescent="0.3">
      <c r="A130" s="117" t="s">
        <v>85</v>
      </c>
      <c r="B130" s="118"/>
      <c r="C130" s="119" t="str">
        <f ca="1">I128</f>
        <v xml:space="preserve">Work not yet Started. </v>
      </c>
      <c r="D130" s="119"/>
      <c r="E130" s="119"/>
      <c r="F130" s="119"/>
      <c r="G130" s="119"/>
      <c r="H130" s="120"/>
      <c r="I130" s="44" t="str">
        <f ca="1">IF(I129&lt;&gt;""," Completed","")</f>
        <v/>
      </c>
      <c r="J130" s="45" t="str">
        <f ca="1">IF(J128&lt;&gt;"","Completed","")</f>
        <v/>
      </c>
      <c r="K130" s="32"/>
      <c r="L130" s="223"/>
      <c r="M130" s="223"/>
      <c r="N130" s="33"/>
    </row>
    <row r="131" spans="1:20" s="34" customFormat="1" ht="15.75" customHeight="1" x14ac:dyDescent="0.3">
      <c r="A131" s="121" t="s">
        <v>47</v>
      </c>
      <c r="B131" s="122"/>
      <c r="C131" s="86" t="s">
        <v>132</v>
      </c>
      <c r="D131" s="86" t="s">
        <v>78</v>
      </c>
      <c r="E131" s="122" t="s">
        <v>80</v>
      </c>
      <c r="F131" s="122"/>
      <c r="G131" s="122" t="s">
        <v>79</v>
      </c>
      <c r="H131" s="123"/>
      <c r="I131" s="13" t="s">
        <v>134</v>
      </c>
      <c r="J131" s="25">
        <f ca="1">H129*25%</f>
        <v>0.5</v>
      </c>
      <c r="K131" s="32"/>
      <c r="N131" s="33"/>
    </row>
    <row r="132" spans="1:20" s="34" customFormat="1" ht="15.75" customHeight="1" x14ac:dyDescent="0.3">
      <c r="A132" s="121" t="s">
        <v>121</v>
      </c>
      <c r="B132" s="122"/>
      <c r="C132" s="86">
        <v>0</v>
      </c>
      <c r="D132" s="87">
        <f ca="1">((100/H129)*C132)/100</f>
        <v>0</v>
      </c>
      <c r="E132" s="124">
        <f ca="1">(((C133/H129*10)+(40/(D129+F129+H129)*C134)+(7.5/(H129)*C135)+(7.5/(H129)*C136)+(10/H129*C137)+(10/H129*C138)+(5/H129*C139)+(5/H129*C140)+(5/H129*C141))/100)</f>
        <v>0</v>
      </c>
      <c r="F132" s="125"/>
      <c r="G132" s="124">
        <f ca="1">((((C132/H129)*20)+((C133/H129)*25)+(30/(H129+F129+D129)*C134)+(5/H129*C135)+(5/H129*C136)+(5/H129*C137)+(5/H129*C138)+(0/H129*C139)+(0/H129*C140)+(5/H129*C141))/100)</f>
        <v>0</v>
      </c>
      <c r="H132" s="128"/>
      <c r="I132" s="13" t="s">
        <v>96</v>
      </c>
      <c r="J132" s="26">
        <f ca="1">H129*50%</f>
        <v>1</v>
      </c>
      <c r="K132" s="31"/>
      <c r="N132" s="33"/>
    </row>
    <row r="133" spans="1:20" s="34" customFormat="1" ht="15.75" customHeight="1" x14ac:dyDescent="0.3">
      <c r="A133" s="121" t="s">
        <v>48</v>
      </c>
      <c r="B133" s="122"/>
      <c r="C133" s="86">
        <v>0</v>
      </c>
      <c r="D133" s="87">
        <f ca="1">((100/H129)*C133)/100</f>
        <v>0</v>
      </c>
      <c r="E133" s="126"/>
      <c r="F133" s="127"/>
      <c r="G133" s="126"/>
      <c r="H133" s="129"/>
      <c r="I133" s="13" t="s">
        <v>97</v>
      </c>
      <c r="J133" s="26">
        <f ca="1">H129</f>
        <v>2</v>
      </c>
      <c r="K133" s="18"/>
      <c r="L133" s="223"/>
      <c r="M133" s="223"/>
      <c r="N133" s="33"/>
    </row>
    <row r="134" spans="1:20" s="34" customFormat="1" x14ac:dyDescent="0.3">
      <c r="A134" s="121" t="s">
        <v>122</v>
      </c>
      <c r="B134" s="122"/>
      <c r="C134" s="86">
        <v>0</v>
      </c>
      <c r="D134" s="87">
        <f ca="1">((100/(D129+F129+H129))*C134)/100</f>
        <v>0</v>
      </c>
      <c r="E134" s="126"/>
      <c r="F134" s="127"/>
      <c r="G134" s="126"/>
      <c r="H134" s="129"/>
      <c r="I134" s="13" t="s">
        <v>98</v>
      </c>
      <c r="J134" s="27">
        <f ca="1">(IF(B129&gt;1,(H129/(B129+2)),H129/4))</f>
        <v>0.5</v>
      </c>
      <c r="K134" s="18"/>
    </row>
    <row r="135" spans="1:20" s="34" customFormat="1" ht="15.75" customHeight="1" x14ac:dyDescent="0.3">
      <c r="A135" s="121" t="s">
        <v>129</v>
      </c>
      <c r="B135" s="122" t="s">
        <v>123</v>
      </c>
      <c r="C135" s="86">
        <v>0</v>
      </c>
      <c r="D135" s="87">
        <f ca="1">((100/H129)*C135)/100</f>
        <v>0</v>
      </c>
      <c r="E135" s="126"/>
      <c r="F135" s="127"/>
      <c r="G135" s="126"/>
      <c r="H135" s="129"/>
      <c r="I135" s="13" t="s">
        <v>99</v>
      </c>
      <c r="J135" s="27">
        <f ca="1">(IF(B129&gt;1,(H129/(B129+2)+J134),H129/4+J134))</f>
        <v>1</v>
      </c>
      <c r="L135" s="223"/>
      <c r="M135" s="223"/>
      <c r="N135" s="33"/>
    </row>
    <row r="136" spans="1:20" s="34" customFormat="1" x14ac:dyDescent="0.3">
      <c r="A136" s="121" t="s">
        <v>130</v>
      </c>
      <c r="B136" s="122" t="s">
        <v>123</v>
      </c>
      <c r="C136" s="86">
        <v>0</v>
      </c>
      <c r="D136" s="87">
        <f ca="1">((100/H129)*C136)/100</f>
        <v>0</v>
      </c>
      <c r="E136" s="126"/>
      <c r="F136" s="127"/>
      <c r="G136" s="126"/>
      <c r="H136" s="129"/>
      <c r="I136" s="13" t="s">
        <v>139</v>
      </c>
      <c r="J136" s="27">
        <f>(IF(B129&gt;1,(H129/(B129+2)+J135),0))</f>
        <v>0</v>
      </c>
      <c r="L136" s="223"/>
      <c r="M136" s="223"/>
      <c r="N136" s="33"/>
    </row>
    <row r="137" spans="1:20" s="34" customFormat="1" ht="15.75" customHeight="1" x14ac:dyDescent="0.3">
      <c r="A137" s="121" t="s">
        <v>128</v>
      </c>
      <c r="B137" s="122" t="s">
        <v>125</v>
      </c>
      <c r="C137" s="86">
        <v>0</v>
      </c>
      <c r="D137" s="87">
        <f ca="1">((100/(H129))*C137)/100</f>
        <v>0</v>
      </c>
      <c r="E137" s="126"/>
      <c r="F137" s="127"/>
      <c r="G137" s="126"/>
      <c r="H137" s="129"/>
      <c r="I137" s="13" t="s">
        <v>136</v>
      </c>
      <c r="J137" s="27">
        <f>(IF(B129&gt;2,(H129/(B129+2)+J136),0))</f>
        <v>0</v>
      </c>
      <c r="L137" s="223"/>
      <c r="M137" s="223"/>
      <c r="N137" s="33"/>
    </row>
    <row r="138" spans="1:20" s="34" customFormat="1" ht="15.75" customHeight="1" x14ac:dyDescent="0.3">
      <c r="A138" s="121" t="s">
        <v>124</v>
      </c>
      <c r="B138" s="122" t="s">
        <v>124</v>
      </c>
      <c r="C138" s="86">
        <v>0</v>
      </c>
      <c r="D138" s="87">
        <f ca="1">((100/H129)*C138)/100</f>
        <v>0</v>
      </c>
      <c r="E138" s="126"/>
      <c r="F138" s="127"/>
      <c r="G138" s="126"/>
      <c r="H138" s="129"/>
      <c r="I138" s="13" t="s">
        <v>137</v>
      </c>
      <c r="J138" s="28">
        <f>(IF(B129&gt;3,(H129/(B129+2)+J137),0))</f>
        <v>0</v>
      </c>
      <c r="L138" s="223"/>
      <c r="M138" s="223"/>
      <c r="N138" s="33"/>
      <c r="T138" s="18"/>
    </row>
    <row r="139" spans="1:20" s="34" customFormat="1" ht="15.75" customHeight="1" x14ac:dyDescent="0.3">
      <c r="A139" s="121" t="s">
        <v>131</v>
      </c>
      <c r="B139" s="122"/>
      <c r="C139" s="86">
        <v>0</v>
      </c>
      <c r="D139" s="87">
        <f ca="1">((100/H129)*C139)/100</f>
        <v>0</v>
      </c>
      <c r="E139" s="126"/>
      <c r="F139" s="127"/>
      <c r="G139" s="126"/>
      <c r="H139" s="129"/>
      <c r="I139" s="13" t="s">
        <v>138</v>
      </c>
      <c r="J139" s="27">
        <f>(IF(B129&gt;4,(H129/(B129+2)+J138),0))</f>
        <v>0</v>
      </c>
      <c r="L139" s="223"/>
      <c r="M139" s="223"/>
      <c r="N139" s="33"/>
    </row>
    <row r="140" spans="1:20" s="34" customFormat="1" ht="15.75" customHeight="1" x14ac:dyDescent="0.3">
      <c r="A140" s="121" t="s">
        <v>126</v>
      </c>
      <c r="B140" s="122" t="s">
        <v>126</v>
      </c>
      <c r="C140" s="86">
        <v>0</v>
      </c>
      <c r="D140" s="87">
        <f ca="1">((100/(H129))*C140)/100</f>
        <v>0</v>
      </c>
      <c r="E140" s="126"/>
      <c r="F140" s="127"/>
      <c r="G140" s="126"/>
      <c r="H140" s="129"/>
      <c r="I140" s="13" t="s">
        <v>140</v>
      </c>
      <c r="J140" s="27">
        <f ca="1">(IF(B129=1,(H129/(B129+3)+J135),IF(B129=0,(H129/4+J135),IF(B129&gt;1,0))))</f>
        <v>1.5</v>
      </c>
      <c r="L140" s="223"/>
      <c r="M140" s="223"/>
      <c r="N140" s="33"/>
    </row>
    <row r="141" spans="1:20" s="34" customFormat="1" ht="15.75" customHeight="1" thickBot="1" x14ac:dyDescent="0.35">
      <c r="A141" s="101" t="s">
        <v>127</v>
      </c>
      <c r="B141" s="102"/>
      <c r="C141" s="88">
        <v>0</v>
      </c>
      <c r="D141" s="89">
        <f ca="1">((100/(H129))*C141)/100</f>
        <v>0</v>
      </c>
      <c r="E141" s="139"/>
      <c r="F141" s="140"/>
      <c r="G141" s="139"/>
      <c r="H141" s="141"/>
      <c r="I141" s="14" t="s">
        <v>100</v>
      </c>
      <c r="J141" s="29">
        <f ca="1">(IF(B129&gt;1.5,(H129/(B129+2)+J135+MAX(0,J136-J135)+MAX(0,J137-J136)+MAX(0,J138-J137)+MAX(0,J139-J138)+MAX(0,J140-J139)),IF(B129=1,(H129/(B129+3)+J140),IF(B129=0,H129/4+J140))))</f>
        <v>2</v>
      </c>
      <c r="L141" s="223"/>
      <c r="M141" s="223"/>
      <c r="N141" s="33"/>
    </row>
    <row r="142" spans="1:20" s="34" customFormat="1" x14ac:dyDescent="0.3">
      <c r="A142" s="235" t="s">
        <v>149</v>
      </c>
      <c r="B142" s="235"/>
      <c r="C142" s="235"/>
      <c r="D142" s="235"/>
      <c r="E142" s="235"/>
      <c r="F142" s="173" t="s">
        <v>152</v>
      </c>
      <c r="G142" s="173"/>
      <c r="H142" s="173"/>
      <c r="I142" s="18"/>
      <c r="J142" s="18"/>
    </row>
    <row r="143" spans="1:20" s="34" customFormat="1" x14ac:dyDescent="0.3">
      <c r="A143" s="153" t="s">
        <v>150</v>
      </c>
      <c r="B143" s="153"/>
      <c r="C143" s="153"/>
      <c r="D143" s="153"/>
      <c r="E143" s="153"/>
      <c r="F143" s="147">
        <v>5800</v>
      </c>
      <c r="G143" s="147"/>
      <c r="H143" s="147"/>
      <c r="I143" s="94">
        <f>F143+500</f>
        <v>6300</v>
      </c>
      <c r="J143" s="18"/>
    </row>
    <row r="144" spans="1:20" s="34" customFormat="1" x14ac:dyDescent="0.3">
      <c r="A144" s="153" t="s">
        <v>408</v>
      </c>
      <c r="B144" s="153"/>
      <c r="C144" s="153"/>
      <c r="D144" s="153"/>
      <c r="E144" s="153"/>
      <c r="F144" s="147">
        <v>6300</v>
      </c>
      <c r="G144" s="147"/>
      <c r="H144" s="147"/>
      <c r="I144" s="19"/>
      <c r="J144" s="83"/>
    </row>
    <row r="145" spans="1:20" s="34" customFormat="1" ht="15.75" hidden="1" customHeight="1" x14ac:dyDescent="0.3">
      <c r="A145" s="144" t="s">
        <v>151</v>
      </c>
      <c r="B145" s="144"/>
      <c r="C145" s="144"/>
      <c r="D145" s="144"/>
      <c r="E145" s="144"/>
      <c r="F145" s="147"/>
      <c r="G145" s="147"/>
      <c r="H145" s="147"/>
      <c r="I145" s="19"/>
      <c r="J145" s="18"/>
      <c r="L145" s="223"/>
      <c r="M145" s="223"/>
      <c r="N145" s="33"/>
    </row>
    <row r="146" spans="1:20" s="34" customFormat="1" ht="15.75" hidden="1" customHeight="1" x14ac:dyDescent="0.25">
      <c r="A146" s="144" t="s">
        <v>165</v>
      </c>
      <c r="B146" s="144"/>
      <c r="C146" s="144"/>
      <c r="D146" s="144"/>
      <c r="E146" s="144"/>
      <c r="F146" s="147"/>
      <c r="G146" s="147"/>
      <c r="H146" s="147"/>
      <c r="I146" s="83"/>
      <c r="J146" s="30"/>
      <c r="L146" s="223"/>
      <c r="M146" s="223"/>
      <c r="N146" s="33"/>
    </row>
    <row r="147" spans="1:20" s="34" customFormat="1" ht="15.75" hidden="1" customHeight="1" x14ac:dyDescent="0.25">
      <c r="A147" s="144" t="s">
        <v>90</v>
      </c>
      <c r="B147" s="144"/>
      <c r="C147" s="144"/>
      <c r="D147" s="144"/>
      <c r="E147" s="144"/>
      <c r="F147" s="147"/>
      <c r="G147" s="147"/>
      <c r="H147" s="147"/>
      <c r="I147" s="30"/>
      <c r="J147" s="30"/>
      <c r="L147" s="223"/>
      <c r="M147" s="223"/>
      <c r="N147" s="33"/>
    </row>
    <row r="148" spans="1:20" s="34" customFormat="1" ht="15.75" hidden="1" customHeight="1" x14ac:dyDescent="0.3">
      <c r="A148" s="144" t="s">
        <v>91</v>
      </c>
      <c r="B148" s="144"/>
      <c r="C148" s="144"/>
      <c r="D148" s="144"/>
      <c r="E148" s="144"/>
      <c r="F148" s="147"/>
      <c r="G148" s="147"/>
      <c r="H148" s="147"/>
      <c r="I148" s="30"/>
      <c r="J148" s="30"/>
      <c r="L148" s="223"/>
      <c r="M148" s="223"/>
      <c r="N148" s="33"/>
      <c r="T148" s="18"/>
    </row>
    <row r="149" spans="1:20" s="34" customFormat="1" ht="15.75" hidden="1" customHeight="1" x14ac:dyDescent="0.25">
      <c r="A149" s="144" t="s">
        <v>92</v>
      </c>
      <c r="B149" s="144"/>
      <c r="C149" s="144"/>
      <c r="D149" s="144"/>
      <c r="E149" s="144"/>
      <c r="F149" s="147"/>
      <c r="G149" s="147"/>
      <c r="H149" s="147"/>
      <c r="I149" s="30"/>
      <c r="J149" s="30"/>
      <c r="L149" s="223"/>
      <c r="M149" s="223"/>
      <c r="N149" s="33"/>
    </row>
    <row r="150" spans="1:20" s="34" customFormat="1" ht="15.75" hidden="1" customHeight="1" x14ac:dyDescent="0.25">
      <c r="A150" s="144" t="s">
        <v>93</v>
      </c>
      <c r="B150" s="144"/>
      <c r="C150" s="144"/>
      <c r="D150" s="144"/>
      <c r="E150" s="144"/>
      <c r="F150" s="147"/>
      <c r="G150" s="147"/>
      <c r="H150" s="147"/>
      <c r="I150" s="30"/>
      <c r="J150" s="30"/>
      <c r="L150" s="223"/>
      <c r="M150" s="223"/>
      <c r="N150" s="33"/>
    </row>
    <row r="151" spans="1:20" s="34" customFormat="1" ht="15.75" hidden="1" customHeight="1" x14ac:dyDescent="0.25">
      <c r="A151" s="144" t="s">
        <v>94</v>
      </c>
      <c r="B151" s="144"/>
      <c r="C151" s="144"/>
      <c r="D151" s="144"/>
      <c r="E151" s="144"/>
      <c r="F151" s="147"/>
      <c r="G151" s="147"/>
      <c r="H151" s="147"/>
      <c r="I151" s="30"/>
      <c r="J151" s="30"/>
      <c r="L151" s="223"/>
      <c r="M151" s="223"/>
      <c r="N151" s="33"/>
    </row>
    <row r="152" spans="1:20" s="34" customFormat="1" hidden="1" x14ac:dyDescent="0.25">
      <c r="A152" s="144" t="s">
        <v>95</v>
      </c>
      <c r="B152" s="144"/>
      <c r="C152" s="144"/>
      <c r="D152" s="144"/>
      <c r="E152" s="144"/>
      <c r="F152" s="147"/>
      <c r="G152" s="147"/>
      <c r="H152" s="147"/>
      <c r="I152" s="30"/>
      <c r="J152" s="30"/>
    </row>
    <row r="153" spans="1:20" s="34" customFormat="1" ht="15.75" customHeight="1" x14ac:dyDescent="0.3">
      <c r="A153" s="144" t="s">
        <v>49</v>
      </c>
      <c r="B153" s="144"/>
      <c r="C153" s="144"/>
      <c r="D153" s="144"/>
      <c r="E153" s="144"/>
      <c r="F153" s="147">
        <v>300000</v>
      </c>
      <c r="G153" s="147"/>
      <c r="H153" s="147"/>
      <c r="I153" s="18"/>
      <c r="J153" s="18"/>
      <c r="L153" s="223"/>
      <c r="M153" s="223"/>
      <c r="N153" s="33"/>
    </row>
    <row r="154" spans="1:20" s="34" customFormat="1" ht="15.75" customHeight="1" x14ac:dyDescent="0.3">
      <c r="A154" s="185" t="s">
        <v>50</v>
      </c>
      <c r="B154" s="185"/>
      <c r="C154" s="185"/>
      <c r="D154" s="185"/>
      <c r="E154" s="185"/>
      <c r="F154" s="147">
        <f>F143*0.8</f>
        <v>4640</v>
      </c>
      <c r="G154" s="147"/>
      <c r="H154" s="147"/>
      <c r="I154" s="31"/>
      <c r="J154" s="31"/>
      <c r="L154" s="223"/>
      <c r="M154" s="223"/>
      <c r="N154" s="33"/>
    </row>
    <row r="155" spans="1:20" s="34" customFormat="1" ht="15.75" customHeight="1" x14ac:dyDescent="0.3">
      <c r="A155" s="186" t="s">
        <v>66</v>
      </c>
      <c r="B155" s="186"/>
      <c r="C155" s="186"/>
      <c r="D155" s="186"/>
      <c r="E155" s="186"/>
      <c r="F155" s="186"/>
      <c r="G155" s="186"/>
      <c r="H155" s="186"/>
      <c r="I155" s="32">
        <f>67800/10.764</f>
        <v>6298.7736900780383</v>
      </c>
      <c r="J155" s="32"/>
      <c r="L155" s="223"/>
      <c r="M155" s="223"/>
      <c r="N155" s="33"/>
    </row>
    <row r="156" spans="1:20" s="34" customFormat="1" ht="15.75" customHeight="1" x14ac:dyDescent="0.3">
      <c r="A156" s="167" t="s">
        <v>51</v>
      </c>
      <c r="B156" s="167"/>
      <c r="C156" s="152" t="s">
        <v>73</v>
      </c>
      <c r="D156" s="152"/>
      <c r="E156" s="174" t="s">
        <v>52</v>
      </c>
      <c r="F156" s="174"/>
      <c r="G156" s="167" t="s">
        <v>53</v>
      </c>
      <c r="H156" s="167"/>
      <c r="I156" s="32"/>
      <c r="J156" s="32"/>
      <c r="L156" s="223"/>
      <c r="M156" s="223"/>
      <c r="N156" s="33"/>
      <c r="T156" s="18"/>
    </row>
    <row r="157" spans="1:20" s="34" customFormat="1" ht="15.75" customHeight="1" x14ac:dyDescent="0.3">
      <c r="A157" s="180" t="s">
        <v>390</v>
      </c>
      <c r="B157" s="180"/>
      <c r="C157" s="182">
        <f>COUNT(D169:D175)*6+COUNT(D177:D183)</f>
        <v>49</v>
      </c>
      <c r="D157" s="182"/>
      <c r="E157" s="181">
        <f>SUM(F169:F175)*6+SUM(F177:F183)</f>
        <v>22891.475880000002</v>
      </c>
      <c r="F157" s="181"/>
      <c r="G157" s="181">
        <f>SUM(H169:H175)*6+SUM(H177:H183)</f>
        <v>33320.731625999993</v>
      </c>
      <c r="H157" s="181"/>
      <c r="I157" s="32">
        <f>C157+C158</f>
        <v>98</v>
      </c>
      <c r="J157" s="32"/>
      <c r="L157" s="223"/>
      <c r="M157" s="223"/>
      <c r="N157" s="33"/>
    </row>
    <row r="158" spans="1:20" s="34" customFormat="1" ht="15.75" customHeight="1" x14ac:dyDescent="0.3">
      <c r="A158" s="180" t="s">
        <v>391</v>
      </c>
      <c r="B158" s="180"/>
      <c r="C158" s="182">
        <f>COUNT(D187:D193)*6+COUNT(D195:D201)</f>
        <v>49</v>
      </c>
      <c r="D158" s="182"/>
      <c r="E158" s="181">
        <f>SUM(F187:F193)*6+SUM(F195:F201)</f>
        <v>22570.735589999993</v>
      </c>
      <c r="F158" s="181"/>
      <c r="G158" s="181">
        <f>SUM(H187:H193)*6+SUM(H195:H201)</f>
        <v>32879.339005499991</v>
      </c>
      <c r="H158" s="181"/>
      <c r="I158" s="32"/>
      <c r="J158" s="32"/>
      <c r="L158" s="223"/>
      <c r="M158" s="223"/>
      <c r="N158" s="33"/>
    </row>
    <row r="159" spans="1:20" s="34" customFormat="1" ht="15.75" customHeight="1" x14ac:dyDescent="0.3">
      <c r="A159" s="180" t="s">
        <v>394</v>
      </c>
      <c r="B159" s="180"/>
      <c r="C159" s="181">
        <f>COUNT(F203)</f>
        <v>1</v>
      </c>
      <c r="D159" s="182"/>
      <c r="E159" s="181">
        <f>SUM(F203)</f>
        <v>1332.42174</v>
      </c>
      <c r="F159" s="181"/>
      <c r="G159" s="181">
        <f>SUM(H203)</f>
        <v>1932.0115229999999</v>
      </c>
      <c r="H159" s="181"/>
      <c r="I159" s="32"/>
      <c r="J159" s="32"/>
      <c r="L159" s="223"/>
      <c r="M159" s="223"/>
      <c r="N159" s="33"/>
    </row>
    <row r="160" spans="1:20" s="32" customFormat="1" x14ac:dyDescent="0.3">
      <c r="A160" s="180" t="s">
        <v>398</v>
      </c>
      <c r="B160" s="180"/>
      <c r="C160" s="181">
        <f>COUNT(F205)</f>
        <v>1</v>
      </c>
      <c r="D160" s="182"/>
      <c r="E160" s="181">
        <f>SUM(F205)</f>
        <v>1332.42174</v>
      </c>
      <c r="F160" s="181"/>
      <c r="G160" s="181">
        <f>SUM(H205)</f>
        <v>1932.0115229999999</v>
      </c>
      <c r="H160" s="181"/>
      <c r="K160" s="34"/>
      <c r="T160" s="34"/>
    </row>
    <row r="161" spans="1:20" s="32" customFormat="1" x14ac:dyDescent="0.3">
      <c r="A161" s="186" t="s">
        <v>143</v>
      </c>
      <c r="B161" s="186"/>
      <c r="C161" s="152">
        <f t="shared" ref="C161:G161" si="0">SUM(C157:D160)</f>
        <v>100</v>
      </c>
      <c r="D161" s="152"/>
      <c r="E161" s="229">
        <f t="shared" si="0"/>
        <v>48127.054949999991</v>
      </c>
      <c r="F161" s="174"/>
      <c r="G161" s="167">
        <f t="shared" si="0"/>
        <v>70064.093677499972</v>
      </c>
      <c r="H161" s="167"/>
      <c r="K161" s="34"/>
      <c r="T161" s="34"/>
    </row>
    <row r="162" spans="1:20" s="32" customFormat="1" x14ac:dyDescent="0.3">
      <c r="A162" s="175" t="s">
        <v>338</v>
      </c>
      <c r="B162" s="175"/>
      <c r="C162" s="175"/>
      <c r="D162" s="175"/>
      <c r="E162" s="175"/>
      <c r="F162" s="175"/>
      <c r="G162" s="175"/>
      <c r="H162" s="175"/>
      <c r="I162" s="31"/>
      <c r="J162" s="31"/>
      <c r="K162" s="34"/>
      <c r="T162" s="34"/>
    </row>
    <row r="163" spans="1:20" s="32" customFormat="1" x14ac:dyDescent="0.3">
      <c r="A163" s="148" t="s">
        <v>369</v>
      </c>
      <c r="B163" s="148"/>
      <c r="C163" s="148"/>
      <c r="D163" s="148"/>
      <c r="E163" s="148"/>
      <c r="F163" s="148"/>
      <c r="G163" s="148"/>
      <c r="H163" s="148"/>
      <c r="I163" s="18"/>
      <c r="J163" s="18"/>
      <c r="K163" s="34"/>
      <c r="T163" s="34"/>
    </row>
    <row r="164" spans="1:20" s="32" customFormat="1" ht="46.8" x14ac:dyDescent="0.3">
      <c r="A164" s="176" t="s">
        <v>370</v>
      </c>
      <c r="B164" s="168" t="s">
        <v>166</v>
      </c>
      <c r="C164" s="168" t="s">
        <v>54</v>
      </c>
      <c r="D164" s="168" t="s">
        <v>220</v>
      </c>
      <c r="E164" s="168" t="s">
        <v>392</v>
      </c>
      <c r="F164" s="178" t="s">
        <v>55</v>
      </c>
      <c r="G164" s="233" t="s">
        <v>56</v>
      </c>
      <c r="H164" s="56" t="s">
        <v>142</v>
      </c>
      <c r="I164" s="33">
        <f>10.764</f>
        <v>10.763999999999999</v>
      </c>
      <c r="J164" s="18"/>
      <c r="K164" s="34"/>
      <c r="T164" s="34"/>
    </row>
    <row r="165" spans="1:20" s="32" customFormat="1" x14ac:dyDescent="0.3">
      <c r="A165" s="177"/>
      <c r="B165" s="169"/>
      <c r="C165" s="169"/>
      <c r="D165" s="169"/>
      <c r="E165" s="169"/>
      <c r="F165" s="179"/>
      <c r="G165" s="234"/>
      <c r="H165" s="90">
        <v>0.45</v>
      </c>
      <c r="I165" s="33"/>
      <c r="J165" s="34"/>
      <c r="K165" s="34"/>
    </row>
    <row r="166" spans="1:20" s="32" customFormat="1" x14ac:dyDescent="0.3">
      <c r="A166" s="134" t="s">
        <v>390</v>
      </c>
      <c r="B166" s="135"/>
      <c r="C166" s="135"/>
      <c r="D166" s="135"/>
      <c r="E166" s="135"/>
      <c r="F166" s="135"/>
      <c r="G166" s="135"/>
      <c r="H166" s="136"/>
      <c r="I166" s="34"/>
      <c r="J166" s="33"/>
      <c r="K166" s="34"/>
    </row>
    <row r="167" spans="1:20" s="32" customFormat="1" x14ac:dyDescent="0.3">
      <c r="A167" s="134" t="s">
        <v>361</v>
      </c>
      <c r="B167" s="135"/>
      <c r="C167" s="135"/>
      <c r="D167" s="135"/>
      <c r="E167" s="135"/>
      <c r="F167" s="135"/>
      <c r="G167" s="135"/>
      <c r="H167" s="136"/>
      <c r="I167" s="34"/>
      <c r="J167" s="33"/>
      <c r="K167" s="34"/>
    </row>
    <row r="168" spans="1:20" s="32" customFormat="1" x14ac:dyDescent="0.3">
      <c r="A168" s="134" t="s">
        <v>389</v>
      </c>
      <c r="B168" s="135"/>
      <c r="C168" s="135"/>
      <c r="D168" s="135"/>
      <c r="E168" s="135"/>
      <c r="F168" s="135"/>
      <c r="G168" s="135"/>
      <c r="H168" s="136"/>
      <c r="I168" s="34"/>
      <c r="J168" s="33"/>
      <c r="K168" s="34">
        <v>5800</v>
      </c>
    </row>
    <row r="169" spans="1:20" s="32" customFormat="1" x14ac:dyDescent="0.3">
      <c r="A169" s="137">
        <v>1</v>
      </c>
      <c r="B169" s="138"/>
      <c r="C169" s="39" t="s">
        <v>363</v>
      </c>
      <c r="D169" s="84">
        <f>(26.82+9.06)*(10.764)</f>
        <v>386.21231999999998</v>
      </c>
      <c r="E169" s="84">
        <f>(1.95+0.75*(2.75+2.75))*(10.764)</f>
        <v>65.391300000000001</v>
      </c>
      <c r="F169" s="39">
        <f t="shared" ref="F169:F175" si="1">D169+E169</f>
        <v>451.60361999999998</v>
      </c>
      <c r="G169" s="84">
        <f t="shared" ref="G169:G175" si="2">0*(10.764)</f>
        <v>0</v>
      </c>
      <c r="H169" s="39">
        <f t="shared" ref="H169:H175" si="3">F169*(($H$165)+1)+(IF(G169&lt;101,G169,IF(G169&lt;201,G169/2,IF(G169&lt;=301,G169/3,G169/4))))</f>
        <v>654.82524899999999</v>
      </c>
      <c r="I169" s="33">
        <f>4.28*2.75+2.3*1.95+2.9*2.75+1.2*1.85+1.85*1.2+0.6*1.5+0.9*2.3</f>
        <v>31.64</v>
      </c>
      <c r="J169" s="34">
        <f>2.75*1.25+1.95+2.75</f>
        <v>8.1374999999999993</v>
      </c>
      <c r="K169" s="34">
        <f>$K$168*H169</f>
        <v>3797986.4441999998</v>
      </c>
    </row>
    <row r="170" spans="1:20" s="32" customFormat="1" x14ac:dyDescent="0.3">
      <c r="A170" s="137">
        <v>2</v>
      </c>
      <c r="B170" s="138"/>
      <c r="C170" s="39" t="s">
        <v>363</v>
      </c>
      <c r="D170" s="84">
        <f>(26.82+8.91)*(10.764)</f>
        <v>384.59772000000004</v>
      </c>
      <c r="E170" s="84">
        <f>(1.95+0.75*(2.75+2.75))*(10.764)</f>
        <v>65.391300000000001</v>
      </c>
      <c r="F170" s="39">
        <f t="shared" si="1"/>
        <v>449.98902000000004</v>
      </c>
      <c r="G170" s="84">
        <f t="shared" si="2"/>
        <v>0</v>
      </c>
      <c r="H170" s="39">
        <f t="shared" si="3"/>
        <v>652.48407900000007</v>
      </c>
      <c r="I170" s="33"/>
      <c r="J170" s="34"/>
      <c r="K170" s="34">
        <f t="shared" ref="K170:K175" si="4">$K$168*H170</f>
        <v>3784407.6582000004</v>
      </c>
    </row>
    <row r="171" spans="1:20" s="32" customFormat="1" x14ac:dyDescent="0.3">
      <c r="A171" s="137">
        <v>3</v>
      </c>
      <c r="B171" s="138"/>
      <c r="C171" s="39" t="s">
        <v>363</v>
      </c>
      <c r="D171" s="84">
        <f>(26.28+8.89)*(10.764)</f>
        <v>378.56988000000001</v>
      </c>
      <c r="E171" s="84">
        <f>(1.95+0.75*(2.75+2.75))*(10.764)</f>
        <v>65.391300000000001</v>
      </c>
      <c r="F171" s="39">
        <f t="shared" si="1"/>
        <v>443.96118000000001</v>
      </c>
      <c r="G171" s="84">
        <f t="shared" si="2"/>
        <v>0</v>
      </c>
      <c r="H171" s="39">
        <f t="shared" si="3"/>
        <v>643.74371099999996</v>
      </c>
      <c r="I171" s="33"/>
      <c r="J171" s="34"/>
      <c r="K171" s="34">
        <f t="shared" si="4"/>
        <v>3733713.5237999996</v>
      </c>
    </row>
    <row r="172" spans="1:20" x14ac:dyDescent="0.3">
      <c r="A172" s="137">
        <v>4</v>
      </c>
      <c r="B172" s="138"/>
      <c r="C172" s="39" t="s">
        <v>364</v>
      </c>
      <c r="D172" s="84">
        <f>(39.76+9.83)*(10.764)</f>
        <v>533.78675999999996</v>
      </c>
      <c r="E172" s="84">
        <f>(2.1+0.75*(2.9+2.85+2.75))*(10.764)</f>
        <v>91.224899999999991</v>
      </c>
      <c r="F172" s="39">
        <f t="shared" si="1"/>
        <v>625.01165999999989</v>
      </c>
      <c r="G172" s="84">
        <f t="shared" si="2"/>
        <v>0</v>
      </c>
      <c r="H172" s="39">
        <f t="shared" si="3"/>
        <v>906.26690699999983</v>
      </c>
      <c r="I172" s="33"/>
      <c r="J172" s="34"/>
      <c r="K172" s="34">
        <f t="shared" si="4"/>
        <v>5256348.0605999986</v>
      </c>
      <c r="T172" s="32"/>
    </row>
    <row r="173" spans="1:20" x14ac:dyDescent="0.3">
      <c r="A173" s="137">
        <v>5</v>
      </c>
      <c r="B173" s="138"/>
      <c r="C173" s="39" t="s">
        <v>363</v>
      </c>
      <c r="D173" s="84">
        <f>(26.29+9.02)*(10.764)</f>
        <v>380.07684</v>
      </c>
      <c r="E173" s="84">
        <f>(1.95+0.75*(2.75+2.75))*(10.764)</f>
        <v>65.391300000000001</v>
      </c>
      <c r="F173" s="39">
        <f t="shared" si="1"/>
        <v>445.46814000000001</v>
      </c>
      <c r="G173" s="84">
        <f t="shared" si="2"/>
        <v>0</v>
      </c>
      <c r="H173" s="39">
        <f t="shared" si="3"/>
        <v>645.92880300000002</v>
      </c>
      <c r="I173" s="33"/>
      <c r="J173" s="34"/>
      <c r="K173" s="34">
        <f t="shared" si="4"/>
        <v>3746387.0574000003</v>
      </c>
      <c r="T173" s="32"/>
    </row>
    <row r="174" spans="1:20" ht="15.75" customHeight="1" x14ac:dyDescent="0.3">
      <c r="A174" s="137">
        <v>6</v>
      </c>
      <c r="B174" s="138"/>
      <c r="C174" s="39" t="s">
        <v>363</v>
      </c>
      <c r="D174" s="84">
        <f>(28.71+4.94)*(10.764)</f>
        <v>362.20859999999999</v>
      </c>
      <c r="E174" s="84">
        <f>(0.75*(2.75+2.85+2.55))*(10.764)</f>
        <v>65.794949999999986</v>
      </c>
      <c r="F174" s="39">
        <f t="shared" si="1"/>
        <v>428.00354999999996</v>
      </c>
      <c r="G174" s="84">
        <f t="shared" si="2"/>
        <v>0</v>
      </c>
      <c r="H174" s="39">
        <f t="shared" si="3"/>
        <v>620.60514749999993</v>
      </c>
      <c r="I174" s="33"/>
      <c r="J174" s="34">
        <f>3928000/H174</f>
        <v>6329.3061873934912</v>
      </c>
      <c r="K174" s="34">
        <f t="shared" si="4"/>
        <v>3599509.8554999996</v>
      </c>
      <c r="L174" s="18">
        <f>3250000/H174</f>
        <v>5236.8241112598898</v>
      </c>
      <c r="T174" s="32"/>
    </row>
    <row r="175" spans="1:20" x14ac:dyDescent="0.3">
      <c r="A175" s="137">
        <v>7</v>
      </c>
      <c r="B175" s="138"/>
      <c r="C175" s="39" t="s">
        <v>363</v>
      </c>
      <c r="D175" s="84">
        <f>(29.89+7.34)*(10.764)</f>
        <v>400.74372</v>
      </c>
      <c r="E175" s="84">
        <f>(2+0.75*(2.75))*(10.764)</f>
        <v>43.728749999999998</v>
      </c>
      <c r="F175" s="39">
        <f t="shared" si="1"/>
        <v>444.47246999999999</v>
      </c>
      <c r="G175" s="84">
        <f t="shared" si="2"/>
        <v>0</v>
      </c>
      <c r="H175" s="39">
        <f t="shared" si="3"/>
        <v>644.48508149999998</v>
      </c>
      <c r="I175" s="33">
        <f>2.75*4.4+3.05*2.75+2.75*2+1.85*1.2+1.25*1.7+1.4*0.9+1.6*1.4</f>
        <v>33.832500000000003</v>
      </c>
      <c r="J175" s="34">
        <f>3600000/H175</f>
        <v>5585.8546665210906</v>
      </c>
      <c r="K175" s="34">
        <f t="shared" si="4"/>
        <v>3738013.4726999998</v>
      </c>
      <c r="T175" s="32"/>
    </row>
    <row r="176" spans="1:20" x14ac:dyDescent="0.3">
      <c r="A176" s="134" t="s">
        <v>362</v>
      </c>
      <c r="B176" s="135"/>
      <c r="C176" s="135"/>
      <c r="D176" s="135"/>
      <c r="E176" s="135"/>
      <c r="F176" s="135"/>
      <c r="G176" s="135"/>
      <c r="H176" s="136"/>
      <c r="I176" s="34"/>
      <c r="J176" s="33"/>
      <c r="K176" s="32"/>
      <c r="T176" s="32"/>
    </row>
    <row r="177" spans="1:11" x14ac:dyDescent="0.3">
      <c r="A177" s="137">
        <v>1</v>
      </c>
      <c r="B177" s="138"/>
      <c r="C177" s="39" t="s">
        <v>363</v>
      </c>
      <c r="D177" s="84">
        <f>(26.82+9.06)*(10.764)</f>
        <v>386.21231999999998</v>
      </c>
      <c r="E177" s="84">
        <f>(0.75*(2.75+2.75))*(10.764)</f>
        <v>44.401499999999999</v>
      </c>
      <c r="F177" s="39">
        <f t="shared" ref="F177:F183" si="5">D177+E177</f>
        <v>430.61381999999998</v>
      </c>
      <c r="G177" s="84">
        <f>(1.95)*(10.764)</f>
        <v>20.989799999999999</v>
      </c>
      <c r="H177" s="39">
        <f t="shared" ref="H177:H183" si="6">F177*(($H$165)+1)+(IF(G177&lt;101,G177,IF(G177&lt;201,G177/2,IF(G177&lt;=301,G177/3,G177/4))))</f>
        <v>645.37983899999995</v>
      </c>
      <c r="I177" s="33"/>
      <c r="J177" s="34"/>
      <c r="K177" s="32"/>
    </row>
    <row r="178" spans="1:11" x14ac:dyDescent="0.3">
      <c r="A178" s="137">
        <v>2</v>
      </c>
      <c r="B178" s="138"/>
      <c r="C178" s="39" t="s">
        <v>363</v>
      </c>
      <c r="D178" s="84">
        <f>(26.82+8.91)*(10.764)</f>
        <v>384.59772000000004</v>
      </c>
      <c r="E178" s="84">
        <f>(0.75*(2.75+2.75))*(10.764)</f>
        <v>44.401499999999999</v>
      </c>
      <c r="F178" s="39">
        <f t="shared" si="5"/>
        <v>428.99922000000004</v>
      </c>
      <c r="G178" s="84">
        <f>(1.95)*(10.764)</f>
        <v>20.989799999999999</v>
      </c>
      <c r="H178" s="39">
        <f t="shared" si="6"/>
        <v>643.03866900000003</v>
      </c>
      <c r="I178" s="33"/>
      <c r="J178" s="34"/>
      <c r="K178" s="32"/>
    </row>
    <row r="179" spans="1:11" x14ac:dyDescent="0.3">
      <c r="A179" s="137">
        <v>3</v>
      </c>
      <c r="B179" s="138"/>
      <c r="C179" s="39" t="s">
        <v>363</v>
      </c>
      <c r="D179" s="84">
        <f>(26.28+8.89)*(10.764)</f>
        <v>378.56988000000001</v>
      </c>
      <c r="E179" s="84">
        <f>(0.75*(2.75+2.75))*(10.764)</f>
        <v>44.401499999999999</v>
      </c>
      <c r="F179" s="39">
        <f t="shared" si="5"/>
        <v>422.97138000000001</v>
      </c>
      <c r="G179" s="84">
        <f>(1.95)*(10.764)</f>
        <v>20.989799999999999</v>
      </c>
      <c r="H179" s="39">
        <f t="shared" si="6"/>
        <v>634.29830099999992</v>
      </c>
      <c r="I179" s="33"/>
      <c r="J179" s="34"/>
      <c r="K179" s="32"/>
    </row>
    <row r="180" spans="1:11" x14ac:dyDescent="0.3">
      <c r="A180" s="137">
        <v>4</v>
      </c>
      <c r="B180" s="138"/>
      <c r="C180" s="39" t="s">
        <v>364</v>
      </c>
      <c r="D180" s="84">
        <f>(39.76+9.83)*(10.764)</f>
        <v>533.78675999999996</v>
      </c>
      <c r="E180" s="84">
        <f>(0.75*(2.9+2.85+2.75))*(10.764)</f>
        <v>68.620499999999993</v>
      </c>
      <c r="F180" s="39">
        <f t="shared" si="5"/>
        <v>602.40725999999995</v>
      </c>
      <c r="G180" s="84">
        <f>(2.1)*(10.764)</f>
        <v>22.604399999999998</v>
      </c>
      <c r="H180" s="39">
        <f t="shared" si="6"/>
        <v>896.09492699999987</v>
      </c>
      <c r="I180" s="33"/>
      <c r="J180" s="34"/>
      <c r="K180" s="32"/>
    </row>
    <row r="181" spans="1:11" x14ac:dyDescent="0.3">
      <c r="A181" s="137">
        <v>5</v>
      </c>
      <c r="B181" s="138"/>
      <c r="C181" s="39" t="s">
        <v>363</v>
      </c>
      <c r="D181" s="84">
        <f>(26.29+9.02)*(10.764)</f>
        <v>380.07684</v>
      </c>
      <c r="E181" s="84">
        <f>(0.75*(2.75+2.75))*(10.764)</f>
        <v>44.401499999999999</v>
      </c>
      <c r="F181" s="39">
        <f t="shared" si="5"/>
        <v>424.47834</v>
      </c>
      <c r="G181" s="84">
        <f>(1.95)*(10.764)</f>
        <v>20.989799999999999</v>
      </c>
      <c r="H181" s="39">
        <f t="shared" si="6"/>
        <v>636.48339299999998</v>
      </c>
      <c r="I181" s="33"/>
      <c r="J181" s="34"/>
      <c r="K181" s="32"/>
    </row>
    <row r="182" spans="1:11" x14ac:dyDescent="0.3">
      <c r="A182" s="137">
        <v>6</v>
      </c>
      <c r="B182" s="138"/>
      <c r="C182" s="39" t="s">
        <v>363</v>
      </c>
      <c r="D182" s="84">
        <f>(28.71+4.94)*(10.764)</f>
        <v>362.20859999999999</v>
      </c>
      <c r="E182" s="84">
        <f>(0.75*(2.75+2.85+2.55))*(10.764)</f>
        <v>65.794949999999986</v>
      </c>
      <c r="F182" s="39">
        <f t="shared" si="5"/>
        <v>428.00354999999996</v>
      </c>
      <c r="G182" s="84">
        <f>0*(10.764)</f>
        <v>0</v>
      </c>
      <c r="H182" s="39">
        <f t="shared" si="6"/>
        <v>620.60514749999993</v>
      </c>
      <c r="I182" s="33"/>
      <c r="J182" s="34"/>
      <c r="K182" s="32"/>
    </row>
    <row r="183" spans="1:11" x14ac:dyDescent="0.3">
      <c r="A183" s="137">
        <v>7</v>
      </c>
      <c r="B183" s="138"/>
      <c r="C183" s="39" t="s">
        <v>363</v>
      </c>
      <c r="D183" s="84">
        <f>(29.89+7.34)*(10.764)</f>
        <v>400.74372</v>
      </c>
      <c r="E183" s="84">
        <f>(0.75*(2.75))*(10.764)</f>
        <v>22.200749999999999</v>
      </c>
      <c r="F183" s="39">
        <f t="shared" si="5"/>
        <v>422.94447000000002</v>
      </c>
      <c r="G183" s="84">
        <f>(2)*(10.764)</f>
        <v>21.527999999999999</v>
      </c>
      <c r="H183" s="39">
        <f t="shared" si="6"/>
        <v>634.7974815</v>
      </c>
      <c r="I183" s="33"/>
      <c r="J183" s="34"/>
      <c r="K183" s="32"/>
    </row>
    <row r="184" spans="1:11" x14ac:dyDescent="0.3">
      <c r="A184" s="134" t="s">
        <v>391</v>
      </c>
      <c r="B184" s="135"/>
      <c r="C184" s="135"/>
      <c r="D184" s="135"/>
      <c r="E184" s="135"/>
      <c r="F184" s="135"/>
      <c r="G184" s="135"/>
      <c r="H184" s="136"/>
      <c r="I184" s="34"/>
      <c r="J184" s="33"/>
      <c r="K184" s="32"/>
    </row>
    <row r="185" spans="1:11" x14ac:dyDescent="0.3">
      <c r="A185" s="134" t="s">
        <v>361</v>
      </c>
      <c r="B185" s="135"/>
      <c r="C185" s="135"/>
      <c r="D185" s="135"/>
      <c r="E185" s="135"/>
      <c r="F185" s="135"/>
      <c r="G185" s="135"/>
      <c r="H185" s="136"/>
      <c r="I185" s="34"/>
      <c r="J185" s="33"/>
      <c r="K185" s="32"/>
    </row>
    <row r="186" spans="1:11" ht="15" customHeight="1" x14ac:dyDescent="0.3">
      <c r="A186" s="134" t="s">
        <v>360</v>
      </c>
      <c r="B186" s="135"/>
      <c r="C186" s="135"/>
      <c r="D186" s="135"/>
      <c r="E186" s="135"/>
      <c r="F186" s="135"/>
      <c r="G186" s="135"/>
      <c r="H186" s="136"/>
      <c r="I186" s="34"/>
      <c r="J186" s="33"/>
    </row>
    <row r="187" spans="1:11" x14ac:dyDescent="0.3">
      <c r="A187" s="137">
        <v>1</v>
      </c>
      <c r="B187" s="138"/>
      <c r="C187" s="39" t="s">
        <v>363</v>
      </c>
      <c r="D187" s="84">
        <f>(29.75+6.79)*(10.764)</f>
        <v>393.31655999999998</v>
      </c>
      <c r="E187" s="84">
        <f>(2+0.75*(2.75+2.75))*(10.764)</f>
        <v>65.92949999999999</v>
      </c>
      <c r="F187" s="39">
        <f t="shared" ref="F187:F193" si="7">D187+E187</f>
        <v>459.24605999999994</v>
      </c>
      <c r="G187" s="84">
        <f t="shared" ref="G187:G193" si="8">0*(10.764)</f>
        <v>0</v>
      </c>
      <c r="H187" s="39">
        <f t="shared" ref="H187:H193" si="9">F187*(($H$165)+1)+(IF(G187&lt;101,G187,IF(G187&lt;201,G187/2,IF(G187&lt;=301,G187/3,G187/4))))</f>
        <v>665.90678699999989</v>
      </c>
      <c r="I187" s="33"/>
      <c r="J187" s="34"/>
    </row>
    <row r="188" spans="1:11" x14ac:dyDescent="0.3">
      <c r="A188" s="137">
        <v>2</v>
      </c>
      <c r="B188" s="138"/>
      <c r="C188" s="39" t="s">
        <v>363</v>
      </c>
      <c r="D188" s="84">
        <f>(29.75+6.79)*(10.764)</f>
        <v>393.31655999999998</v>
      </c>
      <c r="E188" s="84">
        <f>(2+0.75*(2.75+2.75))*(10.764)</f>
        <v>65.92949999999999</v>
      </c>
      <c r="F188" s="39">
        <f t="shared" si="7"/>
        <v>459.24605999999994</v>
      </c>
      <c r="G188" s="84">
        <f t="shared" si="8"/>
        <v>0</v>
      </c>
      <c r="H188" s="39">
        <f t="shared" si="9"/>
        <v>665.90678699999989</v>
      </c>
      <c r="I188" s="33"/>
      <c r="J188" s="34"/>
    </row>
    <row r="189" spans="1:11" x14ac:dyDescent="0.3">
      <c r="A189" s="137">
        <v>3</v>
      </c>
      <c r="B189" s="138"/>
      <c r="C189" s="39" t="s">
        <v>363</v>
      </c>
      <c r="D189" s="84">
        <f>(26.28+8.89)*(10.764)</f>
        <v>378.56988000000001</v>
      </c>
      <c r="E189" s="84">
        <f>(2.3+0.75*(2.75+2.75))*(10.764)</f>
        <v>69.158699999999996</v>
      </c>
      <c r="F189" s="39">
        <f t="shared" si="7"/>
        <v>447.72858000000002</v>
      </c>
      <c r="G189" s="84">
        <f t="shared" si="8"/>
        <v>0</v>
      </c>
      <c r="H189" s="39">
        <f t="shared" si="9"/>
        <v>649.20644100000004</v>
      </c>
      <c r="I189" s="33"/>
      <c r="J189" s="34"/>
    </row>
    <row r="190" spans="1:11" x14ac:dyDescent="0.3">
      <c r="A190" s="137">
        <v>4</v>
      </c>
      <c r="B190" s="138"/>
      <c r="C190" s="39" t="s">
        <v>363</v>
      </c>
      <c r="D190" s="84">
        <f>(27.03+8.72)*(10.764)</f>
        <v>384.81299999999999</v>
      </c>
      <c r="E190" s="84">
        <f>(1.95+0.75*(2.85+2.2))*(10.764)</f>
        <v>61.758450000000003</v>
      </c>
      <c r="F190" s="39">
        <f t="shared" si="7"/>
        <v>446.57144999999997</v>
      </c>
      <c r="G190" s="84">
        <f t="shared" si="8"/>
        <v>0</v>
      </c>
      <c r="H190" s="39">
        <f t="shared" si="9"/>
        <v>647.52860249999992</v>
      </c>
      <c r="I190" s="33"/>
      <c r="J190" s="34"/>
    </row>
    <row r="191" spans="1:11" x14ac:dyDescent="0.3">
      <c r="A191" s="137">
        <v>5</v>
      </c>
      <c r="B191" s="138"/>
      <c r="C191" s="39" t="s">
        <v>363</v>
      </c>
      <c r="D191" s="84">
        <f>(26.48+8.79)*(10.764)</f>
        <v>379.64627999999993</v>
      </c>
      <c r="E191" s="84">
        <f>(1.95+0.75*(2.75+2.75))*(10.764)</f>
        <v>65.391300000000001</v>
      </c>
      <c r="F191" s="39">
        <f t="shared" si="7"/>
        <v>445.03757999999993</v>
      </c>
      <c r="G191" s="84">
        <f t="shared" si="8"/>
        <v>0</v>
      </c>
      <c r="H191" s="39">
        <f t="shared" si="9"/>
        <v>645.30449099999987</v>
      </c>
      <c r="I191" s="33"/>
      <c r="J191" s="34"/>
    </row>
    <row r="192" spans="1:11" x14ac:dyDescent="0.3">
      <c r="A192" s="137">
        <v>6</v>
      </c>
      <c r="B192" s="138"/>
      <c r="C192" s="39" t="s">
        <v>363</v>
      </c>
      <c r="D192" s="84">
        <f>(26.82+8.91)*(10.764)</f>
        <v>384.59772000000004</v>
      </c>
      <c r="E192" s="84">
        <f>(1.95+0.75*(2.75+2.75))*(10.764)</f>
        <v>65.391300000000001</v>
      </c>
      <c r="F192" s="39">
        <f t="shared" si="7"/>
        <v>449.98902000000004</v>
      </c>
      <c r="G192" s="84">
        <f t="shared" si="8"/>
        <v>0</v>
      </c>
      <c r="H192" s="39">
        <f t="shared" si="9"/>
        <v>652.48407900000007</v>
      </c>
      <c r="I192" s="33"/>
      <c r="J192" s="34"/>
    </row>
    <row r="193" spans="1:10" x14ac:dyDescent="0.3">
      <c r="A193" s="137">
        <v>7</v>
      </c>
      <c r="B193" s="138"/>
      <c r="C193" s="39" t="s">
        <v>364</v>
      </c>
      <c r="D193" s="84">
        <f>(33.32+10.61)*(10.764)</f>
        <v>472.86251999999996</v>
      </c>
      <c r="E193" s="84">
        <f>(1.95+0.75*(2.75+2.75))*(10.764)</f>
        <v>65.391300000000001</v>
      </c>
      <c r="F193" s="39">
        <f t="shared" si="7"/>
        <v>538.25381999999991</v>
      </c>
      <c r="G193" s="84">
        <f t="shared" si="8"/>
        <v>0</v>
      </c>
      <c r="H193" s="39">
        <f t="shared" si="9"/>
        <v>780.46803899999986</v>
      </c>
      <c r="I193" s="33"/>
      <c r="J193" s="34"/>
    </row>
    <row r="194" spans="1:10" x14ac:dyDescent="0.3">
      <c r="A194" s="134" t="s">
        <v>362</v>
      </c>
      <c r="B194" s="135"/>
      <c r="C194" s="135"/>
      <c r="D194" s="135"/>
      <c r="E194" s="135"/>
      <c r="F194" s="135"/>
      <c r="G194" s="135"/>
      <c r="H194" s="136"/>
      <c r="I194" s="34"/>
      <c r="J194" s="33"/>
    </row>
    <row r="195" spans="1:10" x14ac:dyDescent="0.3">
      <c r="A195" s="137">
        <v>1</v>
      </c>
      <c r="B195" s="138"/>
      <c r="C195" s="39" t="s">
        <v>363</v>
      </c>
      <c r="D195" s="84">
        <f>(29.75+6.79)*(10.764)</f>
        <v>393.31655999999998</v>
      </c>
      <c r="E195" s="84">
        <f>(0.75*(2.75+2.75))*(10.764)</f>
        <v>44.401499999999999</v>
      </c>
      <c r="F195" s="39">
        <f t="shared" ref="F195:F201" si="10">D195+E195</f>
        <v>437.71805999999998</v>
      </c>
      <c r="G195" s="84">
        <f>(2)*(10.764)</f>
        <v>21.527999999999999</v>
      </c>
      <c r="H195" s="39">
        <f t="shared" ref="H195:H201" si="11">F195*(($H$165)+1)+(IF(G195&lt;101,G195,IF(G195&lt;201,G195/2,IF(G195&lt;=301,G195/3,G195/4))))</f>
        <v>656.21918699999992</v>
      </c>
      <c r="I195" s="33"/>
      <c r="J195" s="34"/>
    </row>
    <row r="196" spans="1:10" x14ac:dyDescent="0.3">
      <c r="A196" s="137">
        <v>2</v>
      </c>
      <c r="B196" s="138"/>
      <c r="C196" s="39" t="s">
        <v>363</v>
      </c>
      <c r="D196" s="84">
        <f>(29.75+6.79)*(10.764)</f>
        <v>393.31655999999998</v>
      </c>
      <c r="E196" s="84">
        <f>(0.75*(2.75+2.75))*(10.764)</f>
        <v>44.401499999999999</v>
      </c>
      <c r="F196" s="39">
        <f t="shared" si="10"/>
        <v>437.71805999999998</v>
      </c>
      <c r="G196" s="84">
        <f>(2)*(10.764)</f>
        <v>21.527999999999999</v>
      </c>
      <c r="H196" s="39">
        <f t="shared" si="11"/>
        <v>656.21918699999992</v>
      </c>
      <c r="I196" s="33"/>
      <c r="J196" s="34"/>
    </row>
    <row r="197" spans="1:10" x14ac:dyDescent="0.3">
      <c r="A197" s="137">
        <v>3</v>
      </c>
      <c r="B197" s="138"/>
      <c r="C197" s="39" t="s">
        <v>363</v>
      </c>
      <c r="D197" s="84">
        <f>(26.28+8.89)*(10.764)</f>
        <v>378.56988000000001</v>
      </c>
      <c r="E197" s="84">
        <f>(0.75*(2.75+2.75))*(10.764)</f>
        <v>44.401499999999999</v>
      </c>
      <c r="F197" s="39">
        <f t="shared" si="10"/>
        <v>422.97138000000001</v>
      </c>
      <c r="G197" s="84">
        <f>(2.3)*(10.764)</f>
        <v>24.757199999999997</v>
      </c>
      <c r="H197" s="39">
        <f t="shared" si="11"/>
        <v>638.06570099999999</v>
      </c>
      <c r="I197" s="33"/>
      <c r="J197" s="34"/>
    </row>
    <row r="198" spans="1:10" x14ac:dyDescent="0.3">
      <c r="A198" s="137">
        <v>4</v>
      </c>
      <c r="B198" s="138"/>
      <c r="C198" s="39" t="s">
        <v>363</v>
      </c>
      <c r="D198" s="84">
        <f>(27.03+8.72)*(10.764)</f>
        <v>384.81299999999999</v>
      </c>
      <c r="E198" s="84">
        <f>(0.75*(2.85+2.2))*(10.764)</f>
        <v>40.768650000000001</v>
      </c>
      <c r="F198" s="39">
        <f t="shared" si="10"/>
        <v>425.58164999999997</v>
      </c>
      <c r="G198" s="84">
        <f>(1.95)*(10.764)</f>
        <v>20.989799999999999</v>
      </c>
      <c r="H198" s="39">
        <f t="shared" si="11"/>
        <v>638.08319249999988</v>
      </c>
      <c r="I198" s="33"/>
      <c r="J198" s="34"/>
    </row>
    <row r="199" spans="1:10" x14ac:dyDescent="0.3">
      <c r="A199" s="137">
        <v>5</v>
      </c>
      <c r="B199" s="138"/>
      <c r="C199" s="39" t="s">
        <v>363</v>
      </c>
      <c r="D199" s="84">
        <f>(26.48+8.79)*(10.764)</f>
        <v>379.64627999999993</v>
      </c>
      <c r="E199" s="84">
        <f>(0.75*(2.75+2.75))*(10.764)</f>
        <v>44.401499999999999</v>
      </c>
      <c r="F199" s="39">
        <f t="shared" si="10"/>
        <v>424.04777999999993</v>
      </c>
      <c r="G199" s="84">
        <f>(1.95)*(10.764)</f>
        <v>20.989799999999999</v>
      </c>
      <c r="H199" s="39">
        <f t="shared" si="11"/>
        <v>635.85908099999983</v>
      </c>
      <c r="I199" s="33"/>
      <c r="J199" s="34"/>
    </row>
    <row r="200" spans="1:10" x14ac:dyDescent="0.3">
      <c r="A200" s="137">
        <v>6</v>
      </c>
      <c r="B200" s="138"/>
      <c r="C200" s="39" t="s">
        <v>363</v>
      </c>
      <c r="D200" s="84">
        <f>(26.82+8.91)*(10.764)</f>
        <v>384.59772000000004</v>
      </c>
      <c r="E200" s="84">
        <f>(0.75*(2.75+2.75))*(10.764)</f>
        <v>44.401499999999999</v>
      </c>
      <c r="F200" s="39">
        <f t="shared" si="10"/>
        <v>428.99922000000004</v>
      </c>
      <c r="G200" s="84">
        <f>(1.95)*(10.764)</f>
        <v>20.989799999999999</v>
      </c>
      <c r="H200" s="39">
        <f t="shared" si="11"/>
        <v>643.03866900000003</v>
      </c>
      <c r="I200" s="33"/>
      <c r="J200" s="34"/>
    </row>
    <row r="201" spans="1:10" x14ac:dyDescent="0.3">
      <c r="A201" s="137">
        <v>7</v>
      </c>
      <c r="B201" s="138"/>
      <c r="C201" s="39" t="s">
        <v>364</v>
      </c>
      <c r="D201" s="84">
        <f>(33.32+10.61)*(10.764)</f>
        <v>472.86251999999996</v>
      </c>
      <c r="E201" s="84">
        <f>(0.75*(2.75+2.75))*(10.764)</f>
        <v>44.401499999999999</v>
      </c>
      <c r="F201" s="39">
        <f t="shared" si="10"/>
        <v>517.26401999999996</v>
      </c>
      <c r="G201" s="84">
        <f>(1.95)*(10.764)</f>
        <v>20.989799999999999</v>
      </c>
      <c r="H201" s="39">
        <f t="shared" si="11"/>
        <v>771.02262899999982</v>
      </c>
      <c r="I201" s="33"/>
      <c r="J201" s="34"/>
    </row>
    <row r="202" spans="1:10" x14ac:dyDescent="0.3">
      <c r="A202" s="134" t="s">
        <v>395</v>
      </c>
      <c r="B202" s="135"/>
      <c r="C202" s="135"/>
      <c r="D202" s="135"/>
      <c r="E202" s="135"/>
      <c r="F202" s="135"/>
      <c r="G202" s="135"/>
      <c r="H202" s="136"/>
      <c r="I202" s="32"/>
      <c r="J202" s="32"/>
    </row>
    <row r="203" spans="1:10" x14ac:dyDescent="0.3">
      <c r="A203" s="137">
        <v>1</v>
      </c>
      <c r="B203" s="138"/>
      <c r="C203" s="39" t="s">
        <v>396</v>
      </c>
      <c r="D203" s="84">
        <f>(113.93)*(10.764)</f>
        <v>1226.3425199999999</v>
      </c>
      <c r="E203" s="84">
        <f>(5.28+0.75*(3.05*2))*(10.764)</f>
        <v>106.07921999999999</v>
      </c>
      <c r="F203" s="39">
        <f t="shared" ref="F203" si="12">D203+E203</f>
        <v>1332.42174</v>
      </c>
      <c r="G203" s="84">
        <f t="shared" ref="G203:G205" si="13">0*(10.764)</f>
        <v>0</v>
      </c>
      <c r="H203" s="39">
        <f>F203*(($H$165)+1)+(IF(G203&lt;101,G203,IF(G203&lt;201,G203/2,IF(G203&lt;=301,G203/3,G203/4))))</f>
        <v>1932.0115229999999</v>
      </c>
      <c r="I203" s="32">
        <f>4.2*1.35</f>
        <v>5.6700000000000008</v>
      </c>
      <c r="J203" s="32"/>
    </row>
    <row r="204" spans="1:10" x14ac:dyDescent="0.3">
      <c r="A204" s="134" t="s">
        <v>397</v>
      </c>
      <c r="B204" s="135"/>
      <c r="C204" s="135"/>
      <c r="D204" s="135"/>
      <c r="E204" s="135"/>
      <c r="F204" s="135"/>
      <c r="G204" s="135"/>
      <c r="H204" s="136"/>
      <c r="I204" s="32"/>
      <c r="J204" s="32"/>
    </row>
    <row r="205" spans="1:10" x14ac:dyDescent="0.3">
      <c r="A205" s="137">
        <v>1</v>
      </c>
      <c r="B205" s="138"/>
      <c r="C205" s="39" t="s">
        <v>396</v>
      </c>
      <c r="D205" s="84">
        <f>(113.93)*(10.764)</f>
        <v>1226.3425199999999</v>
      </c>
      <c r="E205" s="84">
        <f>(5.28+0.75*(3.05*2))*(10.764)</f>
        <v>106.07921999999999</v>
      </c>
      <c r="F205" s="39">
        <f t="shared" ref="F205" si="14">D205+E205</f>
        <v>1332.42174</v>
      </c>
      <c r="G205" s="84">
        <f t="shared" si="13"/>
        <v>0</v>
      </c>
      <c r="H205" s="39">
        <f t="shared" ref="H205" si="15">F205*(($H$165)+1)+(IF(G205&lt;101,G205,IF(G205&lt;201,G205/2,IF(G205&lt;=301,G205/3,G205/4))))</f>
        <v>1932.0115229999999</v>
      </c>
      <c r="I205" s="32"/>
      <c r="J205" s="32"/>
    </row>
    <row r="206" spans="1:10" x14ac:dyDescent="0.3">
      <c r="A206" s="162" t="s">
        <v>64</v>
      </c>
      <c r="B206" s="162"/>
      <c r="C206" s="162"/>
      <c r="D206" s="162"/>
      <c r="E206" s="162"/>
      <c r="F206" s="162"/>
      <c r="G206" s="162"/>
      <c r="H206" s="162"/>
      <c r="I206" s="32"/>
      <c r="J206" s="32"/>
    </row>
    <row r="207" spans="1:10" ht="48" customHeight="1" x14ac:dyDescent="0.3">
      <c r="A207" s="41" t="s">
        <v>146</v>
      </c>
      <c r="B207" s="163" t="s">
        <v>400</v>
      </c>
      <c r="C207" s="164"/>
      <c r="D207" s="164"/>
      <c r="E207" s="164"/>
      <c r="F207" s="164"/>
      <c r="G207" s="164"/>
      <c r="H207" s="165"/>
      <c r="I207" s="32"/>
      <c r="J207" s="32"/>
    </row>
    <row r="208" spans="1:10" x14ac:dyDescent="0.3">
      <c r="A208" s="41" t="s">
        <v>146</v>
      </c>
      <c r="B208" s="163" t="str">
        <f>(IF(H164="Saleable area Loading :","We have considered Saleable area of Flats as per our Calculation.","We considered Saleable area of Flat as per Builder area Sheet."))</f>
        <v>We have considered Saleable area of Flats as per our Calculation.</v>
      </c>
      <c r="C208" s="164"/>
      <c r="D208" s="164"/>
      <c r="E208" s="164"/>
      <c r="F208" s="164"/>
      <c r="G208" s="164"/>
      <c r="H208" s="165"/>
      <c r="I208" s="32"/>
      <c r="J208" s="32"/>
    </row>
    <row r="209" spans="1:10" x14ac:dyDescent="0.3">
      <c r="A209" s="41" t="s">
        <v>146</v>
      </c>
      <c r="B209" s="170" t="s">
        <v>116</v>
      </c>
      <c r="C209" s="171"/>
      <c r="D209" s="171"/>
      <c r="E209" s="171"/>
      <c r="F209" s="171"/>
      <c r="G209" s="171"/>
      <c r="H209" s="172"/>
      <c r="I209" s="32"/>
      <c r="J209" s="32"/>
    </row>
    <row r="210" spans="1:10" x14ac:dyDescent="0.3">
      <c r="A210" s="41" t="s">
        <v>146</v>
      </c>
      <c r="B210" s="163" t="s">
        <v>393</v>
      </c>
      <c r="C210" s="164"/>
      <c r="D210" s="164"/>
      <c r="E210" s="164"/>
      <c r="F210" s="164"/>
      <c r="G210" s="164"/>
      <c r="H210" s="165"/>
      <c r="I210" s="32"/>
      <c r="J210" s="32"/>
    </row>
    <row r="211" spans="1:10" x14ac:dyDescent="0.3">
      <c r="A211" s="41" t="s">
        <v>146</v>
      </c>
      <c r="B211" s="170" t="s">
        <v>145</v>
      </c>
      <c r="C211" s="171"/>
      <c r="D211" s="171"/>
      <c r="E211" s="171"/>
      <c r="F211" s="171"/>
      <c r="G211" s="171"/>
      <c r="H211" s="172"/>
      <c r="I211" s="32"/>
      <c r="J211" s="32"/>
    </row>
    <row r="212" spans="1:10" x14ac:dyDescent="0.3">
      <c r="A212" s="41" t="s">
        <v>146</v>
      </c>
      <c r="B212" s="170" t="s">
        <v>117</v>
      </c>
      <c r="C212" s="171"/>
      <c r="D212" s="171"/>
      <c r="E212" s="171"/>
      <c r="F212" s="171"/>
      <c r="G212" s="171"/>
      <c r="H212" s="172"/>
      <c r="I212" s="32"/>
      <c r="J212" s="32"/>
    </row>
    <row r="213" spans="1:10" ht="31.5" customHeight="1" x14ac:dyDescent="0.3">
      <c r="A213" s="41" t="s">
        <v>146</v>
      </c>
      <c r="B213" s="163" t="s">
        <v>147</v>
      </c>
      <c r="C213" s="164"/>
      <c r="D213" s="164"/>
      <c r="E213" s="164"/>
      <c r="F213" s="164"/>
      <c r="G213" s="164"/>
      <c r="H213" s="165"/>
    </row>
    <row r="214" spans="1:10" x14ac:dyDescent="0.3">
      <c r="A214" s="41" t="s">
        <v>146</v>
      </c>
      <c r="B214" s="170" t="s">
        <v>118</v>
      </c>
      <c r="C214" s="171"/>
      <c r="D214" s="171"/>
      <c r="E214" s="171"/>
      <c r="F214" s="171"/>
      <c r="G214" s="171"/>
      <c r="H214" s="172"/>
    </row>
    <row r="215" spans="1:10" hidden="1" x14ac:dyDescent="0.3">
      <c r="A215" s="41" t="s">
        <v>146</v>
      </c>
      <c r="B215" s="156" t="s">
        <v>334</v>
      </c>
      <c r="C215" s="157"/>
      <c r="D215" s="157"/>
      <c r="E215" s="157"/>
      <c r="F215" s="157"/>
      <c r="G215" s="157"/>
      <c r="H215" s="158"/>
    </row>
    <row r="216" spans="1:10" hidden="1" x14ac:dyDescent="0.3">
      <c r="A216" s="41" t="s">
        <v>146</v>
      </c>
      <c r="B216" s="156" t="s">
        <v>335</v>
      </c>
      <c r="C216" s="157"/>
      <c r="D216" s="157"/>
      <c r="E216" s="157"/>
      <c r="F216" s="157"/>
      <c r="G216" s="157"/>
      <c r="H216" s="158"/>
    </row>
    <row r="217" spans="1:10" hidden="1" x14ac:dyDescent="0.3">
      <c r="A217" s="41" t="s">
        <v>146</v>
      </c>
      <c r="B217" s="156" t="str">
        <f ca="1">IF(G52&gt;EDATE(E3,-48),"NO REMARK FOR CC","REMARK FOR CC")</f>
        <v>NO REMARK FOR CC</v>
      </c>
      <c r="C217" s="157"/>
      <c r="D217" s="157"/>
      <c r="E217" s="157"/>
      <c r="F217" s="157"/>
      <c r="G217" s="157"/>
      <c r="H217" s="158"/>
    </row>
    <row r="218" spans="1:10" x14ac:dyDescent="0.3">
      <c r="A218" s="187" t="s">
        <v>57</v>
      </c>
      <c r="B218" s="187"/>
      <c r="C218" s="187"/>
      <c r="D218" s="187"/>
      <c r="E218" s="187"/>
      <c r="F218" s="187"/>
      <c r="G218" s="187"/>
      <c r="H218" s="187"/>
    </row>
    <row r="219" spans="1:10" x14ac:dyDescent="0.3">
      <c r="A219" s="144" t="s">
        <v>58</v>
      </c>
      <c r="B219" s="144"/>
      <c r="C219" s="144"/>
      <c r="D219" s="144"/>
      <c r="E219" s="144"/>
      <c r="F219" s="144"/>
      <c r="G219" s="144"/>
      <c r="H219" s="144"/>
    </row>
    <row r="220" spans="1:10" x14ac:dyDescent="0.3">
      <c r="A220" s="166" t="s">
        <v>59</v>
      </c>
      <c r="B220" s="166"/>
      <c r="C220" s="166"/>
      <c r="D220" s="166"/>
      <c r="E220" s="166"/>
      <c r="F220" s="166"/>
      <c r="G220" s="166"/>
      <c r="H220" s="166"/>
    </row>
    <row r="221" spans="1:10" x14ac:dyDescent="0.3">
      <c r="A221" s="144" t="s">
        <v>60</v>
      </c>
      <c r="B221" s="144"/>
      <c r="C221" s="144"/>
      <c r="D221" s="144"/>
      <c r="E221" s="144"/>
      <c r="F221" s="144"/>
      <c r="G221" s="144"/>
      <c r="H221" s="144"/>
    </row>
    <row r="222" spans="1:10" x14ac:dyDescent="0.3">
      <c r="A222" s="144" t="s">
        <v>61</v>
      </c>
      <c r="B222" s="144"/>
      <c r="C222" s="144"/>
      <c r="D222" s="144"/>
      <c r="E222" s="144"/>
      <c r="F222" s="144"/>
      <c r="G222" s="144"/>
      <c r="H222" s="144"/>
    </row>
    <row r="223" spans="1:10" x14ac:dyDescent="0.3">
      <c r="A223" s="144" t="s">
        <v>119</v>
      </c>
      <c r="B223" s="144"/>
      <c r="C223" s="144"/>
      <c r="D223" s="144"/>
      <c r="E223" s="144"/>
      <c r="F223" s="144"/>
      <c r="G223" s="144"/>
      <c r="H223" s="144"/>
    </row>
    <row r="224" spans="1:10" x14ac:dyDescent="0.3">
      <c r="A224" s="142" t="s">
        <v>120</v>
      </c>
      <c r="B224" s="142"/>
      <c r="C224" s="142"/>
      <c r="D224" s="142"/>
      <c r="E224" s="142"/>
      <c r="F224" s="142"/>
      <c r="G224" s="142"/>
      <c r="H224" s="142"/>
    </row>
    <row r="225" spans="1:8" x14ac:dyDescent="0.3">
      <c r="A225" s="184" t="s">
        <v>72</v>
      </c>
      <c r="B225" s="184"/>
      <c r="C225" s="184" t="s">
        <v>411</v>
      </c>
      <c r="D225" s="184"/>
      <c r="E225" s="184" t="s">
        <v>102</v>
      </c>
      <c r="F225" s="184"/>
      <c r="G225" s="184" t="s">
        <v>412</v>
      </c>
      <c r="H225" s="184"/>
    </row>
    <row r="226" spans="1:8" x14ac:dyDescent="0.3">
      <c r="A226" s="183" t="s">
        <v>74</v>
      </c>
      <c r="B226" s="183"/>
      <c r="C226" s="183"/>
      <c r="D226" s="183"/>
      <c r="E226" s="183"/>
      <c r="F226" s="183"/>
      <c r="G226" s="183"/>
      <c r="H226" s="183"/>
    </row>
    <row r="227" spans="1:8" x14ac:dyDescent="0.3">
      <c r="A227" s="183"/>
      <c r="B227" s="183"/>
      <c r="C227" s="183"/>
      <c r="D227" s="183"/>
      <c r="E227" s="183"/>
      <c r="F227" s="183"/>
      <c r="G227" s="183"/>
      <c r="H227" s="183"/>
    </row>
    <row r="228" spans="1:8" x14ac:dyDescent="0.3">
      <c r="A228" s="183"/>
      <c r="B228" s="183"/>
      <c r="C228" s="183"/>
      <c r="D228" s="183"/>
      <c r="E228" s="183"/>
      <c r="F228" s="183"/>
      <c r="G228" s="183"/>
      <c r="H228" s="183"/>
    </row>
    <row r="229" spans="1:8" x14ac:dyDescent="0.3">
      <c r="A229" s="183"/>
      <c r="B229" s="183"/>
      <c r="C229" s="183"/>
      <c r="D229" s="183"/>
      <c r="E229" s="183"/>
      <c r="F229" s="183"/>
      <c r="G229" s="183"/>
      <c r="H229" s="183"/>
    </row>
    <row r="230" spans="1:8" x14ac:dyDescent="0.3">
      <c r="A230" s="35" t="s">
        <v>62</v>
      </c>
      <c r="B230" s="36"/>
      <c r="C230" s="36"/>
      <c r="D230" s="35" t="str">
        <f>E9</f>
        <v>Seasons Sahara Nano Building No.A &amp; B</v>
      </c>
      <c r="F230" s="36"/>
      <c r="G230" s="36"/>
      <c r="H230" s="36"/>
    </row>
    <row r="231" spans="1:8" x14ac:dyDescent="0.3">
      <c r="A231" s="36"/>
      <c r="B231" s="36"/>
      <c r="C231" s="36"/>
      <c r="D231" s="36"/>
      <c r="E231" s="36"/>
      <c r="F231" s="36"/>
      <c r="G231" s="36"/>
      <c r="H231" s="36"/>
    </row>
    <row r="232" spans="1:8" x14ac:dyDescent="0.3">
      <c r="A232" s="36"/>
      <c r="B232" s="36"/>
      <c r="C232" s="36"/>
      <c r="D232" s="36"/>
      <c r="E232" s="36"/>
      <c r="F232" s="36"/>
      <c r="G232" s="36"/>
      <c r="H232" s="36"/>
    </row>
    <row r="260" spans="1:9" x14ac:dyDescent="0.3">
      <c r="I260"/>
    </row>
    <row r="272" spans="1:9" ht="22.8" customHeight="1" x14ac:dyDescent="0.3">
      <c r="A272" s="38" t="s">
        <v>155</v>
      </c>
    </row>
    <row r="314" spans="1:1" x14ac:dyDescent="0.3">
      <c r="A314" s="38" t="s">
        <v>63</v>
      </c>
    </row>
  </sheetData>
  <mergeCells count="396">
    <mergeCell ref="A192:B192"/>
    <mergeCell ref="L150:M150"/>
    <mergeCell ref="L151:M151"/>
    <mergeCell ref="A142:E142"/>
    <mergeCell ref="F146:H146"/>
    <mergeCell ref="A146:E146"/>
    <mergeCell ref="A194:H194"/>
    <mergeCell ref="L153:M153"/>
    <mergeCell ref="A196:B196"/>
    <mergeCell ref="L154:M154"/>
    <mergeCell ref="L155:M155"/>
    <mergeCell ref="L156:M156"/>
    <mergeCell ref="A185:H185"/>
    <mergeCell ref="A186:H186"/>
    <mergeCell ref="A190:B190"/>
    <mergeCell ref="L129:M129"/>
    <mergeCell ref="A174:B174"/>
    <mergeCell ref="L130:M130"/>
    <mergeCell ref="A175:B175"/>
    <mergeCell ref="L133:M133"/>
    <mergeCell ref="A166:H166"/>
    <mergeCell ref="A167:H167"/>
    <mergeCell ref="L135:M135"/>
    <mergeCell ref="L136:M136"/>
    <mergeCell ref="L137:M137"/>
    <mergeCell ref="L138:M138"/>
    <mergeCell ref="L139:M139"/>
    <mergeCell ref="L140:M140"/>
    <mergeCell ref="L141:M141"/>
    <mergeCell ref="A144:E144"/>
    <mergeCell ref="G164:G165"/>
    <mergeCell ref="L145:M145"/>
    <mergeCell ref="L146:M146"/>
    <mergeCell ref="L147:M147"/>
    <mergeCell ref="L148:M148"/>
    <mergeCell ref="L149:M149"/>
    <mergeCell ref="L157:M157"/>
    <mergeCell ref="L158:M158"/>
    <mergeCell ref="L159:M159"/>
    <mergeCell ref="A102:B102"/>
    <mergeCell ref="A111:B111"/>
    <mergeCell ref="A112:B112"/>
    <mergeCell ref="A145:E145"/>
    <mergeCell ref="C52:E52"/>
    <mergeCell ref="B164:B165"/>
    <mergeCell ref="A103:B103"/>
    <mergeCell ref="E103:F103"/>
    <mergeCell ref="E104:F113"/>
    <mergeCell ref="A76:B76"/>
    <mergeCell ref="E74:F83"/>
    <mergeCell ref="A73:B73"/>
    <mergeCell ref="A72:B72"/>
    <mergeCell ref="A70:B70"/>
    <mergeCell ref="C70:H70"/>
    <mergeCell ref="A65:C65"/>
    <mergeCell ref="D65:H65"/>
    <mergeCell ref="C72:H72"/>
    <mergeCell ref="A66:C66"/>
    <mergeCell ref="D66:H66"/>
    <mergeCell ref="A69:C69"/>
    <mergeCell ref="D69:H69"/>
    <mergeCell ref="A68:C68"/>
    <mergeCell ref="C164:C165"/>
    <mergeCell ref="B215:H215"/>
    <mergeCell ref="A147:E147"/>
    <mergeCell ref="A161:B161"/>
    <mergeCell ref="E161:F161"/>
    <mergeCell ref="A152:E152"/>
    <mergeCell ref="G161:H161"/>
    <mergeCell ref="C158:D158"/>
    <mergeCell ref="G158:H158"/>
    <mergeCell ref="A158:B158"/>
    <mergeCell ref="E158:F158"/>
    <mergeCell ref="A183:B183"/>
    <mergeCell ref="B214:H214"/>
    <mergeCell ref="B212:H212"/>
    <mergeCell ref="A189:B189"/>
    <mergeCell ref="A187:B187"/>
    <mergeCell ref="A197:B197"/>
    <mergeCell ref="A173:B173"/>
    <mergeCell ref="A178:B178"/>
    <mergeCell ref="A176:H176"/>
    <mergeCell ref="A177:B177"/>
    <mergeCell ref="A179:B179"/>
    <mergeCell ref="A180:B180"/>
    <mergeCell ref="A181:B181"/>
    <mergeCell ref="A182:B182"/>
    <mergeCell ref="L128:M128"/>
    <mergeCell ref="L125:M125"/>
    <mergeCell ref="A170:B170"/>
    <mergeCell ref="L126:M126"/>
    <mergeCell ref="A171:B171"/>
    <mergeCell ref="L127:M127"/>
    <mergeCell ref="A81:B81"/>
    <mergeCell ref="E157:F157"/>
    <mergeCell ref="G157:H157"/>
    <mergeCell ref="A143:E143"/>
    <mergeCell ref="A100:B100"/>
    <mergeCell ref="C100:H100"/>
    <mergeCell ref="A104:B104"/>
    <mergeCell ref="C102:H102"/>
    <mergeCell ref="A105:B105"/>
    <mergeCell ref="A106:B106"/>
    <mergeCell ref="G104:H113"/>
    <mergeCell ref="A107:B107"/>
    <mergeCell ref="F144:H144"/>
    <mergeCell ref="G74:H83"/>
    <mergeCell ref="A109:B109"/>
    <mergeCell ref="G103:H103"/>
    <mergeCell ref="A140:B140"/>
    <mergeCell ref="G118:H127"/>
    <mergeCell ref="A63:C63"/>
    <mergeCell ref="A64:C64"/>
    <mergeCell ref="D63:H63"/>
    <mergeCell ref="F37:H37"/>
    <mergeCell ref="C51:E51"/>
    <mergeCell ref="C50:E50"/>
    <mergeCell ref="G50:H50"/>
    <mergeCell ref="A51:B51"/>
    <mergeCell ref="G51:H51"/>
    <mergeCell ref="A39:B39"/>
    <mergeCell ref="C39:H39"/>
    <mergeCell ref="A52:B53"/>
    <mergeCell ref="A46:D46"/>
    <mergeCell ref="A47:D47"/>
    <mergeCell ref="D64:H64"/>
    <mergeCell ref="A44:D44"/>
    <mergeCell ref="E44:H44"/>
    <mergeCell ref="E45:H45"/>
    <mergeCell ref="A40:B40"/>
    <mergeCell ref="C40:H40"/>
    <mergeCell ref="D60:H60"/>
    <mergeCell ref="G52:H52"/>
    <mergeCell ref="A55:H55"/>
    <mergeCell ref="C53:H53"/>
    <mergeCell ref="A56:C56"/>
    <mergeCell ref="A57:C57"/>
    <mergeCell ref="D61:H61"/>
    <mergeCell ref="A38:H38"/>
    <mergeCell ref="A37:B37"/>
    <mergeCell ref="C37:E37"/>
    <mergeCell ref="A42:D42"/>
    <mergeCell ref="E42:H42"/>
    <mergeCell ref="A41:H41"/>
    <mergeCell ref="E46:H46"/>
    <mergeCell ref="E47:H47"/>
    <mergeCell ref="A48:H48"/>
    <mergeCell ref="D58:H58"/>
    <mergeCell ref="A58:C58"/>
    <mergeCell ref="A45:D45"/>
    <mergeCell ref="A49:B49"/>
    <mergeCell ref="C49:H49"/>
    <mergeCell ref="D59:H5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6:H229"/>
    <mergeCell ref="A225:B225"/>
    <mergeCell ref="E225:F225"/>
    <mergeCell ref="C225:D225"/>
    <mergeCell ref="G225:H225"/>
    <mergeCell ref="A153:E153"/>
    <mergeCell ref="F153:H153"/>
    <mergeCell ref="A154:E154"/>
    <mergeCell ref="F154:H154"/>
    <mergeCell ref="A184:H184"/>
    <mergeCell ref="A157:B157"/>
    <mergeCell ref="A193:B193"/>
    <mergeCell ref="A221:H221"/>
    <mergeCell ref="A155:H155"/>
    <mergeCell ref="A224:H224"/>
    <mergeCell ref="A222:H222"/>
    <mergeCell ref="A218:H218"/>
    <mergeCell ref="G156:H156"/>
    <mergeCell ref="B211:H211"/>
    <mergeCell ref="A199:B199"/>
    <mergeCell ref="A188:B188"/>
    <mergeCell ref="A191:B191"/>
    <mergeCell ref="A195:B195"/>
    <mergeCell ref="A172:B172"/>
    <mergeCell ref="A198:B198"/>
    <mergeCell ref="B207:H207"/>
    <mergeCell ref="B208:H208"/>
    <mergeCell ref="B209:H209"/>
    <mergeCell ref="F142:H142"/>
    <mergeCell ref="F147:H147"/>
    <mergeCell ref="A169:B169"/>
    <mergeCell ref="F148:H148"/>
    <mergeCell ref="A150:E150"/>
    <mergeCell ref="F145:H145"/>
    <mergeCell ref="A149:E149"/>
    <mergeCell ref="E156:F156"/>
    <mergeCell ref="A162:H162"/>
    <mergeCell ref="A164:A165"/>
    <mergeCell ref="F164:F165"/>
    <mergeCell ref="A159:B159"/>
    <mergeCell ref="C159:D159"/>
    <mergeCell ref="E159:F159"/>
    <mergeCell ref="G159:H159"/>
    <mergeCell ref="A160:B160"/>
    <mergeCell ref="C160:D160"/>
    <mergeCell ref="E160:F160"/>
    <mergeCell ref="G160:H160"/>
    <mergeCell ref="C157:D157"/>
    <mergeCell ref="A223:H223"/>
    <mergeCell ref="A220:H220"/>
    <mergeCell ref="A156:B156"/>
    <mergeCell ref="D164:D165"/>
    <mergeCell ref="E164:E165"/>
    <mergeCell ref="A108:B108"/>
    <mergeCell ref="A110:B110"/>
    <mergeCell ref="F143:H143"/>
    <mergeCell ref="A113:B113"/>
    <mergeCell ref="F149:H149"/>
    <mergeCell ref="C161:D161"/>
    <mergeCell ref="A168:H168"/>
    <mergeCell ref="B210:H210"/>
    <mergeCell ref="A200:B200"/>
    <mergeCell ref="A201:B201"/>
    <mergeCell ref="A114:B114"/>
    <mergeCell ref="C114:H114"/>
    <mergeCell ref="A116:B116"/>
    <mergeCell ref="C116:H116"/>
    <mergeCell ref="A117:B117"/>
    <mergeCell ref="E117:F117"/>
    <mergeCell ref="G117:H117"/>
    <mergeCell ref="A118:B118"/>
    <mergeCell ref="E118:F127"/>
    <mergeCell ref="A219:H219"/>
    <mergeCell ref="A148:E148"/>
    <mergeCell ref="A80:B80"/>
    <mergeCell ref="I15:P15"/>
    <mergeCell ref="F152:H152"/>
    <mergeCell ref="F150:H150"/>
    <mergeCell ref="A163:H163"/>
    <mergeCell ref="A151:E151"/>
    <mergeCell ref="A54:B54"/>
    <mergeCell ref="C54:E54"/>
    <mergeCell ref="D56:H56"/>
    <mergeCell ref="F151:H151"/>
    <mergeCell ref="C156:D156"/>
    <mergeCell ref="D67:H67"/>
    <mergeCell ref="D57:H57"/>
    <mergeCell ref="G54:H54"/>
    <mergeCell ref="B217:H217"/>
    <mergeCell ref="B216:H216"/>
    <mergeCell ref="E43:H43"/>
    <mergeCell ref="A43:D43"/>
    <mergeCell ref="A79:B79"/>
    <mergeCell ref="A50:B50"/>
    <mergeCell ref="A206:H206"/>
    <mergeCell ref="B213:H213"/>
    <mergeCell ref="A67:C67"/>
    <mergeCell ref="D68:H68"/>
    <mergeCell ref="A74:B74"/>
    <mergeCell ref="G73:H73"/>
    <mergeCell ref="A82:B82"/>
    <mergeCell ref="A83:B83"/>
    <mergeCell ref="A78:B78"/>
    <mergeCell ref="A77:B77"/>
    <mergeCell ref="E73:F73"/>
    <mergeCell ref="A75:B75"/>
    <mergeCell ref="A119:B119"/>
    <mergeCell ref="A120:B120"/>
    <mergeCell ref="A121:B121"/>
    <mergeCell ref="A122:B122"/>
    <mergeCell ref="A123:B123"/>
    <mergeCell ref="A124:B124"/>
    <mergeCell ref="A125:B125"/>
    <mergeCell ref="A126:B126"/>
    <mergeCell ref="A127:B127"/>
    <mergeCell ref="A97:B97"/>
    <mergeCell ref="A98:B99"/>
    <mergeCell ref="C98:D99"/>
    <mergeCell ref="A202:H202"/>
    <mergeCell ref="A203:B203"/>
    <mergeCell ref="A205:B205"/>
    <mergeCell ref="A204:H204"/>
    <mergeCell ref="A128:B128"/>
    <mergeCell ref="C128:H128"/>
    <mergeCell ref="A130:B130"/>
    <mergeCell ref="C130:H130"/>
    <mergeCell ref="A131:B131"/>
    <mergeCell ref="E131:F131"/>
    <mergeCell ref="G131:H131"/>
    <mergeCell ref="A132:B132"/>
    <mergeCell ref="E132:F141"/>
    <mergeCell ref="G132:H141"/>
    <mergeCell ref="A133:B133"/>
    <mergeCell ref="A134:B134"/>
    <mergeCell ref="A135:B135"/>
    <mergeCell ref="A136:B136"/>
    <mergeCell ref="A137:B137"/>
    <mergeCell ref="A138:B138"/>
    <mergeCell ref="A139:B139"/>
    <mergeCell ref="E98:E99"/>
    <mergeCell ref="F98:G99"/>
    <mergeCell ref="H98:H99"/>
    <mergeCell ref="A141:B141"/>
    <mergeCell ref="A59:C62"/>
    <mergeCell ref="D62:H62"/>
    <mergeCell ref="A84:B84"/>
    <mergeCell ref="C84:H84"/>
    <mergeCell ref="A86:B86"/>
    <mergeCell ref="C86:H86"/>
    <mergeCell ref="A87:B87"/>
    <mergeCell ref="E87:F87"/>
    <mergeCell ref="G87:H87"/>
    <mergeCell ref="A88:B88"/>
    <mergeCell ref="E88:F97"/>
    <mergeCell ref="G88:H97"/>
    <mergeCell ref="A89:B89"/>
    <mergeCell ref="A90:B90"/>
    <mergeCell ref="A91:B91"/>
    <mergeCell ref="A92:B92"/>
    <mergeCell ref="A93:B93"/>
    <mergeCell ref="A94:B94"/>
    <mergeCell ref="A95:B95"/>
    <mergeCell ref="A96:B96"/>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G225:H225" xr:uid="{00000000-0002-0000-0000-000003000000}">
      <formula1>"Kunal Kadam,Pranita Mhatre,Shruti Fule,Pooja Kawale,Gaurav Panchal,Shruti Tathare, Dipti Gothawade,Saurav Panse, Sachin Sawant"</formula1>
    </dataValidation>
    <dataValidation type="list" allowBlank="1" showInputMessage="1" showErrorMessage="1" sqref="F142:H142" xr:uid="{00000000-0002-0000-0000-000004000000}">
      <formula1>"On Saleable Area,On Builtup Area,On Carpet Area,On Plot Area"</formula1>
    </dataValidation>
    <dataValidation type="list" allowBlank="1" showInputMessage="1" showErrorMessage="1" sqref="F153:H153" xr:uid="{00000000-0002-0000-0000-000005000000}">
      <formula1>OFFSET($S$100,1,MATCH($G20,$S$100:$W$100,0)-1,15,1)</formula1>
    </dataValidation>
    <dataValidation type="list" allowBlank="1" showInputMessage="1" showErrorMessage="1" sqref="B164:B165" xr:uid="{00000000-0002-0000-0000-000006000000}">
      <formula1>"Flat No. (Sale Plan),Sale / Rehab,Sale / Mhada"</formula1>
    </dataValidation>
    <dataValidation type="list" allowBlank="1" showInputMessage="1" showErrorMessage="1" sqref="C21:D21" xr:uid="{00000000-0002-0000-0000-000007000000}">
      <formula1>OFFSET($S$13,1,MATCH($G20,$S$13:$W$13,0)-1,15,1)</formula1>
    </dataValidation>
    <dataValidation type="list" allowBlank="1" showInputMessage="1" showErrorMessage="1" sqref="Y13" xr:uid="{00000000-0002-0000-0000-000008000000}">
      <formula1>$D$5:$H$5</formula1>
    </dataValidation>
    <dataValidation type="list" allowBlank="1" showInputMessage="1" showErrorMessage="1" sqref="E164:E165" xr:uid="{00000000-0002-0000-0000-000009000000}">
      <formula1>"Fungible area,Balcony + AP Area,Chajja Area,Cornice Area,AP Area,WS Area"</formula1>
    </dataValidation>
    <dataValidation type="list" allowBlank="1" showInputMessage="1" showErrorMessage="1" sqref="H165" xr:uid="{00000000-0002-0000-0000-00000A000000}">
      <formula1>".45,.50,.55,.60"</formula1>
    </dataValidation>
    <dataValidation type="list" allowBlank="1" showInputMessage="1" showErrorMessage="1" sqref="E4:H4" xr:uid="{00000000-0002-0000-0000-00000B000000}">
      <formula1>$L$3:$P$3</formula1>
    </dataValidation>
    <dataValidation type="list" allowBlank="1" showInputMessage="1" showErrorMessage="1" sqref="C49:H49" xr:uid="{00000000-0002-0000-0000-00000C000000}">
      <formula1>OFFSET($S$49,1,MATCH($G20,$S$49:$W$49,0)-1,15,1)</formula1>
    </dataValidation>
    <dataValidation type="list" allowBlank="1" showInputMessage="1" showErrorMessage="1" sqref="H164" xr:uid="{00000000-0002-0000-0000-00000D000000}">
      <formula1>"Saleable area Loading :,Builder Saleable Area"</formula1>
    </dataValidation>
    <dataValidation type="list" allowBlank="1" showInputMessage="1" showErrorMessage="1" sqref="D164:D165" xr:uid="{00000000-0002-0000-0000-00000E000000}">
      <formula1>"Carpet area,RERA Carpet area"</formula1>
    </dataValidation>
  </dataValidations>
  <hyperlinks>
    <hyperlink ref="C40" r:id="rId1" xr:uid="{00000000-0004-0000-0000-000000000000}"/>
    <hyperlink ref="I59" r:id="rId2" xr:uid="{00000000-0004-0000-0000-000001000000}"/>
    <hyperlink ref="I66" r:id="rId3" xr:uid="{00000000-0004-0000-0000-000002000000}"/>
  </hyperlinks>
  <printOptions horizontalCentered="1"/>
  <pageMargins left="0.39370078740157483" right="0.39370078740157483" top="0.82677165354330717" bottom="0.78740157480314965" header="0.15748031496062992" footer="0.19685039370078741"/>
  <pageSetup paperSize="2" fitToHeight="0" orientation="portrait" r:id="rId4"/>
  <headerFooter>
    <oddHeader>&amp;C&amp;G</oddHeader>
    <oddFooter>&amp;L&amp;"Times New Roman,Bold"&amp;12Ref No: &amp;F&amp;C&amp;G&amp;R&amp;"Times New Roman,Bold"&amp;12&amp;P</oddFooter>
  </headerFooter>
  <rowBreaks count="6" manualBreakCount="6">
    <brk id="69" max="7" man="1"/>
    <brk id="113" max="7" man="1"/>
    <brk id="161" max="7" man="1"/>
    <brk id="229" max="7" man="1"/>
    <brk id="271" max="7" man="1"/>
    <brk id="313" max="7"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17" sqref="C17"/>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36" t="s">
        <v>103</v>
      </c>
      <c r="C3" s="236"/>
      <c r="D3" s="236"/>
      <c r="E3" s="236"/>
      <c r="F3" s="236"/>
      <c r="G3" s="236"/>
      <c r="H3" s="236"/>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167</v>
      </c>
      <c r="E4" s="48" t="s">
        <v>177</v>
      </c>
      <c r="F4" s="48" t="s">
        <v>163</v>
      </c>
      <c r="G4" s="48" t="s">
        <v>182</v>
      </c>
      <c r="H4" s="48" t="s">
        <v>200</v>
      </c>
      <c r="J4" t="s">
        <v>182</v>
      </c>
      <c r="K4" t="s">
        <v>198</v>
      </c>
    </row>
    <row r="5" spans="2:11" x14ac:dyDescent="0.3">
      <c r="B5" s="47"/>
      <c r="C5" s="47"/>
      <c r="D5" s="48" t="s">
        <v>168</v>
      </c>
      <c r="E5" s="48" t="s">
        <v>175</v>
      </c>
      <c r="F5" s="48" t="s">
        <v>197</v>
      </c>
      <c r="G5" s="48" t="s">
        <v>183</v>
      </c>
      <c r="H5" s="48" t="s">
        <v>201</v>
      </c>
    </row>
    <row r="6" spans="2:11" x14ac:dyDescent="0.3">
      <c r="B6" s="47"/>
      <c r="C6" s="47"/>
      <c r="D6" s="48" t="s">
        <v>169</v>
      </c>
      <c r="E6" s="48" t="s">
        <v>176</v>
      </c>
      <c r="F6" s="48" t="s">
        <v>198</v>
      </c>
      <c r="G6" s="48" t="s">
        <v>184</v>
      </c>
      <c r="H6" s="48" t="s">
        <v>214</v>
      </c>
    </row>
    <row r="7" spans="2:11" x14ac:dyDescent="0.3">
      <c r="B7" s="47"/>
      <c r="C7" s="47"/>
      <c r="D7" s="48" t="s">
        <v>170</v>
      </c>
      <c r="E7" s="48" t="s">
        <v>178</v>
      </c>
      <c r="F7" s="48" t="s">
        <v>199</v>
      </c>
      <c r="G7" s="48" t="s">
        <v>185</v>
      </c>
      <c r="H7" s="48" t="s">
        <v>202</v>
      </c>
    </row>
    <row r="8" spans="2:11" x14ac:dyDescent="0.3">
      <c r="B8" s="47"/>
      <c r="C8" s="47"/>
      <c r="D8" s="48" t="s">
        <v>171</v>
      </c>
      <c r="E8" s="48" t="s">
        <v>179</v>
      </c>
      <c r="F8" s="48"/>
      <c r="G8" s="48" t="s">
        <v>186</v>
      </c>
      <c r="H8" s="48" t="s">
        <v>203</v>
      </c>
    </row>
    <row r="9" spans="2:11" x14ac:dyDescent="0.3">
      <c r="B9" s="47"/>
      <c r="C9" s="47"/>
      <c r="D9" s="48" t="s">
        <v>172</v>
      </c>
      <c r="E9" s="48" t="s">
        <v>177</v>
      </c>
      <c r="F9" s="48"/>
      <c r="G9" s="48" t="s">
        <v>187</v>
      </c>
      <c r="H9" s="48" t="s">
        <v>204</v>
      </c>
    </row>
    <row r="10" spans="2:11" x14ac:dyDescent="0.3">
      <c r="B10" s="47"/>
      <c r="C10" s="47"/>
      <c r="D10" s="48" t="s">
        <v>173</v>
      </c>
      <c r="E10" s="48" t="s">
        <v>180</v>
      </c>
      <c r="F10" s="48"/>
      <c r="G10" s="48" t="s">
        <v>188</v>
      </c>
      <c r="H10" s="48" t="s">
        <v>205</v>
      </c>
    </row>
    <row r="11" spans="2:11" x14ac:dyDescent="0.3">
      <c r="B11" s="47"/>
      <c r="C11" s="47"/>
      <c r="D11" s="48" t="s">
        <v>174</v>
      </c>
      <c r="E11" s="48" t="s">
        <v>181</v>
      </c>
      <c r="F11" s="48"/>
      <c r="G11" s="48" t="s">
        <v>189</v>
      </c>
      <c r="H11" s="48" t="s">
        <v>206</v>
      </c>
    </row>
    <row r="12" spans="2:11" x14ac:dyDescent="0.3">
      <c r="B12" s="47"/>
      <c r="C12" s="47"/>
      <c r="D12" s="48"/>
      <c r="E12" s="48"/>
      <c r="F12" s="48"/>
      <c r="G12" s="48" t="s">
        <v>190</v>
      </c>
      <c r="H12" s="48" t="s">
        <v>207</v>
      </c>
    </row>
    <row r="13" spans="2:11" x14ac:dyDescent="0.3">
      <c r="B13" s="47"/>
      <c r="C13" s="47"/>
      <c r="D13" s="48"/>
      <c r="E13" s="48"/>
      <c r="F13" s="48"/>
      <c r="G13" s="48" t="s">
        <v>191</v>
      </c>
      <c r="H13" s="48" t="s">
        <v>208</v>
      </c>
    </row>
    <row r="14" spans="2:11" x14ac:dyDescent="0.3">
      <c r="B14" s="47"/>
      <c r="C14" s="47"/>
      <c r="D14" s="48"/>
      <c r="E14" s="48"/>
      <c r="F14" s="48"/>
      <c r="G14" s="48" t="s">
        <v>192</v>
      </c>
      <c r="H14" s="48" t="s">
        <v>209</v>
      </c>
    </row>
    <row r="15" spans="2:11" x14ac:dyDescent="0.3">
      <c r="B15" s="47"/>
      <c r="C15" s="47"/>
      <c r="D15" s="48"/>
      <c r="E15" s="48"/>
      <c r="F15" s="48"/>
      <c r="G15" s="48" t="s">
        <v>193</v>
      </c>
      <c r="H15" s="48" t="s">
        <v>210</v>
      </c>
    </row>
    <row r="16" spans="2:11" x14ac:dyDescent="0.3">
      <c r="B16" s="47"/>
      <c r="C16" s="47"/>
      <c r="D16" s="48"/>
      <c r="E16" s="48"/>
      <c r="F16" s="48"/>
      <c r="G16" s="48" t="s">
        <v>194</v>
      </c>
      <c r="H16" s="48" t="s">
        <v>211</v>
      </c>
    </row>
    <row r="17" spans="2:8" x14ac:dyDescent="0.3">
      <c r="B17" s="47"/>
      <c r="C17" s="47"/>
      <c r="D17" s="48"/>
      <c r="E17" s="48"/>
      <c r="F17" s="48"/>
      <c r="G17" s="48" t="s">
        <v>195</v>
      </c>
      <c r="H17" s="48" t="s">
        <v>212</v>
      </c>
    </row>
    <row r="18" spans="2:8" x14ac:dyDescent="0.3">
      <c r="B18" s="47"/>
      <c r="C18" s="47"/>
      <c r="D18" s="48"/>
      <c r="E18" s="48"/>
      <c r="F18" s="48"/>
      <c r="G18" s="48" t="s">
        <v>196</v>
      </c>
      <c r="H18" s="48" t="s">
        <v>213</v>
      </c>
    </row>
    <row r="24" spans="2:8" x14ac:dyDescent="0.3">
      <c r="C24" t="s">
        <v>160</v>
      </c>
    </row>
    <row r="25" spans="2:8" x14ac:dyDescent="0.3">
      <c r="C25" t="s">
        <v>215</v>
      </c>
    </row>
    <row r="26" spans="2:8" x14ac:dyDescent="0.3">
      <c r="C26" t="s">
        <v>216</v>
      </c>
    </row>
    <row r="27" spans="2:8" x14ac:dyDescent="0.3">
      <c r="C27" t="s">
        <v>217</v>
      </c>
    </row>
    <row r="28" spans="2:8" x14ac:dyDescent="0.3">
      <c r="C28" t="s">
        <v>218</v>
      </c>
    </row>
    <row r="29" spans="2:8" x14ac:dyDescent="0.3">
      <c r="C29" t="s">
        <v>219</v>
      </c>
    </row>
    <row r="30" spans="2:8" x14ac:dyDescent="0.3">
      <c r="C30" t="s">
        <v>160</v>
      </c>
    </row>
    <row r="33" spans="3:11" x14ac:dyDescent="0.3">
      <c r="J33">
        <v>1</v>
      </c>
      <c r="K33">
        <v>2</v>
      </c>
    </row>
    <row r="34" spans="3:11" x14ac:dyDescent="0.3">
      <c r="C34" s="49" t="s">
        <v>224</v>
      </c>
      <c r="D34" s="48" t="s">
        <v>222</v>
      </c>
      <c r="E34" s="48" t="s">
        <v>227</v>
      </c>
      <c r="F34" s="48" t="s">
        <v>225</v>
      </c>
      <c r="G34" s="48" t="s">
        <v>226</v>
      </c>
      <c r="H34" s="48" t="s">
        <v>228</v>
      </c>
      <c r="J34" t="s">
        <v>182</v>
      </c>
      <c r="K34" t="s">
        <v>198</v>
      </c>
    </row>
    <row r="35" spans="3:11" x14ac:dyDescent="0.3">
      <c r="C35" s="47" t="s">
        <v>223</v>
      </c>
      <c r="D35" s="48" t="s">
        <v>161</v>
      </c>
      <c r="E35" s="48" t="s">
        <v>232</v>
      </c>
      <c r="F35" s="48" t="s">
        <v>234</v>
      </c>
      <c r="G35" s="48" t="s">
        <v>236</v>
      </c>
      <c r="H35" s="48"/>
    </row>
    <row r="36" spans="3:11" x14ac:dyDescent="0.3">
      <c r="C36" s="47"/>
      <c r="D36" s="48" t="s">
        <v>229</v>
      </c>
      <c r="E36" s="48" t="s">
        <v>233</v>
      </c>
      <c r="F36" s="48" t="s">
        <v>235</v>
      </c>
      <c r="G36" s="48" t="s">
        <v>237</v>
      </c>
      <c r="H36" s="48"/>
    </row>
    <row r="37" spans="3:11" x14ac:dyDescent="0.3">
      <c r="C37" s="47"/>
      <c r="D37" s="48" t="s">
        <v>230</v>
      </c>
      <c r="E37" s="48"/>
      <c r="F37" s="48"/>
      <c r="G37" s="48" t="s">
        <v>238</v>
      </c>
      <c r="H37" s="48"/>
    </row>
    <row r="38" spans="3:11" x14ac:dyDescent="0.3">
      <c r="C38" s="47"/>
      <c r="D38" s="48" t="s">
        <v>231</v>
      </c>
      <c r="E38" s="48"/>
      <c r="F38" s="48"/>
      <c r="G38" s="48" t="s">
        <v>238</v>
      </c>
      <c r="H38" s="48"/>
    </row>
    <row r="39" spans="3:11" x14ac:dyDescent="0.3">
      <c r="C39" s="47"/>
      <c r="D39" s="48"/>
      <c r="E39" s="48"/>
      <c r="F39" s="48"/>
      <c r="G39" s="48" t="s">
        <v>239</v>
      </c>
      <c r="H39" s="48"/>
    </row>
    <row r="40" spans="3:11" x14ac:dyDescent="0.3">
      <c r="C40" s="47"/>
      <c r="D40" s="48"/>
      <c r="E40" s="48"/>
      <c r="F40" s="48"/>
      <c r="G40" s="48" t="s">
        <v>240</v>
      </c>
      <c r="H40" s="48"/>
    </row>
    <row r="41" spans="3:11" x14ac:dyDescent="0.3">
      <c r="C41" s="47"/>
      <c r="D41" s="48"/>
      <c r="E41" s="48"/>
      <c r="F41" s="48"/>
      <c r="G41" s="48"/>
      <c r="H41" s="48"/>
    </row>
    <row r="43" spans="3:11" x14ac:dyDescent="0.3">
      <c r="C43" t="s">
        <v>241</v>
      </c>
    </row>
    <row r="44" spans="3:11" x14ac:dyDescent="0.3">
      <c r="C44" t="s">
        <v>163</v>
      </c>
      <c r="D44" t="s">
        <v>242</v>
      </c>
    </row>
    <row r="45" spans="3:11" x14ac:dyDescent="0.3">
      <c r="D45" t="s">
        <v>243</v>
      </c>
    </row>
    <row r="46" spans="3:11" x14ac:dyDescent="0.3">
      <c r="D46" t="s">
        <v>244</v>
      </c>
    </row>
    <row r="47" spans="3:11" x14ac:dyDescent="0.3">
      <c r="D47" t="s">
        <v>245</v>
      </c>
    </row>
    <row r="48" spans="3:11" x14ac:dyDescent="0.3">
      <c r="D48" t="s">
        <v>246</v>
      </c>
    </row>
    <row r="49" spans="3:4" x14ac:dyDescent="0.3">
      <c r="C49" t="s">
        <v>167</v>
      </c>
      <c r="D49" t="s">
        <v>247</v>
      </c>
    </row>
    <row r="50" spans="3:4" x14ac:dyDescent="0.3">
      <c r="D50" t="s">
        <v>248</v>
      </c>
    </row>
    <row r="51" spans="3:4" x14ac:dyDescent="0.3">
      <c r="D51" t="s">
        <v>249</v>
      </c>
    </row>
    <row r="52" spans="3:4" x14ac:dyDescent="0.3">
      <c r="D52" t="s">
        <v>252</v>
      </c>
    </row>
    <row r="53" spans="3:4" x14ac:dyDescent="0.3">
      <c r="D53" t="s">
        <v>250</v>
      </c>
    </row>
    <row r="54" spans="3:4" x14ac:dyDescent="0.3">
      <c r="D54" t="s">
        <v>251</v>
      </c>
    </row>
    <row r="55" spans="3:4" x14ac:dyDescent="0.3">
      <c r="D55" t="s">
        <v>253</v>
      </c>
    </row>
    <row r="56" spans="3:4" x14ac:dyDescent="0.3">
      <c r="D56" t="s">
        <v>254</v>
      </c>
    </row>
    <row r="57" spans="3:4" x14ac:dyDescent="0.3">
      <c r="D57" t="s">
        <v>255</v>
      </c>
    </row>
    <row r="58" spans="3:4" x14ac:dyDescent="0.3">
      <c r="D58" t="s">
        <v>257</v>
      </c>
    </row>
    <row r="59" spans="3:4" x14ac:dyDescent="0.3">
      <c r="D59" t="s">
        <v>266</v>
      </c>
    </row>
    <row r="60" spans="3:4" x14ac:dyDescent="0.3">
      <c r="C60" t="s">
        <v>182</v>
      </c>
      <c r="D60" t="s">
        <v>258</v>
      </c>
    </row>
    <row r="61" spans="3:4" x14ac:dyDescent="0.3">
      <c r="D61" t="s">
        <v>256</v>
      </c>
    </row>
    <row r="62" spans="3:4" x14ac:dyDescent="0.3">
      <c r="D62" t="s">
        <v>246</v>
      </c>
    </row>
    <row r="63" spans="3:4" x14ac:dyDescent="0.3">
      <c r="D63" t="s">
        <v>259</v>
      </c>
    </row>
    <row r="64" spans="3:4" x14ac:dyDescent="0.3">
      <c r="D64" t="s">
        <v>260</v>
      </c>
    </row>
    <row r="65" spans="3:4" x14ac:dyDescent="0.3">
      <c r="D65" t="s">
        <v>261</v>
      </c>
    </row>
    <row r="66" spans="3:4" x14ac:dyDescent="0.3">
      <c r="D66" t="s">
        <v>262</v>
      </c>
    </row>
    <row r="67" spans="3:4" x14ac:dyDescent="0.3">
      <c r="C67" t="s">
        <v>177</v>
      </c>
      <c r="D67" t="s">
        <v>263</v>
      </c>
    </row>
    <row r="68" spans="3:4" x14ac:dyDescent="0.3">
      <c r="D68" t="s">
        <v>264</v>
      </c>
    </row>
    <row r="69" spans="3:4" x14ac:dyDescent="0.3">
      <c r="D69" t="s">
        <v>265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9"/>
  <sheetViews>
    <sheetView topLeftCell="A38" zoomScaleNormal="100" workbookViewId="0">
      <selection activeCell="C50" sqref="C50"/>
    </sheetView>
  </sheetViews>
  <sheetFormatPr defaultRowHeight="14.4" x14ac:dyDescent="0.3"/>
  <cols>
    <col min="2" max="2" width="3" bestFit="1" customWidth="1"/>
    <col min="3" max="3" width="155.33203125" customWidth="1"/>
  </cols>
  <sheetData>
    <row r="2" spans="2:3" ht="15" customHeight="1" x14ac:dyDescent="0.3">
      <c r="B2" s="50">
        <v>1</v>
      </c>
      <c r="C2" s="52" t="s">
        <v>269</v>
      </c>
    </row>
    <row r="3" spans="2:3" x14ac:dyDescent="0.3">
      <c r="B3" s="50">
        <v>2</v>
      </c>
      <c r="C3" s="51" t="s">
        <v>270</v>
      </c>
    </row>
    <row r="4" spans="2:3" x14ac:dyDescent="0.3">
      <c r="B4" s="50">
        <v>3</v>
      </c>
      <c r="C4" s="50" t="s">
        <v>271</v>
      </c>
    </row>
    <row r="5" spans="2:3" x14ac:dyDescent="0.3">
      <c r="B5" s="50">
        <v>4</v>
      </c>
      <c r="C5" s="51" t="s">
        <v>272</v>
      </c>
    </row>
    <row r="6" spans="2:3" x14ac:dyDescent="0.3">
      <c r="B6" s="50">
        <v>5</v>
      </c>
      <c r="C6" s="50" t="s">
        <v>273</v>
      </c>
    </row>
    <row r="7" spans="2:3" x14ac:dyDescent="0.3">
      <c r="B7" s="50">
        <v>6</v>
      </c>
      <c r="C7" s="51" t="s">
        <v>274</v>
      </c>
    </row>
    <row r="8" spans="2:3" ht="72" x14ac:dyDescent="0.3">
      <c r="B8" s="50">
        <v>7</v>
      </c>
      <c r="C8" s="51" t="s">
        <v>275</v>
      </c>
    </row>
    <row r="9" spans="2:3" x14ac:dyDescent="0.3">
      <c r="B9" s="50">
        <v>8</v>
      </c>
      <c r="C9" s="50" t="s">
        <v>276</v>
      </c>
    </row>
    <row r="10" spans="2:3" x14ac:dyDescent="0.3">
      <c r="B10" s="50">
        <v>9</v>
      </c>
      <c r="C10" s="50" t="s">
        <v>277</v>
      </c>
    </row>
    <row r="11" spans="2:3" x14ac:dyDescent="0.3">
      <c r="B11" s="50">
        <v>10</v>
      </c>
      <c r="C11" s="50" t="s">
        <v>278</v>
      </c>
    </row>
    <row r="12" spans="2:3" x14ac:dyDescent="0.3">
      <c r="B12" s="50">
        <v>11</v>
      </c>
      <c r="C12" s="50" t="s">
        <v>279</v>
      </c>
    </row>
    <row r="13" spans="2:3" x14ac:dyDescent="0.3">
      <c r="B13" s="50">
        <v>12</v>
      </c>
      <c r="C13" s="50" t="s">
        <v>280</v>
      </c>
    </row>
    <row r="14" spans="2:3" x14ac:dyDescent="0.3">
      <c r="B14" s="50">
        <v>13</v>
      </c>
      <c r="C14" s="50" t="s">
        <v>281</v>
      </c>
    </row>
    <row r="15" spans="2:3" x14ac:dyDescent="0.3">
      <c r="B15" s="50">
        <v>14</v>
      </c>
      <c r="C15" s="50" t="s">
        <v>271</v>
      </c>
    </row>
    <row r="16" spans="2:3" x14ac:dyDescent="0.3">
      <c r="B16" s="50">
        <v>15</v>
      </c>
      <c r="C16" s="50" t="s">
        <v>282</v>
      </c>
    </row>
    <row r="17" spans="2:3" x14ac:dyDescent="0.3">
      <c r="B17" s="69">
        <v>16</v>
      </c>
      <c r="C17" s="55" t="s">
        <v>283</v>
      </c>
    </row>
    <row r="18" spans="2:3" x14ac:dyDescent="0.3">
      <c r="B18" s="54">
        <v>17</v>
      </c>
      <c r="C18" s="55" t="s">
        <v>284</v>
      </c>
    </row>
    <row r="19" spans="2:3" x14ac:dyDescent="0.3">
      <c r="B19" s="53">
        <v>18</v>
      </c>
      <c r="C19" s="50" t="s">
        <v>285</v>
      </c>
    </row>
    <row r="20" spans="2:3" x14ac:dyDescent="0.3">
      <c r="B20" s="54">
        <v>19</v>
      </c>
      <c r="C20" s="50" t="s">
        <v>321</v>
      </c>
    </row>
    <row r="21" spans="2:3" x14ac:dyDescent="0.3">
      <c r="B21" s="50">
        <v>20</v>
      </c>
      <c r="C21" s="50" t="s">
        <v>286</v>
      </c>
    </row>
    <row r="22" spans="2:3" x14ac:dyDescent="0.3">
      <c r="B22" s="54">
        <v>21</v>
      </c>
      <c r="C22" s="50" t="s">
        <v>285</v>
      </c>
    </row>
    <row r="23" spans="2:3" s="64" customFormat="1" ht="29.25" customHeight="1" x14ac:dyDescent="0.3">
      <c r="B23" s="63">
        <v>22</v>
      </c>
      <c r="C23" s="52" t="s">
        <v>313</v>
      </c>
    </row>
    <row r="24" spans="2:3" s="64" customFormat="1" ht="30.75" customHeight="1" x14ac:dyDescent="0.3">
      <c r="B24" s="65">
        <v>23</v>
      </c>
      <c r="C24" s="52" t="s">
        <v>314</v>
      </c>
    </row>
    <row r="25" spans="2:3" x14ac:dyDescent="0.3">
      <c r="B25" s="50">
        <v>24</v>
      </c>
      <c r="C25" s="50" t="s">
        <v>317</v>
      </c>
    </row>
    <row r="26" spans="2:3" x14ac:dyDescent="0.3">
      <c r="B26" s="54">
        <v>25</v>
      </c>
      <c r="C26" s="50" t="s">
        <v>315</v>
      </c>
    </row>
    <row r="27" spans="2:3" x14ac:dyDescent="0.3">
      <c r="B27" s="65">
        <v>26</v>
      </c>
      <c r="C27" s="50" t="s">
        <v>316</v>
      </c>
    </row>
    <row r="28" spans="2:3" x14ac:dyDescent="0.3">
      <c r="B28" s="54">
        <v>27</v>
      </c>
      <c r="C28" s="50" t="s">
        <v>318</v>
      </c>
    </row>
    <row r="29" spans="2:3" ht="43.2" x14ac:dyDescent="0.3">
      <c r="B29" s="68">
        <v>28</v>
      </c>
      <c r="C29" s="51" t="s">
        <v>319</v>
      </c>
    </row>
    <row r="30" spans="2:3" x14ac:dyDescent="0.3">
      <c r="B30" s="65">
        <v>29</v>
      </c>
      <c r="C30" s="50" t="s">
        <v>320</v>
      </c>
    </row>
    <row r="31" spans="2:3" ht="28.8" x14ac:dyDescent="0.3">
      <c r="B31" s="65">
        <v>30</v>
      </c>
      <c r="C31" s="51" t="s">
        <v>322</v>
      </c>
    </row>
    <row r="32" spans="2:3" x14ac:dyDescent="0.3">
      <c r="B32" s="65">
        <v>31</v>
      </c>
      <c r="C32" s="50" t="s">
        <v>323</v>
      </c>
    </row>
    <row r="33" spans="2:4" x14ac:dyDescent="0.3">
      <c r="B33" s="65">
        <v>32</v>
      </c>
      <c r="C33" s="50" t="s">
        <v>324</v>
      </c>
    </row>
    <row r="34" spans="2:4" ht="36.75" customHeight="1" x14ac:dyDescent="0.3">
      <c r="B34" s="65">
        <v>33</v>
      </c>
      <c r="C34" s="55" t="s">
        <v>325</v>
      </c>
    </row>
    <row r="35" spans="2:4" x14ac:dyDescent="0.3">
      <c r="B35" s="63">
        <v>34</v>
      </c>
      <c r="C35" s="50" t="s">
        <v>333</v>
      </c>
    </row>
    <row r="36" spans="2:4" ht="57.6" x14ac:dyDescent="0.3">
      <c r="B36" s="63">
        <v>35</v>
      </c>
      <c r="C36" s="51" t="s">
        <v>336</v>
      </c>
    </row>
    <row r="37" spans="2:4" x14ac:dyDescent="0.3">
      <c r="B37" s="50">
        <v>36</v>
      </c>
      <c r="C37" s="51" t="s">
        <v>345</v>
      </c>
    </row>
    <row r="38" spans="2:4" x14ac:dyDescent="0.3">
      <c r="B38" s="50">
        <f t="shared" ref="B38:B44" si="0">B37+1</f>
        <v>37</v>
      </c>
      <c r="C38" s="50" t="s">
        <v>341</v>
      </c>
    </row>
    <row r="39" spans="2:4" x14ac:dyDescent="0.3">
      <c r="B39" s="50">
        <f t="shared" si="0"/>
        <v>38</v>
      </c>
      <c r="C39" s="50" t="s">
        <v>342</v>
      </c>
    </row>
    <row r="40" spans="2:4" x14ac:dyDescent="0.3">
      <c r="B40" s="50">
        <f t="shared" si="0"/>
        <v>39</v>
      </c>
      <c r="C40" s="50" t="s">
        <v>343</v>
      </c>
    </row>
    <row r="41" spans="2:4" x14ac:dyDescent="0.3">
      <c r="B41" s="50">
        <f t="shared" si="0"/>
        <v>40</v>
      </c>
      <c r="C41" s="50" t="s">
        <v>344</v>
      </c>
    </row>
    <row r="42" spans="2:4" ht="29.4" thickBot="1" x14ac:dyDescent="0.35">
      <c r="B42" s="71">
        <f t="shared" si="0"/>
        <v>41</v>
      </c>
      <c r="C42" s="72" t="s">
        <v>346</v>
      </c>
    </row>
    <row r="43" spans="2:4" ht="28.8" x14ac:dyDescent="0.3">
      <c r="B43" s="75">
        <f t="shared" si="0"/>
        <v>42</v>
      </c>
      <c r="C43" s="80" t="s">
        <v>351</v>
      </c>
      <c r="D43" t="s">
        <v>352</v>
      </c>
    </row>
    <row r="44" spans="2:4" ht="15" thickBot="1" x14ac:dyDescent="0.35">
      <c r="B44" s="77">
        <f t="shared" si="0"/>
        <v>43</v>
      </c>
      <c r="C44" s="79" t="s">
        <v>347</v>
      </c>
    </row>
    <row r="45" spans="2:4" ht="15" thickBot="1" x14ac:dyDescent="0.35">
      <c r="B45" s="73">
        <f t="shared" ref="B45:B49" si="1">B44+1</f>
        <v>44</v>
      </c>
      <c r="C45" s="74" t="s">
        <v>348</v>
      </c>
    </row>
    <row r="46" spans="2:4" ht="28.8" x14ac:dyDescent="0.3">
      <c r="B46" s="75">
        <f t="shared" si="1"/>
        <v>45</v>
      </c>
      <c r="C46" s="76" t="s">
        <v>349</v>
      </c>
    </row>
    <row r="47" spans="2:4" ht="15" thickBot="1" x14ac:dyDescent="0.35">
      <c r="B47" s="77">
        <f t="shared" si="1"/>
        <v>46</v>
      </c>
      <c r="C47" s="78" t="s">
        <v>350</v>
      </c>
    </row>
    <row r="48" spans="2:4" x14ac:dyDescent="0.3">
      <c r="B48" s="81">
        <f t="shared" si="1"/>
        <v>47</v>
      </c>
      <c r="C48" s="82" t="s">
        <v>353</v>
      </c>
    </row>
    <row r="49" spans="2:3" x14ac:dyDescent="0.3">
      <c r="B49" s="81">
        <f t="shared" si="1"/>
        <v>48</v>
      </c>
      <c r="C49" s="82" t="s">
        <v>354</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7" t="s">
        <v>287</v>
      </c>
      <c r="C2" s="237"/>
      <c r="D2" s="237"/>
    </row>
    <row r="3" spans="1:12" x14ac:dyDescent="0.3">
      <c r="D3" s="58"/>
      <c r="E3" s="58"/>
      <c r="F3" s="58"/>
      <c r="G3" s="58"/>
      <c r="H3" s="58"/>
      <c r="I3" s="58"/>
    </row>
    <row r="4" spans="1:12" x14ac:dyDescent="0.3">
      <c r="A4" s="57" t="s">
        <v>65</v>
      </c>
      <c r="B4" s="59" t="s">
        <v>288</v>
      </c>
      <c r="C4" s="238" t="s">
        <v>289</v>
      </c>
      <c r="D4" s="238"/>
      <c r="E4" s="238"/>
      <c r="F4" s="59"/>
      <c r="G4" s="239" t="s">
        <v>290</v>
      </c>
      <c r="H4" s="239"/>
      <c r="I4" s="239"/>
      <c r="J4" s="240" t="s">
        <v>291</v>
      </c>
      <c r="K4" s="240"/>
      <c r="L4" s="240"/>
    </row>
    <row r="5" spans="1:12" x14ac:dyDescent="0.3">
      <c r="A5" s="57"/>
      <c r="B5" s="59"/>
      <c r="C5" s="59" t="s">
        <v>292</v>
      </c>
      <c r="D5" s="59" t="s">
        <v>293</v>
      </c>
      <c r="E5" s="59" t="s">
        <v>294</v>
      </c>
      <c r="F5" s="59"/>
      <c r="G5" s="59" t="s">
        <v>292</v>
      </c>
      <c r="H5" s="59" t="s">
        <v>293</v>
      </c>
      <c r="I5" s="59" t="s">
        <v>294</v>
      </c>
      <c r="J5" s="59" t="s">
        <v>292</v>
      </c>
      <c r="K5" s="59" t="s">
        <v>293</v>
      </c>
      <c r="L5" s="59" t="s">
        <v>294</v>
      </c>
    </row>
    <row r="6" spans="1:12" x14ac:dyDescent="0.3">
      <c r="B6" s="48" t="s">
        <v>295</v>
      </c>
      <c r="C6" s="48"/>
      <c r="D6" s="48"/>
      <c r="E6" s="48">
        <f>C6*D6</f>
        <v>0</v>
      </c>
      <c r="F6" s="48" t="s">
        <v>312</v>
      </c>
      <c r="G6" s="48"/>
      <c r="H6" s="48"/>
      <c r="I6" s="48">
        <f>G6*H6</f>
        <v>0</v>
      </c>
      <c r="J6" s="48"/>
      <c r="K6" s="48"/>
      <c r="L6" s="48">
        <f>J6*K6</f>
        <v>0</v>
      </c>
    </row>
    <row r="7" spans="1:12" x14ac:dyDescent="0.3">
      <c r="B7" s="48"/>
      <c r="C7" s="48"/>
      <c r="D7" s="48"/>
      <c r="E7" s="48">
        <f t="shared" ref="E7:E41" si="0">C7*D7</f>
        <v>0</v>
      </c>
      <c r="F7" s="48" t="s">
        <v>312</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296</v>
      </c>
      <c r="G9" s="48"/>
      <c r="H9" s="48"/>
      <c r="I9" s="48">
        <f t="shared" si="1"/>
        <v>0</v>
      </c>
      <c r="J9" s="48"/>
      <c r="K9" s="48"/>
      <c r="L9" s="48">
        <f t="shared" si="2"/>
        <v>0</v>
      </c>
    </row>
    <row r="10" spans="1:12" x14ac:dyDescent="0.3">
      <c r="B10" s="48" t="s">
        <v>297</v>
      </c>
      <c r="C10" s="48"/>
      <c r="D10" s="48"/>
      <c r="E10" s="48">
        <f t="shared" si="0"/>
        <v>0</v>
      </c>
      <c r="F10" s="48" t="s">
        <v>296</v>
      </c>
      <c r="G10" s="48"/>
      <c r="H10" s="48"/>
      <c r="I10" s="48">
        <f t="shared" si="1"/>
        <v>0</v>
      </c>
      <c r="J10" s="48"/>
      <c r="K10" s="48"/>
      <c r="L10" s="48">
        <f t="shared" si="2"/>
        <v>0</v>
      </c>
    </row>
    <row r="11" spans="1:12" x14ac:dyDescent="0.3">
      <c r="B11" s="48"/>
      <c r="C11" s="48"/>
      <c r="D11" s="48"/>
      <c r="E11" s="48">
        <f t="shared" si="0"/>
        <v>0</v>
      </c>
      <c r="F11" s="48" t="s">
        <v>298</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299</v>
      </c>
      <c r="C14" s="48"/>
      <c r="D14" s="48"/>
      <c r="E14" s="48">
        <f t="shared" si="0"/>
        <v>0</v>
      </c>
      <c r="F14" s="48" t="s">
        <v>296</v>
      </c>
      <c r="G14" s="48"/>
      <c r="H14" s="48"/>
      <c r="I14" s="48">
        <f t="shared" si="1"/>
        <v>0</v>
      </c>
      <c r="J14" s="48"/>
      <c r="K14" s="48"/>
      <c r="L14" s="48">
        <f t="shared" si="2"/>
        <v>0</v>
      </c>
    </row>
    <row r="15" spans="1:12" x14ac:dyDescent="0.3">
      <c r="B15" s="48"/>
      <c r="C15" s="48"/>
      <c r="D15" s="48"/>
      <c r="E15" s="48">
        <f t="shared" si="0"/>
        <v>0</v>
      </c>
      <c r="F15" s="48" t="s">
        <v>298</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300</v>
      </c>
      <c r="C18" s="48"/>
      <c r="D18" s="48"/>
      <c r="E18" s="48">
        <f t="shared" si="0"/>
        <v>0</v>
      </c>
      <c r="F18" s="48" t="s">
        <v>296</v>
      </c>
      <c r="G18" s="48"/>
      <c r="H18" s="48"/>
      <c r="I18" s="48">
        <f t="shared" si="1"/>
        <v>0</v>
      </c>
      <c r="J18" s="48"/>
      <c r="K18" s="48"/>
      <c r="L18" s="48">
        <f t="shared" si="2"/>
        <v>0</v>
      </c>
    </row>
    <row r="19" spans="2:12" x14ac:dyDescent="0.3">
      <c r="B19" s="48"/>
      <c r="C19" s="48"/>
      <c r="D19" s="48"/>
      <c r="E19" s="48">
        <f t="shared" si="0"/>
        <v>0</v>
      </c>
      <c r="F19" s="48" t="s">
        <v>298</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301</v>
      </c>
      <c r="C21" s="48"/>
      <c r="D21" s="48"/>
      <c r="E21" s="48">
        <f t="shared" si="0"/>
        <v>0</v>
      </c>
      <c r="F21" s="48" t="s">
        <v>296</v>
      </c>
      <c r="G21" s="48"/>
      <c r="H21" s="48"/>
      <c r="I21" s="48">
        <f t="shared" si="1"/>
        <v>0</v>
      </c>
      <c r="J21" s="48"/>
      <c r="K21" s="48"/>
      <c r="L21" s="48">
        <f t="shared" si="2"/>
        <v>0</v>
      </c>
    </row>
    <row r="22" spans="2:12" x14ac:dyDescent="0.3">
      <c r="B22" s="48"/>
      <c r="C22" s="48"/>
      <c r="D22" s="48"/>
      <c r="E22" s="48">
        <f t="shared" si="0"/>
        <v>0</v>
      </c>
      <c r="F22" s="48" t="s">
        <v>298</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302</v>
      </c>
      <c r="C24" s="48"/>
      <c r="D24" s="48"/>
      <c r="E24" s="48">
        <f t="shared" si="0"/>
        <v>0</v>
      </c>
      <c r="F24" s="48" t="s">
        <v>303</v>
      </c>
      <c r="G24" s="48"/>
      <c r="H24" s="48"/>
      <c r="I24" s="48">
        <f t="shared" si="1"/>
        <v>0</v>
      </c>
      <c r="J24" s="48"/>
      <c r="K24" s="48"/>
      <c r="L24" s="48">
        <f t="shared" si="2"/>
        <v>0</v>
      </c>
    </row>
    <row r="25" spans="2:12" x14ac:dyDescent="0.3">
      <c r="B25" s="48"/>
      <c r="C25" s="48"/>
      <c r="D25" s="48"/>
      <c r="E25" s="48">
        <f>C25*D25</f>
        <v>0</v>
      </c>
      <c r="F25" s="48" t="s">
        <v>303</v>
      </c>
      <c r="G25" s="48"/>
      <c r="H25" s="48"/>
      <c r="I25" s="48">
        <f>G25*H25</f>
        <v>0</v>
      </c>
      <c r="J25" s="48"/>
      <c r="K25" s="48"/>
      <c r="L25" s="48">
        <f>J25*K25</f>
        <v>0</v>
      </c>
    </row>
    <row r="26" spans="2:12" x14ac:dyDescent="0.3">
      <c r="B26" s="48"/>
      <c r="C26" s="48"/>
      <c r="D26" s="48"/>
      <c r="E26" s="48">
        <f>C26*D26</f>
        <v>0</v>
      </c>
      <c r="F26" s="48" t="s">
        <v>303</v>
      </c>
      <c r="G26" s="48"/>
      <c r="H26" s="48"/>
      <c r="I26" s="48">
        <f>G26*H26</f>
        <v>0</v>
      </c>
      <c r="J26" s="48"/>
      <c r="K26" s="48"/>
      <c r="L26" s="48">
        <f>J26*K26</f>
        <v>0</v>
      </c>
    </row>
    <row r="27" spans="2:12" x14ac:dyDescent="0.3">
      <c r="B27" s="48"/>
      <c r="C27" s="48"/>
      <c r="D27" s="48"/>
      <c r="E27" s="48">
        <f>C27*D27</f>
        <v>0</v>
      </c>
      <c r="F27" s="48" t="s">
        <v>303</v>
      </c>
      <c r="G27" s="48"/>
      <c r="H27" s="48"/>
      <c r="I27" s="48">
        <f>G27*H27</f>
        <v>0</v>
      </c>
      <c r="J27" s="48"/>
      <c r="K27" s="48"/>
      <c r="L27" s="48">
        <f>J27*K27</f>
        <v>0</v>
      </c>
    </row>
    <row r="28" spans="2:12" x14ac:dyDescent="0.3">
      <c r="B28" s="48" t="s">
        <v>304</v>
      </c>
      <c r="C28" s="48"/>
      <c r="D28" s="48"/>
      <c r="E28" s="48">
        <f t="shared" si="0"/>
        <v>0</v>
      </c>
      <c r="F28" s="48" t="s">
        <v>303</v>
      </c>
      <c r="G28" s="48"/>
      <c r="H28" s="48"/>
      <c r="I28" s="48">
        <f t="shared" si="1"/>
        <v>0</v>
      </c>
      <c r="J28" s="48"/>
      <c r="K28" s="48"/>
      <c r="L28" s="48">
        <f t="shared" si="2"/>
        <v>0</v>
      </c>
    </row>
    <row r="29" spans="2:12" x14ac:dyDescent="0.3">
      <c r="B29" s="48" t="s">
        <v>305</v>
      </c>
      <c r="C29" s="48"/>
      <c r="D29" s="48"/>
      <c r="E29" s="48">
        <f t="shared" si="0"/>
        <v>0</v>
      </c>
      <c r="F29" s="48" t="s">
        <v>303</v>
      </c>
      <c r="G29" s="48"/>
      <c r="H29" s="48"/>
      <c r="I29" s="48">
        <f t="shared" si="1"/>
        <v>0</v>
      </c>
      <c r="J29" s="48"/>
      <c r="K29" s="48"/>
      <c r="L29" s="48">
        <f t="shared" si="2"/>
        <v>0</v>
      </c>
    </row>
    <row r="30" spans="2:12" x14ac:dyDescent="0.3">
      <c r="B30" s="48" t="s">
        <v>309</v>
      </c>
      <c r="C30" s="48"/>
      <c r="D30" s="48"/>
      <c r="E30" s="48">
        <f t="shared" si="0"/>
        <v>0</v>
      </c>
      <c r="F30" s="48"/>
      <c r="G30" s="48"/>
      <c r="H30" s="48"/>
      <c r="I30" s="48">
        <f t="shared" si="1"/>
        <v>0</v>
      </c>
      <c r="J30" s="48"/>
      <c r="K30" s="48"/>
      <c r="L30" s="48">
        <f t="shared" si="2"/>
        <v>0</v>
      </c>
    </row>
    <row r="31" spans="2:12" x14ac:dyDescent="0.3">
      <c r="B31" s="48"/>
      <c r="C31" s="48"/>
      <c r="D31" s="48"/>
      <c r="E31" s="48">
        <f>C31*D31</f>
        <v>0</v>
      </c>
      <c r="F31" s="48"/>
      <c r="G31" s="48"/>
      <c r="H31" s="48"/>
      <c r="I31" s="48">
        <f>G31*H31</f>
        <v>0</v>
      </c>
      <c r="J31" s="48"/>
      <c r="K31" s="48"/>
      <c r="L31" s="48">
        <f>J31*K31</f>
        <v>0</v>
      </c>
    </row>
    <row r="32" spans="2:12" x14ac:dyDescent="0.3">
      <c r="B32" s="48"/>
      <c r="C32" s="48"/>
      <c r="D32" s="48"/>
      <c r="E32" s="48">
        <f>C32*D32</f>
        <v>0</v>
      </c>
      <c r="F32" s="48"/>
      <c r="G32" s="48"/>
      <c r="H32" s="48"/>
      <c r="I32" s="48">
        <f>G32*H32</f>
        <v>0</v>
      </c>
      <c r="J32" s="48"/>
      <c r="K32" s="48"/>
      <c r="L32" s="48">
        <f>J32*K32</f>
        <v>0</v>
      </c>
    </row>
    <row r="33" spans="2:12" x14ac:dyDescent="0.3">
      <c r="B33" s="48" t="s">
        <v>306</v>
      </c>
      <c r="C33" s="48"/>
      <c r="D33" s="48"/>
      <c r="E33" s="48">
        <f t="shared" si="0"/>
        <v>0</v>
      </c>
      <c r="F33" s="48"/>
      <c r="G33" s="48"/>
      <c r="H33" s="48"/>
      <c r="I33" s="48">
        <f t="shared" si="1"/>
        <v>0</v>
      </c>
      <c r="J33" s="48"/>
      <c r="K33" s="48"/>
      <c r="L33" s="48">
        <f t="shared" si="2"/>
        <v>0</v>
      </c>
    </row>
    <row r="34" spans="2:12" x14ac:dyDescent="0.3">
      <c r="B34" s="48" t="s">
        <v>310</v>
      </c>
      <c r="C34" s="48"/>
      <c r="D34" s="48"/>
      <c r="E34" s="48">
        <f t="shared" si="0"/>
        <v>0</v>
      </c>
      <c r="F34" s="48"/>
      <c r="G34" s="48"/>
      <c r="H34" s="48"/>
      <c r="I34" s="48">
        <f t="shared" si="1"/>
        <v>0</v>
      </c>
      <c r="J34" s="48"/>
      <c r="K34" s="48"/>
      <c r="L34" s="48">
        <f t="shared" si="2"/>
        <v>0</v>
      </c>
    </row>
    <row r="35" spans="2:12" x14ac:dyDescent="0.3">
      <c r="B35" s="48" t="s">
        <v>307</v>
      </c>
      <c r="C35" s="48"/>
      <c r="D35" s="48"/>
      <c r="E35" s="48">
        <f t="shared" si="0"/>
        <v>0</v>
      </c>
      <c r="F35" s="48"/>
      <c r="G35" s="48"/>
      <c r="H35" s="48"/>
      <c r="I35" s="48">
        <f t="shared" si="1"/>
        <v>0</v>
      </c>
      <c r="J35" s="48"/>
      <c r="K35" s="48"/>
      <c r="L35" s="48">
        <f t="shared" si="2"/>
        <v>0</v>
      </c>
    </row>
    <row r="36" spans="2:12" x14ac:dyDescent="0.3">
      <c r="B36" s="48" t="s">
        <v>308</v>
      </c>
      <c r="C36" s="48"/>
      <c r="D36" s="48"/>
      <c r="E36" s="48">
        <f t="shared" si="0"/>
        <v>0</v>
      </c>
      <c r="F36" s="48"/>
      <c r="G36" s="48"/>
      <c r="H36" s="48"/>
      <c r="I36" s="48">
        <f t="shared" ref="I36:I41" si="3">G36*H36</f>
        <v>0</v>
      </c>
      <c r="J36" s="48"/>
      <c r="K36" s="48"/>
      <c r="L36" s="48">
        <f t="shared" ref="L36:L41" si="4">J36*K36</f>
        <v>0</v>
      </c>
    </row>
    <row r="37" spans="2:12" x14ac:dyDescent="0.3">
      <c r="B37" s="48"/>
      <c r="C37" s="48"/>
      <c r="D37" s="48"/>
      <c r="E37" s="48">
        <f>C37*D37</f>
        <v>0</v>
      </c>
      <c r="F37" s="48"/>
      <c r="G37" s="48"/>
      <c r="H37" s="48"/>
      <c r="I37" s="48">
        <f t="shared" si="3"/>
        <v>0</v>
      </c>
      <c r="J37" s="48"/>
      <c r="K37" s="48"/>
      <c r="L37" s="48">
        <f t="shared" si="4"/>
        <v>0</v>
      </c>
    </row>
    <row r="38" spans="2:12" x14ac:dyDescent="0.3">
      <c r="B38" s="48" t="s">
        <v>311</v>
      </c>
      <c r="C38" s="48"/>
      <c r="D38" s="48"/>
      <c r="E38" s="48">
        <f>C38*D38</f>
        <v>0</v>
      </c>
      <c r="F38" s="48"/>
      <c r="G38" s="48"/>
      <c r="H38" s="48"/>
      <c r="I38" s="48">
        <f t="shared" si="3"/>
        <v>0</v>
      </c>
      <c r="J38" s="48"/>
      <c r="K38" s="48"/>
      <c r="L38" s="48">
        <f t="shared" si="4"/>
        <v>0</v>
      </c>
    </row>
    <row r="39" spans="2:12" x14ac:dyDescent="0.3">
      <c r="B39" s="48"/>
      <c r="C39" s="48"/>
      <c r="D39" s="48"/>
      <c r="E39" s="48">
        <f t="shared" si="0"/>
        <v>0</v>
      </c>
      <c r="F39" s="48"/>
      <c r="G39" s="48"/>
      <c r="H39" s="48"/>
      <c r="I39" s="48">
        <f t="shared" si="3"/>
        <v>0</v>
      </c>
      <c r="J39" s="48"/>
      <c r="K39" s="48"/>
      <c r="L39" s="48">
        <f t="shared" si="4"/>
        <v>0</v>
      </c>
    </row>
    <row r="40" spans="2:12" x14ac:dyDescent="0.3">
      <c r="B40" s="48"/>
      <c r="C40" s="48"/>
      <c r="D40" s="48"/>
      <c r="E40" s="48">
        <f t="shared" si="0"/>
        <v>0</v>
      </c>
      <c r="F40" s="48"/>
      <c r="G40" s="48"/>
      <c r="H40" s="48"/>
      <c r="I40" s="48">
        <f t="shared" si="3"/>
        <v>0</v>
      </c>
      <c r="J40" s="48"/>
      <c r="K40" s="48"/>
      <c r="L40" s="48">
        <f t="shared" si="4"/>
        <v>0</v>
      </c>
    </row>
    <row r="41" spans="2:12" x14ac:dyDescent="0.3">
      <c r="B41" s="48"/>
      <c r="C41" s="48"/>
      <c r="D41" s="48"/>
      <c r="E41" s="48">
        <f t="shared" si="0"/>
        <v>0</v>
      </c>
      <c r="F41" s="48"/>
      <c r="G41" s="48"/>
      <c r="H41" s="48"/>
      <c r="I41" s="48">
        <f t="shared" si="3"/>
        <v>0</v>
      </c>
      <c r="J41" s="48"/>
      <c r="K41" s="48"/>
      <c r="L41" s="48">
        <f t="shared" si="4"/>
        <v>0</v>
      </c>
    </row>
    <row r="42" spans="2:12" x14ac:dyDescent="0.3">
      <c r="B42" s="48" t="s">
        <v>143</v>
      </c>
      <c r="C42" s="48"/>
      <c r="D42" s="48">
        <f>E42*10.764</f>
        <v>0</v>
      </c>
      <c r="E42" s="62">
        <f>SUM(E6:E41)</f>
        <v>0</v>
      </c>
      <c r="F42" s="48"/>
      <c r="G42" s="48"/>
      <c r="H42" s="48">
        <f>I42*10.764</f>
        <v>0</v>
      </c>
      <c r="I42" s="61">
        <f>SUM(I6:I41)</f>
        <v>0</v>
      </c>
      <c r="J42" s="48"/>
      <c r="K42" s="48">
        <f>L42*10.764</f>
        <v>0</v>
      </c>
      <c r="L42" s="60">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2025-09-13T08:16:29Z</cp:lastPrinted>
  <dcterms:created xsi:type="dcterms:W3CDTF">2019-07-16T09:29:46Z</dcterms:created>
  <dcterms:modified xsi:type="dcterms:W3CDTF">2025-09-13T08:24:16Z</dcterms:modified>
</cp:coreProperties>
</file>