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VSJC-06\Downloads\APF Dump\"/>
    </mc:Choice>
  </mc:AlternateContent>
  <bookViews>
    <workbookView xWindow="0" yWindow="0" windowWidth="20490" windowHeight="7020" tabRatio="725"/>
  </bookViews>
  <sheets>
    <sheet name="Report" sheetId="1" r:id="rId1"/>
    <sheet name="valuation" sheetId="5" r:id="rId2"/>
    <sheet name="Note" sheetId="4" r:id="rId3"/>
  </sheets>
  <definedNames>
    <definedName name="_xlnm.Print_Area" localSheetId="0">Report!$A$1:$H$330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3" i="1" l="1"/>
  <c r="D180" i="1" l="1"/>
  <c r="F180" i="1" s="1"/>
  <c r="D177" i="1"/>
  <c r="F177" i="1" s="1"/>
  <c r="D175" i="1"/>
  <c r="F175" i="1" s="1"/>
  <c r="D173" i="1"/>
  <c r="F173" i="1" s="1"/>
  <c r="D172" i="1"/>
  <c r="F172" i="1" s="1"/>
  <c r="D170" i="1"/>
  <c r="F170" i="1" s="1"/>
  <c r="D169" i="1"/>
  <c r="D168" i="1"/>
  <c r="F168" i="1" s="1"/>
  <c r="D167" i="1"/>
  <c r="F167" i="1" s="1"/>
  <c r="D163" i="1"/>
  <c r="F163" i="1" s="1"/>
  <c r="D162" i="1"/>
  <c r="F162" i="1" s="1"/>
  <c r="D159" i="1"/>
  <c r="F159" i="1" s="1"/>
  <c r="D158" i="1"/>
  <c r="F158" i="1" s="1"/>
  <c r="I158" i="1" s="1"/>
  <c r="D155" i="1"/>
  <c r="D154" i="1"/>
  <c r="A178" i="1"/>
  <c r="A179" i="1" s="1"/>
  <c r="A180" i="1" s="1"/>
  <c r="G177" i="1"/>
  <c r="A162" i="1"/>
  <c r="A163" i="1" s="1"/>
  <c r="G161" i="1"/>
  <c r="G162" i="1" s="1"/>
  <c r="G163" i="1" s="1"/>
  <c r="A173" i="1"/>
  <c r="A174" i="1" s="1"/>
  <c r="A175" i="1" s="1"/>
  <c r="G172" i="1"/>
  <c r="A158" i="1"/>
  <c r="A159" i="1" s="1"/>
  <c r="G157" i="1"/>
  <c r="G158" i="1" s="1"/>
  <c r="G159" i="1" s="1"/>
  <c r="F169" i="1"/>
  <c r="A168" i="1"/>
  <c r="A169" i="1" s="1"/>
  <c r="A170" i="1" s="1"/>
  <c r="G167" i="1"/>
  <c r="I155" i="1"/>
  <c r="I153" i="1"/>
  <c r="E7" i="1"/>
  <c r="C135" i="1" l="1"/>
  <c r="E135" i="1"/>
  <c r="J167" i="1"/>
  <c r="J168" i="1"/>
  <c r="I167" i="1"/>
  <c r="G136" i="1"/>
  <c r="C136" i="1"/>
  <c r="E136" i="1"/>
  <c r="E43" i="1"/>
  <c r="E44" i="1" s="1"/>
  <c r="E137" i="1" l="1"/>
  <c r="C137" i="1"/>
  <c r="C15" i="1"/>
  <c r="E30" i="1" l="1"/>
  <c r="F154" i="1" l="1"/>
  <c r="F155" i="1"/>
  <c r="F153" i="1"/>
  <c r="A154" i="1"/>
  <c r="A155" i="1" s="1"/>
  <c r="G153" i="1"/>
  <c r="G135" i="1" l="1"/>
  <c r="G137" i="1" s="1"/>
  <c r="K153" i="1"/>
  <c r="F127" i="1"/>
  <c r="F144" i="1" l="1"/>
  <c r="F145" i="1"/>
  <c r="F146" i="1"/>
  <c r="F143" i="1"/>
  <c r="B183" i="1" l="1"/>
  <c r="B184" i="1" l="1"/>
  <c r="F11" i="5" l="1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D205" i="1"/>
  <c r="A144" i="1"/>
  <c r="A145" i="1" s="1"/>
  <c r="A146" i="1" s="1"/>
  <c r="G143" i="1"/>
  <c r="G144" i="1" s="1"/>
  <c r="G145" i="1" s="1"/>
  <c r="G146" i="1" s="1"/>
  <c r="J111" i="1"/>
  <c r="J110" i="1"/>
  <c r="J109" i="1"/>
  <c r="J108" i="1"/>
  <c r="C100" i="1"/>
  <c r="J97" i="1"/>
  <c r="J96" i="1"/>
  <c r="J95" i="1"/>
  <c r="J94" i="1"/>
  <c r="C86" i="1"/>
  <c r="J83" i="1"/>
  <c r="J82" i="1"/>
  <c r="J81" i="1"/>
  <c r="J80" i="1"/>
  <c r="C72" i="1"/>
  <c r="D59" i="1"/>
  <c r="C50" i="1"/>
  <c r="E27" i="1"/>
  <c r="E25" i="1"/>
  <c r="E3" i="1"/>
  <c r="H73" i="1"/>
  <c r="H101" i="1"/>
  <c r="H87" i="1"/>
  <c r="D66" i="1" l="1"/>
  <c r="D97" i="1"/>
  <c r="D98" i="1"/>
  <c r="D99" i="1"/>
  <c r="D93" i="1"/>
  <c r="D94" i="1"/>
  <c r="D95" i="1"/>
  <c r="D96" i="1"/>
  <c r="C92" i="1"/>
  <c r="J86" i="1" s="1"/>
  <c r="J88" i="1" s="1"/>
  <c r="D85" i="1"/>
  <c r="D83" i="1"/>
  <c r="D82" i="1"/>
  <c r="D81" i="1"/>
  <c r="D79" i="1"/>
  <c r="J72" i="1"/>
  <c r="D84" i="1"/>
  <c r="D80" i="1"/>
  <c r="J76" i="1"/>
  <c r="J77" i="1"/>
  <c r="C76" i="1" s="1"/>
  <c r="J75" i="1"/>
  <c r="J78" i="1"/>
  <c r="J79" i="1" s="1"/>
  <c r="J84" i="1" s="1"/>
  <c r="J85" i="1" s="1"/>
  <c r="C77" i="1" s="1"/>
  <c r="C106" i="1"/>
  <c r="J100" i="1" s="1"/>
  <c r="J102" i="1" s="1"/>
  <c r="J104" i="1"/>
  <c r="D113" i="1"/>
  <c r="D111" i="1"/>
  <c r="D109" i="1"/>
  <c r="D107" i="1"/>
  <c r="J105" i="1"/>
  <c r="C104" i="1" s="1"/>
  <c r="J103" i="1"/>
  <c r="J106" i="1"/>
  <c r="J107" i="1" s="1"/>
  <c r="J112" i="1" s="1"/>
  <c r="J113" i="1" s="1"/>
  <c r="C105" i="1" s="1"/>
  <c r="D112" i="1"/>
  <c r="D110" i="1"/>
  <c r="D108" i="1"/>
  <c r="J92" i="1"/>
  <c r="J93" i="1" s="1"/>
  <c r="J98" i="1" s="1"/>
  <c r="J99" i="1" s="1"/>
  <c r="C91" i="1" s="1"/>
  <c r="J90" i="1"/>
  <c r="J91" i="1"/>
  <c r="C90" i="1" s="1"/>
  <c r="J89" i="1"/>
  <c r="D106" i="1" l="1"/>
  <c r="D104" i="1"/>
  <c r="D92" i="1"/>
  <c r="D78" i="1"/>
  <c r="J74" i="1"/>
  <c r="E76" i="1"/>
  <c r="D77" i="1"/>
  <c r="G76" i="1"/>
  <c r="D70" i="1" s="1"/>
  <c r="D71" i="1" s="1"/>
  <c r="D76" i="1"/>
  <c r="E90" i="1"/>
  <c r="D91" i="1"/>
  <c r="G90" i="1"/>
  <c r="D90" i="1"/>
  <c r="J87" i="1" s="1"/>
  <c r="E104" i="1"/>
  <c r="D105" i="1"/>
  <c r="G104" i="1"/>
  <c r="I73" i="1" l="1"/>
  <c r="J73" i="1"/>
  <c r="I101" i="1"/>
  <c r="J101" i="1"/>
  <c r="I87" i="1"/>
  <c r="F71" i="1"/>
  <c r="I74" i="1" l="1"/>
  <c r="I72" i="1" s="1"/>
  <c r="C74" i="1" s="1"/>
  <c r="I102" i="1"/>
  <c r="I100" i="1" s="1"/>
  <c r="C102" i="1" s="1"/>
  <c r="I88" i="1"/>
  <c r="I86" i="1" s="1"/>
  <c r="C88" i="1" s="1"/>
</calcChain>
</file>

<file path=xl/sharedStrings.xml><?xml version="1.0" encoding="utf-8"?>
<sst xmlns="http://schemas.openxmlformats.org/spreadsheetml/2006/main" count="380" uniqueCount="238">
  <si>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</si>
  <si>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</si>
  <si>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</si>
  <si>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</si>
  <si>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</si>
  <si>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</si>
  <si>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</si>
  <si>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</si>
  <si>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</si>
  <si>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</si>
  <si>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</si>
  <si>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</si>
  <si>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</si>
  <si>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</si>
  <si>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</si>
  <si>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</si>
  <si>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</si>
  <si>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</si>
  <si>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</si>
  <si>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</si>
  <si>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</si>
  <si>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</si>
  <si>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</si>
  <si>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</si>
  <si>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</si>
  <si>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</si>
  <si>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</si>
  <si>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</si>
  <si>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</si>
  <si>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</si>
  <si>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</si>
  <si>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</si>
  <si>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</si>
  <si>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</si>
  <si>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</si>
  <si>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</si>
  <si>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</si>
  <si>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</si>
  <si>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</si>
  <si>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</si>
  <si>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</si>
  <si>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</si>
  <si>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</si>
  <si>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</si>
  <si>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</si>
  <si>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 xml:space="preserve">O. Certificate No.: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</si>
  <si>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</si>
  <si>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</si>
  <si>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</si>
  <si>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</si>
  <si>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</si>
  <si>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</si>
  <si>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</si>
  <si>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</si>
  <si>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</si>
  <si>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</si>
  <si>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</si>
  <si>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</si>
  <si>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</si>
  <si>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</si>
  <si>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</si>
  <si>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</si>
  <si>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</si>
  <si>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</si>
  <si>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</si>
  <si>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</si>
  <si>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</si>
  <si>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</si>
  <si>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</si>
  <si>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</si>
  <si>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</si>
  <si>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</si>
  <si>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Residential Area Details :</t>
  </si>
  <si>
    <t>Podium</t>
  </si>
  <si>
    <t>Ground</t>
  </si>
  <si>
    <t>Locality/Village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</si>
  <si>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</si>
  <si>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</si>
  <si>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Commercial Area Details :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</si>
  <si>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</si>
  <si>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</si>
  <si>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</si>
  <si>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</si>
  <si>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</si>
  <si>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</si>
  <si>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</si>
  <si>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</si>
  <si>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</si>
  <si>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</si>
  <si>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</si>
  <si>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</si>
  <si>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</si>
  <si>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</si>
  <si>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</si>
  <si>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</si>
  <si>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</si>
  <si>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</si>
  <si>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</si>
  <si>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Development Charges</t>
  </si>
  <si>
    <t>Club Charges</t>
  </si>
  <si>
    <t>Gas Connection Charges</t>
  </si>
  <si>
    <t>Water, Electricity, Drainages, Sewerage Connection</t>
  </si>
  <si>
    <t>Society Formation Charges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</si>
  <si>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</si>
  <si>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</si>
  <si>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</si>
  <si>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</si>
  <si>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</si>
  <si>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</si>
  <si>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</si>
  <si>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</si>
  <si>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</si>
  <si>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</si>
  <si>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</si>
  <si>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</si>
  <si>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</si>
  <si>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</si>
  <si>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</si>
  <si>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</si>
  <si>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</si>
  <si>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</si>
  <si>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</si>
  <si>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</si>
  <si>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t>Ground Floor</t>
  </si>
  <si>
    <t>Shop No.
(Sale Plan)</t>
  </si>
  <si>
    <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</si>
  <si>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</si>
  <si>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</si>
  <si>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Valid Upto 
Date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</si>
  <si>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</si>
  <si>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</si>
  <si>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</si>
  <si>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</si>
  <si>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</si>
  <si>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</si>
  <si>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</si>
  <si>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</si>
  <si>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</si>
  <si>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</si>
  <si>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</si>
  <si>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</si>
  <si>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</si>
  <si>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</si>
  <si>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</si>
  <si>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</si>
  <si>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</si>
  <si>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</si>
  <si>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</si>
  <si>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</si>
  <si>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</si>
  <si>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</si>
  <si>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</si>
  <si>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</si>
  <si>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</si>
  <si>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</si>
  <si>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>B Wing = G + 1st to 20th Floor</t>
  </si>
  <si>
    <t>C Wing = G + 1st to 20th Floor</t>
  </si>
  <si>
    <t xml:space="preserve">Violations Observed if any : </t>
  </si>
  <si>
    <t>Saleable area Loading :</t>
  </si>
  <si>
    <t>Total</t>
  </si>
  <si>
    <t>Name of Municipal Corporation/Authority</t>
  </si>
  <si>
    <t>We have considered proposed No. of Floor for Stage Calculation.</t>
  </si>
  <si>
    <t>*</t>
  </si>
  <si>
    <t>Recommended rate should be considered as all inclusive rate if other charges are not mentioned. (Excluding GST &amp; other government Taxes)</t>
  </si>
  <si>
    <t xml:space="preserve">Commencement-CC No
Valid Up to: </t>
  </si>
  <si>
    <t>Attached Loft area</t>
  </si>
  <si>
    <t xml:space="preserve">Recommended Rates of the Property : </t>
  </si>
  <si>
    <t>Floor Rise Rate</t>
  </si>
  <si>
    <t>Recommended rate of the Shop Per Sq. Ft.</t>
  </si>
  <si>
    <t>Recommended rate of the Flat Per Sq. Ft.</t>
  </si>
  <si>
    <t>Recommended rate of the Office Per Sq. Ft.</t>
  </si>
  <si>
    <t>On Saleable Area</t>
  </si>
  <si>
    <t>Legal Charges</t>
  </si>
  <si>
    <t>Location Link</t>
  </si>
  <si>
    <t>Locality</t>
  </si>
  <si>
    <t>Provided Contact Details ( Name &amp; Contact No.)</t>
  </si>
  <si>
    <t>Site Person - Contact Details ( Name &amp; Contact No.)</t>
  </si>
  <si>
    <t>Layout :</t>
  </si>
  <si>
    <t xml:space="preserve">1. Vitrified tiles flooring 2. Granite Kitchen Platform 3. Decorative
Enternace etc.
</t>
  </si>
  <si>
    <t>Axis Goregaon</t>
  </si>
  <si>
    <t>Adityaraj Builders</t>
  </si>
  <si>
    <t>A &amp; B Wing</t>
  </si>
  <si>
    <t>P51800045791</t>
  </si>
  <si>
    <t>CTS No</t>
  </si>
  <si>
    <t>356 (Pt), S. No. 113(Pt)</t>
  </si>
  <si>
    <t>Hariyali</t>
  </si>
  <si>
    <t>Kannamwar Nagar</t>
  </si>
  <si>
    <t>Mumbai</t>
  </si>
  <si>
    <t>Vikhroli (East)</t>
  </si>
  <si>
    <t>Name / No of the Existing Building</t>
  </si>
  <si>
    <t>Building No. 65, Shivraj CHS.Ltd.</t>
  </si>
  <si>
    <t>Kurla</t>
  </si>
  <si>
    <t>Aatmaram Surve Marg</t>
  </si>
  <si>
    <t>Shivraj Chs Adityaraj Shivraj</t>
  </si>
  <si>
    <t>Truearth Views Uc</t>
  </si>
  <si>
    <t>2KM from Vikhroli Railway Station</t>
  </si>
  <si>
    <t>Passcode Green Canvas</t>
  </si>
  <si>
    <t>Building No. 66</t>
  </si>
  <si>
    <t>https://goo.gl/maps/vnkaEoF8WSN6tnXi7</t>
  </si>
  <si>
    <t>02 Buildings</t>
  </si>
  <si>
    <t>MHADA</t>
  </si>
  <si>
    <t>Mhada-9/1027/2022</t>
  </si>
  <si>
    <t>As per RERA - 31/03/2026</t>
  </si>
  <si>
    <t>A Wing</t>
  </si>
  <si>
    <t>Ground Floor For Entrance Lobby, Pump Room, Meter Room, UG Tank &amp; Parking</t>
  </si>
  <si>
    <t>1st to 7th, 9th to 14th, 16th to 22nd Floor</t>
  </si>
  <si>
    <t>2BHK</t>
  </si>
  <si>
    <t>B Wing</t>
  </si>
  <si>
    <t>1BHK</t>
  </si>
  <si>
    <t>8th Floor (Part Refuge Area)</t>
  </si>
  <si>
    <t>Refuge Area</t>
  </si>
  <si>
    <t>15th Floor (Part Refuge Area)</t>
  </si>
  <si>
    <t>15th Floor (Part Refuge Area) &amp; Society Office</t>
  </si>
  <si>
    <t>Society Office</t>
  </si>
  <si>
    <t>We considered Gross carpet area = Net carpet.</t>
  </si>
  <si>
    <t>Approved Plans, CC</t>
  </si>
  <si>
    <t xml:space="preserve">Fire NOC No
Valid Up to: </t>
  </si>
  <si>
    <t>FB/HR/R-VI/70</t>
  </si>
  <si>
    <t xml:space="preserve">Airport NOC No
Valid Up to: </t>
  </si>
  <si>
    <t>SNCR/WEST/B/011422/648456</t>
  </si>
  <si>
    <t>Flats - 149</t>
  </si>
  <si>
    <t>Gr + 1st to 22nd Floor (69.65M Height)</t>
  </si>
  <si>
    <t>154M from AMSL</t>
  </si>
  <si>
    <t>12000 to 12200</t>
  </si>
  <si>
    <t>gaurav</t>
  </si>
  <si>
    <t>Cost sheet</t>
  </si>
  <si>
    <t>A &amp; B Wing = Gr + 1st to 22nd Floor</t>
  </si>
  <si>
    <t>Latitude,Longitude</t>
  </si>
  <si>
    <t>19.1207222,72.9379783</t>
  </si>
  <si>
    <t>Office No. 1031, Wing J, Akshar Business Park, Plot No. 03 Sector 25, Near APMC Market, 
Vashi, Navi Mumbai, Maharashtra 400703 TEL: 022-46090378/79/80                                                                       
E mail : vsjcapf@gmail.com. Web site : www.vsjadon.com</t>
  </si>
  <si>
    <t>MH/EE/(BP)/GM/MHADA-9/1027/2024/FCC/1/Amend</t>
  </si>
  <si>
    <t xml:space="preserve">This C.C. is further extended upto top of 22nd floor (i.e. building comprising of Stilt + 1st to 22nd upper floors (Including OHT + LMR) as per approved I.O.A. plan dtd. 17.01.2022
</t>
  </si>
  <si>
    <t>We have refered and updated revised CC from MHADA site (on 21/03/2024).</t>
  </si>
  <si>
    <t>Mr James site engineer 7718975844</t>
  </si>
  <si>
    <t xml:space="preserve">Validity of CC is expired on 25/05/2024. Please provide revised CC.
</t>
  </si>
  <si>
    <t>Nainesh Tambe</t>
  </si>
  <si>
    <t>Finishing work is in process (Internal photos was not allowed).</t>
  </si>
  <si>
    <t>Pranita Mhatre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</si>
</sst>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 * #,##0.00_ ;_ * \-#,##0.00_ ;_ * &quot;-&quot;??_ ;_ @_ "/>
    <numFmt numFmtId="164" formatCode="_(* #,##0.00_);_(* \(#,##0.00\);_(* &quot;-&quot;??_);_(@_)"/>
    <numFmt numFmtId="165" formatCode="0.0"/>
    <numFmt numFmtId="166" formatCode="_(* #,##0_);_(* \(#,##0\);_(* &quot;-&quot;??_);_(@_)"/>
    <numFmt numFmtId="167" formatCode="_ * #,##0_ ;_ * \-#,##0_ ;_ * &quot;-&quot;??_ ;_ @_ "/>
    <numFmt numFmtId="168" formatCode="dd\/mm\/yyyy"/>
  </numFmts>
  <fonts count="27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4" fontId="5" fillId="0" borderId="0" applyFont="0" applyFill="0" applyBorder="0" applyAlignment="0" applyProtection="0"/>
    <xf numFmtId="0" fontId="20" fillId="0" borderId="0"/>
    <xf numFmtId="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0" borderId="0" applyNumberFormat="0" applyFill="0" applyBorder="0" applyAlignment="0" applyProtection="0"/>
  </cellStyleXfs>
  <cellXfs count="205">
    <xf numFmtId="0" fontId="0" fillId="0" borderId="0" xfId="0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19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8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9" fontId="8" fillId="0" borderId="16" xfId="8" applyFont="1" applyFill="1" applyBorder="1" applyAlignment="1" applyProtection="1">
      <alignment horizontal="center" vertical="top" wrapText="1"/>
      <protection locked="0"/>
    </xf>
    <xf numFmtId="0" fontId="17" fillId="0" borderId="0" xfId="0" applyFont="1" applyProtection="1">
      <protection hidden="1"/>
    </xf>
    <xf numFmtId="0" fontId="15" fillId="0" borderId="1" xfId="1" applyFont="1" applyBorder="1" applyAlignment="1" applyProtection="1">
      <alignment horizontal="center" vertical="top"/>
      <protection locked="0"/>
    </xf>
    <xf numFmtId="0" fontId="17" fillId="0" borderId="11" xfId="0" applyFont="1" applyBorder="1" applyProtection="1">
      <protection hidden="1"/>
    </xf>
    <xf numFmtId="0" fontId="12" fillId="0" borderId="4" xfId="1" applyFont="1" applyBorder="1" applyAlignment="1" applyProtection="1">
      <alignment horizontal="center" vertical="top"/>
      <protection locked="0"/>
    </xf>
    <xf numFmtId="0" fontId="12" fillId="0" borderId="5" xfId="1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vertical="top" wrapText="1"/>
      <protection locked="0"/>
    </xf>
    <xf numFmtId="9" fontId="7" fillId="0" borderId="1" xfId="8" applyFont="1" applyFill="1" applyBorder="1" applyAlignment="1" applyProtection="1">
      <alignment horizontal="center" vertical="top" wrapText="1"/>
      <protection locked="0"/>
    </xf>
    <xf numFmtId="9" fontId="7" fillId="0" borderId="7" xfId="8" applyFont="1" applyFill="1" applyBorder="1" applyAlignment="1" applyProtection="1">
      <alignment horizontal="center" vertical="top" wrapText="1"/>
      <protection locked="0"/>
    </xf>
    <xf numFmtId="0" fontId="7" fillId="0" borderId="0" xfId="1" applyFont="1"/>
    <xf numFmtId="0" fontId="15" fillId="0" borderId="0" xfId="1" applyFont="1"/>
    <xf numFmtId="0" fontId="12" fillId="0" borderId="0" xfId="1" applyFont="1"/>
    <xf numFmtId="1" fontId="7" fillId="0" borderId="0" xfId="1" applyNumberFormat="1" applyFont="1"/>
    <xf numFmtId="14" fontId="7" fillId="0" borderId="0" xfId="1" applyNumberFormat="1" applyFont="1"/>
    <xf numFmtId="0" fontId="7" fillId="0" borderId="0" xfId="1" applyFont="1" applyProtection="1">
      <protection hidden="1"/>
    </xf>
    <xf numFmtId="0" fontId="23" fillId="0" borderId="0" xfId="1" applyFont="1"/>
    <xf numFmtId="0" fontId="7" fillId="0" borderId="10" xfId="1" applyFont="1" applyBorder="1"/>
    <xf numFmtId="0" fontId="17" fillId="0" borderId="10" xfId="0" applyFont="1" applyBorder="1" applyProtection="1">
      <protection hidden="1"/>
    </xf>
    <xf numFmtId="1" fontId="0" fillId="0" borderId="10" xfId="0" applyNumberFormat="1" applyBorder="1"/>
    <xf numFmtId="1" fontId="0" fillId="0" borderId="10" xfId="0" applyNumberFormat="1" applyBorder="1" applyAlignment="1">
      <alignment horizontal="right"/>
    </xf>
    <xf numFmtId="1" fontId="0" fillId="0" borderId="12" xfId="0" applyNumberFormat="1" applyBorder="1"/>
    <xf numFmtId="0" fontId="16" fillId="0" borderId="0" xfId="1" applyFont="1"/>
    <xf numFmtId="0" fontId="6" fillId="0" borderId="0" xfId="2" applyFont="1"/>
    <xf numFmtId="0" fontId="7" fillId="0" borderId="0" xfId="0" applyFont="1" applyAlignment="1">
      <alignment horizontal="center" vertical="center"/>
    </xf>
    <xf numFmtId="1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3" xfId="1" applyNumberFormat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7" fillId="0" borderId="7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horizontal="center" vertical="top"/>
      <protection locked="0"/>
    </xf>
    <xf numFmtId="0" fontId="24" fillId="2" borderId="30" xfId="0" applyFont="1" applyFill="1" applyBorder="1"/>
    <xf numFmtId="0" fontId="25" fillId="0" borderId="31" xfId="0" applyFont="1" applyBorder="1"/>
    <xf numFmtId="0" fontId="25" fillId="0" borderId="1" xfId="0" applyFont="1" applyBorder="1"/>
    <xf numFmtId="0" fontId="25" fillId="0" borderId="5" xfId="0" applyFont="1" applyBorder="1"/>
    <xf numFmtId="1" fontId="7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 applyProtection="1">
      <alignment horizontal="center" vertical="top" wrapText="1"/>
      <protection locked="0"/>
    </xf>
    <xf numFmtId="9" fontId="12" fillId="0" borderId="1" xfId="8" applyFont="1" applyFill="1" applyBorder="1" applyAlignment="1" applyProtection="1">
      <alignment horizontal="center" vertical="top" wrapText="1"/>
      <protection locked="0"/>
    </xf>
    <xf numFmtId="0" fontId="12" fillId="0" borderId="7" xfId="1" applyFont="1" applyBorder="1" applyAlignment="1" applyProtection="1">
      <alignment horizontal="center" vertical="top" wrapText="1"/>
      <protection locked="0"/>
    </xf>
    <xf numFmtId="9" fontId="12" fillId="0" borderId="7" xfId="8" applyFont="1" applyFill="1" applyBorder="1" applyAlignment="1" applyProtection="1">
      <alignment horizontal="center" vertical="top" wrapText="1"/>
      <protection locked="0"/>
    </xf>
    <xf numFmtId="1" fontId="12" fillId="0" borderId="1" xfId="0" applyNumberFormat="1" applyFont="1" applyBorder="1" applyAlignment="1" applyProtection="1">
      <alignment horizontal="center" vertical="center" wrapText="1"/>
      <protection locked="0"/>
    </xf>
    <xf numFmtId="0" fontId="7" fillId="2" borderId="0" xfId="1" applyFont="1" applyFill="1"/>
    <xf numFmtId="14" fontId="7" fillId="2" borderId="0" xfId="1" applyNumberFormat="1" applyFont="1" applyFill="1"/>
    <xf numFmtId="0" fontId="12" fillId="0" borderId="1" xfId="1" applyFont="1" applyBorder="1" applyAlignment="1" applyProtection="1">
      <alignment horizontal="center" vertical="top"/>
      <protection locked="0"/>
    </xf>
    <xf numFmtId="0" fontId="24" fillId="2" borderId="15" xfId="0" applyFont="1" applyFill="1" applyBorder="1"/>
    <xf numFmtId="0" fontId="25" fillId="0" borderId="9" xfId="0" applyFont="1" applyBorder="1"/>
    <xf numFmtId="0" fontId="13" fillId="0" borderId="1" xfId="1" applyFont="1" applyBorder="1" applyAlignment="1" applyProtection="1">
      <alignment horizontal="left" vertical="top" wrapText="1"/>
      <protection locked="0"/>
    </xf>
    <xf numFmtId="0" fontId="13" fillId="0" borderId="5" xfId="1" applyFont="1" applyBorder="1" applyAlignment="1" applyProtection="1">
      <alignment horizontal="left" vertical="top" wrapText="1"/>
      <protection locked="0"/>
    </xf>
    <xf numFmtId="0" fontId="7" fillId="0" borderId="4" xfId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7" fillId="0" borderId="5" xfId="1" applyFont="1" applyBorder="1" applyAlignment="1" applyProtection="1">
      <alignment horizontal="center" vertical="top" wrapText="1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0" fontId="8" fillId="0" borderId="16" xfId="1" applyFont="1" applyBorder="1" applyAlignment="1" applyProtection="1">
      <alignment horizontal="left" vertical="top"/>
      <protection locked="0"/>
    </xf>
    <xf numFmtId="167" fontId="12" fillId="0" borderId="1" xfId="9" applyNumberFormat="1" applyFont="1" applyFill="1" applyBorder="1" applyAlignment="1" applyProtection="1">
      <alignment horizontal="left" vertical="top"/>
      <protection locked="0"/>
    </xf>
    <xf numFmtId="0" fontId="26" fillId="0" borderId="1" xfId="10" applyFill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1" fontId="8" fillId="0" borderId="8" xfId="0" applyNumberFormat="1" applyFont="1" applyBorder="1" applyAlignment="1" applyProtection="1">
      <alignment vertical="top" wrapText="1"/>
      <protection locked="0"/>
    </xf>
    <xf numFmtId="1" fontId="8" fillId="0" borderId="21" xfId="0" applyNumberFormat="1" applyFont="1" applyBorder="1" applyAlignment="1" applyProtection="1">
      <alignment vertical="top" wrapText="1"/>
      <protection locked="0"/>
    </xf>
    <xf numFmtId="1" fontId="8" fillId="0" borderId="9" xfId="0" applyNumberFormat="1" applyFont="1" applyBorder="1" applyAlignment="1" applyProtection="1">
      <alignment vertical="top" wrapText="1"/>
      <protection locked="0"/>
    </xf>
    <xf numFmtId="0" fontId="12" fillId="0" borderId="8" xfId="1" applyFont="1" applyBorder="1" applyAlignment="1" applyProtection="1">
      <alignment horizontal="left" vertical="top" wrapText="1"/>
      <protection locked="0"/>
    </xf>
    <xf numFmtId="0" fontId="12" fillId="0" borderId="9" xfId="1" applyFont="1" applyBorder="1" applyAlignment="1" applyProtection="1">
      <alignment horizontal="left" vertical="top" wrapText="1"/>
      <protection locked="0"/>
    </xf>
    <xf numFmtId="0" fontId="13" fillId="0" borderId="8" xfId="1" applyFont="1" applyBorder="1" applyAlignment="1" applyProtection="1">
      <alignment horizontal="left" vertical="top"/>
      <protection locked="0"/>
    </xf>
    <xf numFmtId="0" fontId="13" fillId="0" borderId="21" xfId="1" applyFont="1" applyBorder="1" applyAlignment="1" applyProtection="1">
      <alignment horizontal="left" vertical="top"/>
      <protection locked="0"/>
    </xf>
    <xf numFmtId="0" fontId="13" fillId="0" borderId="9" xfId="1" applyFont="1" applyBorder="1" applyAlignment="1" applyProtection="1">
      <alignment horizontal="left" vertical="top"/>
      <protection locked="0"/>
    </xf>
    <xf numFmtId="9" fontId="7" fillId="0" borderId="17" xfId="8" applyFont="1" applyFill="1" applyBorder="1" applyAlignment="1" applyProtection="1">
      <alignment horizontal="center" vertical="center" wrapText="1"/>
      <protection locked="0"/>
    </xf>
    <xf numFmtId="9" fontId="7" fillId="0" borderId="27" xfId="8" applyFont="1" applyFill="1" applyBorder="1" applyAlignment="1" applyProtection="1">
      <alignment horizontal="center" vertical="center" wrapText="1"/>
      <protection locked="0"/>
    </xf>
    <xf numFmtId="9" fontId="7" fillId="0" borderId="25" xfId="8" applyFont="1" applyFill="1" applyBorder="1" applyAlignment="1" applyProtection="1">
      <alignment horizontal="center" vertical="center" wrapText="1"/>
      <protection locked="0"/>
    </xf>
    <xf numFmtId="9" fontId="7" fillId="0" borderId="10" xfId="8" applyFont="1" applyFill="1" applyBorder="1" applyAlignment="1" applyProtection="1">
      <alignment horizontal="center" vertical="center" wrapText="1"/>
      <protection locked="0"/>
    </xf>
    <xf numFmtId="9" fontId="7" fillId="0" borderId="28" xfId="8" applyFont="1" applyFill="1" applyBorder="1" applyAlignment="1" applyProtection="1">
      <alignment horizontal="center" vertical="center" wrapText="1"/>
      <protection locked="0"/>
    </xf>
    <xf numFmtId="9" fontId="7" fillId="0" borderId="12" xfId="8" applyFont="1" applyFill="1" applyBorder="1" applyAlignment="1" applyProtection="1">
      <alignment horizontal="center" vertical="center" wrapText="1"/>
      <protection locked="0"/>
    </xf>
    <xf numFmtId="1" fontId="8" fillId="0" borderId="3" xfId="1" applyNumberFormat="1" applyFont="1" applyBorder="1" applyAlignment="1" applyProtection="1">
      <alignment horizontal="center" vertical="top" wrapText="1"/>
      <protection locked="0"/>
    </xf>
    <xf numFmtId="1" fontId="8" fillId="0" borderId="16" xfId="1" applyNumberFormat="1" applyFont="1" applyBorder="1" applyAlignment="1" applyProtection="1">
      <alignment horizontal="center" vertical="top" wrapText="1"/>
      <protection locked="0"/>
    </xf>
    <xf numFmtId="1" fontId="6" fillId="0" borderId="8" xfId="1" applyNumberFormat="1" applyFont="1" applyBorder="1" applyAlignment="1" applyProtection="1">
      <alignment horizontal="center" vertical="center" wrapText="1"/>
      <protection locked="0"/>
    </xf>
    <xf numFmtId="1" fontId="6" fillId="0" borderId="9" xfId="1" applyNumberFormat="1" applyFont="1" applyBorder="1" applyAlignment="1" applyProtection="1">
      <alignment horizontal="center" vertical="center" wrapText="1"/>
      <protection locked="0"/>
    </xf>
    <xf numFmtId="0" fontId="13" fillId="0" borderId="4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0" fontId="7" fillId="0" borderId="0" xfId="1" applyFont="1" applyAlignment="1">
      <alignment horizontal="center" vertical="center"/>
    </xf>
    <xf numFmtId="1" fontId="8" fillId="0" borderId="8" xfId="1" applyNumberFormat="1" applyFont="1" applyBorder="1" applyAlignment="1" applyProtection="1">
      <alignment horizontal="center" vertical="center" wrapText="1"/>
      <protection locked="0"/>
    </xf>
    <xf numFmtId="1" fontId="8" fillId="0" borderId="21" xfId="1" applyNumberFormat="1" applyFont="1" applyBorder="1" applyAlignment="1" applyProtection="1">
      <alignment horizontal="center" vertical="center" wrapText="1"/>
      <protection locked="0"/>
    </xf>
    <xf numFmtId="1" fontId="8" fillId="0" borderId="9" xfId="1" applyNumberFormat="1" applyFont="1" applyBorder="1" applyAlignment="1" applyProtection="1">
      <alignment horizontal="center" vertical="center" wrapText="1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top" wrapText="1"/>
      <protection locked="0"/>
    </xf>
    <xf numFmtId="1" fontId="6" fillId="0" borderId="1" xfId="0" applyNumberFormat="1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1" fontId="10" fillId="0" borderId="1" xfId="0" applyNumberFormat="1" applyFont="1" applyBorder="1" applyAlignment="1" applyProtection="1">
      <alignment horizontal="center" vertical="top" wrapText="1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1" fontId="13" fillId="0" borderId="1" xfId="0" applyNumberFormat="1" applyFont="1" applyBorder="1" applyAlignment="1" applyProtection="1">
      <alignment horizontal="left" vertical="top" wrapText="1"/>
      <protection locked="0"/>
    </xf>
    <xf numFmtId="1" fontId="8" fillId="0" borderId="1" xfId="1" applyNumberFormat="1" applyFont="1" applyBorder="1" applyAlignment="1" applyProtection="1">
      <alignment horizontal="center" vertical="center" wrapText="1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6" fillId="0" borderId="17" xfId="1" applyNumberFormat="1" applyFont="1" applyBorder="1" applyAlignment="1" applyProtection="1">
      <alignment horizontal="center" vertical="center" wrapText="1"/>
      <protection locked="0"/>
    </xf>
    <xf numFmtId="1" fontId="6" fillId="0" borderId="18" xfId="1" applyNumberFormat="1" applyFont="1" applyBorder="1" applyAlignment="1" applyProtection="1">
      <alignment horizontal="center" vertical="center" wrapText="1"/>
      <protection locked="0"/>
    </xf>
    <xf numFmtId="1" fontId="6" fillId="0" borderId="25" xfId="1" applyNumberFormat="1" applyFont="1" applyBorder="1" applyAlignment="1" applyProtection="1">
      <alignment horizontal="center" vertical="center" wrapText="1"/>
      <protection locked="0"/>
    </xf>
    <xf numFmtId="1" fontId="6" fillId="0" borderId="26" xfId="1" applyNumberFormat="1" applyFont="1" applyBorder="1" applyAlignment="1" applyProtection="1">
      <alignment horizontal="center" vertical="center" wrapText="1"/>
      <protection locked="0"/>
    </xf>
    <xf numFmtId="1" fontId="6" fillId="0" borderId="19" xfId="1" applyNumberFormat="1" applyFont="1" applyBorder="1" applyAlignment="1" applyProtection="1">
      <alignment horizontal="center" vertical="center" wrapText="1"/>
      <protection locked="0"/>
    </xf>
    <xf numFmtId="1" fontId="6" fillId="0" borderId="20" xfId="1" applyNumberFormat="1" applyFont="1" applyBorder="1" applyAlignment="1" applyProtection="1">
      <alignment horizontal="center" vertical="center" wrapText="1"/>
      <protection locked="0"/>
    </xf>
    <xf numFmtId="0" fontId="10" fillId="0" borderId="1" xfId="1" applyFont="1" applyBorder="1" applyAlignment="1" applyProtection="1">
      <alignment horizontal="left"/>
      <protection locked="0"/>
    </xf>
    <xf numFmtId="0" fontId="12" fillId="0" borderId="4" xfId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1" fontId="7" fillId="0" borderId="1" xfId="0" applyNumberFormat="1" applyFont="1" applyBorder="1" applyAlignment="1" applyProtection="1">
      <alignment horizontal="center" vertical="center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0" fontId="8" fillId="0" borderId="22" xfId="1" applyFont="1" applyBorder="1" applyAlignment="1" applyProtection="1">
      <alignment horizontal="left" vertical="top" wrapText="1"/>
      <protection locked="0"/>
    </xf>
    <xf numFmtId="0" fontId="8" fillId="0" borderId="15" xfId="1" applyFont="1" applyBorder="1" applyAlignment="1" applyProtection="1">
      <alignment horizontal="left" vertical="top" wrapText="1"/>
      <protection locked="0"/>
    </xf>
    <xf numFmtId="0" fontId="8" fillId="0" borderId="13" xfId="1" applyFont="1" applyBorder="1" applyAlignment="1" applyProtection="1">
      <alignment horizontal="left" vertical="top" wrapText="1"/>
      <protection locked="0"/>
    </xf>
    <xf numFmtId="0" fontId="8" fillId="0" borderId="14" xfId="1" applyFont="1" applyBorder="1" applyAlignment="1" applyProtection="1">
      <alignment horizontal="left" vertical="top" wrapText="1"/>
      <protection locked="0"/>
    </xf>
    <xf numFmtId="0" fontId="8" fillId="0" borderId="23" xfId="1" applyFont="1" applyBorder="1" applyAlignment="1" applyProtection="1">
      <alignment horizontal="left" vertical="top" wrapText="1"/>
      <protection locked="0"/>
    </xf>
    <xf numFmtId="1" fontId="4" fillId="0" borderId="3" xfId="1" applyNumberFormat="1" applyFont="1" applyBorder="1" applyAlignment="1" applyProtection="1">
      <alignment horizontal="center" vertical="top" wrapText="1"/>
      <protection locked="0"/>
    </xf>
    <xf numFmtId="1" fontId="4" fillId="0" borderId="16" xfId="1" applyNumberFormat="1" applyFont="1" applyBorder="1" applyAlignment="1" applyProtection="1">
      <alignment horizontal="center" vertical="top" wrapText="1"/>
      <protection locked="0"/>
    </xf>
    <xf numFmtId="1" fontId="8" fillId="0" borderId="17" xfId="1" applyNumberFormat="1" applyFont="1" applyBorder="1" applyAlignment="1" applyProtection="1">
      <alignment horizontal="center" vertical="top" wrapText="1"/>
      <protection locked="0"/>
    </xf>
    <xf numFmtId="1" fontId="8" fillId="0" borderId="18" xfId="1" applyNumberFormat="1" applyFont="1" applyBorder="1" applyAlignment="1" applyProtection="1">
      <alignment horizontal="center" vertical="top" wrapText="1"/>
      <protection locked="0"/>
    </xf>
    <xf numFmtId="1" fontId="8" fillId="0" borderId="19" xfId="1" applyNumberFormat="1" applyFont="1" applyBorder="1" applyAlignment="1" applyProtection="1">
      <alignment horizontal="center" vertical="top" wrapText="1"/>
      <protection locked="0"/>
    </xf>
    <xf numFmtId="1" fontId="8" fillId="0" borderId="20" xfId="1" applyNumberFormat="1" applyFont="1" applyBorder="1" applyAlignment="1" applyProtection="1">
      <alignment horizontal="center" vertical="top" wrapText="1"/>
      <protection locked="0"/>
    </xf>
    <xf numFmtId="9" fontId="7" fillId="0" borderId="18" xfId="8" applyFont="1" applyFill="1" applyBorder="1" applyAlignment="1" applyProtection="1">
      <alignment horizontal="center" vertical="center" wrapText="1"/>
      <protection locked="0"/>
    </xf>
    <xf numFmtId="9" fontId="7" fillId="0" borderId="26" xfId="8" applyFont="1" applyFill="1" applyBorder="1" applyAlignment="1" applyProtection="1">
      <alignment horizontal="center" vertical="center" wrapText="1"/>
      <protection locked="0"/>
    </xf>
    <xf numFmtId="9" fontId="7" fillId="0" borderId="29" xfId="8" applyFont="1" applyFill="1" applyBorder="1" applyAlignment="1" applyProtection="1">
      <alignment horizontal="center" vertical="center" wrapText="1"/>
      <protection locked="0"/>
    </xf>
    <xf numFmtId="0" fontId="7" fillId="0" borderId="6" xfId="1" applyFont="1" applyBorder="1" applyAlignment="1" applyProtection="1">
      <alignment horizontal="center" vertical="top" wrapText="1"/>
      <protection locked="0"/>
    </xf>
    <xf numFmtId="0" fontId="7" fillId="0" borderId="7" xfId="1" applyFont="1" applyBorder="1" applyAlignment="1" applyProtection="1">
      <alignment horizontal="center" vertical="top" wrapText="1"/>
      <protection locked="0"/>
    </xf>
    <xf numFmtId="0" fontId="8" fillId="0" borderId="16" xfId="1" applyFont="1" applyBorder="1" applyAlignment="1" applyProtection="1">
      <alignment horizontal="center" vertical="top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2" fontId="6" fillId="0" borderId="1" xfId="1" applyNumberFormat="1" applyFont="1" applyBorder="1" applyAlignment="1" applyProtection="1">
      <alignment horizontal="left" vertical="top" wrapText="1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9" fontId="12" fillId="0" borderId="17" xfId="8" applyFont="1" applyFill="1" applyBorder="1" applyAlignment="1" applyProtection="1">
      <alignment horizontal="center" vertical="center" wrapText="1"/>
      <protection locked="0"/>
    </xf>
    <xf numFmtId="9" fontId="12" fillId="0" borderId="18" xfId="8" applyFont="1" applyFill="1" applyBorder="1" applyAlignment="1" applyProtection="1">
      <alignment horizontal="center" vertical="center" wrapText="1"/>
      <protection locked="0"/>
    </xf>
    <xf numFmtId="9" fontId="12" fillId="0" borderId="25" xfId="8" applyFont="1" applyFill="1" applyBorder="1" applyAlignment="1" applyProtection="1">
      <alignment horizontal="center" vertical="center" wrapText="1"/>
      <protection locked="0"/>
    </xf>
    <xf numFmtId="9" fontId="12" fillId="0" borderId="26" xfId="8" applyFont="1" applyFill="1" applyBorder="1" applyAlignment="1" applyProtection="1">
      <alignment horizontal="center" vertical="center" wrapText="1"/>
      <protection locked="0"/>
    </xf>
    <xf numFmtId="9" fontId="12" fillId="0" borderId="28" xfId="8" applyFont="1" applyFill="1" applyBorder="1" applyAlignment="1" applyProtection="1">
      <alignment horizontal="center" vertical="center" wrapText="1"/>
      <protection locked="0"/>
    </xf>
    <xf numFmtId="9" fontId="12" fillId="0" borderId="29" xfId="8" applyFont="1" applyFill="1" applyBorder="1" applyAlignment="1" applyProtection="1">
      <alignment horizontal="center" vertical="center" wrapText="1"/>
      <protection locked="0"/>
    </xf>
    <xf numFmtId="9" fontId="12" fillId="0" borderId="27" xfId="8" applyFont="1" applyFill="1" applyBorder="1" applyAlignment="1" applyProtection="1">
      <alignment horizontal="center" vertical="center" wrapText="1"/>
      <protection locked="0"/>
    </xf>
    <xf numFmtId="9" fontId="12" fillId="0" borderId="10" xfId="8" applyFont="1" applyFill="1" applyBorder="1" applyAlignment="1" applyProtection="1">
      <alignment horizontal="center" vertical="center" wrapText="1"/>
      <protection locked="0"/>
    </xf>
    <xf numFmtId="9" fontId="12" fillId="0" borderId="12" xfId="8" applyFont="1" applyFill="1" applyBorder="1" applyAlignment="1" applyProtection="1">
      <alignment horizontal="center" vertical="center" wrapText="1"/>
      <protection locked="0"/>
    </xf>
    <xf numFmtId="0" fontId="12" fillId="0" borderId="6" xfId="1" applyFont="1" applyBorder="1" applyAlignment="1" applyProtection="1">
      <alignment horizontal="center" vertical="top" wrapText="1"/>
      <protection locked="0"/>
    </xf>
    <xf numFmtId="0" fontId="12" fillId="0" borderId="7" xfId="1" applyFont="1" applyBorder="1" applyAlignment="1" applyProtection="1">
      <alignment horizontal="center" vertical="top" wrapText="1"/>
      <protection locked="0"/>
    </xf>
    <xf numFmtId="1" fontId="6" fillId="0" borderId="1" xfId="1" applyNumberFormat="1" applyFont="1" applyBorder="1" applyAlignment="1" applyProtection="1">
      <alignment horizontal="left" vertical="top" wrapText="1"/>
      <protection locked="0"/>
    </xf>
    <xf numFmtId="165" fontId="6" fillId="0" borderId="1" xfId="1" applyNumberFormat="1" applyFont="1" applyBorder="1" applyAlignment="1" applyProtection="1">
      <alignment horizontal="left" vertical="top"/>
      <protection locked="0"/>
    </xf>
    <xf numFmtId="2" fontId="6" fillId="0" borderId="1" xfId="1" applyNumberFormat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/>
      <protection locked="0"/>
    </xf>
    <xf numFmtId="168" fontId="12" fillId="0" borderId="1" xfId="1" applyNumberFormat="1" applyFont="1" applyBorder="1" applyAlignment="1" applyProtection="1">
      <alignment horizontal="left" vertical="top" wrapText="1"/>
      <protection locked="0"/>
    </xf>
    <xf numFmtId="168" fontId="12" fillId="0" borderId="1" xfId="1" applyNumberFormat="1" applyFont="1" applyBorder="1" applyAlignment="1" applyProtection="1">
      <alignment horizontal="left" vertical="top"/>
      <protection locked="0"/>
    </xf>
    <xf numFmtId="0" fontId="12" fillId="0" borderId="8" xfId="1" applyFont="1" applyBorder="1" applyAlignment="1" applyProtection="1">
      <alignment horizontal="left" vertical="top"/>
      <protection locked="0"/>
    </xf>
    <xf numFmtId="0" fontId="12" fillId="0" borderId="21" xfId="1" applyFont="1" applyBorder="1" applyAlignment="1" applyProtection="1">
      <alignment horizontal="left" vertical="top"/>
      <protection locked="0"/>
    </xf>
    <xf numFmtId="0" fontId="12" fillId="0" borderId="9" xfId="1" applyFont="1" applyBorder="1" applyAlignment="1" applyProtection="1">
      <alignment horizontal="left" vertical="top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0" fontId="12" fillId="0" borderId="3" xfId="1" applyFont="1" applyBorder="1" applyAlignment="1" applyProtection="1">
      <alignment horizontal="left" vertical="top" wrapText="1"/>
      <protection locked="0"/>
    </xf>
    <xf numFmtId="0" fontId="12" fillId="0" borderId="3" xfId="1" applyFont="1" applyBorder="1" applyAlignment="1" applyProtection="1">
      <alignment horizontal="left" vertical="top"/>
      <protection locked="0"/>
    </xf>
    <xf numFmtId="0" fontId="12" fillId="0" borderId="17" xfId="1" applyFont="1" applyBorder="1" applyAlignment="1" applyProtection="1">
      <alignment horizontal="left" vertical="top" wrapText="1"/>
      <protection locked="0"/>
    </xf>
    <xf numFmtId="0" fontId="12" fillId="0" borderId="24" xfId="1" applyFont="1" applyBorder="1" applyAlignment="1" applyProtection="1">
      <alignment horizontal="left" vertical="top" wrapText="1"/>
      <protection locked="0"/>
    </xf>
    <xf numFmtId="0" fontId="12" fillId="0" borderId="18" xfId="1" applyFont="1" applyBorder="1" applyAlignment="1" applyProtection="1">
      <alignment horizontal="left" vertical="top" wrapText="1"/>
      <protection locked="0"/>
    </xf>
    <xf numFmtId="14" fontId="6" fillId="0" borderId="8" xfId="1" applyNumberFormat="1" applyFont="1" applyBorder="1" applyAlignment="1" applyProtection="1">
      <alignment horizontal="left" vertical="top" wrapText="1"/>
      <protection locked="0"/>
    </xf>
    <xf numFmtId="0" fontId="6" fillId="0" borderId="9" xfId="1" applyFont="1" applyBorder="1" applyAlignment="1" applyProtection="1">
      <alignment horizontal="left" vertical="top" wrapText="1"/>
      <protection locked="0"/>
    </xf>
    <xf numFmtId="0" fontId="6" fillId="0" borderId="17" xfId="1" applyFont="1" applyBorder="1" applyAlignment="1" applyProtection="1">
      <alignment horizontal="left" vertical="top" wrapText="1"/>
      <protection locked="0"/>
    </xf>
    <xf numFmtId="0" fontId="6" fillId="0" borderId="18" xfId="1" applyFont="1" applyBorder="1" applyAlignment="1" applyProtection="1">
      <alignment horizontal="left" vertical="top" wrapText="1"/>
      <protection locked="0"/>
    </xf>
    <xf numFmtId="0" fontId="6" fillId="0" borderId="19" xfId="1" applyFont="1" applyBorder="1" applyAlignment="1" applyProtection="1">
      <alignment horizontal="left" vertical="top" wrapText="1"/>
      <protection locked="0"/>
    </xf>
    <xf numFmtId="0" fontId="6" fillId="0" borderId="20" xfId="1" applyFont="1" applyBorder="1" applyAlignment="1" applyProtection="1">
      <alignment horizontal="left" vertical="top" wrapText="1"/>
      <protection locked="0"/>
    </xf>
    <xf numFmtId="0" fontId="8" fillId="0" borderId="1" xfId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1" fontId="6" fillId="0" borderId="21" xfId="1" applyNumberFormat="1" applyFont="1" applyBorder="1" applyAlignment="1" applyProtection="1">
      <alignment horizontal="center" vertical="center" wrapText="1"/>
      <protection locked="0"/>
    </xf>
    <xf numFmtId="1" fontId="10" fillId="0" borderId="1" xfId="0" applyNumberFormat="1" applyFont="1" applyBorder="1" applyAlignment="1" applyProtection="1">
      <alignment horizontal="center" vertical="center"/>
      <protection locked="0"/>
    </xf>
    <xf numFmtId="0" fontId="8" fillId="0" borderId="1" xfId="1" applyFont="1" applyBorder="1" applyAlignment="1" applyProtection="1">
      <alignment vertical="top"/>
      <protection locked="0"/>
    </xf>
    <xf numFmtId="1" fontId="13" fillId="0" borderId="8" xfId="0" applyNumberFormat="1" applyFont="1" applyBorder="1" applyAlignment="1" applyProtection="1">
      <alignment vertical="top" wrapText="1"/>
      <protection locked="0"/>
    </xf>
    <xf numFmtId="1" fontId="13" fillId="0" borderId="21" xfId="0" applyNumberFormat="1" applyFont="1" applyBorder="1" applyAlignment="1" applyProtection="1">
      <alignment vertical="top" wrapText="1"/>
      <protection locked="0"/>
    </xf>
    <xf numFmtId="1" fontId="13" fillId="0" borderId="9" xfId="0" applyNumberFormat="1" applyFont="1" applyBorder="1" applyAlignment="1" applyProtection="1">
      <alignment vertical="top" wrapText="1"/>
      <protection locked="0"/>
    </xf>
    <xf numFmtId="0" fontId="12" fillId="0" borderId="5" xfId="1" applyFont="1" applyBorder="1" applyAlignment="1" applyProtection="1">
      <alignment horizontal="center" vertical="top" wrapText="1"/>
      <protection locked="0"/>
    </xf>
    <xf numFmtId="0" fontId="6" fillId="0" borderId="8" xfId="1" applyFont="1" applyBorder="1" applyAlignment="1" applyProtection="1">
      <alignment horizontal="left" vertical="top" wrapText="1"/>
      <protection locked="0"/>
    </xf>
    <xf numFmtId="0" fontId="6" fillId="0" borderId="21" xfId="1" applyFont="1" applyBorder="1" applyAlignment="1" applyProtection="1">
      <alignment horizontal="left" vertical="top" wrapText="1"/>
      <protection locked="0"/>
    </xf>
    <xf numFmtId="0" fontId="12" fillId="0" borderId="25" xfId="1" applyFont="1" applyBorder="1" applyAlignment="1" applyProtection="1">
      <alignment horizontal="left" vertical="top" wrapText="1"/>
      <protection locked="0"/>
    </xf>
    <xf numFmtId="0" fontId="12" fillId="0" borderId="0" xfId="1" applyFont="1" applyAlignment="1" applyProtection="1">
      <alignment horizontal="left" vertical="top" wrapText="1"/>
      <protection locked="0"/>
    </xf>
    <xf numFmtId="0" fontId="12" fillId="0" borderId="19" xfId="1" applyFont="1" applyBorder="1" applyAlignment="1" applyProtection="1">
      <alignment horizontal="left" vertical="top" wrapText="1"/>
      <protection locked="0"/>
    </xf>
    <xf numFmtId="0" fontId="12" fillId="0" borderId="2" xfId="1" applyFont="1" applyBorder="1" applyAlignment="1" applyProtection="1">
      <alignment horizontal="left" vertical="top" wrapText="1"/>
      <protection locked="0"/>
    </xf>
    <xf numFmtId="0" fontId="8" fillId="0" borderId="8" xfId="1" applyFont="1" applyBorder="1" applyAlignment="1" applyProtection="1">
      <alignment horizontal="left" vertical="top" wrapText="1"/>
      <protection locked="0"/>
    </xf>
    <xf numFmtId="0" fontId="8" fillId="0" borderId="9" xfId="1" applyFont="1" applyBorder="1" applyAlignment="1" applyProtection="1">
      <alignment horizontal="left" vertical="top" wrapText="1"/>
      <protection locked="0"/>
    </xf>
    <xf numFmtId="0" fontId="8" fillId="0" borderId="21" xfId="1" applyFont="1" applyBorder="1" applyAlignment="1" applyProtection="1">
      <alignment horizontal="left" vertical="top" wrapText="1"/>
      <protection locked="0"/>
    </xf>
    <xf numFmtId="0" fontId="8" fillId="0" borderId="8" xfId="1" applyFont="1" applyBorder="1" applyAlignment="1" applyProtection="1">
      <alignment horizontal="left" vertical="top"/>
      <protection locked="0"/>
    </xf>
    <xf numFmtId="0" fontId="8" fillId="0" borderId="9" xfId="1" applyFont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vertical="top"/>
      <protection locked="0"/>
    </xf>
    <xf numFmtId="167" fontId="13" fillId="0" borderId="1" xfId="9" applyNumberFormat="1" applyFont="1" applyFill="1" applyBorder="1" applyAlignment="1" applyProtection="1">
      <alignment horizontal="left" vertical="top"/>
      <protection locked="0"/>
    </xf>
    <xf numFmtId="0" fontId="9" fillId="0" borderId="1" xfId="5" applyFont="1" applyBorder="1" applyAlignment="1">
      <alignment horizontal="left"/>
    </xf>
  </cellXfs>
  <cellStyles count="11">
    <cellStyle name="Comma" xfId="9" builtinId="3"/>
    <cellStyle name="Comma 2" xfId="6"/>
    <cellStyle name="Excel Built-in Normal" xfId="2"/>
    <cellStyle name="Excel Built-in Normal 2" xfId="4"/>
    <cellStyle name="Hyperlink" xfId="10" builtinId="8"/>
    <cellStyle name="Normal" xfId="0" builtinId="0"/>
    <cellStyle name="Normal 2" xfId="3"/>
    <cellStyle name="Normal 3" xfId="1"/>
    <cellStyle name="Normal 3 3" xfId="7"/>
    <cellStyle name="Normal 4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jpeg"/><Relationship Id="rId2" Type="http://schemas.openxmlformats.org/officeDocument/2006/relationships/image" Target="../media/image2.png"/><Relationship Id="rId16" Type="http://schemas.openxmlformats.org/officeDocument/2006/relationships/image" Target="../media/image16.jpe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jpeg"/><Relationship Id="rId10" Type="http://schemas.openxmlformats.org/officeDocument/2006/relationships/image" Target="../media/image10.png"/><Relationship Id="rId19" Type="http://schemas.openxmlformats.org/officeDocument/2006/relationships/image" Target="../media/image19.jpe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1.png"/><Relationship Id="rId1" Type="http://schemas.openxmlformats.org/officeDocument/2006/relationships/image" Target="../media/image2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129179</xdr:colOff>
      <xdr:row>289</xdr:row>
      <xdr:rowOff>141513</xdr:rowOff>
    </xdr:from>
    <xdr:to>
      <xdr:col>7</xdr:col>
      <xdr:colOff>64298</xdr:colOff>
      <xdr:row>307</xdr:row>
      <xdr:rowOff>141928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12950" y="50613127"/>
          <a:ext cx="4996977" cy="3527387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514349</xdr:colOff>
      <xdr:row>308</xdr:row>
      <xdr:rowOff>79947</xdr:rowOff>
    </xdr:from>
    <xdr:to>
      <xdr:col>7</xdr:col>
      <xdr:colOff>332013</xdr:colOff>
      <xdr:row>328</xdr:row>
      <xdr:rowOff>129826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14349" y="54274476"/>
          <a:ext cx="5663293" cy="3968737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3</xdr:col>
      <xdr:colOff>747031</xdr:colOff>
      <xdr:row>317</xdr:row>
      <xdr:rowOff>96610</xdr:rowOff>
    </xdr:from>
    <xdr:to>
      <xdr:col>4</xdr:col>
      <xdr:colOff>118381</xdr:colOff>
      <xdr:row>321</xdr:row>
      <xdr:rowOff>1359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 rot="1304687">
          <a:off x="3223531" y="56054624"/>
          <a:ext cx="340179" cy="688521"/>
        </a:xfrm>
        <a:prstGeom prst="rect">
          <a:avLst/>
        </a:prstGeom>
        <a:noFill/>
        <a:ln w="28575"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 editAs="oneCell">
    <xdr:from>
      <xdr:col>1</xdr:col>
      <xdr:colOff>425827</xdr:colOff>
      <xdr:row>249</xdr:row>
      <xdr:rowOff>0</xdr:rowOff>
    </xdr:from>
    <xdr:to>
      <xdr:col>6</xdr:col>
      <xdr:colOff>471449</xdr:colOff>
      <xdr:row>284</xdr:row>
      <xdr:rowOff>140295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243856" y="45888088"/>
          <a:ext cx="4516769" cy="720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10</xdr:col>
      <xdr:colOff>560566</xdr:colOff>
      <xdr:row>205</xdr:row>
      <xdr:rowOff>53340</xdr:rowOff>
    </xdr:from>
    <xdr:to>
      <xdr:col>11</xdr:col>
      <xdr:colOff>640334</xdr:colOff>
      <xdr:row>207</xdr:row>
      <xdr:rowOff>25769</xdr:rowOff>
    </xdr:to>
    <xdr:sp macro="" textlink="">
      <xdr:nvSpPr>
        <xdr:cNvPr id="27" name="TextBox 11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9239746" y="33985200"/>
          <a:ext cx="895108" cy="368669"/>
        </a:xfrm>
        <a:prstGeom prst="rect">
          <a:avLst/>
        </a:prstGeom>
        <a:noFill/>
        <a:ln>
          <a:noFill/>
        </a:ln>
      </xdr:spPr>
      <xdr:txBody>
        <a:bodyPr wrap="square" rtlCol="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100" b="1">
              <a:solidFill>
                <a:srgbClr val="FF0000"/>
              </a:solidFill>
            </a:rPr>
            <a:t>Wing A</a:t>
          </a:r>
          <a:endParaRPr lang="en-IN" sz="1100" b="1">
            <a:solidFill>
              <a:srgbClr val="FF0000"/>
            </a:solidFill>
          </a:endParaRPr>
        </a:p>
      </xdr:txBody>
    </xdr:sp>
    <xdr:clientData/>
  </xdr:twoCellAnchor>
  <xdr:twoCellAnchor>
    <xdr:from>
      <xdr:col>11</xdr:col>
      <xdr:colOff>450151</xdr:colOff>
      <xdr:row>207</xdr:row>
      <xdr:rowOff>60124</xdr:rowOff>
    </xdr:from>
    <xdr:to>
      <xdr:col>12</xdr:col>
      <xdr:colOff>616048</xdr:colOff>
      <xdr:row>209</xdr:row>
      <xdr:rowOff>40173</xdr:rowOff>
    </xdr:to>
    <xdr:sp macro="" textlink="">
      <xdr:nvSpPr>
        <xdr:cNvPr id="28" name="TextBox 12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9944671" y="34388224"/>
          <a:ext cx="889797" cy="368669"/>
        </a:xfrm>
        <a:prstGeom prst="rect">
          <a:avLst/>
        </a:prstGeom>
        <a:noFill/>
        <a:ln>
          <a:noFill/>
        </a:ln>
      </xdr:spPr>
      <xdr:txBody>
        <a:bodyPr wrap="square" rtlCol="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100" b="1">
              <a:solidFill>
                <a:srgbClr val="FF0000"/>
              </a:solidFill>
            </a:rPr>
            <a:t>Wing B</a:t>
          </a:r>
          <a:endParaRPr lang="en-IN" sz="1100" b="1">
            <a:solidFill>
              <a:srgbClr val="FF0000"/>
            </a:solidFill>
          </a:endParaRPr>
        </a:p>
      </xdr:txBody>
    </xdr:sp>
    <xdr:clientData/>
  </xdr:twoCellAnchor>
  <xdr:twoCellAnchor>
    <xdr:from>
      <xdr:col>9</xdr:col>
      <xdr:colOff>439965</xdr:colOff>
      <xdr:row>205</xdr:row>
      <xdr:rowOff>97064</xdr:rowOff>
    </xdr:from>
    <xdr:to>
      <xdr:col>18</xdr:col>
      <xdr:colOff>33964</xdr:colOff>
      <xdr:row>245</xdr:row>
      <xdr:rowOff>119722</xdr:rowOff>
    </xdr:to>
    <xdr:grpSp>
      <xdr:nvGrpSpPr>
        <xdr:cNvPr id="6" name="Group 5"/>
        <xdr:cNvGrpSpPr/>
      </xdr:nvGrpSpPr>
      <xdr:grpSpPr>
        <a:xfrm>
          <a:off x="8126640" y="34139414"/>
          <a:ext cx="6137674" cy="8014133"/>
          <a:chOff x="222250" y="33680400"/>
          <a:chExt cx="6440206" cy="7890308"/>
        </a:xfrm>
      </xdr:grpSpPr>
      <xdr:pic>
        <xdr:nvPicPr>
          <xdr:cNvPr id="17" name="Picture 16"/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471215" y="39410708"/>
            <a:ext cx="1624519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8" name="Picture 17"/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22250" y="33680400"/>
            <a:ext cx="2057724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9" name="Picture 18"/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604732" y="33680400"/>
            <a:ext cx="2057724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0" name="Picture 19"/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22250" y="36545554"/>
            <a:ext cx="2057724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3" name="Picture 22"/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604732" y="36545554"/>
            <a:ext cx="2057724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4" name="Picture 23"/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413491" y="33680400"/>
            <a:ext cx="2057724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5" name="Picture 24"/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55143" y="39410708"/>
            <a:ext cx="1624519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6" name="Picture 25"/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413491" y="36545554"/>
            <a:ext cx="2057724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6" name="Picture 35"/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713179" y="39410708"/>
            <a:ext cx="1624519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</xdr:grpSp>
    <xdr:clientData/>
  </xdr:twoCellAnchor>
  <xdr:twoCellAnchor>
    <xdr:from>
      <xdr:col>0</xdr:col>
      <xdr:colOff>247649</xdr:colOff>
      <xdr:row>205</xdr:row>
      <xdr:rowOff>85725</xdr:rowOff>
    </xdr:from>
    <xdr:to>
      <xdr:col>7</xdr:col>
      <xdr:colOff>657224</xdr:colOff>
      <xdr:row>243</xdr:row>
      <xdr:rowOff>57150</xdr:rowOff>
    </xdr:to>
    <xdr:grpSp>
      <xdr:nvGrpSpPr>
        <xdr:cNvPr id="21" name="Group 20"/>
        <xdr:cNvGrpSpPr/>
      </xdr:nvGrpSpPr>
      <xdr:grpSpPr>
        <a:xfrm>
          <a:off x="247649" y="34128075"/>
          <a:ext cx="6105525" cy="7562850"/>
          <a:chOff x="226670" y="949314"/>
          <a:chExt cx="5860392" cy="7280286"/>
        </a:xfrm>
      </xdr:grpSpPr>
      <xdr:pic>
        <xdr:nvPicPr>
          <xdr:cNvPr id="22" name="Picture 21" descr="https://vsjcllp.vsjadon.com/upload/insp-246874-1525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698609" y="6383479"/>
            <a:ext cx="1388453" cy="1846121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9" name="Picture 28" descr="https://vsjcllp.vsjadon.com/upload/insp-246874-843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26670" y="949314"/>
            <a:ext cx="4033150" cy="5362575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0" name="Picture 29" descr="https://vsjcllp.vsjadon.com/upload/insp-246874-845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431506" y="949314"/>
            <a:ext cx="1655555" cy="2578818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1" name="Picture 30" descr="https://vsjcllp.vsjadon.com/upload/insp-246874-849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750440" y="6383479"/>
            <a:ext cx="1388453" cy="1846121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2" name="Picture 31" descr="https://vsjcllp.vsjadon.com/upload/insp-246874-874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76765" y="6383479"/>
            <a:ext cx="1388453" cy="1846121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3" name="Picture 32" descr="https://vsjcllp.vsjadon.com/upload/insp-246874-883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431507" y="3733071"/>
            <a:ext cx="1655555" cy="2578818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4" name="Picture 33" descr="https://vsjcllp.vsjadon.com/upload/insp-246874-931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224618" y="6383479"/>
            <a:ext cx="1388453" cy="1846121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vnkaEoF8WSN6tnXi7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289"/>
  <sheetViews>
    <sheetView tabSelected="1" view="pageBreakPreview" zoomScaleNormal="100" zoomScaleSheetLayoutView="100" zoomScalePageLayoutView="85" workbookViewId="0">
      <selection activeCell="A12" sqref="A12:D12"/>
    </sheetView>
  </sheetViews>
  <sheetFormatPr defaultColWidth="9.140625" defaultRowHeight="15.75" x14ac:dyDescent="0.25"/>
  <cols>
    <col min="1" max="1" width="11.42578125" style="41" customWidth="1"/>
    <col min="2" max="2" width="12" style="41" customWidth="1"/>
    <col min="3" max="3" width="12.7109375" style="41" customWidth="1"/>
    <col min="4" max="4" width="14.140625" style="41" customWidth="1"/>
    <col min="5" max="7" width="11.7109375" style="41" customWidth="1"/>
    <col min="8" max="8" width="12.42578125" style="41" customWidth="1"/>
    <col min="9" max="9" width="17.42578125" style="22" customWidth="1"/>
    <col min="10" max="10" width="11.42578125" style="22" customWidth="1"/>
    <col min="11" max="11" width="11.85546875" style="22" bestFit="1" customWidth="1"/>
    <col min="12" max="12" width="10.5703125" style="22" customWidth="1"/>
    <col min="13" max="13" width="11.85546875" style="22" customWidth="1"/>
    <col min="14" max="14" width="12.5703125" style="22" customWidth="1"/>
    <col min="15" max="15" width="9.85546875" style="22" customWidth="1"/>
    <col min="16" max="16" width="11.7109375" style="22" customWidth="1"/>
    <col min="17" max="247" width="9.140625" style="22"/>
    <col min="248" max="248" width="8.7109375" style="22" customWidth="1"/>
    <col min="249" max="249" width="9.85546875" style="22" customWidth="1"/>
    <col min="250" max="250" width="14.42578125" style="22" customWidth="1"/>
    <col min="251" max="251" width="7.28515625" style="22" customWidth="1"/>
    <col min="252" max="252" width="5.5703125" style="22" customWidth="1"/>
    <col min="253" max="253" width="9" style="22" customWidth="1"/>
    <col min="254" max="255" width="9.85546875" style="22" customWidth="1"/>
    <col min="256" max="256" width="11.140625" style="22" customWidth="1"/>
    <col min="257" max="257" width="2.85546875" style="22" customWidth="1"/>
    <col min="258" max="258" width="3.5703125" style="22" customWidth="1"/>
    <col min="259" max="503" width="9.140625" style="22"/>
    <col min="504" max="504" width="8.7109375" style="22" customWidth="1"/>
    <col min="505" max="505" width="9.85546875" style="22" customWidth="1"/>
    <col min="506" max="506" width="14.42578125" style="22" customWidth="1"/>
    <col min="507" max="507" width="7.28515625" style="22" customWidth="1"/>
    <col min="508" max="508" width="5.5703125" style="22" customWidth="1"/>
    <col min="509" max="509" width="9" style="22" customWidth="1"/>
    <col min="510" max="511" width="9.85546875" style="22" customWidth="1"/>
    <col min="512" max="512" width="11.140625" style="22" customWidth="1"/>
    <col min="513" max="513" width="2.85546875" style="22" customWidth="1"/>
    <col min="514" max="514" width="3.5703125" style="22" customWidth="1"/>
    <col min="515" max="759" width="9.140625" style="22"/>
    <col min="760" max="760" width="8.7109375" style="22" customWidth="1"/>
    <col min="761" max="761" width="9.85546875" style="22" customWidth="1"/>
    <col min="762" max="762" width="14.42578125" style="22" customWidth="1"/>
    <col min="763" max="763" width="7.28515625" style="22" customWidth="1"/>
    <col min="764" max="764" width="5.5703125" style="22" customWidth="1"/>
    <col min="765" max="765" width="9" style="22" customWidth="1"/>
    <col min="766" max="767" width="9.85546875" style="22" customWidth="1"/>
    <col min="768" max="768" width="11.140625" style="22" customWidth="1"/>
    <col min="769" max="769" width="2.85546875" style="22" customWidth="1"/>
    <col min="770" max="770" width="3.5703125" style="22" customWidth="1"/>
    <col min="771" max="1015" width="9.140625" style="22"/>
    <col min="1016" max="1016" width="8.7109375" style="22" customWidth="1"/>
    <col min="1017" max="1017" width="9.85546875" style="22" customWidth="1"/>
    <col min="1018" max="1018" width="14.42578125" style="22" customWidth="1"/>
    <col min="1019" max="1019" width="7.28515625" style="22" customWidth="1"/>
    <col min="1020" max="1020" width="5.5703125" style="22" customWidth="1"/>
    <col min="1021" max="1021" width="9" style="22" customWidth="1"/>
    <col min="1022" max="1023" width="9.85546875" style="22" customWidth="1"/>
    <col min="1024" max="1024" width="11.140625" style="22" customWidth="1"/>
    <col min="1025" max="1025" width="2.85546875" style="22" customWidth="1"/>
    <col min="1026" max="1026" width="3.5703125" style="22" customWidth="1"/>
    <col min="1027" max="1271" width="9.140625" style="22"/>
    <col min="1272" max="1272" width="8.7109375" style="22" customWidth="1"/>
    <col min="1273" max="1273" width="9.85546875" style="22" customWidth="1"/>
    <col min="1274" max="1274" width="14.42578125" style="22" customWidth="1"/>
    <col min="1275" max="1275" width="7.28515625" style="22" customWidth="1"/>
    <col min="1276" max="1276" width="5.5703125" style="22" customWidth="1"/>
    <col min="1277" max="1277" width="9" style="22" customWidth="1"/>
    <col min="1278" max="1279" width="9.85546875" style="22" customWidth="1"/>
    <col min="1280" max="1280" width="11.140625" style="22" customWidth="1"/>
    <col min="1281" max="1281" width="2.85546875" style="22" customWidth="1"/>
    <col min="1282" max="1282" width="3.5703125" style="22" customWidth="1"/>
    <col min="1283" max="1527" width="9.140625" style="22"/>
    <col min="1528" max="1528" width="8.7109375" style="22" customWidth="1"/>
    <col min="1529" max="1529" width="9.85546875" style="22" customWidth="1"/>
    <col min="1530" max="1530" width="14.42578125" style="22" customWidth="1"/>
    <col min="1531" max="1531" width="7.28515625" style="22" customWidth="1"/>
    <col min="1532" max="1532" width="5.5703125" style="22" customWidth="1"/>
    <col min="1533" max="1533" width="9" style="22" customWidth="1"/>
    <col min="1534" max="1535" width="9.85546875" style="22" customWidth="1"/>
    <col min="1536" max="1536" width="11.140625" style="22" customWidth="1"/>
    <col min="1537" max="1537" width="2.85546875" style="22" customWidth="1"/>
    <col min="1538" max="1538" width="3.5703125" style="22" customWidth="1"/>
    <col min="1539" max="1783" width="9.140625" style="22"/>
    <col min="1784" max="1784" width="8.7109375" style="22" customWidth="1"/>
    <col min="1785" max="1785" width="9.85546875" style="22" customWidth="1"/>
    <col min="1786" max="1786" width="14.42578125" style="22" customWidth="1"/>
    <col min="1787" max="1787" width="7.28515625" style="22" customWidth="1"/>
    <col min="1788" max="1788" width="5.5703125" style="22" customWidth="1"/>
    <col min="1789" max="1789" width="9" style="22" customWidth="1"/>
    <col min="1790" max="1791" width="9.85546875" style="22" customWidth="1"/>
    <col min="1792" max="1792" width="11.140625" style="22" customWidth="1"/>
    <col min="1793" max="1793" width="2.85546875" style="22" customWidth="1"/>
    <col min="1794" max="1794" width="3.5703125" style="22" customWidth="1"/>
    <col min="1795" max="2039" width="9.140625" style="22"/>
    <col min="2040" max="2040" width="8.7109375" style="22" customWidth="1"/>
    <col min="2041" max="2041" width="9.85546875" style="22" customWidth="1"/>
    <col min="2042" max="2042" width="14.42578125" style="22" customWidth="1"/>
    <col min="2043" max="2043" width="7.28515625" style="22" customWidth="1"/>
    <col min="2044" max="2044" width="5.5703125" style="22" customWidth="1"/>
    <col min="2045" max="2045" width="9" style="22" customWidth="1"/>
    <col min="2046" max="2047" width="9.85546875" style="22" customWidth="1"/>
    <col min="2048" max="2048" width="11.140625" style="22" customWidth="1"/>
    <col min="2049" max="2049" width="2.85546875" style="22" customWidth="1"/>
    <col min="2050" max="2050" width="3.5703125" style="22" customWidth="1"/>
    <col min="2051" max="2295" width="9.140625" style="22"/>
    <col min="2296" max="2296" width="8.7109375" style="22" customWidth="1"/>
    <col min="2297" max="2297" width="9.85546875" style="22" customWidth="1"/>
    <col min="2298" max="2298" width="14.42578125" style="22" customWidth="1"/>
    <col min="2299" max="2299" width="7.28515625" style="22" customWidth="1"/>
    <col min="2300" max="2300" width="5.5703125" style="22" customWidth="1"/>
    <col min="2301" max="2301" width="9" style="22" customWidth="1"/>
    <col min="2302" max="2303" width="9.85546875" style="22" customWidth="1"/>
    <col min="2304" max="2304" width="11.140625" style="22" customWidth="1"/>
    <col min="2305" max="2305" width="2.85546875" style="22" customWidth="1"/>
    <col min="2306" max="2306" width="3.5703125" style="22" customWidth="1"/>
    <col min="2307" max="2551" width="9.140625" style="22"/>
    <col min="2552" max="2552" width="8.7109375" style="22" customWidth="1"/>
    <col min="2553" max="2553" width="9.85546875" style="22" customWidth="1"/>
    <col min="2554" max="2554" width="14.42578125" style="22" customWidth="1"/>
    <col min="2555" max="2555" width="7.28515625" style="22" customWidth="1"/>
    <col min="2556" max="2556" width="5.5703125" style="22" customWidth="1"/>
    <col min="2557" max="2557" width="9" style="22" customWidth="1"/>
    <col min="2558" max="2559" width="9.85546875" style="22" customWidth="1"/>
    <col min="2560" max="2560" width="11.140625" style="22" customWidth="1"/>
    <col min="2561" max="2561" width="2.85546875" style="22" customWidth="1"/>
    <col min="2562" max="2562" width="3.5703125" style="22" customWidth="1"/>
    <col min="2563" max="2807" width="9.140625" style="22"/>
    <col min="2808" max="2808" width="8.7109375" style="22" customWidth="1"/>
    <col min="2809" max="2809" width="9.85546875" style="22" customWidth="1"/>
    <col min="2810" max="2810" width="14.42578125" style="22" customWidth="1"/>
    <col min="2811" max="2811" width="7.28515625" style="22" customWidth="1"/>
    <col min="2812" max="2812" width="5.5703125" style="22" customWidth="1"/>
    <col min="2813" max="2813" width="9" style="22" customWidth="1"/>
    <col min="2814" max="2815" width="9.85546875" style="22" customWidth="1"/>
    <col min="2816" max="2816" width="11.140625" style="22" customWidth="1"/>
    <col min="2817" max="2817" width="2.85546875" style="22" customWidth="1"/>
    <col min="2818" max="2818" width="3.5703125" style="22" customWidth="1"/>
    <col min="2819" max="3063" width="9.140625" style="22"/>
    <col min="3064" max="3064" width="8.7109375" style="22" customWidth="1"/>
    <col min="3065" max="3065" width="9.85546875" style="22" customWidth="1"/>
    <col min="3066" max="3066" width="14.42578125" style="22" customWidth="1"/>
    <col min="3067" max="3067" width="7.28515625" style="22" customWidth="1"/>
    <col min="3068" max="3068" width="5.5703125" style="22" customWidth="1"/>
    <col min="3069" max="3069" width="9" style="22" customWidth="1"/>
    <col min="3070" max="3071" width="9.85546875" style="22" customWidth="1"/>
    <col min="3072" max="3072" width="11.140625" style="22" customWidth="1"/>
    <col min="3073" max="3073" width="2.85546875" style="22" customWidth="1"/>
    <col min="3074" max="3074" width="3.5703125" style="22" customWidth="1"/>
    <col min="3075" max="3319" width="9.140625" style="22"/>
    <col min="3320" max="3320" width="8.7109375" style="22" customWidth="1"/>
    <col min="3321" max="3321" width="9.85546875" style="22" customWidth="1"/>
    <col min="3322" max="3322" width="14.42578125" style="22" customWidth="1"/>
    <col min="3323" max="3323" width="7.28515625" style="22" customWidth="1"/>
    <col min="3324" max="3324" width="5.5703125" style="22" customWidth="1"/>
    <col min="3325" max="3325" width="9" style="22" customWidth="1"/>
    <col min="3326" max="3327" width="9.85546875" style="22" customWidth="1"/>
    <col min="3328" max="3328" width="11.140625" style="22" customWidth="1"/>
    <col min="3329" max="3329" width="2.85546875" style="22" customWidth="1"/>
    <col min="3330" max="3330" width="3.5703125" style="22" customWidth="1"/>
    <col min="3331" max="3575" width="9.140625" style="22"/>
    <col min="3576" max="3576" width="8.7109375" style="22" customWidth="1"/>
    <col min="3577" max="3577" width="9.85546875" style="22" customWidth="1"/>
    <col min="3578" max="3578" width="14.42578125" style="22" customWidth="1"/>
    <col min="3579" max="3579" width="7.28515625" style="22" customWidth="1"/>
    <col min="3580" max="3580" width="5.5703125" style="22" customWidth="1"/>
    <col min="3581" max="3581" width="9" style="22" customWidth="1"/>
    <col min="3582" max="3583" width="9.85546875" style="22" customWidth="1"/>
    <col min="3584" max="3584" width="11.140625" style="22" customWidth="1"/>
    <col min="3585" max="3585" width="2.85546875" style="22" customWidth="1"/>
    <col min="3586" max="3586" width="3.5703125" style="22" customWidth="1"/>
    <col min="3587" max="3831" width="9.140625" style="22"/>
    <col min="3832" max="3832" width="8.7109375" style="22" customWidth="1"/>
    <col min="3833" max="3833" width="9.85546875" style="22" customWidth="1"/>
    <col min="3834" max="3834" width="14.42578125" style="22" customWidth="1"/>
    <col min="3835" max="3835" width="7.28515625" style="22" customWidth="1"/>
    <col min="3836" max="3836" width="5.5703125" style="22" customWidth="1"/>
    <col min="3837" max="3837" width="9" style="22" customWidth="1"/>
    <col min="3838" max="3839" width="9.85546875" style="22" customWidth="1"/>
    <col min="3840" max="3840" width="11.140625" style="22" customWidth="1"/>
    <col min="3841" max="3841" width="2.85546875" style="22" customWidth="1"/>
    <col min="3842" max="3842" width="3.5703125" style="22" customWidth="1"/>
    <col min="3843" max="4087" width="9.140625" style="22"/>
    <col min="4088" max="4088" width="8.7109375" style="22" customWidth="1"/>
    <col min="4089" max="4089" width="9.85546875" style="22" customWidth="1"/>
    <col min="4090" max="4090" width="14.42578125" style="22" customWidth="1"/>
    <col min="4091" max="4091" width="7.28515625" style="22" customWidth="1"/>
    <col min="4092" max="4092" width="5.5703125" style="22" customWidth="1"/>
    <col min="4093" max="4093" width="9" style="22" customWidth="1"/>
    <col min="4094" max="4095" width="9.85546875" style="22" customWidth="1"/>
    <col min="4096" max="4096" width="11.140625" style="22" customWidth="1"/>
    <col min="4097" max="4097" width="2.85546875" style="22" customWidth="1"/>
    <col min="4098" max="4098" width="3.5703125" style="22" customWidth="1"/>
    <col min="4099" max="4343" width="9.140625" style="22"/>
    <col min="4344" max="4344" width="8.7109375" style="22" customWidth="1"/>
    <col min="4345" max="4345" width="9.85546875" style="22" customWidth="1"/>
    <col min="4346" max="4346" width="14.42578125" style="22" customWidth="1"/>
    <col min="4347" max="4347" width="7.28515625" style="22" customWidth="1"/>
    <col min="4348" max="4348" width="5.5703125" style="22" customWidth="1"/>
    <col min="4349" max="4349" width="9" style="22" customWidth="1"/>
    <col min="4350" max="4351" width="9.85546875" style="22" customWidth="1"/>
    <col min="4352" max="4352" width="11.140625" style="22" customWidth="1"/>
    <col min="4353" max="4353" width="2.85546875" style="22" customWidth="1"/>
    <col min="4354" max="4354" width="3.5703125" style="22" customWidth="1"/>
    <col min="4355" max="4599" width="9.140625" style="22"/>
    <col min="4600" max="4600" width="8.7109375" style="22" customWidth="1"/>
    <col min="4601" max="4601" width="9.85546875" style="22" customWidth="1"/>
    <col min="4602" max="4602" width="14.42578125" style="22" customWidth="1"/>
    <col min="4603" max="4603" width="7.28515625" style="22" customWidth="1"/>
    <col min="4604" max="4604" width="5.5703125" style="22" customWidth="1"/>
    <col min="4605" max="4605" width="9" style="22" customWidth="1"/>
    <col min="4606" max="4607" width="9.85546875" style="22" customWidth="1"/>
    <col min="4608" max="4608" width="11.140625" style="22" customWidth="1"/>
    <col min="4609" max="4609" width="2.85546875" style="22" customWidth="1"/>
    <col min="4610" max="4610" width="3.5703125" style="22" customWidth="1"/>
    <col min="4611" max="4855" width="9.140625" style="22"/>
    <col min="4856" max="4856" width="8.7109375" style="22" customWidth="1"/>
    <col min="4857" max="4857" width="9.85546875" style="22" customWidth="1"/>
    <col min="4858" max="4858" width="14.42578125" style="22" customWidth="1"/>
    <col min="4859" max="4859" width="7.28515625" style="22" customWidth="1"/>
    <col min="4860" max="4860" width="5.5703125" style="22" customWidth="1"/>
    <col min="4861" max="4861" width="9" style="22" customWidth="1"/>
    <col min="4862" max="4863" width="9.85546875" style="22" customWidth="1"/>
    <col min="4864" max="4864" width="11.140625" style="22" customWidth="1"/>
    <col min="4865" max="4865" width="2.85546875" style="22" customWidth="1"/>
    <col min="4866" max="4866" width="3.5703125" style="22" customWidth="1"/>
    <col min="4867" max="5111" width="9.140625" style="22"/>
    <col min="5112" max="5112" width="8.7109375" style="22" customWidth="1"/>
    <col min="5113" max="5113" width="9.85546875" style="22" customWidth="1"/>
    <col min="5114" max="5114" width="14.42578125" style="22" customWidth="1"/>
    <col min="5115" max="5115" width="7.28515625" style="22" customWidth="1"/>
    <col min="5116" max="5116" width="5.5703125" style="22" customWidth="1"/>
    <col min="5117" max="5117" width="9" style="22" customWidth="1"/>
    <col min="5118" max="5119" width="9.85546875" style="22" customWidth="1"/>
    <col min="5120" max="5120" width="11.140625" style="22" customWidth="1"/>
    <col min="5121" max="5121" width="2.85546875" style="22" customWidth="1"/>
    <col min="5122" max="5122" width="3.5703125" style="22" customWidth="1"/>
    <col min="5123" max="5367" width="9.140625" style="22"/>
    <col min="5368" max="5368" width="8.7109375" style="22" customWidth="1"/>
    <col min="5369" max="5369" width="9.85546875" style="22" customWidth="1"/>
    <col min="5370" max="5370" width="14.42578125" style="22" customWidth="1"/>
    <col min="5371" max="5371" width="7.28515625" style="22" customWidth="1"/>
    <col min="5372" max="5372" width="5.5703125" style="22" customWidth="1"/>
    <col min="5373" max="5373" width="9" style="22" customWidth="1"/>
    <col min="5374" max="5375" width="9.85546875" style="22" customWidth="1"/>
    <col min="5376" max="5376" width="11.140625" style="22" customWidth="1"/>
    <col min="5377" max="5377" width="2.85546875" style="22" customWidth="1"/>
    <col min="5378" max="5378" width="3.5703125" style="22" customWidth="1"/>
    <col min="5379" max="5623" width="9.140625" style="22"/>
    <col min="5624" max="5624" width="8.7109375" style="22" customWidth="1"/>
    <col min="5625" max="5625" width="9.85546875" style="22" customWidth="1"/>
    <col min="5626" max="5626" width="14.42578125" style="22" customWidth="1"/>
    <col min="5627" max="5627" width="7.28515625" style="22" customWidth="1"/>
    <col min="5628" max="5628" width="5.5703125" style="22" customWidth="1"/>
    <col min="5629" max="5629" width="9" style="22" customWidth="1"/>
    <col min="5630" max="5631" width="9.85546875" style="22" customWidth="1"/>
    <col min="5632" max="5632" width="11.140625" style="22" customWidth="1"/>
    <col min="5633" max="5633" width="2.85546875" style="22" customWidth="1"/>
    <col min="5634" max="5634" width="3.5703125" style="22" customWidth="1"/>
    <col min="5635" max="5879" width="9.140625" style="22"/>
    <col min="5880" max="5880" width="8.7109375" style="22" customWidth="1"/>
    <col min="5881" max="5881" width="9.85546875" style="22" customWidth="1"/>
    <col min="5882" max="5882" width="14.42578125" style="22" customWidth="1"/>
    <col min="5883" max="5883" width="7.28515625" style="22" customWidth="1"/>
    <col min="5884" max="5884" width="5.5703125" style="22" customWidth="1"/>
    <col min="5885" max="5885" width="9" style="22" customWidth="1"/>
    <col min="5886" max="5887" width="9.85546875" style="22" customWidth="1"/>
    <col min="5888" max="5888" width="11.140625" style="22" customWidth="1"/>
    <col min="5889" max="5889" width="2.85546875" style="22" customWidth="1"/>
    <col min="5890" max="5890" width="3.5703125" style="22" customWidth="1"/>
    <col min="5891" max="6135" width="9.140625" style="22"/>
    <col min="6136" max="6136" width="8.7109375" style="22" customWidth="1"/>
    <col min="6137" max="6137" width="9.85546875" style="22" customWidth="1"/>
    <col min="6138" max="6138" width="14.42578125" style="22" customWidth="1"/>
    <col min="6139" max="6139" width="7.28515625" style="22" customWidth="1"/>
    <col min="6140" max="6140" width="5.5703125" style="22" customWidth="1"/>
    <col min="6141" max="6141" width="9" style="22" customWidth="1"/>
    <col min="6142" max="6143" width="9.85546875" style="22" customWidth="1"/>
    <col min="6144" max="6144" width="11.140625" style="22" customWidth="1"/>
    <col min="6145" max="6145" width="2.85546875" style="22" customWidth="1"/>
    <col min="6146" max="6146" width="3.5703125" style="22" customWidth="1"/>
    <col min="6147" max="6391" width="9.140625" style="22"/>
    <col min="6392" max="6392" width="8.7109375" style="22" customWidth="1"/>
    <col min="6393" max="6393" width="9.85546875" style="22" customWidth="1"/>
    <col min="6394" max="6394" width="14.42578125" style="22" customWidth="1"/>
    <col min="6395" max="6395" width="7.28515625" style="22" customWidth="1"/>
    <col min="6396" max="6396" width="5.5703125" style="22" customWidth="1"/>
    <col min="6397" max="6397" width="9" style="22" customWidth="1"/>
    <col min="6398" max="6399" width="9.85546875" style="22" customWidth="1"/>
    <col min="6400" max="6400" width="11.140625" style="22" customWidth="1"/>
    <col min="6401" max="6401" width="2.85546875" style="22" customWidth="1"/>
    <col min="6402" max="6402" width="3.5703125" style="22" customWidth="1"/>
    <col min="6403" max="6647" width="9.140625" style="22"/>
    <col min="6648" max="6648" width="8.7109375" style="22" customWidth="1"/>
    <col min="6649" max="6649" width="9.85546875" style="22" customWidth="1"/>
    <col min="6650" max="6650" width="14.42578125" style="22" customWidth="1"/>
    <col min="6651" max="6651" width="7.28515625" style="22" customWidth="1"/>
    <col min="6652" max="6652" width="5.5703125" style="22" customWidth="1"/>
    <col min="6653" max="6653" width="9" style="22" customWidth="1"/>
    <col min="6654" max="6655" width="9.85546875" style="22" customWidth="1"/>
    <col min="6656" max="6656" width="11.140625" style="22" customWidth="1"/>
    <col min="6657" max="6657" width="2.85546875" style="22" customWidth="1"/>
    <col min="6658" max="6658" width="3.5703125" style="22" customWidth="1"/>
    <col min="6659" max="6903" width="9.140625" style="22"/>
    <col min="6904" max="6904" width="8.7109375" style="22" customWidth="1"/>
    <col min="6905" max="6905" width="9.85546875" style="22" customWidth="1"/>
    <col min="6906" max="6906" width="14.42578125" style="22" customWidth="1"/>
    <col min="6907" max="6907" width="7.28515625" style="22" customWidth="1"/>
    <col min="6908" max="6908" width="5.5703125" style="22" customWidth="1"/>
    <col min="6909" max="6909" width="9" style="22" customWidth="1"/>
    <col min="6910" max="6911" width="9.85546875" style="22" customWidth="1"/>
    <col min="6912" max="6912" width="11.140625" style="22" customWidth="1"/>
    <col min="6913" max="6913" width="2.85546875" style="22" customWidth="1"/>
    <col min="6914" max="6914" width="3.5703125" style="22" customWidth="1"/>
    <col min="6915" max="7159" width="9.140625" style="22"/>
    <col min="7160" max="7160" width="8.7109375" style="22" customWidth="1"/>
    <col min="7161" max="7161" width="9.85546875" style="22" customWidth="1"/>
    <col min="7162" max="7162" width="14.42578125" style="22" customWidth="1"/>
    <col min="7163" max="7163" width="7.28515625" style="22" customWidth="1"/>
    <col min="7164" max="7164" width="5.5703125" style="22" customWidth="1"/>
    <col min="7165" max="7165" width="9" style="22" customWidth="1"/>
    <col min="7166" max="7167" width="9.85546875" style="22" customWidth="1"/>
    <col min="7168" max="7168" width="11.140625" style="22" customWidth="1"/>
    <col min="7169" max="7169" width="2.85546875" style="22" customWidth="1"/>
    <col min="7170" max="7170" width="3.5703125" style="22" customWidth="1"/>
    <col min="7171" max="7415" width="9.140625" style="22"/>
    <col min="7416" max="7416" width="8.7109375" style="22" customWidth="1"/>
    <col min="7417" max="7417" width="9.85546875" style="22" customWidth="1"/>
    <col min="7418" max="7418" width="14.42578125" style="22" customWidth="1"/>
    <col min="7419" max="7419" width="7.28515625" style="22" customWidth="1"/>
    <col min="7420" max="7420" width="5.5703125" style="22" customWidth="1"/>
    <col min="7421" max="7421" width="9" style="22" customWidth="1"/>
    <col min="7422" max="7423" width="9.85546875" style="22" customWidth="1"/>
    <col min="7424" max="7424" width="11.140625" style="22" customWidth="1"/>
    <col min="7425" max="7425" width="2.85546875" style="22" customWidth="1"/>
    <col min="7426" max="7426" width="3.5703125" style="22" customWidth="1"/>
    <col min="7427" max="7671" width="9.140625" style="22"/>
    <col min="7672" max="7672" width="8.7109375" style="22" customWidth="1"/>
    <col min="7673" max="7673" width="9.85546875" style="22" customWidth="1"/>
    <col min="7674" max="7674" width="14.42578125" style="22" customWidth="1"/>
    <col min="7675" max="7675" width="7.28515625" style="22" customWidth="1"/>
    <col min="7676" max="7676" width="5.5703125" style="22" customWidth="1"/>
    <col min="7677" max="7677" width="9" style="22" customWidth="1"/>
    <col min="7678" max="7679" width="9.85546875" style="22" customWidth="1"/>
    <col min="7680" max="7680" width="11.140625" style="22" customWidth="1"/>
    <col min="7681" max="7681" width="2.85546875" style="22" customWidth="1"/>
    <col min="7682" max="7682" width="3.5703125" style="22" customWidth="1"/>
    <col min="7683" max="7927" width="9.140625" style="22"/>
    <col min="7928" max="7928" width="8.7109375" style="22" customWidth="1"/>
    <col min="7929" max="7929" width="9.85546875" style="22" customWidth="1"/>
    <col min="7930" max="7930" width="14.42578125" style="22" customWidth="1"/>
    <col min="7931" max="7931" width="7.28515625" style="22" customWidth="1"/>
    <col min="7932" max="7932" width="5.5703125" style="22" customWidth="1"/>
    <col min="7933" max="7933" width="9" style="22" customWidth="1"/>
    <col min="7934" max="7935" width="9.85546875" style="22" customWidth="1"/>
    <col min="7936" max="7936" width="11.140625" style="22" customWidth="1"/>
    <col min="7937" max="7937" width="2.85546875" style="22" customWidth="1"/>
    <col min="7938" max="7938" width="3.5703125" style="22" customWidth="1"/>
    <col min="7939" max="8183" width="9.140625" style="22"/>
    <col min="8184" max="8184" width="8.7109375" style="22" customWidth="1"/>
    <col min="8185" max="8185" width="9.85546875" style="22" customWidth="1"/>
    <col min="8186" max="8186" width="14.42578125" style="22" customWidth="1"/>
    <col min="8187" max="8187" width="7.28515625" style="22" customWidth="1"/>
    <col min="8188" max="8188" width="5.5703125" style="22" customWidth="1"/>
    <col min="8189" max="8189" width="9" style="22" customWidth="1"/>
    <col min="8190" max="8191" width="9.85546875" style="22" customWidth="1"/>
    <col min="8192" max="8192" width="11.140625" style="22" customWidth="1"/>
    <col min="8193" max="8193" width="2.85546875" style="22" customWidth="1"/>
    <col min="8194" max="8194" width="3.5703125" style="22" customWidth="1"/>
    <col min="8195" max="8439" width="9.140625" style="22"/>
    <col min="8440" max="8440" width="8.7109375" style="22" customWidth="1"/>
    <col min="8441" max="8441" width="9.85546875" style="22" customWidth="1"/>
    <col min="8442" max="8442" width="14.42578125" style="22" customWidth="1"/>
    <col min="8443" max="8443" width="7.28515625" style="22" customWidth="1"/>
    <col min="8444" max="8444" width="5.5703125" style="22" customWidth="1"/>
    <col min="8445" max="8445" width="9" style="22" customWidth="1"/>
    <col min="8446" max="8447" width="9.85546875" style="22" customWidth="1"/>
    <col min="8448" max="8448" width="11.140625" style="22" customWidth="1"/>
    <col min="8449" max="8449" width="2.85546875" style="22" customWidth="1"/>
    <col min="8450" max="8450" width="3.5703125" style="22" customWidth="1"/>
    <col min="8451" max="8695" width="9.140625" style="22"/>
    <col min="8696" max="8696" width="8.7109375" style="22" customWidth="1"/>
    <col min="8697" max="8697" width="9.85546875" style="22" customWidth="1"/>
    <col min="8698" max="8698" width="14.42578125" style="22" customWidth="1"/>
    <col min="8699" max="8699" width="7.28515625" style="22" customWidth="1"/>
    <col min="8700" max="8700" width="5.5703125" style="22" customWidth="1"/>
    <col min="8701" max="8701" width="9" style="22" customWidth="1"/>
    <col min="8702" max="8703" width="9.85546875" style="22" customWidth="1"/>
    <col min="8704" max="8704" width="11.140625" style="22" customWidth="1"/>
    <col min="8705" max="8705" width="2.85546875" style="22" customWidth="1"/>
    <col min="8706" max="8706" width="3.5703125" style="22" customWidth="1"/>
    <col min="8707" max="8951" width="9.140625" style="22"/>
    <col min="8952" max="8952" width="8.7109375" style="22" customWidth="1"/>
    <col min="8953" max="8953" width="9.85546875" style="22" customWidth="1"/>
    <col min="8954" max="8954" width="14.42578125" style="22" customWidth="1"/>
    <col min="8955" max="8955" width="7.28515625" style="22" customWidth="1"/>
    <col min="8956" max="8956" width="5.5703125" style="22" customWidth="1"/>
    <col min="8957" max="8957" width="9" style="22" customWidth="1"/>
    <col min="8958" max="8959" width="9.85546875" style="22" customWidth="1"/>
    <col min="8960" max="8960" width="11.140625" style="22" customWidth="1"/>
    <col min="8961" max="8961" width="2.85546875" style="22" customWidth="1"/>
    <col min="8962" max="8962" width="3.5703125" style="22" customWidth="1"/>
    <col min="8963" max="9207" width="9.140625" style="22"/>
    <col min="9208" max="9208" width="8.7109375" style="22" customWidth="1"/>
    <col min="9209" max="9209" width="9.85546875" style="22" customWidth="1"/>
    <col min="9210" max="9210" width="14.42578125" style="22" customWidth="1"/>
    <col min="9211" max="9211" width="7.28515625" style="22" customWidth="1"/>
    <col min="9212" max="9212" width="5.5703125" style="22" customWidth="1"/>
    <col min="9213" max="9213" width="9" style="22" customWidth="1"/>
    <col min="9214" max="9215" width="9.85546875" style="22" customWidth="1"/>
    <col min="9216" max="9216" width="11.140625" style="22" customWidth="1"/>
    <col min="9217" max="9217" width="2.85546875" style="22" customWidth="1"/>
    <col min="9218" max="9218" width="3.5703125" style="22" customWidth="1"/>
    <col min="9219" max="9463" width="9.140625" style="22"/>
    <col min="9464" max="9464" width="8.7109375" style="22" customWidth="1"/>
    <col min="9465" max="9465" width="9.85546875" style="22" customWidth="1"/>
    <col min="9466" max="9466" width="14.42578125" style="22" customWidth="1"/>
    <col min="9467" max="9467" width="7.28515625" style="22" customWidth="1"/>
    <col min="9468" max="9468" width="5.5703125" style="22" customWidth="1"/>
    <col min="9469" max="9469" width="9" style="22" customWidth="1"/>
    <col min="9470" max="9471" width="9.85546875" style="22" customWidth="1"/>
    <col min="9472" max="9472" width="11.140625" style="22" customWidth="1"/>
    <col min="9473" max="9473" width="2.85546875" style="22" customWidth="1"/>
    <col min="9474" max="9474" width="3.5703125" style="22" customWidth="1"/>
    <col min="9475" max="9719" width="9.140625" style="22"/>
    <col min="9720" max="9720" width="8.7109375" style="22" customWidth="1"/>
    <col min="9721" max="9721" width="9.85546875" style="22" customWidth="1"/>
    <col min="9722" max="9722" width="14.42578125" style="22" customWidth="1"/>
    <col min="9723" max="9723" width="7.28515625" style="22" customWidth="1"/>
    <col min="9724" max="9724" width="5.5703125" style="22" customWidth="1"/>
    <col min="9725" max="9725" width="9" style="22" customWidth="1"/>
    <col min="9726" max="9727" width="9.85546875" style="22" customWidth="1"/>
    <col min="9728" max="9728" width="11.140625" style="22" customWidth="1"/>
    <col min="9729" max="9729" width="2.85546875" style="22" customWidth="1"/>
    <col min="9730" max="9730" width="3.5703125" style="22" customWidth="1"/>
    <col min="9731" max="9975" width="9.140625" style="22"/>
    <col min="9976" max="9976" width="8.7109375" style="22" customWidth="1"/>
    <col min="9977" max="9977" width="9.85546875" style="22" customWidth="1"/>
    <col min="9978" max="9978" width="14.42578125" style="22" customWidth="1"/>
    <col min="9979" max="9979" width="7.28515625" style="22" customWidth="1"/>
    <col min="9980" max="9980" width="5.5703125" style="22" customWidth="1"/>
    <col min="9981" max="9981" width="9" style="22" customWidth="1"/>
    <col min="9982" max="9983" width="9.85546875" style="22" customWidth="1"/>
    <col min="9984" max="9984" width="11.140625" style="22" customWidth="1"/>
    <col min="9985" max="9985" width="2.85546875" style="22" customWidth="1"/>
    <col min="9986" max="9986" width="3.5703125" style="22" customWidth="1"/>
    <col min="9987" max="10231" width="9.140625" style="22"/>
    <col min="10232" max="10232" width="8.7109375" style="22" customWidth="1"/>
    <col min="10233" max="10233" width="9.85546875" style="22" customWidth="1"/>
    <col min="10234" max="10234" width="14.42578125" style="22" customWidth="1"/>
    <col min="10235" max="10235" width="7.28515625" style="22" customWidth="1"/>
    <col min="10236" max="10236" width="5.5703125" style="22" customWidth="1"/>
    <col min="10237" max="10237" width="9" style="22" customWidth="1"/>
    <col min="10238" max="10239" width="9.85546875" style="22" customWidth="1"/>
    <col min="10240" max="10240" width="11.140625" style="22" customWidth="1"/>
    <col min="10241" max="10241" width="2.85546875" style="22" customWidth="1"/>
    <col min="10242" max="10242" width="3.5703125" style="22" customWidth="1"/>
    <col min="10243" max="10487" width="9.140625" style="22"/>
    <col min="10488" max="10488" width="8.7109375" style="22" customWidth="1"/>
    <col min="10489" max="10489" width="9.85546875" style="22" customWidth="1"/>
    <col min="10490" max="10490" width="14.42578125" style="22" customWidth="1"/>
    <col min="10491" max="10491" width="7.28515625" style="22" customWidth="1"/>
    <col min="10492" max="10492" width="5.5703125" style="22" customWidth="1"/>
    <col min="10493" max="10493" width="9" style="22" customWidth="1"/>
    <col min="10494" max="10495" width="9.85546875" style="22" customWidth="1"/>
    <col min="10496" max="10496" width="11.140625" style="22" customWidth="1"/>
    <col min="10497" max="10497" width="2.85546875" style="22" customWidth="1"/>
    <col min="10498" max="10498" width="3.5703125" style="22" customWidth="1"/>
    <col min="10499" max="10743" width="9.140625" style="22"/>
    <col min="10744" max="10744" width="8.7109375" style="22" customWidth="1"/>
    <col min="10745" max="10745" width="9.85546875" style="22" customWidth="1"/>
    <col min="10746" max="10746" width="14.42578125" style="22" customWidth="1"/>
    <col min="10747" max="10747" width="7.28515625" style="22" customWidth="1"/>
    <col min="10748" max="10748" width="5.5703125" style="22" customWidth="1"/>
    <col min="10749" max="10749" width="9" style="22" customWidth="1"/>
    <col min="10750" max="10751" width="9.85546875" style="22" customWidth="1"/>
    <col min="10752" max="10752" width="11.140625" style="22" customWidth="1"/>
    <col min="10753" max="10753" width="2.85546875" style="22" customWidth="1"/>
    <col min="10754" max="10754" width="3.5703125" style="22" customWidth="1"/>
    <col min="10755" max="10999" width="9.140625" style="22"/>
    <col min="11000" max="11000" width="8.7109375" style="22" customWidth="1"/>
    <col min="11001" max="11001" width="9.85546875" style="22" customWidth="1"/>
    <col min="11002" max="11002" width="14.42578125" style="22" customWidth="1"/>
    <col min="11003" max="11003" width="7.28515625" style="22" customWidth="1"/>
    <col min="11004" max="11004" width="5.5703125" style="22" customWidth="1"/>
    <col min="11005" max="11005" width="9" style="22" customWidth="1"/>
    <col min="11006" max="11007" width="9.85546875" style="22" customWidth="1"/>
    <col min="11008" max="11008" width="11.140625" style="22" customWidth="1"/>
    <col min="11009" max="11009" width="2.85546875" style="22" customWidth="1"/>
    <col min="11010" max="11010" width="3.5703125" style="22" customWidth="1"/>
    <col min="11011" max="11255" width="9.140625" style="22"/>
    <col min="11256" max="11256" width="8.7109375" style="22" customWidth="1"/>
    <col min="11257" max="11257" width="9.85546875" style="22" customWidth="1"/>
    <col min="11258" max="11258" width="14.42578125" style="22" customWidth="1"/>
    <col min="11259" max="11259" width="7.28515625" style="22" customWidth="1"/>
    <col min="11260" max="11260" width="5.5703125" style="22" customWidth="1"/>
    <col min="11261" max="11261" width="9" style="22" customWidth="1"/>
    <col min="11262" max="11263" width="9.85546875" style="22" customWidth="1"/>
    <col min="11264" max="11264" width="11.140625" style="22" customWidth="1"/>
    <col min="11265" max="11265" width="2.85546875" style="22" customWidth="1"/>
    <col min="11266" max="11266" width="3.5703125" style="22" customWidth="1"/>
    <col min="11267" max="11511" width="9.140625" style="22"/>
    <col min="11512" max="11512" width="8.7109375" style="22" customWidth="1"/>
    <col min="11513" max="11513" width="9.85546875" style="22" customWidth="1"/>
    <col min="11514" max="11514" width="14.42578125" style="22" customWidth="1"/>
    <col min="11515" max="11515" width="7.28515625" style="22" customWidth="1"/>
    <col min="11516" max="11516" width="5.5703125" style="22" customWidth="1"/>
    <col min="11517" max="11517" width="9" style="22" customWidth="1"/>
    <col min="11518" max="11519" width="9.85546875" style="22" customWidth="1"/>
    <col min="11520" max="11520" width="11.140625" style="22" customWidth="1"/>
    <col min="11521" max="11521" width="2.85546875" style="22" customWidth="1"/>
    <col min="11522" max="11522" width="3.5703125" style="22" customWidth="1"/>
    <col min="11523" max="11767" width="9.140625" style="22"/>
    <col min="11768" max="11768" width="8.7109375" style="22" customWidth="1"/>
    <col min="11769" max="11769" width="9.85546875" style="22" customWidth="1"/>
    <col min="11770" max="11770" width="14.42578125" style="22" customWidth="1"/>
    <col min="11771" max="11771" width="7.28515625" style="22" customWidth="1"/>
    <col min="11772" max="11772" width="5.5703125" style="22" customWidth="1"/>
    <col min="11773" max="11773" width="9" style="22" customWidth="1"/>
    <col min="11774" max="11775" width="9.85546875" style="22" customWidth="1"/>
    <col min="11776" max="11776" width="11.140625" style="22" customWidth="1"/>
    <col min="11777" max="11777" width="2.85546875" style="22" customWidth="1"/>
    <col min="11778" max="11778" width="3.5703125" style="22" customWidth="1"/>
    <col min="11779" max="12023" width="9.140625" style="22"/>
    <col min="12024" max="12024" width="8.7109375" style="22" customWidth="1"/>
    <col min="12025" max="12025" width="9.85546875" style="22" customWidth="1"/>
    <col min="12026" max="12026" width="14.42578125" style="22" customWidth="1"/>
    <col min="12027" max="12027" width="7.28515625" style="22" customWidth="1"/>
    <col min="12028" max="12028" width="5.5703125" style="22" customWidth="1"/>
    <col min="12029" max="12029" width="9" style="22" customWidth="1"/>
    <col min="12030" max="12031" width="9.85546875" style="22" customWidth="1"/>
    <col min="12032" max="12032" width="11.140625" style="22" customWidth="1"/>
    <col min="12033" max="12033" width="2.85546875" style="22" customWidth="1"/>
    <col min="12034" max="12034" width="3.5703125" style="22" customWidth="1"/>
    <col min="12035" max="12279" width="9.140625" style="22"/>
    <col min="12280" max="12280" width="8.7109375" style="22" customWidth="1"/>
    <col min="12281" max="12281" width="9.85546875" style="22" customWidth="1"/>
    <col min="12282" max="12282" width="14.42578125" style="22" customWidth="1"/>
    <col min="12283" max="12283" width="7.28515625" style="22" customWidth="1"/>
    <col min="12284" max="12284" width="5.5703125" style="22" customWidth="1"/>
    <col min="12285" max="12285" width="9" style="22" customWidth="1"/>
    <col min="12286" max="12287" width="9.85546875" style="22" customWidth="1"/>
    <col min="12288" max="12288" width="11.140625" style="22" customWidth="1"/>
    <col min="12289" max="12289" width="2.85546875" style="22" customWidth="1"/>
    <col min="12290" max="12290" width="3.5703125" style="22" customWidth="1"/>
    <col min="12291" max="12535" width="9.140625" style="22"/>
    <col min="12536" max="12536" width="8.7109375" style="22" customWidth="1"/>
    <col min="12537" max="12537" width="9.85546875" style="22" customWidth="1"/>
    <col min="12538" max="12538" width="14.42578125" style="22" customWidth="1"/>
    <col min="12539" max="12539" width="7.28515625" style="22" customWidth="1"/>
    <col min="12540" max="12540" width="5.5703125" style="22" customWidth="1"/>
    <col min="12541" max="12541" width="9" style="22" customWidth="1"/>
    <col min="12542" max="12543" width="9.85546875" style="22" customWidth="1"/>
    <col min="12544" max="12544" width="11.140625" style="22" customWidth="1"/>
    <col min="12545" max="12545" width="2.85546875" style="22" customWidth="1"/>
    <col min="12546" max="12546" width="3.5703125" style="22" customWidth="1"/>
    <col min="12547" max="12791" width="9.140625" style="22"/>
    <col min="12792" max="12792" width="8.7109375" style="22" customWidth="1"/>
    <col min="12793" max="12793" width="9.85546875" style="22" customWidth="1"/>
    <col min="12794" max="12794" width="14.42578125" style="22" customWidth="1"/>
    <col min="12795" max="12795" width="7.28515625" style="22" customWidth="1"/>
    <col min="12796" max="12796" width="5.5703125" style="22" customWidth="1"/>
    <col min="12797" max="12797" width="9" style="22" customWidth="1"/>
    <col min="12798" max="12799" width="9.85546875" style="22" customWidth="1"/>
    <col min="12800" max="12800" width="11.140625" style="22" customWidth="1"/>
    <col min="12801" max="12801" width="2.85546875" style="22" customWidth="1"/>
    <col min="12802" max="12802" width="3.5703125" style="22" customWidth="1"/>
    <col min="12803" max="13047" width="9.140625" style="22"/>
    <col min="13048" max="13048" width="8.7109375" style="22" customWidth="1"/>
    <col min="13049" max="13049" width="9.85546875" style="22" customWidth="1"/>
    <col min="13050" max="13050" width="14.42578125" style="22" customWidth="1"/>
    <col min="13051" max="13051" width="7.28515625" style="22" customWidth="1"/>
    <col min="13052" max="13052" width="5.5703125" style="22" customWidth="1"/>
    <col min="13053" max="13053" width="9" style="22" customWidth="1"/>
    <col min="13054" max="13055" width="9.85546875" style="22" customWidth="1"/>
    <col min="13056" max="13056" width="11.140625" style="22" customWidth="1"/>
    <col min="13057" max="13057" width="2.85546875" style="22" customWidth="1"/>
    <col min="13058" max="13058" width="3.5703125" style="22" customWidth="1"/>
    <col min="13059" max="13303" width="9.140625" style="22"/>
    <col min="13304" max="13304" width="8.7109375" style="22" customWidth="1"/>
    <col min="13305" max="13305" width="9.85546875" style="22" customWidth="1"/>
    <col min="13306" max="13306" width="14.42578125" style="22" customWidth="1"/>
    <col min="13307" max="13307" width="7.28515625" style="22" customWidth="1"/>
    <col min="13308" max="13308" width="5.5703125" style="22" customWidth="1"/>
    <col min="13309" max="13309" width="9" style="22" customWidth="1"/>
    <col min="13310" max="13311" width="9.85546875" style="22" customWidth="1"/>
    <col min="13312" max="13312" width="11.140625" style="22" customWidth="1"/>
    <col min="13313" max="13313" width="2.85546875" style="22" customWidth="1"/>
    <col min="13314" max="13314" width="3.5703125" style="22" customWidth="1"/>
    <col min="13315" max="13559" width="9.140625" style="22"/>
    <col min="13560" max="13560" width="8.7109375" style="22" customWidth="1"/>
    <col min="13561" max="13561" width="9.85546875" style="22" customWidth="1"/>
    <col min="13562" max="13562" width="14.42578125" style="22" customWidth="1"/>
    <col min="13563" max="13563" width="7.28515625" style="22" customWidth="1"/>
    <col min="13564" max="13564" width="5.5703125" style="22" customWidth="1"/>
    <col min="13565" max="13565" width="9" style="22" customWidth="1"/>
    <col min="13566" max="13567" width="9.85546875" style="22" customWidth="1"/>
    <col min="13568" max="13568" width="11.140625" style="22" customWidth="1"/>
    <col min="13569" max="13569" width="2.85546875" style="22" customWidth="1"/>
    <col min="13570" max="13570" width="3.5703125" style="22" customWidth="1"/>
    <col min="13571" max="13815" width="9.140625" style="22"/>
    <col min="13816" max="13816" width="8.7109375" style="22" customWidth="1"/>
    <col min="13817" max="13817" width="9.85546875" style="22" customWidth="1"/>
    <col min="13818" max="13818" width="14.42578125" style="22" customWidth="1"/>
    <col min="13819" max="13819" width="7.28515625" style="22" customWidth="1"/>
    <col min="13820" max="13820" width="5.5703125" style="22" customWidth="1"/>
    <col min="13821" max="13821" width="9" style="22" customWidth="1"/>
    <col min="13822" max="13823" width="9.85546875" style="22" customWidth="1"/>
    <col min="13824" max="13824" width="11.140625" style="22" customWidth="1"/>
    <col min="13825" max="13825" width="2.85546875" style="22" customWidth="1"/>
    <col min="13826" max="13826" width="3.5703125" style="22" customWidth="1"/>
    <col min="13827" max="14071" width="9.140625" style="22"/>
    <col min="14072" max="14072" width="8.7109375" style="22" customWidth="1"/>
    <col min="14073" max="14073" width="9.85546875" style="22" customWidth="1"/>
    <col min="14074" max="14074" width="14.42578125" style="22" customWidth="1"/>
    <col min="14075" max="14075" width="7.28515625" style="22" customWidth="1"/>
    <col min="14076" max="14076" width="5.5703125" style="22" customWidth="1"/>
    <col min="14077" max="14077" width="9" style="22" customWidth="1"/>
    <col min="14078" max="14079" width="9.85546875" style="22" customWidth="1"/>
    <col min="14080" max="14080" width="11.140625" style="22" customWidth="1"/>
    <col min="14081" max="14081" width="2.85546875" style="22" customWidth="1"/>
    <col min="14082" max="14082" width="3.5703125" style="22" customWidth="1"/>
    <col min="14083" max="14327" width="9.140625" style="22"/>
    <col min="14328" max="14328" width="8.7109375" style="22" customWidth="1"/>
    <col min="14329" max="14329" width="9.85546875" style="22" customWidth="1"/>
    <col min="14330" max="14330" width="14.42578125" style="22" customWidth="1"/>
    <col min="14331" max="14331" width="7.28515625" style="22" customWidth="1"/>
    <col min="14332" max="14332" width="5.5703125" style="22" customWidth="1"/>
    <col min="14333" max="14333" width="9" style="22" customWidth="1"/>
    <col min="14334" max="14335" width="9.85546875" style="22" customWidth="1"/>
    <col min="14336" max="14336" width="11.140625" style="22" customWidth="1"/>
    <col min="14337" max="14337" width="2.85546875" style="22" customWidth="1"/>
    <col min="14338" max="14338" width="3.5703125" style="22" customWidth="1"/>
    <col min="14339" max="14583" width="9.140625" style="22"/>
    <col min="14584" max="14584" width="8.7109375" style="22" customWidth="1"/>
    <col min="14585" max="14585" width="9.85546875" style="22" customWidth="1"/>
    <col min="14586" max="14586" width="14.42578125" style="22" customWidth="1"/>
    <col min="14587" max="14587" width="7.28515625" style="22" customWidth="1"/>
    <col min="14588" max="14588" width="5.5703125" style="22" customWidth="1"/>
    <col min="14589" max="14589" width="9" style="22" customWidth="1"/>
    <col min="14590" max="14591" width="9.85546875" style="22" customWidth="1"/>
    <col min="14592" max="14592" width="11.140625" style="22" customWidth="1"/>
    <col min="14593" max="14593" width="2.85546875" style="22" customWidth="1"/>
    <col min="14594" max="14594" width="3.5703125" style="22" customWidth="1"/>
    <col min="14595" max="14839" width="9.140625" style="22"/>
    <col min="14840" max="14840" width="8.7109375" style="22" customWidth="1"/>
    <col min="14841" max="14841" width="9.85546875" style="22" customWidth="1"/>
    <col min="14842" max="14842" width="14.42578125" style="22" customWidth="1"/>
    <col min="14843" max="14843" width="7.28515625" style="22" customWidth="1"/>
    <col min="14844" max="14844" width="5.5703125" style="22" customWidth="1"/>
    <col min="14845" max="14845" width="9" style="22" customWidth="1"/>
    <col min="14846" max="14847" width="9.85546875" style="22" customWidth="1"/>
    <col min="14848" max="14848" width="11.140625" style="22" customWidth="1"/>
    <col min="14849" max="14849" width="2.85546875" style="22" customWidth="1"/>
    <col min="14850" max="14850" width="3.5703125" style="22" customWidth="1"/>
    <col min="14851" max="15095" width="9.140625" style="22"/>
    <col min="15096" max="15096" width="8.7109375" style="22" customWidth="1"/>
    <col min="15097" max="15097" width="9.85546875" style="22" customWidth="1"/>
    <col min="15098" max="15098" width="14.42578125" style="22" customWidth="1"/>
    <col min="15099" max="15099" width="7.28515625" style="22" customWidth="1"/>
    <col min="15100" max="15100" width="5.5703125" style="22" customWidth="1"/>
    <col min="15101" max="15101" width="9" style="22" customWidth="1"/>
    <col min="15102" max="15103" width="9.85546875" style="22" customWidth="1"/>
    <col min="15104" max="15104" width="11.140625" style="22" customWidth="1"/>
    <col min="15105" max="15105" width="2.85546875" style="22" customWidth="1"/>
    <col min="15106" max="15106" width="3.5703125" style="22" customWidth="1"/>
    <col min="15107" max="15351" width="9.140625" style="22"/>
    <col min="15352" max="15352" width="8.7109375" style="22" customWidth="1"/>
    <col min="15353" max="15353" width="9.85546875" style="22" customWidth="1"/>
    <col min="15354" max="15354" width="14.42578125" style="22" customWidth="1"/>
    <col min="15355" max="15355" width="7.28515625" style="22" customWidth="1"/>
    <col min="15356" max="15356" width="5.5703125" style="22" customWidth="1"/>
    <col min="15357" max="15357" width="9" style="22" customWidth="1"/>
    <col min="15358" max="15359" width="9.85546875" style="22" customWidth="1"/>
    <col min="15360" max="15360" width="11.140625" style="22" customWidth="1"/>
    <col min="15361" max="15361" width="2.85546875" style="22" customWidth="1"/>
    <col min="15362" max="15362" width="3.5703125" style="22" customWidth="1"/>
    <col min="15363" max="15607" width="9.140625" style="22"/>
    <col min="15608" max="15608" width="8.7109375" style="22" customWidth="1"/>
    <col min="15609" max="15609" width="9.85546875" style="22" customWidth="1"/>
    <col min="15610" max="15610" width="14.42578125" style="22" customWidth="1"/>
    <col min="15611" max="15611" width="7.28515625" style="22" customWidth="1"/>
    <col min="15612" max="15612" width="5.5703125" style="22" customWidth="1"/>
    <col min="15613" max="15613" width="9" style="22" customWidth="1"/>
    <col min="15614" max="15615" width="9.85546875" style="22" customWidth="1"/>
    <col min="15616" max="15616" width="11.140625" style="22" customWidth="1"/>
    <col min="15617" max="15617" width="2.85546875" style="22" customWidth="1"/>
    <col min="15618" max="15618" width="3.5703125" style="22" customWidth="1"/>
    <col min="15619" max="15863" width="9.140625" style="22"/>
    <col min="15864" max="15864" width="8.7109375" style="22" customWidth="1"/>
    <col min="15865" max="15865" width="9.85546875" style="22" customWidth="1"/>
    <col min="15866" max="15866" width="14.42578125" style="22" customWidth="1"/>
    <col min="15867" max="15867" width="7.28515625" style="22" customWidth="1"/>
    <col min="15868" max="15868" width="5.5703125" style="22" customWidth="1"/>
    <col min="15869" max="15869" width="9" style="22" customWidth="1"/>
    <col min="15870" max="15871" width="9.85546875" style="22" customWidth="1"/>
    <col min="15872" max="15872" width="11.140625" style="22" customWidth="1"/>
    <col min="15873" max="15873" width="2.85546875" style="22" customWidth="1"/>
    <col min="15874" max="15874" width="3.5703125" style="22" customWidth="1"/>
    <col min="15875" max="16119" width="9.140625" style="22"/>
    <col min="16120" max="16120" width="8.7109375" style="22" customWidth="1"/>
    <col min="16121" max="16121" width="9.85546875" style="22" customWidth="1"/>
    <col min="16122" max="16122" width="14.42578125" style="22" customWidth="1"/>
    <col min="16123" max="16123" width="7.28515625" style="22" customWidth="1"/>
    <col min="16124" max="16124" width="5.5703125" style="22" customWidth="1"/>
    <col min="16125" max="16125" width="9" style="22" customWidth="1"/>
    <col min="16126" max="16127" width="9.85546875" style="22" customWidth="1"/>
    <col min="16128" max="16128" width="11.140625" style="22" customWidth="1"/>
    <col min="16129" max="16129" width="2.85546875" style="22" customWidth="1"/>
    <col min="16130" max="16130" width="3.5703125" style="22" customWidth="1"/>
    <col min="16131" max="16384" width="9.140625" style="22"/>
  </cols>
  <sheetData>
    <row r="1" spans="1:8" ht="46.5" customHeight="1" x14ac:dyDescent="0.25">
      <c r="A1" s="168" t="s">
        <v>229</v>
      </c>
      <c r="B1" s="168"/>
      <c r="C1" s="168"/>
      <c r="D1" s="168"/>
      <c r="E1" s="168"/>
      <c r="F1" s="168"/>
      <c r="G1" s="168"/>
      <c r="H1" s="168"/>
    </row>
    <row r="2" spans="1:8" ht="16.5" customHeight="1" x14ac:dyDescent="0.25">
      <c r="A2" s="169" t="s">
        <v>0</v>
      </c>
      <c r="B2" s="169"/>
      <c r="C2" s="169"/>
      <c r="D2" s="169"/>
      <c r="E2" s="169"/>
      <c r="F2" s="169"/>
      <c r="G2" s="169"/>
      <c r="H2" s="169"/>
    </row>
    <row r="3" spans="1:8" x14ac:dyDescent="0.25">
      <c r="A3" s="158" t="s">
        <v>1</v>
      </c>
      <c r="B3" s="158"/>
      <c r="C3" s="158"/>
      <c r="D3" s="158"/>
      <c r="E3" s="158" t="str">
        <f ca="1">TEXT(TODAY(),"DD/MM/YYYY")</f>
        <v>19/09/2025</v>
      </c>
      <c r="F3" s="158"/>
      <c r="G3" s="158"/>
      <c r="H3" s="158"/>
    </row>
    <row r="4" spans="1:8" ht="15" customHeight="1" x14ac:dyDescent="0.25">
      <c r="A4" s="158" t="s">
        <v>2</v>
      </c>
      <c r="B4" s="158"/>
      <c r="C4" s="158"/>
      <c r="D4" s="158"/>
      <c r="E4" s="158" t="s">
        <v>179</v>
      </c>
      <c r="F4" s="158"/>
      <c r="G4" s="158"/>
      <c r="H4" s="158"/>
    </row>
    <row r="5" spans="1:8" x14ac:dyDescent="0.25">
      <c r="A5" s="158" t="s">
        <v>3</v>
      </c>
      <c r="B5" s="158"/>
      <c r="C5" s="158"/>
      <c r="D5" s="158"/>
      <c r="E5" s="163">
        <v>45910</v>
      </c>
      <c r="F5" s="164"/>
      <c r="G5" s="164"/>
      <c r="H5" s="164"/>
    </row>
    <row r="6" spans="1:8" ht="16.5" customHeight="1" x14ac:dyDescent="0.25">
      <c r="A6" s="158" t="s">
        <v>4</v>
      </c>
      <c r="B6" s="158"/>
      <c r="C6" s="158"/>
      <c r="D6" s="158"/>
      <c r="E6" s="165" t="s">
        <v>180</v>
      </c>
      <c r="F6" s="166"/>
      <c r="G6" s="166"/>
      <c r="H6" s="167"/>
    </row>
    <row r="7" spans="1:8" ht="15" customHeight="1" x14ac:dyDescent="0.25">
      <c r="A7" s="158" t="s">
        <v>5</v>
      </c>
      <c r="B7" s="158"/>
      <c r="C7" s="158"/>
      <c r="D7" s="158"/>
      <c r="E7" s="158" t="str">
        <f>E6</f>
        <v>Adityaraj Builders</v>
      </c>
      <c r="F7" s="158"/>
      <c r="G7" s="158"/>
      <c r="H7" s="158"/>
    </row>
    <row r="8" spans="1:8" x14ac:dyDescent="0.25">
      <c r="A8" s="158" t="s">
        <v>6</v>
      </c>
      <c r="B8" s="158"/>
      <c r="C8" s="158"/>
      <c r="D8" s="158"/>
      <c r="E8" s="66" t="s">
        <v>193</v>
      </c>
      <c r="F8" s="95"/>
      <c r="G8" s="95"/>
      <c r="H8" s="95"/>
    </row>
    <row r="9" spans="1:8" x14ac:dyDescent="0.25">
      <c r="A9" s="158" t="s">
        <v>175</v>
      </c>
      <c r="B9" s="158"/>
      <c r="C9" s="158"/>
      <c r="D9" s="158"/>
      <c r="E9" s="158">
        <v>9619888991</v>
      </c>
      <c r="F9" s="158"/>
      <c r="G9" s="158"/>
      <c r="H9" s="158"/>
    </row>
    <row r="10" spans="1:8" x14ac:dyDescent="0.25">
      <c r="A10" s="158" t="s">
        <v>176</v>
      </c>
      <c r="B10" s="158"/>
      <c r="C10" s="158"/>
      <c r="D10" s="158"/>
      <c r="E10" s="158" t="s">
        <v>233</v>
      </c>
      <c r="F10" s="158"/>
      <c r="G10" s="158"/>
      <c r="H10" s="158"/>
    </row>
    <row r="11" spans="1:8" x14ac:dyDescent="0.25">
      <c r="A11" s="158" t="s">
        <v>7</v>
      </c>
      <c r="B11" s="158"/>
      <c r="C11" s="158"/>
      <c r="D11" s="158"/>
      <c r="E11" s="158" t="s">
        <v>181</v>
      </c>
      <c r="F11" s="158"/>
      <c r="G11" s="158"/>
      <c r="H11" s="158"/>
    </row>
    <row r="12" spans="1:8" ht="16.5" customHeight="1" x14ac:dyDescent="0.25">
      <c r="A12" s="158" t="s">
        <v>189</v>
      </c>
      <c r="B12" s="158"/>
      <c r="C12" s="158"/>
      <c r="D12" s="158"/>
      <c r="E12" s="158" t="s">
        <v>190</v>
      </c>
      <c r="F12" s="158"/>
      <c r="G12" s="158"/>
      <c r="H12" s="158"/>
    </row>
    <row r="13" spans="1:8" x14ac:dyDescent="0.25">
      <c r="A13" s="71" t="s">
        <v>8</v>
      </c>
      <c r="B13" s="71"/>
      <c r="C13" s="71"/>
      <c r="D13" s="71"/>
      <c r="E13" s="75" t="s">
        <v>215</v>
      </c>
      <c r="F13" s="75"/>
      <c r="G13" s="75"/>
      <c r="H13" s="75"/>
    </row>
    <row r="14" spans="1:8" x14ac:dyDescent="0.25">
      <c r="A14" s="71" t="s">
        <v>9</v>
      </c>
      <c r="B14" s="71"/>
      <c r="C14" s="71"/>
      <c r="D14" s="71"/>
      <c r="E14" s="75" t="s">
        <v>182</v>
      </c>
      <c r="F14" s="158"/>
      <c r="G14" s="158"/>
      <c r="H14" s="158"/>
    </row>
    <row r="15" spans="1:8" ht="48.75" customHeight="1" x14ac:dyDescent="0.25">
      <c r="A15" s="75" t="s">
        <v>10</v>
      </c>
      <c r="B15" s="75"/>
      <c r="C15" s="75" t="str">
        <f>CONCATENATE((IF(OR(E8="",E8="NA"),"",E8)),", ",(IF(OR(A16="",A16="NA"),"",A16)),".",(IF(OR(C16="",C16="NA"),"",C16)),", near ",(IF(OR(C21="",C21="NA"),"",C21)),", ",(IF(OR(C18="",C18="NA"),"",C18)),", ",(IF(OR(C17="",C17="NA"),"",C17)),", ",(IF(OR(G18="",G18="NA"),"",G18)),", ",(IF(OR(C19="",C19="NA"),"",C19)),", ",(IF(OR(C20="",C20="NA"),"",C20)),", ",(IF(OR(G19="",G19="NA"),"",G19))," - ",(IF(OR(G20="",G20="NA"),"",G20)),".")</f>
        <v>Shivraj Chs Adityaraj Shivraj, CTS No.356 (Pt), S. No. 113(Pt), near Truearth Views Uc, Aatmaram Surve Marg, Kannamwar Nagar, Hariyali, Vikhroli (East), Kurla, Mumbai - 400083.</v>
      </c>
      <c r="D15" s="75"/>
      <c r="E15" s="75"/>
      <c r="F15" s="75"/>
      <c r="G15" s="75"/>
      <c r="H15" s="75"/>
    </row>
    <row r="16" spans="1:8" x14ac:dyDescent="0.25">
      <c r="A16" s="75" t="s">
        <v>183</v>
      </c>
      <c r="B16" s="75"/>
      <c r="C16" s="75" t="s">
        <v>184</v>
      </c>
      <c r="D16" s="75"/>
      <c r="E16" s="75"/>
      <c r="F16" s="75"/>
      <c r="G16" s="75"/>
      <c r="H16" s="75"/>
    </row>
    <row r="17" spans="1:8" ht="15.75" customHeight="1" x14ac:dyDescent="0.25">
      <c r="A17" s="75" t="s">
        <v>174</v>
      </c>
      <c r="B17" s="75"/>
      <c r="C17" s="75" t="s">
        <v>186</v>
      </c>
      <c r="D17" s="75"/>
      <c r="E17" s="75"/>
      <c r="F17" s="75"/>
      <c r="G17" s="75"/>
      <c r="H17" s="75"/>
    </row>
    <row r="18" spans="1:8" ht="15.75" customHeight="1" x14ac:dyDescent="0.25">
      <c r="A18" s="75" t="s">
        <v>11</v>
      </c>
      <c r="B18" s="75"/>
      <c r="C18" s="158" t="s">
        <v>192</v>
      </c>
      <c r="D18" s="158"/>
      <c r="E18" s="75" t="s">
        <v>75</v>
      </c>
      <c r="F18" s="75"/>
      <c r="G18" s="75" t="s">
        <v>185</v>
      </c>
      <c r="H18" s="75"/>
    </row>
    <row r="19" spans="1:8" x14ac:dyDescent="0.25">
      <c r="A19" s="158" t="s">
        <v>13</v>
      </c>
      <c r="B19" s="158"/>
      <c r="C19" s="75" t="s">
        <v>188</v>
      </c>
      <c r="D19" s="75"/>
      <c r="E19" s="75" t="s">
        <v>12</v>
      </c>
      <c r="F19" s="75"/>
      <c r="G19" s="162" t="s">
        <v>187</v>
      </c>
      <c r="H19" s="162"/>
    </row>
    <row r="20" spans="1:8" x14ac:dyDescent="0.25">
      <c r="A20" s="158" t="s">
        <v>76</v>
      </c>
      <c r="B20" s="158"/>
      <c r="C20" s="75" t="s">
        <v>191</v>
      </c>
      <c r="D20" s="75"/>
      <c r="E20" s="75" t="s">
        <v>14</v>
      </c>
      <c r="F20" s="75"/>
      <c r="G20" s="75">
        <v>400083</v>
      </c>
      <c r="H20" s="75"/>
    </row>
    <row r="21" spans="1:8" ht="32.25" customHeight="1" x14ac:dyDescent="0.25">
      <c r="A21" s="158" t="s">
        <v>129</v>
      </c>
      <c r="B21" s="158"/>
      <c r="C21" s="75" t="s">
        <v>194</v>
      </c>
      <c r="D21" s="75"/>
      <c r="E21" s="75" t="s">
        <v>15</v>
      </c>
      <c r="F21" s="75"/>
      <c r="G21" s="75" t="s">
        <v>195</v>
      </c>
      <c r="H21" s="75"/>
    </row>
    <row r="22" spans="1:8" ht="15" customHeight="1" x14ac:dyDescent="0.25">
      <c r="A22" s="161" t="s">
        <v>79</v>
      </c>
      <c r="B22" s="161"/>
      <c r="C22" s="161"/>
      <c r="D22" s="161"/>
      <c r="E22" s="158" t="s">
        <v>16</v>
      </c>
      <c r="F22" s="158"/>
      <c r="G22" s="158"/>
      <c r="H22" s="158"/>
    </row>
    <row r="23" spans="1:8" ht="18.75" customHeight="1" x14ac:dyDescent="0.25">
      <c r="A23" s="161"/>
      <c r="B23" s="161"/>
      <c r="C23" s="161"/>
      <c r="D23" s="161"/>
      <c r="E23" s="158"/>
      <c r="F23" s="158"/>
      <c r="G23" s="158"/>
      <c r="H23" s="158"/>
    </row>
    <row r="24" spans="1:8" ht="15" customHeight="1" x14ac:dyDescent="0.25">
      <c r="A24" s="161" t="s">
        <v>17</v>
      </c>
      <c r="B24" s="161"/>
      <c r="C24" s="161"/>
      <c r="D24" s="161"/>
      <c r="E24" s="75" t="s">
        <v>18</v>
      </c>
      <c r="F24" s="75"/>
      <c r="G24" s="75"/>
      <c r="H24" s="75"/>
    </row>
    <row r="25" spans="1:8" ht="15" customHeight="1" x14ac:dyDescent="0.25">
      <c r="A25" s="71" t="s">
        <v>19</v>
      </c>
      <c r="B25" s="71"/>
      <c r="C25" s="71"/>
      <c r="D25" s="71"/>
      <c r="E25" s="75" t="str">
        <f>IF(AND(G19="Mumbai"),"Upper Class","Middle Class")</f>
        <v>Upper Class</v>
      </c>
      <c r="F25" s="75"/>
      <c r="G25" s="75"/>
      <c r="H25" s="75"/>
    </row>
    <row r="26" spans="1:8" x14ac:dyDescent="0.25">
      <c r="A26" s="71" t="s">
        <v>20</v>
      </c>
      <c r="B26" s="71"/>
      <c r="C26" s="71"/>
      <c r="D26" s="71"/>
      <c r="E26" s="75" t="s">
        <v>21</v>
      </c>
      <c r="F26" s="75"/>
      <c r="G26" s="75"/>
      <c r="H26" s="75"/>
    </row>
    <row r="27" spans="1:8" ht="15.75" customHeight="1" x14ac:dyDescent="0.25">
      <c r="A27" s="71" t="s">
        <v>22</v>
      </c>
      <c r="B27" s="71"/>
      <c r="C27" s="71"/>
      <c r="D27" s="71"/>
      <c r="E27" s="75" t="str">
        <f>IF(AND(G19="Mumbai"),"Developed","Developing")</f>
        <v>Developed</v>
      </c>
      <c r="F27" s="75"/>
      <c r="G27" s="75"/>
      <c r="H27" s="75"/>
    </row>
    <row r="28" spans="1:8" x14ac:dyDescent="0.25">
      <c r="A28" s="71" t="s">
        <v>23</v>
      </c>
      <c r="B28" s="71"/>
      <c r="C28" s="71"/>
      <c r="D28" s="71"/>
      <c r="E28" s="75" t="s">
        <v>24</v>
      </c>
      <c r="F28" s="75"/>
      <c r="G28" s="75"/>
      <c r="H28" s="75"/>
    </row>
    <row r="29" spans="1:8" ht="15.75" customHeight="1" x14ac:dyDescent="0.25">
      <c r="A29" s="71" t="s">
        <v>84</v>
      </c>
      <c r="B29" s="71"/>
      <c r="C29" s="71"/>
      <c r="D29" s="71"/>
      <c r="E29" s="75" t="s">
        <v>85</v>
      </c>
      <c r="F29" s="75"/>
      <c r="G29" s="75"/>
      <c r="H29" s="75"/>
    </row>
    <row r="30" spans="1:8" ht="15" customHeight="1" x14ac:dyDescent="0.25">
      <c r="A30" s="71" t="s">
        <v>33</v>
      </c>
      <c r="B30" s="71"/>
      <c r="C30" s="71"/>
      <c r="D30" s="71"/>
      <c r="E30" s="75" t="str">
        <f>IF(AND(ISNUMBER(SEARCH("Flat",D60)),ISNUMBER(SEARCH("Shop",D60)),ISNUMBER(SEARCH("Office",D60))),"Residential + Commercial",IF(AND(ISNUMBER(SEARCH("Flat",D60)),ISNUMBER(SEARCH("Shop",D60))),"Residential + Commercial",IF(AND(ISNUMBER(SEARCH("Flat",D60)),ISNUMBER(SEARCH("Office",D60))),"Residential + Commercial",IF(AND(ISNUMBER(SEARCH("Shop",D60)),ISNUMBER(SEARCH("Office",D60))),"Commercial",IF(ISNUMBER(SEARCH("Shop",D60)),"Commercial",IF(ISNUMBER(SEARCH("Office",D60)),"Commercial",IF(ISNUMBER(SEARCH("Flat",D60)),"Residential")))))))</f>
        <v>Residential</v>
      </c>
      <c r="F30" s="75"/>
      <c r="G30" s="75"/>
      <c r="H30" s="75"/>
    </row>
    <row r="31" spans="1:8" ht="15.75" customHeight="1" x14ac:dyDescent="0.25">
      <c r="A31" s="71" t="s">
        <v>96</v>
      </c>
      <c r="B31" s="71"/>
      <c r="C31" s="71"/>
      <c r="D31" s="71"/>
      <c r="E31" s="75" t="s">
        <v>34</v>
      </c>
      <c r="F31" s="75"/>
      <c r="G31" s="75"/>
      <c r="H31" s="75"/>
    </row>
    <row r="32" spans="1:8" s="23" customFormat="1" x14ac:dyDescent="0.25">
      <c r="A32" s="160" t="s">
        <v>97</v>
      </c>
      <c r="B32" s="160"/>
      <c r="C32" s="159" t="s">
        <v>29</v>
      </c>
      <c r="D32" s="159"/>
      <c r="E32" s="159"/>
      <c r="F32" s="159" t="s">
        <v>31</v>
      </c>
      <c r="G32" s="159"/>
      <c r="H32" s="159"/>
    </row>
    <row r="33" spans="1:8" s="23" customFormat="1" x14ac:dyDescent="0.25">
      <c r="A33" s="140" t="s">
        <v>25</v>
      </c>
      <c r="B33" s="140" t="s">
        <v>30</v>
      </c>
      <c r="C33" s="141" t="s">
        <v>30</v>
      </c>
      <c r="D33" s="141"/>
      <c r="E33" s="141"/>
      <c r="F33" s="141" t="s">
        <v>196</v>
      </c>
      <c r="G33" s="141"/>
      <c r="H33" s="141"/>
    </row>
    <row r="34" spans="1:8" x14ac:dyDescent="0.25">
      <c r="A34" s="140" t="s">
        <v>26</v>
      </c>
      <c r="B34" s="140" t="s">
        <v>30</v>
      </c>
      <c r="C34" s="141" t="s">
        <v>30</v>
      </c>
      <c r="D34" s="141"/>
      <c r="E34" s="141"/>
      <c r="F34" s="141" t="s">
        <v>192</v>
      </c>
      <c r="G34" s="141"/>
      <c r="H34" s="141"/>
    </row>
    <row r="35" spans="1:8" s="23" customFormat="1" x14ac:dyDescent="0.25">
      <c r="A35" s="140" t="s">
        <v>28</v>
      </c>
      <c r="B35" s="140" t="s">
        <v>30</v>
      </c>
      <c r="C35" s="141" t="s">
        <v>30</v>
      </c>
      <c r="D35" s="141"/>
      <c r="E35" s="141"/>
      <c r="F35" s="141" t="s">
        <v>194</v>
      </c>
      <c r="G35" s="141"/>
      <c r="H35" s="141"/>
    </row>
    <row r="36" spans="1:8" x14ac:dyDescent="0.25">
      <c r="A36" s="140" t="s">
        <v>27</v>
      </c>
      <c r="B36" s="140" t="s">
        <v>30</v>
      </c>
      <c r="C36" s="141" t="s">
        <v>30</v>
      </c>
      <c r="D36" s="141"/>
      <c r="E36" s="141"/>
      <c r="F36" s="141" t="s">
        <v>197</v>
      </c>
      <c r="G36" s="141"/>
      <c r="H36" s="141"/>
    </row>
    <row r="37" spans="1:8" x14ac:dyDescent="0.25">
      <c r="A37" s="71" t="s">
        <v>32</v>
      </c>
      <c r="B37" s="71"/>
      <c r="C37" s="71"/>
      <c r="D37" s="71"/>
      <c r="E37" s="71"/>
      <c r="F37" s="71"/>
      <c r="G37" s="71"/>
      <c r="H37" s="71"/>
    </row>
    <row r="38" spans="1:8" ht="15.75" customHeight="1" x14ac:dyDescent="0.25">
      <c r="A38" s="71" t="s">
        <v>227</v>
      </c>
      <c r="B38" s="71"/>
      <c r="C38" s="118" t="s">
        <v>228</v>
      </c>
      <c r="D38" s="118"/>
      <c r="E38" s="118"/>
      <c r="F38" s="118"/>
      <c r="G38" s="118"/>
      <c r="H38" s="118"/>
    </row>
    <row r="39" spans="1:8" x14ac:dyDescent="0.25">
      <c r="A39" s="71" t="s">
        <v>173</v>
      </c>
      <c r="B39" s="71"/>
      <c r="C39" s="74" t="s">
        <v>198</v>
      </c>
      <c r="D39" s="75"/>
      <c r="E39" s="75"/>
      <c r="F39" s="75"/>
      <c r="G39" s="75"/>
      <c r="H39" s="75"/>
    </row>
    <row r="40" spans="1:8" x14ac:dyDescent="0.25">
      <c r="A40" s="143" t="s">
        <v>35</v>
      </c>
      <c r="B40" s="143"/>
      <c r="C40" s="143"/>
      <c r="D40" s="143"/>
      <c r="E40" s="143"/>
      <c r="F40" s="143"/>
      <c r="G40" s="143"/>
      <c r="H40" s="143"/>
    </row>
    <row r="41" spans="1:8" x14ac:dyDescent="0.25">
      <c r="A41" s="71" t="s">
        <v>36</v>
      </c>
      <c r="B41" s="71"/>
      <c r="C41" s="71"/>
      <c r="D41" s="71"/>
      <c r="E41" s="142">
        <v>862.12</v>
      </c>
      <c r="F41" s="142"/>
      <c r="G41" s="142"/>
      <c r="H41" s="142"/>
    </row>
    <row r="42" spans="1:8" x14ac:dyDescent="0.25">
      <c r="A42" s="71" t="s">
        <v>37</v>
      </c>
      <c r="B42" s="71"/>
      <c r="C42" s="71"/>
      <c r="D42" s="71"/>
      <c r="E42" s="156">
        <v>3</v>
      </c>
      <c r="F42" s="156"/>
      <c r="G42" s="156"/>
      <c r="H42" s="156"/>
    </row>
    <row r="43" spans="1:8" x14ac:dyDescent="0.25">
      <c r="A43" s="71" t="s">
        <v>38</v>
      </c>
      <c r="B43" s="71"/>
      <c r="C43" s="71"/>
      <c r="D43" s="71"/>
      <c r="E43" s="156">
        <f>E45/E41-E42</f>
        <v>3.265902658562613</v>
      </c>
      <c r="F43" s="156"/>
      <c r="G43" s="156"/>
      <c r="H43" s="156"/>
    </row>
    <row r="44" spans="1:8" x14ac:dyDescent="0.25">
      <c r="A44" s="71" t="s">
        <v>39</v>
      </c>
      <c r="B44" s="71"/>
      <c r="C44" s="71"/>
      <c r="D44" s="71"/>
      <c r="E44" s="156">
        <f>E42+E43</f>
        <v>6.265902658562613</v>
      </c>
      <c r="F44" s="156"/>
      <c r="G44" s="156"/>
      <c r="H44" s="156"/>
    </row>
    <row r="45" spans="1:8" x14ac:dyDescent="0.25">
      <c r="A45" s="71" t="s">
        <v>95</v>
      </c>
      <c r="B45" s="71"/>
      <c r="C45" s="71"/>
      <c r="D45" s="71"/>
      <c r="E45" s="157">
        <v>5401.96</v>
      </c>
      <c r="F45" s="157"/>
      <c r="G45" s="157"/>
      <c r="H45" s="157"/>
    </row>
    <row r="46" spans="1:8" x14ac:dyDescent="0.25">
      <c r="A46" s="158" t="s">
        <v>40</v>
      </c>
      <c r="B46" s="158"/>
      <c r="C46" s="158"/>
      <c r="D46" s="158"/>
      <c r="E46" s="158" t="s">
        <v>199</v>
      </c>
      <c r="F46" s="158"/>
      <c r="G46" s="158"/>
      <c r="H46" s="158"/>
    </row>
    <row r="47" spans="1:8" x14ac:dyDescent="0.25">
      <c r="A47" s="95" t="s">
        <v>41</v>
      </c>
      <c r="B47" s="95"/>
      <c r="C47" s="95"/>
      <c r="D47" s="95"/>
      <c r="E47" s="95"/>
      <c r="F47" s="95"/>
      <c r="G47" s="95"/>
      <c r="H47" s="95"/>
    </row>
    <row r="48" spans="1:8" ht="33.75" customHeight="1" x14ac:dyDescent="0.25">
      <c r="A48" s="79" t="s">
        <v>160</v>
      </c>
      <c r="B48" s="80"/>
      <c r="C48" s="81" t="s">
        <v>200</v>
      </c>
      <c r="D48" s="82"/>
      <c r="E48" s="82"/>
      <c r="F48" s="82"/>
      <c r="G48" s="82"/>
      <c r="H48" s="83"/>
    </row>
    <row r="49" spans="1:9" ht="15.75" customHeight="1" x14ac:dyDescent="0.25">
      <c r="A49" s="191" t="s">
        <v>42</v>
      </c>
      <c r="B49" s="176"/>
      <c r="C49" s="191" t="s">
        <v>201</v>
      </c>
      <c r="D49" s="192"/>
      <c r="E49" s="176"/>
      <c r="F49" s="19" t="s">
        <v>43</v>
      </c>
      <c r="G49" s="175">
        <v>44578</v>
      </c>
      <c r="H49" s="176"/>
    </row>
    <row r="50" spans="1:9" x14ac:dyDescent="0.25">
      <c r="A50" s="191" t="s">
        <v>44</v>
      </c>
      <c r="B50" s="176"/>
      <c r="C50" s="191" t="str">
        <f>C49</f>
        <v>Mhada-9/1027/2022</v>
      </c>
      <c r="D50" s="192"/>
      <c r="E50" s="176"/>
      <c r="F50" s="19" t="s">
        <v>43</v>
      </c>
      <c r="G50" s="175">
        <v>44578</v>
      </c>
      <c r="H50" s="176"/>
    </row>
    <row r="51" spans="1:9" s="24" customFormat="1" ht="37.5" customHeight="1" x14ac:dyDescent="0.25">
      <c r="A51" s="177" t="s">
        <v>164</v>
      </c>
      <c r="B51" s="178"/>
      <c r="C51" s="191" t="s">
        <v>230</v>
      </c>
      <c r="D51" s="192"/>
      <c r="E51" s="176"/>
      <c r="F51" s="19" t="s">
        <v>43</v>
      </c>
      <c r="G51" s="175">
        <v>45307</v>
      </c>
      <c r="H51" s="176"/>
    </row>
    <row r="52" spans="1:9" s="24" customFormat="1" ht="80.45" customHeight="1" x14ac:dyDescent="0.25">
      <c r="A52" s="179"/>
      <c r="B52" s="180"/>
      <c r="C52" s="191" t="s">
        <v>231</v>
      </c>
      <c r="D52" s="192"/>
      <c r="E52" s="176"/>
      <c r="F52" s="19" t="s">
        <v>128</v>
      </c>
      <c r="G52" s="175">
        <v>45437</v>
      </c>
      <c r="H52" s="176"/>
    </row>
    <row r="53" spans="1:9" s="24" customFormat="1" x14ac:dyDescent="0.25">
      <c r="A53" s="177" t="s">
        <v>216</v>
      </c>
      <c r="B53" s="178"/>
      <c r="C53" s="191" t="s">
        <v>217</v>
      </c>
      <c r="D53" s="192"/>
      <c r="E53" s="176"/>
      <c r="F53" s="19" t="s">
        <v>43</v>
      </c>
      <c r="G53" s="175">
        <v>44443</v>
      </c>
      <c r="H53" s="176"/>
    </row>
    <row r="54" spans="1:9" s="24" customFormat="1" ht="15.75" customHeight="1" x14ac:dyDescent="0.25">
      <c r="A54" s="179"/>
      <c r="B54" s="180"/>
      <c r="C54" s="191" t="s">
        <v>221</v>
      </c>
      <c r="D54" s="192"/>
      <c r="E54" s="192"/>
      <c r="F54" s="192"/>
      <c r="G54" s="192"/>
      <c r="H54" s="176"/>
    </row>
    <row r="55" spans="1:9" s="24" customFormat="1" x14ac:dyDescent="0.25">
      <c r="A55" s="177" t="s">
        <v>218</v>
      </c>
      <c r="B55" s="178"/>
      <c r="C55" s="191" t="s">
        <v>219</v>
      </c>
      <c r="D55" s="192"/>
      <c r="E55" s="176"/>
      <c r="F55" s="19" t="s">
        <v>43</v>
      </c>
      <c r="G55" s="175">
        <v>44613</v>
      </c>
      <c r="H55" s="176"/>
    </row>
    <row r="56" spans="1:9" s="24" customFormat="1" ht="31.5" x14ac:dyDescent="0.25">
      <c r="A56" s="179"/>
      <c r="B56" s="180"/>
      <c r="C56" s="191" t="s">
        <v>222</v>
      </c>
      <c r="D56" s="192"/>
      <c r="E56" s="176"/>
      <c r="F56" s="19" t="s">
        <v>128</v>
      </c>
      <c r="G56" s="175">
        <v>47534</v>
      </c>
      <c r="H56" s="176"/>
    </row>
    <row r="57" spans="1:9" x14ac:dyDescent="0.25">
      <c r="A57" s="197" t="s">
        <v>45</v>
      </c>
      <c r="B57" s="198"/>
      <c r="C57" s="197" t="s">
        <v>109</v>
      </c>
      <c r="D57" s="199"/>
      <c r="E57" s="198"/>
      <c r="F57" s="47" t="s">
        <v>43</v>
      </c>
      <c r="G57" s="200" t="s">
        <v>30</v>
      </c>
      <c r="H57" s="201"/>
    </row>
    <row r="58" spans="1:9" x14ac:dyDescent="0.25">
      <c r="A58" s="186" t="s">
        <v>47</v>
      </c>
      <c r="B58" s="186"/>
      <c r="C58" s="186"/>
      <c r="D58" s="186"/>
      <c r="E58" s="186"/>
      <c r="F58" s="186"/>
      <c r="G58" s="186"/>
      <c r="H58" s="186"/>
    </row>
    <row r="59" spans="1:9" x14ac:dyDescent="0.25">
      <c r="A59" s="161" t="s">
        <v>94</v>
      </c>
      <c r="B59" s="161"/>
      <c r="C59" s="161"/>
      <c r="D59" s="158">
        <f>E45</f>
        <v>5401.96</v>
      </c>
      <c r="E59" s="158"/>
      <c r="F59" s="158"/>
      <c r="G59" s="158"/>
      <c r="H59" s="158"/>
    </row>
    <row r="60" spans="1:9" x14ac:dyDescent="0.25">
      <c r="A60" s="75" t="s">
        <v>48</v>
      </c>
      <c r="B60" s="158"/>
      <c r="C60" s="158"/>
      <c r="D60" s="158" t="s">
        <v>220</v>
      </c>
      <c r="E60" s="158"/>
      <c r="F60" s="158"/>
      <c r="G60" s="158"/>
      <c r="H60" s="158"/>
      <c r="I60" s="25"/>
    </row>
    <row r="61" spans="1:9" x14ac:dyDescent="0.25">
      <c r="A61" s="172" t="s">
        <v>49</v>
      </c>
      <c r="B61" s="173"/>
      <c r="C61" s="174"/>
      <c r="D61" s="170" t="s">
        <v>226</v>
      </c>
      <c r="E61" s="171"/>
      <c r="F61" s="171"/>
      <c r="G61" s="171"/>
      <c r="H61" s="171"/>
    </row>
    <row r="62" spans="1:9" ht="15.75" customHeight="1" x14ac:dyDescent="0.25">
      <c r="A62" s="172" t="s">
        <v>92</v>
      </c>
      <c r="B62" s="173"/>
      <c r="C62" s="173"/>
      <c r="D62" s="158" t="s">
        <v>226</v>
      </c>
      <c r="E62" s="158"/>
      <c r="F62" s="158"/>
      <c r="G62" s="158"/>
      <c r="H62" s="158"/>
    </row>
    <row r="63" spans="1:9" ht="15.75" hidden="1" customHeight="1" x14ac:dyDescent="0.25">
      <c r="A63" s="193"/>
      <c r="B63" s="194"/>
      <c r="C63" s="194"/>
      <c r="D63" s="158" t="s">
        <v>155</v>
      </c>
      <c r="E63" s="158"/>
      <c r="F63" s="158"/>
      <c r="G63" s="158"/>
      <c r="H63" s="158"/>
    </row>
    <row r="64" spans="1:9" ht="15.75" hidden="1" customHeight="1" x14ac:dyDescent="0.25">
      <c r="A64" s="195"/>
      <c r="B64" s="196"/>
      <c r="C64" s="196"/>
      <c r="D64" s="158" t="s">
        <v>156</v>
      </c>
      <c r="E64" s="158"/>
      <c r="F64" s="158"/>
      <c r="G64" s="158"/>
      <c r="H64" s="158"/>
    </row>
    <row r="65" spans="1:14" ht="15.75" customHeight="1" x14ac:dyDescent="0.25">
      <c r="A65" s="71" t="s">
        <v>46</v>
      </c>
      <c r="B65" s="71"/>
      <c r="C65" s="71"/>
      <c r="D65" s="75" t="s">
        <v>202</v>
      </c>
      <c r="E65" s="75"/>
      <c r="F65" s="75"/>
      <c r="G65" s="75"/>
      <c r="H65" s="75"/>
      <c r="J65" s="26"/>
      <c r="K65" s="25"/>
      <c r="N65" s="25"/>
    </row>
    <row r="66" spans="1:14" ht="15.75" customHeight="1" x14ac:dyDescent="0.25">
      <c r="A66" s="71" t="s">
        <v>90</v>
      </c>
      <c r="B66" s="71"/>
      <c r="C66" s="71"/>
      <c r="D66" s="155" t="str">
        <f>(IF(G57="NA","60 Years After Completion",IF(G57&lt;&gt;"NA",""&amp;60-ROUNDDOWN((E3-G57)/360,0)&amp;" Years"," ")))</f>
        <v>60 Years After Completion</v>
      </c>
      <c r="E66" s="155"/>
      <c r="F66" s="155"/>
      <c r="G66" s="155"/>
      <c r="H66" s="155"/>
      <c r="N66" s="25"/>
    </row>
    <row r="67" spans="1:14" ht="15.75" customHeight="1" x14ac:dyDescent="0.25">
      <c r="A67" s="71" t="s">
        <v>91</v>
      </c>
      <c r="B67" s="71"/>
      <c r="C67" s="71"/>
      <c r="D67" s="161" t="s">
        <v>24</v>
      </c>
      <c r="E67" s="161"/>
      <c r="F67" s="161"/>
      <c r="G67" s="161"/>
      <c r="H67" s="161"/>
      <c r="J67" s="27"/>
      <c r="K67" s="27"/>
    </row>
    <row r="68" spans="1:14" ht="30" customHeight="1" x14ac:dyDescent="0.25">
      <c r="A68" s="71" t="s">
        <v>77</v>
      </c>
      <c r="B68" s="71"/>
      <c r="C68" s="71"/>
      <c r="D68" s="75" t="s">
        <v>178</v>
      </c>
      <c r="E68" s="161"/>
      <c r="F68" s="161"/>
      <c r="G68" s="161"/>
      <c r="H68" s="161"/>
    </row>
    <row r="69" spans="1:14" x14ac:dyDescent="0.25">
      <c r="A69" s="161" t="s">
        <v>157</v>
      </c>
      <c r="B69" s="161"/>
      <c r="C69" s="161"/>
      <c r="D69" s="161" t="s">
        <v>30</v>
      </c>
      <c r="E69" s="161"/>
      <c r="F69" s="161"/>
      <c r="G69" s="161"/>
      <c r="H69" s="161"/>
      <c r="I69" s="28"/>
      <c r="J69" s="28"/>
      <c r="K69" s="28"/>
      <c r="L69" s="28"/>
      <c r="M69" s="28"/>
      <c r="N69" s="28"/>
    </row>
    <row r="70" spans="1:14" ht="15.75" customHeight="1" x14ac:dyDescent="0.25">
      <c r="A70" s="71" t="s">
        <v>89</v>
      </c>
      <c r="B70" s="71"/>
      <c r="C70" s="71"/>
      <c r="D70" s="75" t="str">
        <f ca="1">(IF(G76&gt;95%,"Nothing",IF(G76&gt;0%,"Cement, Aggregate, Steel, etc",IF(G76=0%,"Work not yet Started"))))</f>
        <v>Cement, Aggregate, Steel, etc</v>
      </c>
      <c r="E70" s="75"/>
      <c r="F70" s="75"/>
      <c r="G70" s="75"/>
      <c r="H70" s="75"/>
      <c r="J70" s="27"/>
    </row>
    <row r="71" spans="1:14" ht="33.75" customHeight="1" thickBot="1" x14ac:dyDescent="0.3">
      <c r="A71" s="161" t="s">
        <v>122</v>
      </c>
      <c r="B71" s="161"/>
      <c r="C71" s="161"/>
      <c r="D71" s="75" t="str">
        <f ca="1">(IF(D70="Nothing","Yes",IF(D70="Cement, Aggregate, Steel, etc","Under Construction",IF(D70="Work not yet Started","Work not yet Started"))))</f>
        <v>Under Construction</v>
      </c>
      <c r="E71" s="75"/>
      <c r="F71" s="75" t="str">
        <f ca="1">(IF(D70="Nothing","Yes",IF(D70="Cement, Aggregate, Steel, etc","Under Construction",IF(D70="Work not yet Started","Work not yet Started"))))</f>
        <v>Under Construction</v>
      </c>
      <c r="G71" s="75"/>
      <c r="H71" s="75"/>
    </row>
    <row r="72" spans="1:14" ht="15.75" customHeight="1" x14ac:dyDescent="0.25">
      <c r="A72" s="181" t="s">
        <v>147</v>
      </c>
      <c r="B72" s="181"/>
      <c r="C72" s="181" t="str">
        <f>D62</f>
        <v>A &amp; B Wing = Gr + 1st to 22nd Floor</v>
      </c>
      <c r="D72" s="181"/>
      <c r="E72" s="181"/>
      <c r="F72" s="181"/>
      <c r="G72" s="181"/>
      <c r="H72" s="181"/>
      <c r="I72" s="64" t="str">
        <f ca="1">IF(D85=100%,"All work Completed. Possession granted to the Building.",IF(D84=100%,"All work Completed, Waiting for OC",I73&amp;""&amp;I74&amp;""&amp;J73&amp;""&amp;J72&amp;" "&amp;J74))</f>
        <v>Excavation, Plinth, RCC Slab, Brickwork, Internal Plaster, External Plaster, Flooring, Painting Completed, Finishing upto 15 Floor Completed</v>
      </c>
      <c r="J72" s="52" t="str">
        <f ca="1">(IF(C78=(D73+F73+H73),"",IF(C78&gt;0,", RCC upto "&amp;C78&amp;" Slab","")))&amp;(IF(C79=H73,"",IF(C79&gt;0,", Brickwork upto "&amp;C79&amp;" Floor","")))&amp;(IF(C80=H73,"",IF(C80&gt;0,", Internal Plaster upto "&amp;C80&amp;" Floor","")))&amp;(IF(C81=H73,"",IF(C81&gt;0,", External Plaster upto "&amp;C81&amp;" Floor","")))&amp;(IF(C82=H73,"",IF(C82&gt;0,", Flooring upto "&amp;C82&amp;" Floor","")))&amp;(IF(C83=H73,"",IF(C83&gt;0,", Painting upto "&amp;C83&amp;" Floor","")))&amp;(IF(C84=H73,"",IF(C84&gt;0,", Finishing upto "&amp;C84&amp;" Floor","")))&amp;(IF(C85=H73,"",IF(C85&gt;0,", Possession upto "&amp;C85&amp;" Floor","")))</f>
        <v>, Finishing upto 15 Floor</v>
      </c>
    </row>
    <row r="73" spans="1:14" x14ac:dyDescent="0.25">
      <c r="A73" s="63" t="s">
        <v>149</v>
      </c>
      <c r="B73" s="63">
        <v>0</v>
      </c>
      <c r="C73" s="63" t="s">
        <v>74</v>
      </c>
      <c r="D73" s="63">
        <v>1</v>
      </c>
      <c r="E73" s="63" t="s">
        <v>73</v>
      </c>
      <c r="F73" s="63">
        <v>0</v>
      </c>
      <c r="G73" s="63" t="s">
        <v>83</v>
      </c>
      <c r="H73" s="63">
        <f ca="1">--TRIM(RIGHT(SUBSTITUTE(LEFT(C72,_xlfn.AGGREGATE(16,6,FIND({0,1,2,3,4,5,6,7,8,9},C72,ROW(INDIRECT("1:"&amp;LEN(C72)))),1))," ",REPT(" ",LEN(C72))),LEN(C72)))</f>
        <v>22</v>
      </c>
      <c r="I73" s="65" t="str">
        <f ca="1">IF(D76=100%,"Excavation","")&amp;IF(D77=100%,", Plinth","")&amp;IF(D78=100%,", RCC Slab","")&amp;IF(D79=100%,", Brickwork","")&amp;IF(D80=100%,", Internal Plaster","")&amp;IF(D81=100%,", External Plaster","")&amp;IF(D82=100%,", Flooring","")&amp;IF(D83=100%,", Painting","")&amp;IF(D84=100%,", Building common Amenities","")</f>
        <v>Excavation, Plinth, RCC Slab, Brickwork, Internal Plaster, External Plaster, Flooring, Painting</v>
      </c>
      <c r="J73" s="54" t="str">
        <f ca="1">(IF(C76=0,"Work not yet Started.",IF(D76=25%,"Piling work in process",IF(D76=50%,"Excavation work in process",IF(D76=100%,"","0")))))&amp;(IF(C77=0%,"",IF(C77=J78,", Footing work is process",IF(C77=J79,", Footing work Completed",IF(C77=J80,", 1st Basement Completed",IF(C77=J81,", 1st &amp; 2nd Basement Completed",IF(C77=J82,", 1st to 3rd Basement Completed",IF(C77=J83,", 1st to 4th Basement Completed",IF(C77=J84,", Plinth work is process",IF(C77=J85,"","0"))))))))))</f>
        <v/>
      </c>
    </row>
    <row r="74" spans="1:14" ht="34.5" customHeight="1" x14ac:dyDescent="0.25">
      <c r="A74" s="95" t="s">
        <v>93</v>
      </c>
      <c r="B74" s="95"/>
      <c r="C74" s="66" t="str">
        <f ca="1">I72</f>
        <v>Excavation, Plinth, RCC Slab, Brickwork, Internal Plaster, External Plaster, Flooring, Painting Completed, Finishing upto 15 Floor Completed</v>
      </c>
      <c r="D74" s="66"/>
      <c r="E74" s="66"/>
      <c r="F74" s="66"/>
      <c r="G74" s="66"/>
      <c r="H74" s="66"/>
      <c r="I74" s="65" t="str">
        <f ca="1">IF(I73&lt;&gt;""," Completed","")</f>
        <v xml:space="preserve"> Completed</v>
      </c>
      <c r="J74" s="54" t="str">
        <f ca="1">IF(J72&lt;&gt;"","Completed","")</f>
        <v>Completed</v>
      </c>
    </row>
    <row r="75" spans="1:14" ht="15.75" customHeight="1" x14ac:dyDescent="0.25">
      <c r="A75" s="119" t="s">
        <v>50</v>
      </c>
      <c r="B75" s="120"/>
      <c r="C75" s="56" t="s">
        <v>146</v>
      </c>
      <c r="D75" s="56" t="s">
        <v>86</v>
      </c>
      <c r="E75" s="120" t="s">
        <v>88</v>
      </c>
      <c r="F75" s="120"/>
      <c r="G75" s="120" t="s">
        <v>87</v>
      </c>
      <c r="H75" s="190"/>
      <c r="I75" s="14" t="s">
        <v>148</v>
      </c>
      <c r="J75" s="29">
        <f ca="1">H73*25%</f>
        <v>5.5</v>
      </c>
    </row>
    <row r="76" spans="1:14" x14ac:dyDescent="0.25">
      <c r="A76" s="119" t="s">
        <v>135</v>
      </c>
      <c r="B76" s="120"/>
      <c r="C76" s="56">
        <f ca="1">J77</f>
        <v>22</v>
      </c>
      <c r="D76" s="57">
        <f ca="1">((100/H73)*C76)/100</f>
        <v>1.0000000000000002</v>
      </c>
      <c r="E76" s="144">
        <f ca="1">(((C77/H73*10)+(40/(D73+F73+H73)*C78)+(7.5/(H73)*C79)+(7.5/(H73)*C80)+(10/H73*C81)+(10/H73*C82)+(5/H73*C83)+(5/H73*C84)+(5/H73*C85))/100)</f>
        <v>0.93409090909090908</v>
      </c>
      <c r="F76" s="145"/>
      <c r="G76" s="144">
        <f ca="1">((((C76/H73)*20)+((C77/H73)*25)+(30/(H73+F73+D73)*C78)+(5/H73*C79)+(5/H73*C80)+(5/H73*C81)+(5/H73*C82)+(0/H73*C83)+(0/H73*C84)+(5/H73*C85))/100)</f>
        <v>0.95</v>
      </c>
      <c r="H76" s="150"/>
      <c r="I76" s="14" t="s">
        <v>104</v>
      </c>
      <c r="J76" s="30">
        <f ca="1">H73*50%</f>
        <v>11</v>
      </c>
    </row>
    <row r="77" spans="1:14" x14ac:dyDescent="0.25">
      <c r="A77" s="119" t="s">
        <v>51</v>
      </c>
      <c r="B77" s="120"/>
      <c r="C77" s="56">
        <f ca="1">J85</f>
        <v>22</v>
      </c>
      <c r="D77" s="57">
        <f ca="1">((100/H73)*C77)/100</f>
        <v>1.0000000000000002</v>
      </c>
      <c r="E77" s="146"/>
      <c r="F77" s="147"/>
      <c r="G77" s="146"/>
      <c r="H77" s="151"/>
      <c r="I77" s="14" t="s">
        <v>105</v>
      </c>
      <c r="J77" s="30">
        <f ca="1">H73</f>
        <v>22</v>
      </c>
    </row>
    <row r="78" spans="1:14" ht="15.75" customHeight="1" x14ac:dyDescent="0.25">
      <c r="A78" s="119" t="s">
        <v>136</v>
      </c>
      <c r="B78" s="120"/>
      <c r="C78" s="56">
        <v>23</v>
      </c>
      <c r="D78" s="57">
        <f ca="1">((100/(D73+F73+H73))*C78)/100</f>
        <v>1</v>
      </c>
      <c r="E78" s="146"/>
      <c r="F78" s="147"/>
      <c r="G78" s="146"/>
      <c r="H78" s="151"/>
      <c r="I78" s="14" t="s">
        <v>106</v>
      </c>
      <c r="J78" s="31">
        <f ca="1">(IF(B73&gt;1,(H73/(B73+2)),H73/4))</f>
        <v>5.5</v>
      </c>
    </row>
    <row r="79" spans="1:14" ht="15.75" customHeight="1" x14ac:dyDescent="0.25">
      <c r="A79" s="119" t="s">
        <v>143</v>
      </c>
      <c r="B79" s="120" t="s">
        <v>137</v>
      </c>
      <c r="C79" s="56">
        <v>22</v>
      </c>
      <c r="D79" s="57">
        <f ca="1">((100/H73)*C79)/100</f>
        <v>1.0000000000000002</v>
      </c>
      <c r="E79" s="146"/>
      <c r="F79" s="147"/>
      <c r="G79" s="146"/>
      <c r="H79" s="151"/>
      <c r="I79" s="14" t="s">
        <v>107</v>
      </c>
      <c r="J79" s="31">
        <f ca="1">(IF(B73&gt;1,(H73/(B73+2)+J78),H73/4+J78))</f>
        <v>11</v>
      </c>
    </row>
    <row r="80" spans="1:14" ht="15.75" customHeight="1" x14ac:dyDescent="0.25">
      <c r="A80" s="119" t="s">
        <v>144</v>
      </c>
      <c r="B80" s="120" t="s">
        <v>137</v>
      </c>
      <c r="C80" s="56">
        <v>22</v>
      </c>
      <c r="D80" s="57">
        <f ca="1">((100/H73)*C80)/100</f>
        <v>1.0000000000000002</v>
      </c>
      <c r="E80" s="146"/>
      <c r="F80" s="147"/>
      <c r="G80" s="146"/>
      <c r="H80" s="151"/>
      <c r="I80" s="14" t="s">
        <v>153</v>
      </c>
      <c r="J80" s="31">
        <f>(IF(B73&gt;1,(H73/(B73+2)+J79),0))</f>
        <v>0</v>
      </c>
    </row>
    <row r="81" spans="1:10" ht="15" customHeight="1" x14ac:dyDescent="0.25">
      <c r="A81" s="119" t="s">
        <v>142</v>
      </c>
      <c r="B81" s="120" t="s">
        <v>139</v>
      </c>
      <c r="C81" s="56">
        <v>22</v>
      </c>
      <c r="D81" s="57">
        <f ca="1">((100/(H73))*C81)/100</f>
        <v>1.0000000000000002</v>
      </c>
      <c r="E81" s="146"/>
      <c r="F81" s="147"/>
      <c r="G81" s="146"/>
      <c r="H81" s="151"/>
      <c r="I81" s="14" t="s">
        <v>150</v>
      </c>
      <c r="J81" s="31">
        <f>(IF(B73&gt;2,(H73/(B73+2)+J80),0))</f>
        <v>0</v>
      </c>
    </row>
    <row r="82" spans="1:10" ht="15.75" customHeight="1" x14ac:dyDescent="0.25">
      <c r="A82" s="119" t="s">
        <v>138</v>
      </c>
      <c r="B82" s="120" t="s">
        <v>138</v>
      </c>
      <c r="C82" s="56">
        <v>22</v>
      </c>
      <c r="D82" s="57">
        <f ca="1">((100/H73)*C82)/100</f>
        <v>1.0000000000000002</v>
      </c>
      <c r="E82" s="146"/>
      <c r="F82" s="147"/>
      <c r="G82" s="146"/>
      <c r="H82" s="151"/>
      <c r="I82" s="14" t="s">
        <v>151</v>
      </c>
      <c r="J82" s="32">
        <f>(IF(B73&gt;3,(H73/(B73+2)+J81),0))</f>
        <v>0</v>
      </c>
    </row>
    <row r="83" spans="1:10" ht="15.75" customHeight="1" x14ac:dyDescent="0.25">
      <c r="A83" s="119" t="s">
        <v>145</v>
      </c>
      <c r="B83" s="120"/>
      <c r="C83" s="56">
        <v>22</v>
      </c>
      <c r="D83" s="57">
        <f ca="1">((100/H73)*C83)/100</f>
        <v>1.0000000000000002</v>
      </c>
      <c r="E83" s="146"/>
      <c r="F83" s="147"/>
      <c r="G83" s="146"/>
      <c r="H83" s="151"/>
      <c r="I83" s="14" t="s">
        <v>152</v>
      </c>
      <c r="J83" s="31">
        <f>(IF(B73&gt;4,(H73/(B73+2)+J82),0))</f>
        <v>0</v>
      </c>
    </row>
    <row r="84" spans="1:10" ht="15.75" customHeight="1" x14ac:dyDescent="0.25">
      <c r="A84" s="119" t="s">
        <v>140</v>
      </c>
      <c r="B84" s="120" t="s">
        <v>140</v>
      </c>
      <c r="C84" s="56">
        <v>15</v>
      </c>
      <c r="D84" s="57">
        <f ca="1">((100/(H73))*C84)/100</f>
        <v>0.68181818181818188</v>
      </c>
      <c r="E84" s="146"/>
      <c r="F84" s="147"/>
      <c r="G84" s="146"/>
      <c r="H84" s="151"/>
      <c r="I84" s="14" t="s">
        <v>154</v>
      </c>
      <c r="J84" s="31">
        <f ca="1">(IF(B73=1,(H73/(B73+3)+J79),IF(B73=0,(H73/4+J79),IF(B73&gt;1,0))))</f>
        <v>16.5</v>
      </c>
    </row>
    <row r="85" spans="1:10" ht="16.5" thickBot="1" x14ac:dyDescent="0.3">
      <c r="A85" s="153" t="s">
        <v>141</v>
      </c>
      <c r="B85" s="154"/>
      <c r="C85" s="58">
        <v>0</v>
      </c>
      <c r="D85" s="59">
        <f ca="1">((100/(H73))*C85)/100</f>
        <v>0</v>
      </c>
      <c r="E85" s="148"/>
      <c r="F85" s="149"/>
      <c r="G85" s="148"/>
      <c r="H85" s="152"/>
      <c r="I85" s="16" t="s">
        <v>108</v>
      </c>
      <c r="J85" s="33">
        <f ca="1">(IF(B73&gt;1.5,(H73/(B73+2)+J79+MAX(0,J80-J79)+MAX(0,J81-J80)+MAX(0,J82-J81)+MAX(0,J83-J82)+MAX(0,J84-J83)),IF(B73=1,(H73/(B73+3)+J84),IF(B73=0,H73/4+J84))))</f>
        <v>22</v>
      </c>
    </row>
    <row r="86" spans="1:10" ht="15.75" hidden="1" customHeight="1" x14ac:dyDescent="0.25">
      <c r="A86" s="123" t="s">
        <v>147</v>
      </c>
      <c r="B86" s="124"/>
      <c r="C86" s="125" t="str">
        <f>D63</f>
        <v>B Wing = G + 1st to 20th Floor</v>
      </c>
      <c r="D86" s="126"/>
      <c r="E86" s="126"/>
      <c r="F86" s="126"/>
      <c r="G86" s="126"/>
      <c r="H86" s="127"/>
      <c r="I86" s="51" t="str">
        <f ca="1">IF(D99=100%,"All work Completed. Possession granted to the Building.",IF(D98=100%,"All work Completed, Waiting for OC",I87&amp;""&amp;I88&amp;""&amp;J87&amp;""&amp;J86&amp;" "&amp;J88))</f>
        <v xml:space="preserve">Excavation, Plinth, RCC Slab Completed </v>
      </c>
      <c r="J86" s="52" t="str">
        <f ca="1">(IF(C92=(D87+F87+H87),"",IF(C92&gt;0,", RCC upto "&amp;C92&amp;" Slab","")))&amp;(IF(C93=H87,"",IF(C93&gt;0,", Brickwork upto "&amp;C93&amp;" Floor","")))&amp;(IF(C94=H87,"",IF(C94&gt;0,", Internal Plaster upto "&amp;C94&amp;" Floor","")))&amp;(IF(C95=H87,"",IF(C95&gt;0,", External Plaster upto "&amp;C95&amp;" Floor","")))&amp;(IF(C96=H87,"",IF(C96&gt;0,", Flooring upto "&amp;C96&amp;" Floor","")))&amp;(IF(C97=H87,"",IF(C97&gt;0,", Painting upto "&amp;C97&amp;" Floor","")))&amp;(IF(C98=H87,"",IF(C98&gt;0,", Finishing upto "&amp;C98&amp;" Floor","")))&amp;(IF(C99=H87,"",IF(C99&gt;0,", Possession upto "&amp;C99&amp;" Floor","")))</f>
        <v/>
      </c>
    </row>
    <row r="87" spans="1:10" hidden="1" x14ac:dyDescent="0.25">
      <c r="A87" s="17" t="s">
        <v>149</v>
      </c>
      <c r="B87" s="15">
        <v>0</v>
      </c>
      <c r="C87" s="49" t="s">
        <v>74</v>
      </c>
      <c r="D87" s="49">
        <v>1</v>
      </c>
      <c r="E87" s="49" t="s">
        <v>73</v>
      </c>
      <c r="F87" s="15">
        <v>0</v>
      </c>
      <c r="G87" s="50" t="s">
        <v>83</v>
      </c>
      <c r="H87" s="18">
        <f ca="1">--TRIM(RIGHT(SUBSTITUTE(LEFT(C86,_xlfn.AGGREGATE(16,6,FIND({0,1,2,3,4,5,6,7,8,9},C86,ROW(INDIRECT("1:"&amp;LEN(C86)))),1))," ",REPT(" ",LEN(C86))),LEN(C86)))</f>
        <v>20</v>
      </c>
      <c r="I87" s="53" t="str">
        <f ca="1">IF(D90=100%,"Excavation","")&amp;IF(D91=100%,", Plinth","")&amp;IF(D92=100%,", RCC Slab","")&amp;IF(D93=100%,", Brickwork","")&amp;IF(D94=100%,", Internal Plaster","")&amp;IF(D95=100%,", External Plaster","")&amp;IF(D96=100%,", Flooring","")&amp;IF(D97=100%,", Painting","")&amp;IF(D98=100%,", Building common Amenities","")</f>
        <v>Excavation, Plinth, RCC Slab</v>
      </c>
      <c r="J87" s="54" t="str">
        <f ca="1">(IF(C90=0,"Work not yet Started.",IF(D90=25%,"Piling work in process",IF(D90=50%,"Excavation work in process",IF(D90=100%,"","0")))))&amp;(IF(C91=0%,"",IF(C91=J92,", Footing work is process",IF(C91=J93,", Footing work Completed",IF(C91=J94,", 1st Basement Completed",IF(C91=J95,", 1st &amp; 2nd Basement Completed",IF(C91=J96,", 1st to 3rd Basement Completed",IF(C91=J97,", 1st to 4th Basement Completed",IF(C91=J98,", Plinth work is process",IF(C91=J99,"","0"))))))))))</f>
        <v/>
      </c>
    </row>
    <row r="88" spans="1:10" ht="33.75" hidden="1" customHeight="1" x14ac:dyDescent="0.25">
      <c r="A88" s="94" t="s">
        <v>93</v>
      </c>
      <c r="B88" s="95"/>
      <c r="C88" s="66" t="str">
        <f ca="1">(IF($G$57="NA",I86,"All work Completed. OC Received."))</f>
        <v xml:space="preserve">Excavation, Plinth, RCC Slab Completed </v>
      </c>
      <c r="D88" s="66"/>
      <c r="E88" s="66"/>
      <c r="F88" s="66"/>
      <c r="G88" s="66"/>
      <c r="H88" s="67"/>
      <c r="I88" s="53" t="str">
        <f ca="1">IF(I87&lt;&gt;""," Completed","")</f>
        <v xml:space="preserve"> Completed</v>
      </c>
      <c r="J88" s="54" t="str">
        <f ca="1">IF(J86&lt;&gt;"","Completed","")</f>
        <v/>
      </c>
    </row>
    <row r="89" spans="1:10" ht="15.75" hidden="1" customHeight="1" x14ac:dyDescent="0.25">
      <c r="A89" s="68" t="s">
        <v>50</v>
      </c>
      <c r="B89" s="69"/>
      <c r="C89" s="45" t="s">
        <v>146</v>
      </c>
      <c r="D89" s="45" t="s">
        <v>86</v>
      </c>
      <c r="E89" s="69" t="s">
        <v>88</v>
      </c>
      <c r="F89" s="69"/>
      <c r="G89" s="69" t="s">
        <v>87</v>
      </c>
      <c r="H89" s="70"/>
      <c r="I89" s="14" t="s">
        <v>148</v>
      </c>
      <c r="J89" s="29">
        <f ca="1">H87*25%</f>
        <v>5</v>
      </c>
    </row>
    <row r="90" spans="1:10" hidden="1" x14ac:dyDescent="0.25">
      <c r="A90" s="68" t="s">
        <v>135</v>
      </c>
      <c r="B90" s="69"/>
      <c r="C90" s="45">
        <f ca="1">J91</f>
        <v>20</v>
      </c>
      <c r="D90" s="20">
        <f ca="1">((100/H87)*C90)/100</f>
        <v>1</v>
      </c>
      <c r="E90" s="84">
        <f ca="1">(((C91/H87*10)+(40/(D87+F87+H87)*C92)+(7.5/(H87)*C93)+(7.5/(H87)*C94)+(10/H87*C95)+(10/H87*C96)+(5/H87*C97)+(5/H87*C98)+(5/H87*C99))/100)</f>
        <v>0.5</v>
      </c>
      <c r="F90" s="134"/>
      <c r="G90" s="84">
        <f ca="1">((((C90/H87)*20)+((C91/H87)*25)+(30/(H87+F87+D87)*C92)+(5/H87*C93)+(5/H87*C94)+(5/H87*C95)+(5/H87*C96)+(0/H87*C97)+(0/H87*C98)+(5/H87*C99))/100)</f>
        <v>0.75</v>
      </c>
      <c r="H90" s="85"/>
      <c r="I90" s="14" t="s">
        <v>104</v>
      </c>
      <c r="J90" s="30">
        <f ca="1">H87*50%</f>
        <v>10</v>
      </c>
    </row>
    <row r="91" spans="1:10" hidden="1" x14ac:dyDescent="0.25">
      <c r="A91" s="68" t="s">
        <v>51</v>
      </c>
      <c r="B91" s="69"/>
      <c r="C91" s="45">
        <f ca="1">J99</f>
        <v>20</v>
      </c>
      <c r="D91" s="20">
        <f ca="1">((100/H87)*C91)/100</f>
        <v>1</v>
      </c>
      <c r="E91" s="86"/>
      <c r="F91" s="135"/>
      <c r="G91" s="86"/>
      <c r="H91" s="87"/>
      <c r="I91" s="14" t="s">
        <v>105</v>
      </c>
      <c r="J91" s="30">
        <f ca="1">H87</f>
        <v>20</v>
      </c>
    </row>
    <row r="92" spans="1:10" ht="15.75" hidden="1" customHeight="1" x14ac:dyDescent="0.25">
      <c r="A92" s="68" t="s">
        <v>136</v>
      </c>
      <c r="B92" s="69"/>
      <c r="C92" s="45">
        <f ca="1">D87+H87</f>
        <v>21</v>
      </c>
      <c r="D92" s="20">
        <f ca="1">((100/(D87+F87+H87))*C92)/100</f>
        <v>1</v>
      </c>
      <c r="E92" s="86"/>
      <c r="F92" s="135"/>
      <c r="G92" s="86"/>
      <c r="H92" s="87"/>
      <c r="I92" s="14" t="s">
        <v>106</v>
      </c>
      <c r="J92" s="31">
        <f ca="1">(IF(B87&gt;1,(H87/(B87+2)),H87/4))</f>
        <v>5</v>
      </c>
    </row>
    <row r="93" spans="1:10" ht="15.75" hidden="1" customHeight="1" x14ac:dyDescent="0.25">
      <c r="A93" s="68" t="s">
        <v>143</v>
      </c>
      <c r="B93" s="69" t="s">
        <v>137</v>
      </c>
      <c r="C93" s="45">
        <v>0</v>
      </c>
      <c r="D93" s="20">
        <f ca="1">((100/H87)*C93)/100</f>
        <v>0</v>
      </c>
      <c r="E93" s="86"/>
      <c r="F93" s="135"/>
      <c r="G93" s="86"/>
      <c r="H93" s="87"/>
      <c r="I93" s="14" t="s">
        <v>107</v>
      </c>
      <c r="J93" s="31">
        <f ca="1">(IF(B87&gt;1,(H87/(B87+2)+J92),H87/4+J92))</f>
        <v>10</v>
      </c>
    </row>
    <row r="94" spans="1:10" ht="15.75" hidden="1" customHeight="1" x14ac:dyDescent="0.25">
      <c r="A94" s="68" t="s">
        <v>144</v>
      </c>
      <c r="B94" s="69" t="s">
        <v>137</v>
      </c>
      <c r="C94" s="45">
        <v>0</v>
      </c>
      <c r="D94" s="20">
        <f ca="1">((100/H87)*C94)/100</f>
        <v>0</v>
      </c>
      <c r="E94" s="86"/>
      <c r="F94" s="135"/>
      <c r="G94" s="86"/>
      <c r="H94" s="87"/>
      <c r="I94" s="14" t="s">
        <v>153</v>
      </c>
      <c r="J94" s="31">
        <f>(IF(B87&gt;1,(H87/(B87+2)+J93),0))</f>
        <v>0</v>
      </c>
    </row>
    <row r="95" spans="1:10" ht="15" hidden="1" customHeight="1" x14ac:dyDescent="0.25">
      <c r="A95" s="68" t="s">
        <v>142</v>
      </c>
      <c r="B95" s="69" t="s">
        <v>139</v>
      </c>
      <c r="C95" s="45">
        <v>0</v>
      </c>
      <c r="D95" s="20">
        <f ca="1">((100/(H87))*C95)/100</f>
        <v>0</v>
      </c>
      <c r="E95" s="86"/>
      <c r="F95" s="135"/>
      <c r="G95" s="86"/>
      <c r="H95" s="87"/>
      <c r="I95" s="14" t="s">
        <v>150</v>
      </c>
      <c r="J95" s="31">
        <f>(IF(B87&gt;2,(H87/(B87+2)+J94),0))</f>
        <v>0</v>
      </c>
    </row>
    <row r="96" spans="1:10" ht="15.75" hidden="1" customHeight="1" x14ac:dyDescent="0.25">
      <c r="A96" s="68" t="s">
        <v>138</v>
      </c>
      <c r="B96" s="69" t="s">
        <v>138</v>
      </c>
      <c r="C96" s="45">
        <v>0</v>
      </c>
      <c r="D96" s="20">
        <f ca="1">((100/H87)*C96)/100</f>
        <v>0</v>
      </c>
      <c r="E96" s="86"/>
      <c r="F96" s="135"/>
      <c r="G96" s="86"/>
      <c r="H96" s="87"/>
      <c r="I96" s="14" t="s">
        <v>151</v>
      </c>
      <c r="J96" s="32">
        <f>(IF(B87&gt;3,(H87/(B87+2)+J95),0))</f>
        <v>0</v>
      </c>
    </row>
    <row r="97" spans="1:10" ht="15.75" hidden="1" customHeight="1" x14ac:dyDescent="0.25">
      <c r="A97" s="68" t="s">
        <v>145</v>
      </c>
      <c r="B97" s="69"/>
      <c r="C97" s="45">
        <v>0</v>
      </c>
      <c r="D97" s="20">
        <f ca="1">((100/H87)*C97)/100</f>
        <v>0</v>
      </c>
      <c r="E97" s="86"/>
      <c r="F97" s="135"/>
      <c r="G97" s="86"/>
      <c r="H97" s="87"/>
      <c r="I97" s="14" t="s">
        <v>152</v>
      </c>
      <c r="J97" s="31">
        <f>(IF(B87&gt;4,(H87/(B87+2)+J96),0))</f>
        <v>0</v>
      </c>
    </row>
    <row r="98" spans="1:10" ht="15.75" hidden="1" customHeight="1" x14ac:dyDescent="0.25">
      <c r="A98" s="68" t="s">
        <v>140</v>
      </c>
      <c r="B98" s="69" t="s">
        <v>140</v>
      </c>
      <c r="C98" s="45">
        <v>0</v>
      </c>
      <c r="D98" s="20">
        <f ca="1">((100/(H87))*C98)/100</f>
        <v>0</v>
      </c>
      <c r="E98" s="86"/>
      <c r="F98" s="135"/>
      <c r="G98" s="86"/>
      <c r="H98" s="87"/>
      <c r="I98" s="14" t="s">
        <v>154</v>
      </c>
      <c r="J98" s="31">
        <f ca="1">(IF(B87=1,(H87/(B87+3)+J93),IF(B87=0,(H87/4+J93),IF(B87&gt;1,0))))</f>
        <v>15</v>
      </c>
    </row>
    <row r="99" spans="1:10" ht="16.5" hidden="1" thickBot="1" x14ac:dyDescent="0.3">
      <c r="A99" s="137" t="s">
        <v>141</v>
      </c>
      <c r="B99" s="138"/>
      <c r="C99" s="46">
        <v>0</v>
      </c>
      <c r="D99" s="21">
        <f ca="1">((100/(H87))*C99)/100</f>
        <v>0</v>
      </c>
      <c r="E99" s="88"/>
      <c r="F99" s="136"/>
      <c r="G99" s="88"/>
      <c r="H99" s="89"/>
      <c r="I99" s="16" t="s">
        <v>108</v>
      </c>
      <c r="J99" s="33">
        <f ca="1">(IF(B87&gt;1.5,(H87/(B87+2)+J93+MAX(0,J94-J93)+MAX(0,J95-J94)+MAX(0,J96-J95)+MAX(0,J97-J96)+MAX(0,J98-J97)),IF(B87=1,(H87/(B87+3)+J98),IF(B87=0,H87/4+J98))))</f>
        <v>20</v>
      </c>
    </row>
    <row r="100" spans="1:10" ht="15.75" hidden="1" customHeight="1" x14ac:dyDescent="0.25">
      <c r="A100" s="123" t="s">
        <v>147</v>
      </c>
      <c r="B100" s="124"/>
      <c r="C100" s="125" t="str">
        <f>D64</f>
        <v>C Wing = G + 1st to 20th Floor</v>
      </c>
      <c r="D100" s="126"/>
      <c r="E100" s="126"/>
      <c r="F100" s="126"/>
      <c r="G100" s="126"/>
      <c r="H100" s="127"/>
      <c r="I100" s="51" t="str">
        <f ca="1">IF(D113=100%,"All work Completed. Possession granted to the Building.",IF(D112=100%,"All work Completed, Waiting for OC",I101&amp;""&amp;I102&amp;""&amp;J101&amp;""&amp;J100&amp;" "&amp;J102))</f>
        <v xml:space="preserve">Excavation, Plinth, RCC Slab Completed </v>
      </c>
      <c r="J100" s="52" t="str">
        <f ca="1">(IF(C106=(D101+F101+H101),"",IF(C106&gt;0,", RCC upto "&amp;C106&amp;" Slab","")))&amp;(IF(C107=H101,"",IF(C107&gt;0,", Brickwork upto "&amp;C107&amp;" Floor","")))&amp;(IF(C108=H101,"",IF(C108&gt;0,", Internal Plaster upto "&amp;C108&amp;" Floor","")))&amp;(IF(C109=H101,"",IF(C109&gt;0,", External Plaster upto "&amp;C109&amp;" Floor","")))&amp;(IF(C110=H101,"",IF(C110&gt;0,", Flooring upto "&amp;C110&amp;" Floor","")))&amp;(IF(C111=H101,"",IF(C111&gt;0,", Painting upto "&amp;C111&amp;" Floor","")))&amp;(IF(C112=H101,"",IF(C112&gt;0,", Finishing upto "&amp;C112&amp;" Floor","")))&amp;(IF(C113=H101,"",IF(C113&gt;0,", Possession upto "&amp;C113&amp;" Floor","")))</f>
        <v/>
      </c>
    </row>
    <row r="101" spans="1:10" hidden="1" x14ac:dyDescent="0.25">
      <c r="A101" s="17" t="s">
        <v>149</v>
      </c>
      <c r="B101" s="15">
        <v>0</v>
      </c>
      <c r="C101" s="49" t="s">
        <v>74</v>
      </c>
      <c r="D101" s="49">
        <v>1</v>
      </c>
      <c r="E101" s="49" t="s">
        <v>73</v>
      </c>
      <c r="F101" s="15">
        <v>0</v>
      </c>
      <c r="G101" s="50" t="s">
        <v>83</v>
      </c>
      <c r="H101" s="18">
        <f ca="1">--TRIM(RIGHT(SUBSTITUTE(LEFT(C100,_xlfn.AGGREGATE(16,6,FIND({0,1,2,3,4,5,6,7,8,9},C100,ROW(INDIRECT("1:"&amp;LEN(C100)))),1))," ",REPT(" ",LEN(C100))),LEN(C100)))</f>
        <v>20</v>
      </c>
      <c r="I101" s="53" t="str">
        <f ca="1">IF(D104=100%,"Excavation","")&amp;IF(D105=100%,", Plinth","")&amp;IF(D106=100%,", RCC Slab","")&amp;IF(D107=100%,", Brickwork","")&amp;IF(D108=100%,", Internal Plaster","")&amp;IF(D109=100%,", External Plaster","")&amp;IF(D110=100%,", Flooring","")&amp;IF(D111=100%,", Painting","")&amp;IF(D112=100%,", Building common Amenities","")</f>
        <v>Excavation, Plinth, RCC Slab</v>
      </c>
      <c r="J101" s="54" t="str">
        <f ca="1">(IF(C104=0,"Work not yet Started.",IF(D104=25%,"Piling work in process",IF(D104=50%,"Excavation work in process",IF(D104=100%,"","0")))))&amp;(IF(C105=0%,"",IF(C105=J106,", Footing work is process",IF(C105=J107,", Footing work Completed",IF(C105=J108,", 1st Basement Completed",IF(C105=J109,", 1st &amp; 2nd Basement Completed",IF(C105=J110,", 1st to 3rd Basement Completed",IF(C105=J111,", 1st to 4th Basement Completed",IF(C105=J112,", Plinth work is process",IF(C105=J113,"","0"))))))))))</f>
        <v/>
      </c>
    </row>
    <row r="102" spans="1:10" ht="33" hidden="1" customHeight="1" x14ac:dyDescent="0.25">
      <c r="A102" s="94" t="s">
        <v>93</v>
      </c>
      <c r="B102" s="95"/>
      <c r="C102" s="66" t="str">
        <f ca="1">(IF($G$57="NA",I100,"All work Completed. OC Received."))</f>
        <v xml:space="preserve">Excavation, Plinth, RCC Slab Completed </v>
      </c>
      <c r="D102" s="66"/>
      <c r="E102" s="66"/>
      <c r="F102" s="66"/>
      <c r="G102" s="66"/>
      <c r="H102" s="67"/>
      <c r="I102" s="53" t="str">
        <f ca="1">IF(I101&lt;&gt;""," Completed","")</f>
        <v xml:space="preserve"> Completed</v>
      </c>
      <c r="J102" s="54" t="str">
        <f ca="1">IF(J100&lt;&gt;"","Completed","")</f>
        <v/>
      </c>
    </row>
    <row r="103" spans="1:10" ht="15.75" hidden="1" customHeight="1" x14ac:dyDescent="0.25">
      <c r="A103" s="68" t="s">
        <v>50</v>
      </c>
      <c r="B103" s="69"/>
      <c r="C103" s="45" t="s">
        <v>146</v>
      </c>
      <c r="D103" s="45" t="s">
        <v>86</v>
      </c>
      <c r="E103" s="69" t="s">
        <v>88</v>
      </c>
      <c r="F103" s="69"/>
      <c r="G103" s="69" t="s">
        <v>87</v>
      </c>
      <c r="H103" s="70"/>
      <c r="I103" s="14" t="s">
        <v>148</v>
      </c>
      <c r="J103" s="29">
        <f ca="1">H101*25%</f>
        <v>5</v>
      </c>
    </row>
    <row r="104" spans="1:10" hidden="1" x14ac:dyDescent="0.25">
      <c r="A104" s="68" t="s">
        <v>135</v>
      </c>
      <c r="B104" s="69"/>
      <c r="C104" s="45">
        <f ca="1">J105</f>
        <v>20</v>
      </c>
      <c r="D104" s="20">
        <f ca="1">((100/H101)*C104)/100</f>
        <v>1</v>
      </c>
      <c r="E104" s="84">
        <f ca="1">(((C105/H101*10)+(40/(D101+F101+H101)*C106)+(7.5/(H101)*C107)+(7.5/(H101)*C108)+(10/H101*C109)+(10/H101*C110)+(5/H101*C111)+(5/H101*C112)+(5/H101*C113))/100)</f>
        <v>0.5</v>
      </c>
      <c r="F104" s="134"/>
      <c r="G104" s="84">
        <f ca="1">((((C104/H101)*20)+((C105/H101)*25)+(30/(H101+F101+D101)*C106)+(5/H101*C107)+(5/H101*C108)+(5/H101*C109)+(5/H101*C110)+(0/H101*C111)+(0/H101*C112)+(5/H101*C113))/100)</f>
        <v>0.75</v>
      </c>
      <c r="H104" s="85"/>
      <c r="I104" s="14" t="s">
        <v>104</v>
      </c>
      <c r="J104" s="30">
        <f ca="1">H101*50%</f>
        <v>10</v>
      </c>
    </row>
    <row r="105" spans="1:10" hidden="1" x14ac:dyDescent="0.25">
      <c r="A105" s="68" t="s">
        <v>51</v>
      </c>
      <c r="B105" s="69"/>
      <c r="C105" s="45">
        <f ca="1">J113</f>
        <v>20</v>
      </c>
      <c r="D105" s="20">
        <f ca="1">((100/H101)*C105)/100</f>
        <v>1</v>
      </c>
      <c r="E105" s="86"/>
      <c r="F105" s="135"/>
      <c r="G105" s="86"/>
      <c r="H105" s="87"/>
      <c r="I105" s="14" t="s">
        <v>105</v>
      </c>
      <c r="J105" s="30">
        <f ca="1">H101</f>
        <v>20</v>
      </c>
    </row>
    <row r="106" spans="1:10" ht="15.75" hidden="1" customHeight="1" x14ac:dyDescent="0.25">
      <c r="A106" s="68" t="s">
        <v>136</v>
      </c>
      <c r="B106" s="69"/>
      <c r="C106" s="45">
        <f ca="1">D101+H101</f>
        <v>21</v>
      </c>
      <c r="D106" s="20">
        <f ca="1">((100/(D101+F101+H101))*C106)/100</f>
        <v>1</v>
      </c>
      <c r="E106" s="86"/>
      <c r="F106" s="135"/>
      <c r="G106" s="86"/>
      <c r="H106" s="87"/>
      <c r="I106" s="14" t="s">
        <v>106</v>
      </c>
      <c r="J106" s="31">
        <f ca="1">(IF(B101&gt;1,(H101/(B101+2)),H101/4))</f>
        <v>5</v>
      </c>
    </row>
    <row r="107" spans="1:10" ht="15.75" hidden="1" customHeight="1" x14ac:dyDescent="0.25">
      <c r="A107" s="68" t="s">
        <v>143</v>
      </c>
      <c r="B107" s="69" t="s">
        <v>137</v>
      </c>
      <c r="C107" s="45">
        <v>0</v>
      </c>
      <c r="D107" s="20">
        <f ca="1">((100/H101)*C107)/100</f>
        <v>0</v>
      </c>
      <c r="E107" s="86"/>
      <c r="F107" s="135"/>
      <c r="G107" s="86"/>
      <c r="H107" s="87"/>
      <c r="I107" s="14" t="s">
        <v>107</v>
      </c>
      <c r="J107" s="31">
        <f ca="1">(IF(B101&gt;1,(H101/(B101+2)+J106),H101/4+J106))</f>
        <v>10</v>
      </c>
    </row>
    <row r="108" spans="1:10" ht="15.75" hidden="1" customHeight="1" x14ac:dyDescent="0.25">
      <c r="A108" s="68" t="s">
        <v>144</v>
      </c>
      <c r="B108" s="69" t="s">
        <v>137</v>
      </c>
      <c r="C108" s="45">
        <v>0</v>
      </c>
      <c r="D108" s="20">
        <f ca="1">((100/H101)*C108)/100</f>
        <v>0</v>
      </c>
      <c r="E108" s="86"/>
      <c r="F108" s="135"/>
      <c r="G108" s="86"/>
      <c r="H108" s="87"/>
      <c r="I108" s="14" t="s">
        <v>153</v>
      </c>
      <c r="J108" s="31">
        <f>(IF(B101&gt;1,(H101/(B101+2)+J107),0))</f>
        <v>0</v>
      </c>
    </row>
    <row r="109" spans="1:10" ht="15" hidden="1" customHeight="1" x14ac:dyDescent="0.25">
      <c r="A109" s="68" t="s">
        <v>142</v>
      </c>
      <c r="B109" s="69" t="s">
        <v>139</v>
      </c>
      <c r="C109" s="45">
        <v>0</v>
      </c>
      <c r="D109" s="20">
        <f ca="1">((100/(H101))*C109)/100</f>
        <v>0</v>
      </c>
      <c r="E109" s="86"/>
      <c r="F109" s="135"/>
      <c r="G109" s="86"/>
      <c r="H109" s="87"/>
      <c r="I109" s="14" t="s">
        <v>150</v>
      </c>
      <c r="J109" s="31">
        <f>(IF(B101&gt;2,(H101/(B101+2)+J108),0))</f>
        <v>0</v>
      </c>
    </row>
    <row r="110" spans="1:10" ht="15.75" hidden="1" customHeight="1" x14ac:dyDescent="0.25">
      <c r="A110" s="68" t="s">
        <v>138</v>
      </c>
      <c r="B110" s="69" t="s">
        <v>138</v>
      </c>
      <c r="C110" s="45">
        <v>0</v>
      </c>
      <c r="D110" s="20">
        <f ca="1">((100/H101)*C110)/100</f>
        <v>0</v>
      </c>
      <c r="E110" s="86"/>
      <c r="F110" s="135"/>
      <c r="G110" s="86"/>
      <c r="H110" s="87"/>
      <c r="I110" s="14" t="s">
        <v>151</v>
      </c>
      <c r="J110" s="32">
        <f>(IF(B101&gt;3,(H101/(B101+2)+J109),0))</f>
        <v>0</v>
      </c>
    </row>
    <row r="111" spans="1:10" ht="15.75" hidden="1" customHeight="1" x14ac:dyDescent="0.25">
      <c r="A111" s="68" t="s">
        <v>145</v>
      </c>
      <c r="B111" s="69"/>
      <c r="C111" s="45">
        <v>0</v>
      </c>
      <c r="D111" s="20">
        <f ca="1">((100/H101)*C111)/100</f>
        <v>0</v>
      </c>
      <c r="E111" s="86"/>
      <c r="F111" s="135"/>
      <c r="G111" s="86"/>
      <c r="H111" s="87"/>
      <c r="I111" s="14" t="s">
        <v>152</v>
      </c>
      <c r="J111" s="31">
        <f>(IF(B101&gt;4,(H101/(B101+2)+J110),0))</f>
        <v>0</v>
      </c>
    </row>
    <row r="112" spans="1:10" ht="15.75" hidden="1" customHeight="1" x14ac:dyDescent="0.25">
      <c r="A112" s="68" t="s">
        <v>140</v>
      </c>
      <c r="B112" s="69" t="s">
        <v>140</v>
      </c>
      <c r="C112" s="45">
        <v>0</v>
      </c>
      <c r="D112" s="20">
        <f ca="1">((100/(H101))*C112)/100</f>
        <v>0</v>
      </c>
      <c r="E112" s="86"/>
      <c r="F112" s="135"/>
      <c r="G112" s="86"/>
      <c r="H112" s="87"/>
      <c r="I112" s="14" t="s">
        <v>154</v>
      </c>
      <c r="J112" s="31">
        <f ca="1">(IF(B101=1,(H101/(B101+3)+J107),IF(B101=0,(H101/4+J107),IF(B101&gt;1,0))))</f>
        <v>15</v>
      </c>
    </row>
    <row r="113" spans="1:13" ht="16.5" hidden="1" thickBot="1" x14ac:dyDescent="0.3">
      <c r="A113" s="137" t="s">
        <v>141</v>
      </c>
      <c r="B113" s="138"/>
      <c r="C113" s="46">
        <v>0</v>
      </c>
      <c r="D113" s="21">
        <f ca="1">((100/(H101))*C113)/100</f>
        <v>0</v>
      </c>
      <c r="E113" s="88"/>
      <c r="F113" s="136"/>
      <c r="G113" s="88"/>
      <c r="H113" s="89"/>
      <c r="I113" s="16" t="s">
        <v>108</v>
      </c>
      <c r="J113" s="33">
        <f ca="1">(IF(B101&gt;1.5,(H101/(B101+2)+J107+MAX(0,J108-J107)+MAX(0,J109-J108)+MAX(0,J110-J109)+MAX(0,J111-J110)+MAX(0,J112-J111)),IF(B101=1,(H101/(B101+3)+J112),IF(B101=0,H101/4+J112))))</f>
        <v>20</v>
      </c>
    </row>
    <row r="114" spans="1:13" x14ac:dyDescent="0.25">
      <c r="A114" s="72" t="s">
        <v>166</v>
      </c>
      <c r="B114" s="72"/>
      <c r="C114" s="72"/>
      <c r="D114" s="72"/>
      <c r="E114" s="72"/>
      <c r="F114" s="139" t="s">
        <v>171</v>
      </c>
      <c r="G114" s="139"/>
      <c r="H114" s="139"/>
    </row>
    <row r="115" spans="1:13" x14ac:dyDescent="0.25">
      <c r="A115" s="71" t="s">
        <v>169</v>
      </c>
      <c r="B115" s="71"/>
      <c r="C115" s="71"/>
      <c r="D115" s="71"/>
      <c r="E115" s="71"/>
      <c r="F115" s="203">
        <v>12200</v>
      </c>
      <c r="G115" s="203"/>
      <c r="H115" s="203"/>
      <c r="J115" s="61" t="s">
        <v>223</v>
      </c>
      <c r="K115" s="62">
        <v>45013</v>
      </c>
      <c r="L115" s="61" t="s">
        <v>224</v>
      </c>
      <c r="M115" s="61" t="s">
        <v>225</v>
      </c>
    </row>
    <row r="116" spans="1:13" hidden="1" x14ac:dyDescent="0.25">
      <c r="A116" s="71" t="s">
        <v>168</v>
      </c>
      <c r="B116" s="71"/>
      <c r="C116" s="71"/>
      <c r="D116" s="71"/>
      <c r="E116" s="71"/>
      <c r="F116" s="73"/>
      <c r="G116" s="73"/>
      <c r="H116" s="73"/>
    </row>
    <row r="117" spans="1:13" hidden="1" x14ac:dyDescent="0.25">
      <c r="A117" s="71" t="s">
        <v>170</v>
      </c>
      <c r="B117" s="71"/>
      <c r="C117" s="71"/>
      <c r="D117" s="71"/>
      <c r="E117" s="71"/>
      <c r="F117" s="73"/>
      <c r="G117" s="73"/>
      <c r="H117" s="73"/>
    </row>
    <row r="118" spans="1:13" s="34" customFormat="1" hidden="1" x14ac:dyDescent="0.25">
      <c r="A118" s="71" t="s">
        <v>167</v>
      </c>
      <c r="B118" s="71"/>
      <c r="C118" s="71"/>
      <c r="D118" s="71"/>
      <c r="E118" s="71"/>
      <c r="F118" s="73"/>
      <c r="G118" s="73"/>
      <c r="H118" s="73"/>
    </row>
    <row r="119" spans="1:13" s="34" customFormat="1" x14ac:dyDescent="0.25">
      <c r="A119" s="71" t="s">
        <v>98</v>
      </c>
      <c r="B119" s="71"/>
      <c r="C119" s="71"/>
      <c r="D119" s="71"/>
      <c r="E119" s="71"/>
      <c r="F119" s="73">
        <v>400000</v>
      </c>
      <c r="G119" s="73"/>
      <c r="H119" s="73"/>
    </row>
    <row r="120" spans="1:13" s="34" customFormat="1" hidden="1" x14ac:dyDescent="0.25">
      <c r="A120" s="71" t="s">
        <v>99</v>
      </c>
      <c r="B120" s="71"/>
      <c r="C120" s="71"/>
      <c r="D120" s="71"/>
      <c r="E120" s="71"/>
      <c r="F120" s="73"/>
      <c r="G120" s="73"/>
      <c r="H120" s="73"/>
    </row>
    <row r="121" spans="1:13" s="34" customFormat="1" hidden="1" x14ac:dyDescent="0.25">
      <c r="A121" s="71" t="s">
        <v>172</v>
      </c>
      <c r="B121" s="71"/>
      <c r="C121" s="71"/>
      <c r="D121" s="71"/>
      <c r="E121" s="71"/>
      <c r="F121" s="73"/>
      <c r="G121" s="73"/>
      <c r="H121" s="73"/>
    </row>
    <row r="122" spans="1:13" s="34" customFormat="1" hidden="1" x14ac:dyDescent="0.25">
      <c r="A122" s="71" t="s">
        <v>100</v>
      </c>
      <c r="B122" s="71"/>
      <c r="C122" s="71"/>
      <c r="D122" s="71"/>
      <c r="E122" s="71"/>
      <c r="F122" s="73"/>
      <c r="G122" s="73"/>
      <c r="H122" s="73"/>
    </row>
    <row r="123" spans="1:13" s="34" customFormat="1" hidden="1" x14ac:dyDescent="0.25">
      <c r="A123" s="71" t="s">
        <v>101</v>
      </c>
      <c r="B123" s="71"/>
      <c r="C123" s="71"/>
      <c r="D123" s="71"/>
      <c r="E123" s="71"/>
      <c r="F123" s="73"/>
      <c r="G123" s="73"/>
      <c r="H123" s="73"/>
    </row>
    <row r="124" spans="1:13" s="34" customFormat="1" x14ac:dyDescent="0.25">
      <c r="A124" s="71" t="s">
        <v>102</v>
      </c>
      <c r="B124" s="71"/>
      <c r="C124" s="71"/>
      <c r="D124" s="71"/>
      <c r="E124" s="71"/>
      <c r="F124" s="73">
        <v>300000</v>
      </c>
      <c r="G124" s="73"/>
      <c r="H124" s="73"/>
    </row>
    <row r="125" spans="1:13" s="34" customFormat="1" hidden="1" x14ac:dyDescent="0.25">
      <c r="A125" s="71" t="s">
        <v>103</v>
      </c>
      <c r="B125" s="71"/>
      <c r="C125" s="71"/>
      <c r="D125" s="71"/>
      <c r="E125" s="71"/>
      <c r="F125" s="73"/>
      <c r="G125" s="73"/>
      <c r="H125" s="73"/>
    </row>
    <row r="126" spans="1:13" x14ac:dyDescent="0.25">
      <c r="A126" s="71" t="s">
        <v>52</v>
      </c>
      <c r="B126" s="71"/>
      <c r="C126" s="71"/>
      <c r="D126" s="71"/>
      <c r="E126" s="71"/>
      <c r="F126" s="73">
        <v>600000</v>
      </c>
      <c r="G126" s="73"/>
      <c r="H126" s="73"/>
    </row>
    <row r="127" spans="1:13" s="35" customFormat="1" x14ac:dyDescent="0.25">
      <c r="A127" s="143" t="s">
        <v>53</v>
      </c>
      <c r="B127" s="143"/>
      <c r="C127" s="143"/>
      <c r="D127" s="143"/>
      <c r="E127" s="143"/>
      <c r="F127" s="73">
        <f>F115*0.8</f>
        <v>9760</v>
      </c>
      <c r="G127" s="73"/>
      <c r="H127" s="73"/>
    </row>
    <row r="128" spans="1:13" s="36" customFormat="1" ht="15.75" hidden="1" customHeight="1" x14ac:dyDescent="0.25">
      <c r="A128" s="105" t="s">
        <v>78</v>
      </c>
      <c r="B128" s="105"/>
      <c r="C128" s="105"/>
      <c r="D128" s="105"/>
      <c r="E128" s="105"/>
      <c r="F128" s="105"/>
      <c r="G128" s="105"/>
      <c r="H128" s="105"/>
    </row>
    <row r="129" spans="1:14" s="36" customFormat="1" ht="15.75" hidden="1" customHeight="1" x14ac:dyDescent="0.25">
      <c r="A129" s="100" t="s">
        <v>54</v>
      </c>
      <c r="B129" s="100"/>
      <c r="C129" s="106" t="s">
        <v>81</v>
      </c>
      <c r="D129" s="106"/>
      <c r="E129" s="108" t="s">
        <v>55</v>
      </c>
      <c r="F129" s="108"/>
      <c r="G129" s="100" t="s">
        <v>56</v>
      </c>
      <c r="H129" s="100"/>
    </row>
    <row r="130" spans="1:14" s="36" customFormat="1" hidden="1" x14ac:dyDescent="0.25">
      <c r="A130" s="101"/>
      <c r="B130" s="101"/>
      <c r="C130" s="102"/>
      <c r="D130" s="102"/>
      <c r="E130" s="103"/>
      <c r="F130" s="103"/>
      <c r="G130" s="104"/>
      <c r="H130" s="104"/>
    </row>
    <row r="131" spans="1:14" s="36" customFormat="1" hidden="1" x14ac:dyDescent="0.25">
      <c r="A131" s="101"/>
      <c r="B131" s="101"/>
      <c r="C131" s="102"/>
      <c r="D131" s="102"/>
      <c r="E131" s="103"/>
      <c r="F131" s="103"/>
      <c r="G131" s="104"/>
      <c r="H131" s="104"/>
    </row>
    <row r="132" spans="1:14" s="36" customFormat="1" hidden="1" x14ac:dyDescent="0.25">
      <c r="A132" s="105" t="s">
        <v>159</v>
      </c>
      <c r="B132" s="105"/>
      <c r="C132" s="106"/>
      <c r="D132" s="106"/>
      <c r="E132" s="108"/>
      <c r="F132" s="108"/>
      <c r="G132" s="100"/>
      <c r="H132" s="100"/>
    </row>
    <row r="133" spans="1:14" s="36" customFormat="1" x14ac:dyDescent="0.25">
      <c r="A133" s="105" t="s">
        <v>72</v>
      </c>
      <c r="B133" s="105"/>
      <c r="C133" s="105"/>
      <c r="D133" s="105"/>
      <c r="E133" s="105"/>
      <c r="F133" s="105"/>
      <c r="G133" s="105"/>
      <c r="H133" s="105"/>
    </row>
    <row r="134" spans="1:14" s="36" customFormat="1" ht="15.75" customHeight="1" x14ac:dyDescent="0.25">
      <c r="A134" s="100" t="s">
        <v>54</v>
      </c>
      <c r="B134" s="100"/>
      <c r="C134" s="106" t="s">
        <v>81</v>
      </c>
      <c r="D134" s="106"/>
      <c r="E134" s="108" t="s">
        <v>55</v>
      </c>
      <c r="F134" s="108"/>
      <c r="G134" s="100" t="s">
        <v>56</v>
      </c>
      <c r="H134" s="100"/>
    </row>
    <row r="135" spans="1:14" s="36" customFormat="1" x14ac:dyDescent="0.25">
      <c r="A135" s="101" t="s">
        <v>203</v>
      </c>
      <c r="B135" s="101"/>
      <c r="C135" s="121">
        <f>COUNT(D153:D155)*20+COUNT(D158:D159)+COUNT(D162:D163)</f>
        <v>64</v>
      </c>
      <c r="D135" s="121"/>
      <c r="E135" s="122">
        <f>SUM(D153:D155)*20+SUM(D158:D159)+SUM(D162:D163)</f>
        <v>32105.309184000005</v>
      </c>
      <c r="F135" s="122"/>
      <c r="G135" s="122">
        <f>SUM(F153:F155)*20+SUM(F158:F159)+SUM(F162:F163)</f>
        <v>48157.96377599999</v>
      </c>
      <c r="H135" s="122"/>
    </row>
    <row r="136" spans="1:14" s="36" customFormat="1" x14ac:dyDescent="0.25">
      <c r="A136" s="101" t="s">
        <v>207</v>
      </c>
      <c r="B136" s="101"/>
      <c r="C136" s="121">
        <f>COUNT(D167:D170)*20+COUNT(D172:D173,D175)+COUNT(D177,D180)</f>
        <v>85</v>
      </c>
      <c r="D136" s="121"/>
      <c r="E136" s="122">
        <f>SUM(D167:D170)*20+SUM(D172:D173,D175)+SUM(D177,D180)</f>
        <v>34406.781552</v>
      </c>
      <c r="F136" s="122"/>
      <c r="G136" s="122">
        <f>SUM(F167:F170)*20+SUM(F172:F173,F175)+SUM(F177,F180)</f>
        <v>51610.172328000015</v>
      </c>
      <c r="H136" s="122"/>
    </row>
    <row r="137" spans="1:14" s="36" customFormat="1" x14ac:dyDescent="0.25">
      <c r="A137" s="105" t="s">
        <v>159</v>
      </c>
      <c r="B137" s="105"/>
      <c r="C137" s="185">
        <f>SUM(C135:C136)</f>
        <v>149</v>
      </c>
      <c r="D137" s="106"/>
      <c r="E137" s="107">
        <f>SUM(E135:E136)</f>
        <v>66512.090736000013</v>
      </c>
      <c r="F137" s="108"/>
      <c r="G137" s="100">
        <f>SUM(G135:G136)</f>
        <v>99768.136104000005</v>
      </c>
      <c r="H137" s="100"/>
    </row>
    <row r="138" spans="1:14" s="35" customFormat="1" x14ac:dyDescent="0.25">
      <c r="A138" s="169" t="s">
        <v>57</v>
      </c>
      <c r="B138" s="169"/>
      <c r="C138" s="169"/>
      <c r="D138" s="169"/>
      <c r="E138" s="169"/>
      <c r="F138" s="169"/>
      <c r="G138" s="169"/>
      <c r="H138" s="169"/>
    </row>
    <row r="139" spans="1:14" x14ac:dyDescent="0.25">
      <c r="A139" s="169" t="s">
        <v>58</v>
      </c>
      <c r="B139" s="169"/>
      <c r="C139" s="169"/>
      <c r="D139" s="169"/>
      <c r="E139" s="169"/>
      <c r="F139" s="169"/>
      <c r="G139" s="169"/>
      <c r="H139" s="169"/>
    </row>
    <row r="140" spans="1:14" ht="47.25" hidden="1" customHeight="1" x14ac:dyDescent="0.25">
      <c r="A140" s="90" t="s">
        <v>125</v>
      </c>
      <c r="B140" s="90" t="s">
        <v>124</v>
      </c>
      <c r="C140" s="90" t="s">
        <v>59</v>
      </c>
      <c r="D140" s="90" t="s">
        <v>60</v>
      </c>
      <c r="E140" s="128" t="s">
        <v>165</v>
      </c>
      <c r="F140" s="44" t="s">
        <v>158</v>
      </c>
      <c r="G140" s="130" t="s">
        <v>62</v>
      </c>
      <c r="H140" s="131"/>
    </row>
    <row r="141" spans="1:14" s="38" customFormat="1" hidden="1" x14ac:dyDescent="0.25">
      <c r="A141" s="91"/>
      <c r="B141" s="91"/>
      <c r="C141" s="91"/>
      <c r="D141" s="91"/>
      <c r="E141" s="129"/>
      <c r="F141" s="13">
        <v>0.6</v>
      </c>
      <c r="G141" s="132"/>
      <c r="H141" s="133"/>
    </row>
    <row r="142" spans="1:14" s="38" customFormat="1" hidden="1" x14ac:dyDescent="0.25">
      <c r="A142" s="97" t="s">
        <v>123</v>
      </c>
      <c r="B142" s="98"/>
      <c r="C142" s="98"/>
      <c r="D142" s="98"/>
      <c r="E142" s="98"/>
      <c r="F142" s="98"/>
      <c r="G142" s="98"/>
      <c r="H142" s="99"/>
      <c r="J142" s="37"/>
    </row>
    <row r="143" spans="1:14" s="38" customFormat="1" hidden="1" x14ac:dyDescent="0.25">
      <c r="A143" s="92">
        <v>1</v>
      </c>
      <c r="B143" s="93"/>
      <c r="C143" s="43"/>
      <c r="D143" s="43"/>
      <c r="E143" s="43">
        <v>0</v>
      </c>
      <c r="F143" s="43">
        <f>(D143+E143)*(($F$141)+1)</f>
        <v>0</v>
      </c>
      <c r="G143" s="92" t="str">
        <f>A142</f>
        <v>Ground Floor</v>
      </c>
      <c r="H143" s="93"/>
      <c r="I143" s="37"/>
      <c r="L143" s="96"/>
      <c r="M143" s="96"/>
      <c r="N143" s="37"/>
    </row>
    <row r="144" spans="1:14" s="38" customFormat="1" hidden="1" x14ac:dyDescent="0.25">
      <c r="A144" s="92">
        <f t="shared" ref="A144:A146" si="0">A143+1</f>
        <v>2</v>
      </c>
      <c r="B144" s="93"/>
      <c r="C144" s="43"/>
      <c r="D144" s="43"/>
      <c r="E144" s="43">
        <v>0</v>
      </c>
      <c r="F144" s="43">
        <f t="shared" ref="F144:F146" si="1">(D144+E144)*(($F$141)+1)</f>
        <v>0</v>
      </c>
      <c r="G144" s="92" t="str">
        <f t="shared" ref="G144:G146" si="2">G143</f>
        <v>Ground Floor</v>
      </c>
      <c r="H144" s="93"/>
      <c r="I144" s="37"/>
      <c r="L144" s="96"/>
      <c r="M144" s="96"/>
      <c r="N144" s="37"/>
    </row>
    <row r="145" spans="1:14" s="38" customFormat="1" hidden="1" x14ac:dyDescent="0.25">
      <c r="A145" s="92">
        <f t="shared" si="0"/>
        <v>3</v>
      </c>
      <c r="B145" s="93"/>
      <c r="C145" s="43"/>
      <c r="D145" s="43"/>
      <c r="E145" s="43">
        <v>0</v>
      </c>
      <c r="F145" s="43">
        <f t="shared" si="1"/>
        <v>0</v>
      </c>
      <c r="G145" s="92" t="str">
        <f t="shared" si="2"/>
        <v>Ground Floor</v>
      </c>
      <c r="H145" s="93"/>
      <c r="I145" s="37"/>
      <c r="L145" s="96"/>
      <c r="M145" s="96"/>
      <c r="N145" s="37"/>
    </row>
    <row r="146" spans="1:14" s="38" customFormat="1" hidden="1" x14ac:dyDescent="0.25">
      <c r="A146" s="92">
        <f t="shared" si="0"/>
        <v>4</v>
      </c>
      <c r="B146" s="93"/>
      <c r="C146" s="43"/>
      <c r="D146" s="43"/>
      <c r="E146" s="43">
        <v>0</v>
      </c>
      <c r="F146" s="43">
        <f t="shared" si="1"/>
        <v>0</v>
      </c>
      <c r="G146" s="92" t="str">
        <f t="shared" si="2"/>
        <v>Ground Floor</v>
      </c>
      <c r="H146" s="93"/>
      <c r="I146" s="37"/>
      <c r="L146" s="96"/>
      <c r="M146" s="96"/>
      <c r="N146" s="37"/>
    </row>
    <row r="147" spans="1:14" s="38" customFormat="1" hidden="1" x14ac:dyDescent="0.25">
      <c r="A147" s="92"/>
      <c r="B147" s="184"/>
      <c r="C147" s="184"/>
      <c r="D147" s="184"/>
      <c r="E147" s="184"/>
      <c r="F147" s="184"/>
      <c r="G147" s="184"/>
      <c r="H147" s="93"/>
      <c r="I147" s="37"/>
      <c r="N147" s="37"/>
    </row>
    <row r="148" spans="1:14" ht="47.25" customHeight="1" x14ac:dyDescent="0.25">
      <c r="A148" s="130" t="s">
        <v>126</v>
      </c>
      <c r="B148" s="130" t="s">
        <v>127</v>
      </c>
      <c r="C148" s="90" t="s">
        <v>59</v>
      </c>
      <c r="D148" s="90" t="s">
        <v>60</v>
      </c>
      <c r="E148" s="128" t="s">
        <v>61</v>
      </c>
      <c r="F148" s="44" t="s">
        <v>158</v>
      </c>
      <c r="G148" s="130" t="s">
        <v>62</v>
      </c>
      <c r="H148" s="131"/>
      <c r="I148" s="37"/>
    </row>
    <row r="149" spans="1:14" s="38" customFormat="1" x14ac:dyDescent="0.25">
      <c r="A149" s="132"/>
      <c r="B149" s="132"/>
      <c r="C149" s="91"/>
      <c r="D149" s="91"/>
      <c r="E149" s="129"/>
      <c r="F149" s="13">
        <v>0.5</v>
      </c>
      <c r="G149" s="132"/>
      <c r="H149" s="133"/>
      <c r="I149" s="37"/>
    </row>
    <row r="150" spans="1:14" s="38" customFormat="1" x14ac:dyDescent="0.25">
      <c r="A150" s="97" t="s">
        <v>203</v>
      </c>
      <c r="B150" s="98"/>
      <c r="C150" s="98"/>
      <c r="D150" s="98"/>
      <c r="E150" s="98"/>
      <c r="F150" s="98"/>
      <c r="G150" s="98"/>
      <c r="H150" s="99"/>
      <c r="J150" s="37"/>
    </row>
    <row r="151" spans="1:14" s="38" customFormat="1" x14ac:dyDescent="0.25">
      <c r="A151" s="97" t="s">
        <v>204</v>
      </c>
      <c r="B151" s="98"/>
      <c r="C151" s="98"/>
      <c r="D151" s="98"/>
      <c r="E151" s="98"/>
      <c r="F151" s="98"/>
      <c r="G151" s="98"/>
      <c r="H151" s="99"/>
      <c r="J151" s="55">
        <v>10.763999999999999</v>
      </c>
    </row>
    <row r="152" spans="1:14" s="38" customFormat="1" x14ac:dyDescent="0.25">
      <c r="A152" s="97" t="s">
        <v>205</v>
      </c>
      <c r="B152" s="98"/>
      <c r="C152" s="98"/>
      <c r="D152" s="98"/>
      <c r="E152" s="98"/>
      <c r="F152" s="98"/>
      <c r="G152" s="98"/>
      <c r="H152" s="99"/>
      <c r="J152" s="37"/>
    </row>
    <row r="153" spans="1:14" s="38" customFormat="1" ht="15.75" customHeight="1" x14ac:dyDescent="0.25">
      <c r="A153" s="92">
        <v>1</v>
      </c>
      <c r="B153" s="93"/>
      <c r="C153" s="43" t="s">
        <v>206</v>
      </c>
      <c r="D153" s="55">
        <f>(2.85*4.45+2*2.75+2.75*2.75+2.75*3.9+2*1.1+2*1.1+1.95*0.45+4.75+1.4*0.3)*10.764</f>
        <v>505.01997</v>
      </c>
      <c r="E153" s="43">
        <v>0</v>
      </c>
      <c r="F153" s="43">
        <f>D153*(($F$149)+1)+(IF(E153&lt;101,E153,IF(E153&lt;201,E153/2,IF(E153&lt;=301,E153/3,E153/4))))</f>
        <v>757.52995499999997</v>
      </c>
      <c r="G153" s="112" t="str">
        <f>A152</f>
        <v>1st to 7th, 9th to 14th, 16th to 22nd Floor</v>
      </c>
      <c r="H153" s="113"/>
      <c r="I153" s="37">
        <f>2.85*4.45+2*2.75+2.75*2.75+2.75*3.9+2*1.1+2*1.1+1.95*0.45+0.9*(2+2.75)</f>
        <v>46.022500000000001</v>
      </c>
      <c r="K153" s="38">
        <f>12000*F153</f>
        <v>9090359.459999999</v>
      </c>
      <c r="L153" s="96"/>
      <c r="M153" s="96"/>
      <c r="N153" s="37"/>
    </row>
    <row r="154" spans="1:14" s="38" customFormat="1" ht="15.75" customHeight="1" x14ac:dyDescent="0.25">
      <c r="A154" s="92">
        <f t="shared" ref="A154:A155" si="3">A153+1</f>
        <v>2</v>
      </c>
      <c r="B154" s="93"/>
      <c r="C154" s="43" t="s">
        <v>206</v>
      </c>
      <c r="D154" s="55">
        <f>(2.75*4.75+1.73*2.55+2*2.7+2.95*2.75+3.35*2.6+1.9*1.1+2*1.1+2.75*0.9)*10.764</f>
        <v>500.11158600000005</v>
      </c>
      <c r="E154" s="43">
        <v>0</v>
      </c>
      <c r="F154" s="43">
        <f>D154*(($F$149)+1)+(IF(E154&lt;101,E154,IF(E154&lt;201,E154/2,IF(E154&lt;=301,E154/3,E154/4))))</f>
        <v>750.1673790000001</v>
      </c>
      <c r="G154" s="114"/>
      <c r="H154" s="115"/>
      <c r="I154" s="37"/>
      <c r="L154" s="96"/>
      <c r="M154" s="96"/>
      <c r="N154" s="37"/>
    </row>
    <row r="155" spans="1:14" s="38" customFormat="1" ht="15.75" customHeight="1" x14ac:dyDescent="0.25">
      <c r="A155" s="92">
        <f t="shared" si="3"/>
        <v>3</v>
      </c>
      <c r="B155" s="93"/>
      <c r="C155" s="43" t="s">
        <v>206</v>
      </c>
      <c r="D155" s="55">
        <f>(2.75*4.75+1.73*2.55+2*2.7+2.95*2.75+3.35*2.6+1.9*1.1+2*1.1+2.75*0.9)*10.764</f>
        <v>500.11158600000005</v>
      </c>
      <c r="E155" s="43">
        <v>0</v>
      </c>
      <c r="F155" s="43">
        <f>D155*(($F$149)+1)+(IF(E155&lt;101,E155,IF(E155&lt;201,E155/2,IF(E155&lt;=301,E155/3,E155/4))))</f>
        <v>750.1673790000001</v>
      </c>
      <c r="G155" s="116"/>
      <c r="H155" s="117"/>
      <c r="I155" s="37">
        <f>2.75*4.75+1.73*2.55+2*2.7+3.35*2.6+2.95*2.75+1.9*1.1+2*1.1+0.9*2.75</f>
        <v>46.461500000000008</v>
      </c>
      <c r="L155" s="96"/>
      <c r="M155" s="96"/>
      <c r="N155" s="37"/>
    </row>
    <row r="156" spans="1:14" s="38" customFormat="1" x14ac:dyDescent="0.25">
      <c r="A156" s="110" t="s">
        <v>209</v>
      </c>
      <c r="B156" s="110"/>
      <c r="C156" s="110"/>
      <c r="D156" s="110"/>
      <c r="E156" s="110"/>
      <c r="F156" s="110"/>
      <c r="G156" s="110"/>
      <c r="H156" s="110"/>
      <c r="J156" s="37"/>
    </row>
    <row r="157" spans="1:14" s="38" customFormat="1" ht="15.75" customHeight="1" x14ac:dyDescent="0.25">
      <c r="A157" s="111">
        <v>1</v>
      </c>
      <c r="B157" s="111"/>
      <c r="C157" s="111" t="s">
        <v>210</v>
      </c>
      <c r="D157" s="111"/>
      <c r="E157" s="111"/>
      <c r="F157" s="111"/>
      <c r="G157" s="111" t="str">
        <f>A156</f>
        <v>8th Floor (Part Refuge Area)</v>
      </c>
      <c r="H157" s="111"/>
      <c r="I157" s="37"/>
      <c r="L157" s="96"/>
      <c r="M157" s="96"/>
      <c r="N157" s="37"/>
    </row>
    <row r="158" spans="1:14" s="38" customFormat="1" ht="15.75" customHeight="1" x14ac:dyDescent="0.25">
      <c r="A158" s="111">
        <f t="shared" ref="A158:A159" si="4">A157+1</f>
        <v>2</v>
      </c>
      <c r="B158" s="111"/>
      <c r="C158" s="43" t="s">
        <v>206</v>
      </c>
      <c r="D158" s="55">
        <f>(2.75*4.75+1.73*2.55+2*2.7+2.95*2.75+3.35*2.6+1.9*1.1+2*1.1+2.75*0.9)*10.764</f>
        <v>500.11158600000005</v>
      </c>
      <c r="E158" s="43">
        <v>0</v>
      </c>
      <c r="F158" s="43">
        <f>D158*(($F$149)+1)+(IF(E158&lt;101,E158,IF(E158&lt;201,E158/2,IF(E158&lt;=301,E158/3,E158/4))))</f>
        <v>750.1673790000001</v>
      </c>
      <c r="G158" s="111" t="str">
        <f t="shared" ref="G158:G159" si="5">G157</f>
        <v>8th Floor (Part Refuge Area)</v>
      </c>
      <c r="H158" s="111"/>
      <c r="I158" s="37">
        <f>10700000/F158</f>
        <v>14263.483456536702</v>
      </c>
      <c r="L158" s="96"/>
      <c r="M158" s="96"/>
      <c r="N158" s="37"/>
    </row>
    <row r="159" spans="1:14" s="38" customFormat="1" ht="15.75" customHeight="1" x14ac:dyDescent="0.25">
      <c r="A159" s="111">
        <f t="shared" si="4"/>
        <v>3</v>
      </c>
      <c r="B159" s="111"/>
      <c r="C159" s="43" t="s">
        <v>206</v>
      </c>
      <c r="D159" s="55">
        <f>(2.75*4.75+1.73*2.55+2*2.7+2.95*2.75+3.35*2.6+1.9*1.1+2*1.1+2.75*0.9)*10.764</f>
        <v>500.11158600000005</v>
      </c>
      <c r="E159" s="43">
        <v>0</v>
      </c>
      <c r="F159" s="43">
        <f>D159*(($F$149)+1)+(IF(E159&lt;101,E159,IF(E159&lt;201,E159/2,IF(E159&lt;=301,E159/3,E159/4))))</f>
        <v>750.1673790000001</v>
      </c>
      <c r="G159" s="111" t="str">
        <f t="shared" si="5"/>
        <v>8th Floor (Part Refuge Area)</v>
      </c>
      <c r="H159" s="111"/>
      <c r="I159" s="37"/>
      <c r="L159" s="96"/>
      <c r="M159" s="96"/>
      <c r="N159" s="37"/>
    </row>
    <row r="160" spans="1:14" s="38" customFormat="1" ht="15.75" customHeight="1" x14ac:dyDescent="0.25">
      <c r="A160" s="110" t="s">
        <v>211</v>
      </c>
      <c r="B160" s="110"/>
      <c r="C160" s="110"/>
      <c r="D160" s="110"/>
      <c r="E160" s="110"/>
      <c r="F160" s="110"/>
      <c r="G160" s="110"/>
      <c r="H160" s="110"/>
      <c r="J160" s="37"/>
    </row>
    <row r="161" spans="1:14" s="38" customFormat="1" ht="15.75" customHeight="1" x14ac:dyDescent="0.25">
      <c r="A161" s="111">
        <v>1</v>
      </c>
      <c r="B161" s="111"/>
      <c r="C161" s="111" t="s">
        <v>210</v>
      </c>
      <c r="D161" s="111"/>
      <c r="E161" s="111"/>
      <c r="F161" s="111"/>
      <c r="G161" s="111" t="str">
        <f>A160</f>
        <v>15th Floor (Part Refuge Area)</v>
      </c>
      <c r="H161" s="111"/>
      <c r="I161" s="37"/>
      <c r="L161" s="96"/>
      <c r="M161" s="96"/>
      <c r="N161" s="37"/>
    </row>
    <row r="162" spans="1:14" s="38" customFormat="1" ht="15.75" customHeight="1" x14ac:dyDescent="0.25">
      <c r="A162" s="111">
        <f t="shared" ref="A162:A163" si="6">A161+1</f>
        <v>2</v>
      </c>
      <c r="B162" s="111"/>
      <c r="C162" s="43" t="s">
        <v>206</v>
      </c>
      <c r="D162" s="55">
        <f>(2.75*4.75+1.73*2.55+2*2.7+2.95*2.75+3.35*2.6+1.9*1.1+2*1.1+2.75*0.9)*10.764</f>
        <v>500.11158600000005</v>
      </c>
      <c r="E162" s="43">
        <v>0</v>
      </c>
      <c r="F162" s="43">
        <f>D162*(($F$149)+1)+(IF(E162&lt;101,E162,IF(E162&lt;201,E162/2,IF(E162&lt;=301,E162/3,E162/4))))</f>
        <v>750.1673790000001</v>
      </c>
      <c r="G162" s="111" t="str">
        <f t="shared" ref="G162:G163" si="7">G161</f>
        <v>15th Floor (Part Refuge Area)</v>
      </c>
      <c r="H162" s="111"/>
      <c r="I162" s="37"/>
      <c r="L162" s="96"/>
      <c r="M162" s="96"/>
      <c r="N162" s="37"/>
    </row>
    <row r="163" spans="1:14" s="38" customFormat="1" ht="15.75" customHeight="1" x14ac:dyDescent="0.25">
      <c r="A163" s="111">
        <f t="shared" si="6"/>
        <v>3</v>
      </c>
      <c r="B163" s="111"/>
      <c r="C163" s="43" t="s">
        <v>206</v>
      </c>
      <c r="D163" s="55">
        <f>(2.75*4.75+1.73*2.55+2*2.7+2.95*2.75+3.35*2.6+1.9*1.1+2*1.1+2.75*0.9)*10.764</f>
        <v>500.11158600000005</v>
      </c>
      <c r="E163" s="43">
        <v>0</v>
      </c>
      <c r="F163" s="43">
        <f>D163*(($F$149)+1)+(IF(E163&lt;101,E163,IF(E163&lt;201,E163/2,IF(E163&lt;=301,E163/3,E163/4))))</f>
        <v>750.1673790000001</v>
      </c>
      <c r="G163" s="111" t="str">
        <f t="shared" si="7"/>
        <v>15th Floor (Part Refuge Area)</v>
      </c>
      <c r="H163" s="111"/>
      <c r="I163" s="37"/>
      <c r="L163" s="96"/>
      <c r="M163" s="96"/>
      <c r="N163" s="37"/>
    </row>
    <row r="164" spans="1:14" s="38" customFormat="1" x14ac:dyDescent="0.25">
      <c r="A164" s="97" t="s">
        <v>207</v>
      </c>
      <c r="B164" s="98"/>
      <c r="C164" s="98"/>
      <c r="D164" s="98"/>
      <c r="E164" s="98"/>
      <c r="F164" s="98"/>
      <c r="G164" s="98"/>
      <c r="H164" s="99"/>
      <c r="J164" s="37"/>
    </row>
    <row r="165" spans="1:14" s="38" customFormat="1" x14ac:dyDescent="0.25">
      <c r="A165" s="97" t="s">
        <v>204</v>
      </c>
      <c r="B165" s="98"/>
      <c r="C165" s="98"/>
      <c r="D165" s="98"/>
      <c r="E165" s="98"/>
      <c r="F165" s="98"/>
      <c r="G165" s="98"/>
      <c r="H165" s="99"/>
      <c r="J165" s="37"/>
    </row>
    <row r="166" spans="1:14" s="38" customFormat="1" x14ac:dyDescent="0.25">
      <c r="A166" s="97" t="s">
        <v>205</v>
      </c>
      <c r="B166" s="98"/>
      <c r="C166" s="98"/>
      <c r="D166" s="98"/>
      <c r="E166" s="98"/>
      <c r="F166" s="98"/>
      <c r="G166" s="98"/>
      <c r="H166" s="99"/>
      <c r="J166" s="37"/>
    </row>
    <row r="167" spans="1:14" s="38" customFormat="1" ht="15.75" customHeight="1" x14ac:dyDescent="0.25">
      <c r="A167" s="92">
        <v>1</v>
      </c>
      <c r="B167" s="93"/>
      <c r="C167" s="43" t="s">
        <v>208</v>
      </c>
      <c r="D167" s="55">
        <f>(2.75*4.94+2.75*2.92+2.52*2.1+1.17*2.41+1.98*1.15+2*1.05+0.9*1.15)*10.764</f>
        <v>378.23296679999999</v>
      </c>
      <c r="E167" s="43">
        <v>0</v>
      </c>
      <c r="F167" s="43">
        <f>D167*(($F$149)+1)+(IF(E167&lt;101,E167,IF(E167&lt;201,E167/2,IF(E167&lt;=301,E167/3,E167/4))))</f>
        <v>567.34945019999998</v>
      </c>
      <c r="G167" s="112" t="str">
        <f>A166</f>
        <v>1st to 7th, 9th to 14th, 16th to 22nd Floor</v>
      </c>
      <c r="H167" s="113"/>
      <c r="I167" s="37">
        <f>6600000/F167</f>
        <v>11633.042030222101</v>
      </c>
      <c r="J167" s="38">
        <f>6905000/F167</f>
        <v>12170.629578588425</v>
      </c>
      <c r="L167" s="96"/>
      <c r="M167" s="96"/>
      <c r="N167" s="37"/>
    </row>
    <row r="168" spans="1:14" s="38" customFormat="1" ht="15.75" customHeight="1" x14ac:dyDescent="0.25">
      <c r="A168" s="92">
        <f t="shared" ref="A168:A170" si="8">A167+1</f>
        <v>2</v>
      </c>
      <c r="B168" s="93"/>
      <c r="C168" s="43" t="s">
        <v>208</v>
      </c>
      <c r="D168" s="55">
        <f>(3.05*4.45+2.9*2.92+2.52*2.1+1.52*2.13+1.98*1.15+1.25*2+0.65*1.15)*10.764</f>
        <v>388.52227440000007</v>
      </c>
      <c r="E168" s="43">
        <v>0</v>
      </c>
      <c r="F168" s="43">
        <f>D168*(($F$149)+1)+(IF(E168&lt;101,E168,IF(E168&lt;201,E168/2,IF(E168&lt;=301,E168/3,E168/4))))</f>
        <v>582.78341160000014</v>
      </c>
      <c r="G168" s="114"/>
      <c r="H168" s="115"/>
      <c r="I168" s="37"/>
      <c r="J168" s="38">
        <f>12200*F167</f>
        <v>6921663.29244</v>
      </c>
      <c r="L168" s="96"/>
      <c r="M168" s="96"/>
      <c r="N168" s="37"/>
    </row>
    <row r="169" spans="1:14" s="38" customFormat="1" ht="15.75" customHeight="1" x14ac:dyDescent="0.25">
      <c r="A169" s="92">
        <f t="shared" si="8"/>
        <v>3</v>
      </c>
      <c r="B169" s="93"/>
      <c r="C169" s="43" t="s">
        <v>208</v>
      </c>
      <c r="D169" s="55">
        <f>(2.75*4.45+2.15*2.75+2.9*3.9+2*1.25+2*1.25+0.9*2.15)*10.764</f>
        <v>391.75577999999996</v>
      </c>
      <c r="E169" s="43">
        <v>0</v>
      </c>
      <c r="F169" s="43">
        <f>D169*(($F$149)+1)+(IF(E169&lt;101,E169,IF(E169&lt;201,E169/2,IF(E169&lt;=301,E169/3,E169/4))))</f>
        <v>587.63366999999994</v>
      </c>
      <c r="G169" s="114"/>
      <c r="H169" s="115"/>
      <c r="I169" s="37"/>
      <c r="L169" s="96"/>
      <c r="M169" s="96"/>
      <c r="N169" s="37"/>
    </row>
    <row r="170" spans="1:14" s="38" customFormat="1" ht="15.75" customHeight="1" x14ac:dyDescent="0.25">
      <c r="A170" s="92">
        <f t="shared" si="8"/>
        <v>4</v>
      </c>
      <c r="B170" s="93"/>
      <c r="C170" s="43" t="s">
        <v>206</v>
      </c>
      <c r="D170" s="55">
        <f>(2.45*4.37+2.1*2.7+2.38*2.7+2.75*3.75+2*1.1+2*1.1+0.9*4.75+0.75*1.1)*10.764</f>
        <v>458.7078600000001</v>
      </c>
      <c r="E170" s="43">
        <v>0</v>
      </c>
      <c r="F170" s="43">
        <f>D170*(($F$149)+1)+(IF(E170&lt;101,E170,IF(E170&lt;201,E170/2,IF(E170&lt;=301,E170/3,E170/4))))</f>
        <v>688.0617900000002</v>
      </c>
      <c r="G170" s="116"/>
      <c r="H170" s="117"/>
      <c r="I170" s="37"/>
      <c r="L170" s="96"/>
      <c r="M170" s="96"/>
      <c r="N170" s="37"/>
    </row>
    <row r="171" spans="1:14" s="38" customFormat="1" x14ac:dyDescent="0.25">
      <c r="A171" s="97" t="s">
        <v>209</v>
      </c>
      <c r="B171" s="98"/>
      <c r="C171" s="98"/>
      <c r="D171" s="98"/>
      <c r="E171" s="98"/>
      <c r="F171" s="98"/>
      <c r="G171" s="98"/>
      <c r="H171" s="99"/>
      <c r="J171" s="37"/>
    </row>
    <row r="172" spans="1:14" s="38" customFormat="1" ht="15.75" customHeight="1" x14ac:dyDescent="0.25">
      <c r="A172" s="92">
        <v>1</v>
      </c>
      <c r="B172" s="93"/>
      <c r="C172" s="43" t="s">
        <v>208</v>
      </c>
      <c r="D172" s="55">
        <f>(2.75*4.94+2.75*2.92+2.52*2.1+1.17*2.41+1.98*1.15+2*1.05+0.9*1.15)*10.764</f>
        <v>378.23296679999999</v>
      </c>
      <c r="E172" s="43">
        <v>0</v>
      </c>
      <c r="F172" s="43">
        <f>D172*(($F$149)+1)+(IF(E172&lt;101,E172,IF(E172&lt;201,E172/2,IF(E172&lt;=301,E172/3,E172/4))))</f>
        <v>567.34945019999998</v>
      </c>
      <c r="G172" s="112" t="str">
        <f>A171</f>
        <v>8th Floor (Part Refuge Area)</v>
      </c>
      <c r="H172" s="113"/>
      <c r="I172" s="37"/>
      <c r="L172" s="96"/>
      <c r="M172" s="96"/>
      <c r="N172" s="37"/>
    </row>
    <row r="173" spans="1:14" s="38" customFormat="1" ht="15.75" customHeight="1" x14ac:dyDescent="0.25">
      <c r="A173" s="92">
        <f t="shared" ref="A173:A175" si="9">A172+1</f>
        <v>2</v>
      </c>
      <c r="B173" s="93"/>
      <c r="C173" s="43" t="s">
        <v>208</v>
      </c>
      <c r="D173" s="55">
        <f>(3.05*4.45+2.9*2.92+2.52*2.1+1.52*2.13+1.98*1.15+1.25*2+0.65*1.15)*10.764</f>
        <v>388.52227440000007</v>
      </c>
      <c r="E173" s="43">
        <v>0</v>
      </c>
      <c r="F173" s="43">
        <f>D173*(($F$149)+1)+(IF(E173&lt;101,E173,IF(E173&lt;201,E173/2,IF(E173&lt;=301,E173/3,E173/4))))</f>
        <v>582.78341160000014</v>
      </c>
      <c r="G173" s="114"/>
      <c r="H173" s="115"/>
      <c r="I173" s="37"/>
      <c r="L173" s="96"/>
      <c r="M173" s="96"/>
      <c r="N173" s="37"/>
    </row>
    <row r="174" spans="1:14" s="38" customFormat="1" ht="15.75" customHeight="1" x14ac:dyDescent="0.25">
      <c r="A174" s="92">
        <f t="shared" si="9"/>
        <v>3</v>
      </c>
      <c r="B174" s="93"/>
      <c r="C174" s="92" t="s">
        <v>210</v>
      </c>
      <c r="D174" s="184"/>
      <c r="E174" s="184"/>
      <c r="F174" s="93"/>
      <c r="G174" s="114"/>
      <c r="H174" s="115"/>
      <c r="I174" s="37"/>
      <c r="L174" s="96"/>
      <c r="M174" s="96"/>
      <c r="N174" s="37"/>
    </row>
    <row r="175" spans="1:14" s="38" customFormat="1" ht="15.75" customHeight="1" x14ac:dyDescent="0.25">
      <c r="A175" s="92">
        <f t="shared" si="9"/>
        <v>4</v>
      </c>
      <c r="B175" s="93"/>
      <c r="C175" s="43" t="s">
        <v>206</v>
      </c>
      <c r="D175" s="55">
        <f>(2.45*4.37+2.1*2.7+2.38*2.7+2.75*3.75+2*1.1+2*1.1+0.9*4.75+0.75*1.1)*10.764</f>
        <v>458.7078600000001</v>
      </c>
      <c r="E175" s="43">
        <v>0</v>
      </c>
      <c r="F175" s="43">
        <f>D175*(($F$149)+1)+(IF(E175&lt;101,E175,IF(E175&lt;201,E175/2,IF(E175&lt;=301,E175/3,E175/4))))</f>
        <v>688.0617900000002</v>
      </c>
      <c r="G175" s="116"/>
      <c r="H175" s="117"/>
      <c r="I175" s="37"/>
      <c r="L175" s="96"/>
      <c r="M175" s="96"/>
      <c r="N175" s="37"/>
    </row>
    <row r="176" spans="1:14" s="38" customFormat="1" x14ac:dyDescent="0.25">
      <c r="A176" s="97" t="s">
        <v>212</v>
      </c>
      <c r="B176" s="98"/>
      <c r="C176" s="98"/>
      <c r="D176" s="98"/>
      <c r="E176" s="98"/>
      <c r="F176" s="98"/>
      <c r="G176" s="98"/>
      <c r="H176" s="99"/>
      <c r="J176" s="37"/>
    </row>
    <row r="177" spans="1:14" s="38" customFormat="1" ht="15.75" customHeight="1" x14ac:dyDescent="0.25">
      <c r="A177" s="92">
        <v>1</v>
      </c>
      <c r="B177" s="93"/>
      <c r="C177" s="43" t="s">
        <v>208</v>
      </c>
      <c r="D177" s="55">
        <f>(2.75*4.94+2.75*2.92+2.52*2.1+1.17*2.41+1.98*1.15+2*1.05+0.9*1.15)*10.764</f>
        <v>378.23296679999999</v>
      </c>
      <c r="E177" s="43">
        <v>0</v>
      </c>
      <c r="F177" s="43">
        <f>D177*(($F$149)+1)+(IF(E177&lt;101,E177,IF(E177&lt;201,E177/2,IF(E177&lt;=301,E177/3,E177/4))))</f>
        <v>567.34945019999998</v>
      </c>
      <c r="G177" s="112" t="str">
        <f>A176</f>
        <v>15th Floor (Part Refuge Area) &amp; Society Office</v>
      </c>
      <c r="H177" s="113"/>
      <c r="I177" s="37"/>
      <c r="L177" s="96"/>
      <c r="M177" s="96"/>
      <c r="N177" s="37"/>
    </row>
    <row r="178" spans="1:14" s="38" customFormat="1" ht="15.75" customHeight="1" x14ac:dyDescent="0.25">
      <c r="A178" s="92">
        <f t="shared" ref="A178:A180" si="10">A177+1</f>
        <v>2</v>
      </c>
      <c r="B178" s="93"/>
      <c r="C178" s="92" t="s">
        <v>210</v>
      </c>
      <c r="D178" s="184"/>
      <c r="E178" s="184"/>
      <c r="F178" s="93"/>
      <c r="G178" s="114"/>
      <c r="H178" s="115"/>
      <c r="I178" s="37"/>
      <c r="L178" s="96"/>
      <c r="M178" s="96"/>
      <c r="N178" s="37"/>
    </row>
    <row r="179" spans="1:14" s="38" customFormat="1" ht="15.75" customHeight="1" x14ac:dyDescent="0.25">
      <c r="A179" s="92">
        <f t="shared" si="10"/>
        <v>3</v>
      </c>
      <c r="B179" s="93"/>
      <c r="C179" s="92" t="s">
        <v>213</v>
      </c>
      <c r="D179" s="184"/>
      <c r="E179" s="184"/>
      <c r="F179" s="93"/>
      <c r="G179" s="114"/>
      <c r="H179" s="115"/>
      <c r="I179" s="37"/>
      <c r="L179" s="96"/>
      <c r="M179" s="96"/>
      <c r="N179" s="37"/>
    </row>
    <row r="180" spans="1:14" s="38" customFormat="1" ht="15.75" customHeight="1" x14ac:dyDescent="0.25">
      <c r="A180" s="92">
        <f t="shared" si="10"/>
        <v>4</v>
      </c>
      <c r="B180" s="93"/>
      <c r="C180" s="43" t="s">
        <v>206</v>
      </c>
      <c r="D180" s="55">
        <f>(2.45*4.37+2.1*2.7+2.38*2.7+2.75*3.75+2*1.1+2*1.1+0.9*4.75+0.75*1.1)*10.764</f>
        <v>458.7078600000001</v>
      </c>
      <c r="E180" s="43">
        <v>0</v>
      </c>
      <c r="F180" s="43">
        <f>D180*(($F$149)+1)+(IF(E180&lt;101,E180,IF(E180&lt;201,E180/2,IF(E180&lt;=301,E180/3,E180/4))))</f>
        <v>688.0617900000002</v>
      </c>
      <c r="G180" s="116"/>
      <c r="H180" s="117"/>
      <c r="I180" s="37"/>
      <c r="L180" s="96"/>
      <c r="M180" s="96"/>
      <c r="N180" s="37"/>
    </row>
    <row r="181" spans="1:14" s="36" customFormat="1" x14ac:dyDescent="0.25">
      <c r="A181" s="109" t="s">
        <v>70</v>
      </c>
      <c r="B181" s="109"/>
      <c r="C181" s="109"/>
      <c r="D181" s="109"/>
      <c r="E181" s="109"/>
      <c r="F181" s="109"/>
      <c r="G181" s="109"/>
      <c r="H181" s="109"/>
    </row>
    <row r="182" spans="1:14" s="36" customFormat="1" x14ac:dyDescent="0.25">
      <c r="A182" s="60" t="s">
        <v>162</v>
      </c>
      <c r="B182" s="187" t="s">
        <v>236</v>
      </c>
      <c r="C182" s="188"/>
      <c r="D182" s="188"/>
      <c r="E182" s="188"/>
      <c r="F182" s="188"/>
      <c r="G182" s="188"/>
      <c r="H182" s="189"/>
    </row>
    <row r="183" spans="1:14" s="36" customFormat="1" x14ac:dyDescent="0.25">
      <c r="A183" s="60" t="s">
        <v>162</v>
      </c>
      <c r="B183" s="187" t="str">
        <f>(IF(F148="Saleable area Loading :","We have considered Saleable area of Flats as per our Calculation.","We considered Saleable area of Flat as per Builder area Sheet."))</f>
        <v>We have considered Saleable area of Flats as per our Calculation.</v>
      </c>
      <c r="C183" s="188"/>
      <c r="D183" s="188"/>
      <c r="E183" s="188"/>
      <c r="F183" s="188"/>
      <c r="G183" s="188"/>
      <c r="H183" s="189"/>
    </row>
    <row r="184" spans="1:14" s="36" customFormat="1" x14ac:dyDescent="0.25">
      <c r="A184" s="60" t="s">
        <v>162</v>
      </c>
      <c r="B184" s="187" t="str">
        <f>(IF(F140="Saleable area Loading :","We have considered Saleable area of Commercial as per our Calculation.","We considered Saleable area of Commercial as per Builder area Sheet."))</f>
        <v>We have considered Saleable area of Commercial as per our Calculation.</v>
      </c>
      <c r="C184" s="188"/>
      <c r="D184" s="188"/>
      <c r="E184" s="188"/>
      <c r="F184" s="188"/>
      <c r="G184" s="188"/>
      <c r="H184" s="189"/>
    </row>
    <row r="185" spans="1:14" s="36" customFormat="1" x14ac:dyDescent="0.25">
      <c r="A185" s="48" t="s">
        <v>162</v>
      </c>
      <c r="B185" s="76" t="s">
        <v>130</v>
      </c>
      <c r="C185" s="77"/>
      <c r="D185" s="77"/>
      <c r="E185" s="77"/>
      <c r="F185" s="77"/>
      <c r="G185" s="77"/>
      <c r="H185" s="78"/>
    </row>
    <row r="186" spans="1:14" s="36" customFormat="1" x14ac:dyDescent="0.25">
      <c r="A186" s="48" t="s">
        <v>162</v>
      </c>
      <c r="B186" s="76" t="s">
        <v>214</v>
      </c>
      <c r="C186" s="77"/>
      <c r="D186" s="77"/>
      <c r="E186" s="77"/>
      <c r="F186" s="77"/>
      <c r="G186" s="77"/>
      <c r="H186" s="78"/>
    </row>
    <row r="187" spans="1:14" s="36" customFormat="1" x14ac:dyDescent="0.25">
      <c r="A187" s="48" t="s">
        <v>162</v>
      </c>
      <c r="B187" s="76" t="s">
        <v>161</v>
      </c>
      <c r="C187" s="77"/>
      <c r="D187" s="77"/>
      <c r="E187" s="77"/>
      <c r="F187" s="77"/>
      <c r="G187" s="77"/>
      <c r="H187" s="78"/>
    </row>
    <row r="188" spans="1:14" s="36" customFormat="1" x14ac:dyDescent="0.25">
      <c r="A188" s="48" t="s">
        <v>162</v>
      </c>
      <c r="B188" s="76" t="s">
        <v>131</v>
      </c>
      <c r="C188" s="77"/>
      <c r="D188" s="77"/>
      <c r="E188" s="77"/>
      <c r="F188" s="77"/>
      <c r="G188" s="77"/>
      <c r="H188" s="78"/>
    </row>
    <row r="189" spans="1:14" s="36" customFormat="1" ht="34.5" customHeight="1" x14ac:dyDescent="0.25">
      <c r="A189" s="48" t="s">
        <v>162</v>
      </c>
      <c r="B189" s="76" t="s">
        <v>163</v>
      </c>
      <c r="C189" s="77"/>
      <c r="D189" s="77"/>
      <c r="E189" s="77"/>
      <c r="F189" s="77"/>
      <c r="G189" s="77"/>
      <c r="H189" s="78"/>
    </row>
    <row r="190" spans="1:14" s="36" customFormat="1" x14ac:dyDescent="0.25">
      <c r="A190" s="48" t="s">
        <v>162</v>
      </c>
      <c r="B190" s="76" t="s">
        <v>132</v>
      </c>
      <c r="C190" s="77"/>
      <c r="D190" s="77"/>
      <c r="E190" s="77"/>
      <c r="F190" s="77"/>
      <c r="G190" s="77"/>
      <c r="H190" s="78"/>
    </row>
    <row r="191" spans="1:14" s="36" customFormat="1" x14ac:dyDescent="0.25">
      <c r="A191" s="48" t="s">
        <v>162</v>
      </c>
      <c r="B191" s="76" t="s">
        <v>232</v>
      </c>
      <c r="C191" s="77"/>
      <c r="D191" s="77"/>
      <c r="E191" s="77"/>
      <c r="F191" s="77"/>
      <c r="G191" s="77"/>
      <c r="H191" s="78"/>
    </row>
    <row r="192" spans="1:14" s="36" customFormat="1" hidden="1" x14ac:dyDescent="0.25">
      <c r="A192" s="48" t="s">
        <v>162</v>
      </c>
      <c r="B192" s="76" t="s">
        <v>234</v>
      </c>
      <c r="C192" s="77"/>
      <c r="D192" s="77"/>
      <c r="E192" s="77"/>
      <c r="F192" s="77"/>
      <c r="G192" s="77"/>
      <c r="H192" s="78"/>
    </row>
    <row r="193" spans="1:8" x14ac:dyDescent="0.25">
      <c r="A193" s="186" t="s">
        <v>63</v>
      </c>
      <c r="B193" s="186"/>
      <c r="C193" s="186"/>
      <c r="D193" s="186"/>
      <c r="E193" s="186"/>
      <c r="F193" s="186"/>
      <c r="G193" s="186"/>
      <c r="H193" s="186"/>
    </row>
    <row r="194" spans="1:8" x14ac:dyDescent="0.25">
      <c r="A194" s="71" t="s">
        <v>64</v>
      </c>
      <c r="B194" s="71"/>
      <c r="C194" s="71"/>
      <c r="D194" s="71"/>
      <c r="E194" s="71"/>
      <c r="F194" s="71"/>
      <c r="G194" s="71"/>
      <c r="H194" s="71"/>
    </row>
    <row r="195" spans="1:8" ht="15.75" customHeight="1" x14ac:dyDescent="0.25">
      <c r="A195" s="202" t="s">
        <v>65</v>
      </c>
      <c r="B195" s="202"/>
      <c r="C195" s="202"/>
      <c r="D195" s="202"/>
      <c r="E195" s="202"/>
      <c r="F195" s="202"/>
      <c r="G195" s="202"/>
      <c r="H195" s="202"/>
    </row>
    <row r="196" spans="1:8" x14ac:dyDescent="0.25">
      <c r="A196" s="71" t="s">
        <v>66</v>
      </c>
      <c r="B196" s="71"/>
      <c r="C196" s="71"/>
      <c r="D196" s="71"/>
      <c r="E196" s="71"/>
      <c r="F196" s="71"/>
      <c r="G196" s="71"/>
      <c r="H196" s="71"/>
    </row>
    <row r="197" spans="1:8" x14ac:dyDescent="0.25">
      <c r="A197" s="71" t="s">
        <v>67</v>
      </c>
      <c r="B197" s="71"/>
      <c r="C197" s="71"/>
      <c r="D197" s="71"/>
      <c r="E197" s="71"/>
      <c r="F197" s="71"/>
      <c r="G197" s="71"/>
      <c r="H197" s="71"/>
    </row>
    <row r="198" spans="1:8" hidden="1" x14ac:dyDescent="0.25">
      <c r="A198" s="71" t="s">
        <v>133</v>
      </c>
      <c r="B198" s="71"/>
      <c r="C198" s="71"/>
      <c r="D198" s="71"/>
      <c r="E198" s="71"/>
      <c r="F198" s="71"/>
      <c r="G198" s="71"/>
      <c r="H198" s="71"/>
    </row>
    <row r="199" spans="1:8" hidden="1" x14ac:dyDescent="0.25">
      <c r="A199" s="161" t="s">
        <v>134</v>
      </c>
      <c r="B199" s="161"/>
      <c r="C199" s="161"/>
      <c r="D199" s="161"/>
      <c r="E199" s="161"/>
      <c r="F199" s="161"/>
      <c r="G199" s="161"/>
      <c r="H199" s="161"/>
    </row>
    <row r="200" spans="1:8" x14ac:dyDescent="0.25">
      <c r="A200" s="183" t="s">
        <v>80</v>
      </c>
      <c r="B200" s="183"/>
      <c r="C200" s="183" t="s">
        <v>235</v>
      </c>
      <c r="D200" s="183"/>
      <c r="E200" s="183" t="s">
        <v>110</v>
      </c>
      <c r="F200" s="183"/>
      <c r="G200" s="183" t="s">
        <v>237</v>
      </c>
      <c r="H200" s="183"/>
    </row>
    <row r="201" spans="1:8" x14ac:dyDescent="0.25">
      <c r="A201" s="182" t="s">
        <v>82</v>
      </c>
      <c r="B201" s="182"/>
      <c r="C201" s="182"/>
      <c r="D201" s="182"/>
      <c r="E201" s="182"/>
      <c r="F201" s="182"/>
      <c r="G201" s="182"/>
      <c r="H201" s="182"/>
    </row>
    <row r="202" spans="1:8" x14ac:dyDescent="0.25">
      <c r="A202" s="182"/>
      <c r="B202" s="182"/>
      <c r="C202" s="182"/>
      <c r="D202" s="182"/>
      <c r="E202" s="182"/>
      <c r="F202" s="182"/>
      <c r="G202" s="182"/>
      <c r="H202" s="182"/>
    </row>
    <row r="203" spans="1:8" x14ac:dyDescent="0.25">
      <c r="A203" s="182"/>
      <c r="B203" s="182"/>
      <c r="C203" s="182"/>
      <c r="D203" s="182"/>
      <c r="E203" s="182"/>
      <c r="F203" s="182"/>
      <c r="G203" s="182"/>
      <c r="H203" s="182"/>
    </row>
    <row r="204" spans="1:8" x14ac:dyDescent="0.25">
      <c r="A204" s="182"/>
      <c r="B204" s="182"/>
      <c r="C204" s="182"/>
      <c r="D204" s="182"/>
      <c r="E204" s="182"/>
      <c r="F204" s="182"/>
      <c r="G204" s="182"/>
      <c r="H204" s="182"/>
    </row>
    <row r="205" spans="1:8" x14ac:dyDescent="0.25">
      <c r="A205" s="39" t="s">
        <v>68</v>
      </c>
      <c r="B205" s="40"/>
      <c r="C205" s="40"/>
      <c r="D205" s="39" t="str">
        <f>E8</f>
        <v>Shivraj Chs Adityaraj Shivraj</v>
      </c>
      <c r="F205" s="40"/>
      <c r="G205" s="40"/>
      <c r="H205" s="40"/>
    </row>
    <row r="206" spans="1:8" x14ac:dyDescent="0.25">
      <c r="A206" s="40"/>
      <c r="B206" s="40"/>
      <c r="C206" s="40"/>
      <c r="D206" s="40"/>
      <c r="E206" s="40"/>
      <c r="F206" s="40"/>
      <c r="G206" s="40"/>
      <c r="H206" s="40"/>
    </row>
    <row r="207" spans="1:8" x14ac:dyDescent="0.25">
      <c r="A207" s="40"/>
      <c r="B207" s="40"/>
      <c r="C207" s="40"/>
      <c r="D207" s="40"/>
      <c r="E207" s="40"/>
      <c r="F207" s="40"/>
      <c r="G207" s="40"/>
      <c r="H207" s="40"/>
    </row>
    <row r="208" spans="1:8" ht="15" customHeight="1" x14ac:dyDescent="0.25"/>
    <row r="247" spans="1:1" x14ac:dyDescent="0.25">
      <c r="A247" s="42" t="s">
        <v>177</v>
      </c>
    </row>
    <row r="289" spans="1:1" x14ac:dyDescent="0.25">
      <c r="A289" s="42" t="s">
        <v>69</v>
      </c>
    </row>
  </sheetData>
  <mergeCells count="384">
    <mergeCell ref="B192:H192"/>
    <mergeCell ref="A172:B172"/>
    <mergeCell ref="L172:M172"/>
    <mergeCell ref="A173:B173"/>
    <mergeCell ref="L173:M173"/>
    <mergeCell ref="A174:B174"/>
    <mergeCell ref="A180:B180"/>
    <mergeCell ref="L180:M180"/>
    <mergeCell ref="C178:F178"/>
    <mergeCell ref="A176:H176"/>
    <mergeCell ref="A177:B177"/>
    <mergeCell ref="L177:M177"/>
    <mergeCell ref="A178:B178"/>
    <mergeCell ref="L178:M178"/>
    <mergeCell ref="A179:B179"/>
    <mergeCell ref="C179:F179"/>
    <mergeCell ref="L179:M179"/>
    <mergeCell ref="A175:B175"/>
    <mergeCell ref="L175:M175"/>
    <mergeCell ref="C174:F174"/>
    <mergeCell ref="B191:H191"/>
    <mergeCell ref="G177:H180"/>
    <mergeCell ref="C49:E49"/>
    <mergeCell ref="C52:E52"/>
    <mergeCell ref="G52:H52"/>
    <mergeCell ref="A159:B159"/>
    <mergeCell ref="L159:M159"/>
    <mergeCell ref="C157:F157"/>
    <mergeCell ref="L167:M167"/>
    <mergeCell ref="A168:B168"/>
    <mergeCell ref="L168:M168"/>
    <mergeCell ref="A160:H160"/>
    <mergeCell ref="A161:B161"/>
    <mergeCell ref="L161:M161"/>
    <mergeCell ref="A162:B162"/>
    <mergeCell ref="L162:M162"/>
    <mergeCell ref="A163:B163"/>
    <mergeCell ref="L163:M163"/>
    <mergeCell ref="C161:F161"/>
    <mergeCell ref="C53:E53"/>
    <mergeCell ref="G53:H53"/>
    <mergeCell ref="C54:H54"/>
    <mergeCell ref="C130:D130"/>
    <mergeCell ref="E130:F130"/>
    <mergeCell ref="G49:H49"/>
    <mergeCell ref="G51:H51"/>
    <mergeCell ref="A17:B17"/>
    <mergeCell ref="C17:H17"/>
    <mergeCell ref="E42:H42"/>
    <mergeCell ref="A42:D42"/>
    <mergeCell ref="A198:H198"/>
    <mergeCell ref="A195:H195"/>
    <mergeCell ref="A134:B134"/>
    <mergeCell ref="D148:D149"/>
    <mergeCell ref="E148:E149"/>
    <mergeCell ref="G148:H149"/>
    <mergeCell ref="A94:B94"/>
    <mergeCell ref="A95:B95"/>
    <mergeCell ref="A96:B96"/>
    <mergeCell ref="A86:B86"/>
    <mergeCell ref="C86:H86"/>
    <mergeCell ref="A110:B110"/>
    <mergeCell ref="A81:B81"/>
    <mergeCell ref="F115:H115"/>
    <mergeCell ref="G130:H130"/>
    <mergeCell ref="A113:B113"/>
    <mergeCell ref="A49:B49"/>
    <mergeCell ref="A139:H139"/>
    <mergeCell ref="G129:H129"/>
    <mergeCell ref="A124:E124"/>
    <mergeCell ref="C51:E51"/>
    <mergeCell ref="A62:C64"/>
    <mergeCell ref="D62:H62"/>
    <mergeCell ref="D63:H63"/>
    <mergeCell ref="C50:E50"/>
    <mergeCell ref="A57:B57"/>
    <mergeCell ref="C57:E57"/>
    <mergeCell ref="A50:B50"/>
    <mergeCell ref="A58:H58"/>
    <mergeCell ref="A59:C59"/>
    <mergeCell ref="A60:C60"/>
    <mergeCell ref="D60:H60"/>
    <mergeCell ref="G57:H57"/>
    <mergeCell ref="D64:H64"/>
    <mergeCell ref="G56:H56"/>
    <mergeCell ref="A53:B54"/>
    <mergeCell ref="C55:E55"/>
    <mergeCell ref="G55:H55"/>
    <mergeCell ref="A55:B56"/>
    <mergeCell ref="C56:E56"/>
    <mergeCell ref="D59:H59"/>
    <mergeCell ref="A76:B76"/>
    <mergeCell ref="G75:H75"/>
    <mergeCell ref="G104:H113"/>
    <mergeCell ref="F124:H124"/>
    <mergeCell ref="F118:H118"/>
    <mergeCell ref="G103:H103"/>
    <mergeCell ref="A102:B102"/>
    <mergeCell ref="C102:H102"/>
    <mergeCell ref="A103:B103"/>
    <mergeCell ref="E103:F103"/>
    <mergeCell ref="A119:E119"/>
    <mergeCell ref="F120:H120"/>
    <mergeCell ref="A121:E121"/>
    <mergeCell ref="A123:E123"/>
    <mergeCell ref="F117:H117"/>
    <mergeCell ref="A122:E122"/>
    <mergeCell ref="A107:B107"/>
    <mergeCell ref="A108:B108"/>
    <mergeCell ref="A109:B109"/>
    <mergeCell ref="A111:B111"/>
    <mergeCell ref="A193:H193"/>
    <mergeCell ref="A194:H194"/>
    <mergeCell ref="E134:F134"/>
    <mergeCell ref="B190:H190"/>
    <mergeCell ref="G145:H145"/>
    <mergeCell ref="G143:H143"/>
    <mergeCell ref="G144:H144"/>
    <mergeCell ref="G146:H146"/>
    <mergeCell ref="B188:H188"/>
    <mergeCell ref="B184:H184"/>
    <mergeCell ref="A138:H138"/>
    <mergeCell ref="B182:H182"/>
    <mergeCell ref="B183:H183"/>
    <mergeCell ref="A148:A149"/>
    <mergeCell ref="C140:C141"/>
    <mergeCell ref="B148:B149"/>
    <mergeCell ref="A150:H150"/>
    <mergeCell ref="A151:H151"/>
    <mergeCell ref="G137:H137"/>
    <mergeCell ref="A136:B136"/>
    <mergeCell ref="C136:D136"/>
    <mergeCell ref="E136:F136"/>
    <mergeCell ref="G136:H136"/>
    <mergeCell ref="B140:B141"/>
    <mergeCell ref="A201:H204"/>
    <mergeCell ref="A200:B200"/>
    <mergeCell ref="E200:F200"/>
    <mergeCell ref="C200:D200"/>
    <mergeCell ref="G200:H200"/>
    <mergeCell ref="A128:H128"/>
    <mergeCell ref="A126:E126"/>
    <mergeCell ref="F126:H126"/>
    <mergeCell ref="A127:E127"/>
    <mergeCell ref="F127:H127"/>
    <mergeCell ref="A135:B135"/>
    <mergeCell ref="A130:B130"/>
    <mergeCell ref="A196:H196"/>
    <mergeCell ref="A133:H133"/>
    <mergeCell ref="A199:H199"/>
    <mergeCell ref="A197:H197"/>
    <mergeCell ref="A147:H147"/>
    <mergeCell ref="C137:D137"/>
    <mergeCell ref="E132:F132"/>
    <mergeCell ref="A155:B155"/>
    <mergeCell ref="G132:H132"/>
    <mergeCell ref="G161:H163"/>
    <mergeCell ref="G167:H170"/>
    <mergeCell ref="G172:H175"/>
    <mergeCell ref="A61:C61"/>
    <mergeCell ref="G50:H50"/>
    <mergeCell ref="A51:B52"/>
    <mergeCell ref="A82:B82"/>
    <mergeCell ref="A75:B75"/>
    <mergeCell ref="A78:B78"/>
    <mergeCell ref="A74:B74"/>
    <mergeCell ref="A72:B72"/>
    <mergeCell ref="C72:H72"/>
    <mergeCell ref="A80:B80"/>
    <mergeCell ref="A67:C67"/>
    <mergeCell ref="D67:H67"/>
    <mergeCell ref="C74:H74"/>
    <mergeCell ref="A77:B77"/>
    <mergeCell ref="A79:B79"/>
    <mergeCell ref="E75:F75"/>
    <mergeCell ref="A68:C68"/>
    <mergeCell ref="D68:H68"/>
    <mergeCell ref="A71:C71"/>
    <mergeCell ref="D71:H71"/>
    <mergeCell ref="A69:C69"/>
    <mergeCell ref="D69:H69"/>
    <mergeCell ref="A70:C70"/>
    <mergeCell ref="D70:H70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12:D12"/>
    <mergeCell ref="E12:H12"/>
    <mergeCell ref="A5:D5"/>
    <mergeCell ref="E5:H5"/>
    <mergeCell ref="A6:D6"/>
    <mergeCell ref="E6:H6"/>
    <mergeCell ref="A7:D7"/>
    <mergeCell ref="E7:H7"/>
    <mergeCell ref="A16:B16"/>
    <mergeCell ref="A13:D13"/>
    <mergeCell ref="E13:H13"/>
    <mergeCell ref="A14:D14"/>
    <mergeCell ref="A10:D10"/>
    <mergeCell ref="E10:H10"/>
    <mergeCell ref="A11:D11"/>
    <mergeCell ref="E11:H11"/>
    <mergeCell ref="A22:D23"/>
    <mergeCell ref="E22:H23"/>
    <mergeCell ref="E14:H14"/>
    <mergeCell ref="A15:B15"/>
    <mergeCell ref="C15:H15"/>
    <mergeCell ref="C16:H16"/>
    <mergeCell ref="A24:D24"/>
    <mergeCell ref="E24:H24"/>
    <mergeCell ref="A18:B18"/>
    <mergeCell ref="C18:D18"/>
    <mergeCell ref="E18:F18"/>
    <mergeCell ref="G18:H18"/>
    <mergeCell ref="A19:B19"/>
    <mergeCell ref="C19:D19"/>
    <mergeCell ref="E19:F19"/>
    <mergeCell ref="G19:H19"/>
    <mergeCell ref="A20:B20"/>
    <mergeCell ref="C20:D20"/>
    <mergeCell ref="E20:F20"/>
    <mergeCell ref="G20:H20"/>
    <mergeCell ref="A21:B21"/>
    <mergeCell ref="C21:D21"/>
    <mergeCell ref="E21:F21"/>
    <mergeCell ref="G21:H21"/>
    <mergeCell ref="E26:H26"/>
    <mergeCell ref="A28:D28"/>
    <mergeCell ref="E28:H28"/>
    <mergeCell ref="A25:D25"/>
    <mergeCell ref="E25:H25"/>
    <mergeCell ref="A29:D29"/>
    <mergeCell ref="E29:H29"/>
    <mergeCell ref="A26:D26"/>
    <mergeCell ref="A35:B35"/>
    <mergeCell ref="C35:E35"/>
    <mergeCell ref="A30:D30"/>
    <mergeCell ref="E30:H30"/>
    <mergeCell ref="A31:D31"/>
    <mergeCell ref="E31:H31"/>
    <mergeCell ref="A27:D27"/>
    <mergeCell ref="E27:H27"/>
    <mergeCell ref="C32:E32"/>
    <mergeCell ref="F35:H35"/>
    <mergeCell ref="F32:H32"/>
    <mergeCell ref="A33:B33"/>
    <mergeCell ref="A32:B32"/>
    <mergeCell ref="C33:E33"/>
    <mergeCell ref="A34:B34"/>
    <mergeCell ref="C34:E34"/>
    <mergeCell ref="A37:H37"/>
    <mergeCell ref="A36:B36"/>
    <mergeCell ref="C36:E36"/>
    <mergeCell ref="E129:F129"/>
    <mergeCell ref="A41:D41"/>
    <mergeCell ref="E41:H41"/>
    <mergeCell ref="F33:H33"/>
    <mergeCell ref="F34:H34"/>
    <mergeCell ref="A40:H40"/>
    <mergeCell ref="A65:C65"/>
    <mergeCell ref="A66:C66"/>
    <mergeCell ref="D65:H65"/>
    <mergeCell ref="E76:F85"/>
    <mergeCell ref="G76:H85"/>
    <mergeCell ref="A84:B84"/>
    <mergeCell ref="A85:B85"/>
    <mergeCell ref="D66:H66"/>
    <mergeCell ref="A43:D43"/>
    <mergeCell ref="E43:H43"/>
    <mergeCell ref="E44:H44"/>
    <mergeCell ref="E45:H45"/>
    <mergeCell ref="E46:H46"/>
    <mergeCell ref="A44:D44"/>
    <mergeCell ref="F36:H36"/>
    <mergeCell ref="A38:B38"/>
    <mergeCell ref="A39:B39"/>
    <mergeCell ref="C38:H38"/>
    <mergeCell ref="A171:H171"/>
    <mergeCell ref="A83:B83"/>
    <mergeCell ref="C135:D135"/>
    <mergeCell ref="E135:F135"/>
    <mergeCell ref="G135:H135"/>
    <mergeCell ref="F121:H121"/>
    <mergeCell ref="A115:E115"/>
    <mergeCell ref="A100:B100"/>
    <mergeCell ref="C100:H100"/>
    <mergeCell ref="A142:H142"/>
    <mergeCell ref="E140:E141"/>
    <mergeCell ref="G140:H141"/>
    <mergeCell ref="A90:B90"/>
    <mergeCell ref="E90:F99"/>
    <mergeCell ref="A97:B97"/>
    <mergeCell ref="A98:B98"/>
    <mergeCell ref="A99:B99"/>
    <mergeCell ref="A104:B104"/>
    <mergeCell ref="E104:F113"/>
    <mergeCell ref="F114:H114"/>
    <mergeCell ref="F119:H119"/>
    <mergeCell ref="L155:M155"/>
    <mergeCell ref="B185:H185"/>
    <mergeCell ref="B186:H186"/>
    <mergeCell ref="A181:H181"/>
    <mergeCell ref="A153:B153"/>
    <mergeCell ref="A164:H164"/>
    <mergeCell ref="A165:H165"/>
    <mergeCell ref="A166:H166"/>
    <mergeCell ref="A167:B167"/>
    <mergeCell ref="A156:H156"/>
    <mergeCell ref="L174:M174"/>
    <mergeCell ref="A157:B157"/>
    <mergeCell ref="L157:M157"/>
    <mergeCell ref="A158:B158"/>
    <mergeCell ref="L158:M158"/>
    <mergeCell ref="A169:B169"/>
    <mergeCell ref="L169:M169"/>
    <mergeCell ref="A170:B170"/>
    <mergeCell ref="L170:M170"/>
    <mergeCell ref="L153:M153"/>
    <mergeCell ref="A154:B154"/>
    <mergeCell ref="L154:M154"/>
    <mergeCell ref="G153:H155"/>
    <mergeCell ref="G157:H159"/>
    <mergeCell ref="L146:M146"/>
    <mergeCell ref="L145:M145"/>
    <mergeCell ref="L144:M144"/>
    <mergeCell ref="L143:M143"/>
    <mergeCell ref="C148:C149"/>
    <mergeCell ref="A152:H152"/>
    <mergeCell ref="A129:B129"/>
    <mergeCell ref="A131:B131"/>
    <mergeCell ref="A125:E125"/>
    <mergeCell ref="C131:D131"/>
    <mergeCell ref="E131:F131"/>
    <mergeCell ref="G131:H131"/>
    <mergeCell ref="A132:B132"/>
    <mergeCell ref="C132:D132"/>
    <mergeCell ref="A140:A141"/>
    <mergeCell ref="A146:B146"/>
    <mergeCell ref="C134:D134"/>
    <mergeCell ref="G134:H134"/>
    <mergeCell ref="A137:B137"/>
    <mergeCell ref="E137:F137"/>
    <mergeCell ref="C129:D129"/>
    <mergeCell ref="F125:H125"/>
    <mergeCell ref="F123:H123"/>
    <mergeCell ref="C39:H39"/>
    <mergeCell ref="B189:H189"/>
    <mergeCell ref="A48:B48"/>
    <mergeCell ref="C48:H48"/>
    <mergeCell ref="B187:H187"/>
    <mergeCell ref="A105:B105"/>
    <mergeCell ref="A106:B106"/>
    <mergeCell ref="G90:H99"/>
    <mergeCell ref="A91:B91"/>
    <mergeCell ref="A92:B92"/>
    <mergeCell ref="A93:B93"/>
    <mergeCell ref="F116:H116"/>
    <mergeCell ref="A116:E116"/>
    <mergeCell ref="D140:D141"/>
    <mergeCell ref="A118:E118"/>
    <mergeCell ref="A143:B143"/>
    <mergeCell ref="A144:B144"/>
    <mergeCell ref="A145:B145"/>
    <mergeCell ref="A88:B88"/>
    <mergeCell ref="A45:D45"/>
    <mergeCell ref="A46:D46"/>
    <mergeCell ref="A47:H47"/>
    <mergeCell ref="D61:H61"/>
    <mergeCell ref="C88:H88"/>
    <mergeCell ref="A89:B89"/>
    <mergeCell ref="E89:F89"/>
    <mergeCell ref="G89:H89"/>
    <mergeCell ref="A120:E120"/>
    <mergeCell ref="A112:B112"/>
    <mergeCell ref="A117:E117"/>
    <mergeCell ref="A114:E114"/>
    <mergeCell ref="F122:H122"/>
  </mergeCells>
  <hyperlinks>
    <hyperlink ref="C39" r:id="rId1"/>
  </hyperlinks>
  <printOptions horizontalCentered="1"/>
  <pageMargins left="0.39370078740157499" right="0.39370078740157499" top="0.82677165354330695" bottom="0.78740157480314998" header="0.15748031496063" footer="0.196850393700787"/>
  <pageSetup paperSize="2" fitToHeight="0" orientation="portrait" r:id="rId2"/>
  <headerFooter>
    <oddHeader>&amp;C&amp;G</oddHeader>
    <oddFooter>&amp;L&amp;"Times New Roman,Bold"&amp;12Ref No: &amp;F&amp;C&amp;G&amp;R&amp;"Times New Roman,Bold"&amp;12&amp;P</oddFooter>
  </headerFooter>
  <rowBreaks count="4" manualBreakCount="4">
    <brk id="71" max="7" man="1"/>
    <brk id="204" max="16383" man="1"/>
    <brk id="246" max="16383" man="1"/>
    <brk id="288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6"/>
  <sheetViews>
    <sheetView zoomScale="85" zoomScaleNormal="85" workbookViewId="0">
      <selection activeCell="C20" sqref="C20"/>
    </sheetView>
  </sheetViews>
  <sheetFormatPr defaultColWidth="8.7109375" defaultRowHeight="15" x14ac:dyDescent="0.25"/>
  <cols>
    <col min="1" max="1" width="8.7109375" style="1"/>
    <col min="2" max="2" width="22.140625" style="1" customWidth="1"/>
    <col min="3" max="3" width="37" style="1" customWidth="1"/>
    <col min="4" max="5" width="11.42578125" style="1" customWidth="1"/>
    <col min="6" max="6" width="14" style="1" customWidth="1"/>
    <col min="7" max="7" width="20" style="1" customWidth="1"/>
    <col min="8" max="8" width="16.42578125" style="1" customWidth="1"/>
    <col min="9" max="16384" width="8.7109375" style="1"/>
  </cols>
  <sheetData>
    <row r="1" spans="1:9" ht="15" customHeight="1" x14ac:dyDescent="0.25"/>
    <row r="2" spans="1:9" ht="15" customHeight="1" x14ac:dyDescent="0.25">
      <c r="A2" s="2"/>
      <c r="B2" s="2"/>
      <c r="C2" s="2"/>
      <c r="D2" s="2"/>
      <c r="E2" s="2"/>
      <c r="F2" s="2"/>
      <c r="G2" s="2"/>
      <c r="H2" s="2"/>
    </row>
    <row r="3" spans="1:9" ht="15.75" customHeight="1" x14ac:dyDescent="0.25">
      <c r="A3" s="2"/>
      <c r="B3" s="204" t="s">
        <v>111</v>
      </c>
      <c r="C3" s="204"/>
      <c r="D3" s="204"/>
      <c r="E3" s="204"/>
      <c r="F3" s="204"/>
      <c r="G3" s="204"/>
      <c r="H3" s="204"/>
    </row>
    <row r="4" spans="1:9" x14ac:dyDescent="0.25">
      <c r="A4" s="2"/>
      <c r="B4" s="3" t="s">
        <v>112</v>
      </c>
      <c r="C4" s="3" t="s">
        <v>113</v>
      </c>
      <c r="D4" s="3" t="s">
        <v>71</v>
      </c>
      <c r="E4" s="3" t="s">
        <v>114</v>
      </c>
      <c r="F4" s="3" t="s">
        <v>120</v>
      </c>
      <c r="G4" s="3" t="s">
        <v>121</v>
      </c>
      <c r="H4" s="3" t="s">
        <v>115</v>
      </c>
    </row>
    <row r="5" spans="1:9" ht="15" customHeight="1" x14ac:dyDescent="0.25">
      <c r="A5" s="2"/>
      <c r="B5" s="5" t="s">
        <v>116</v>
      </c>
      <c r="C5" s="6"/>
      <c r="D5" s="5"/>
      <c r="E5" s="5"/>
      <c r="F5" s="7">
        <f>E5*1.6</f>
        <v>0</v>
      </c>
      <c r="G5" s="7" t="e">
        <f>H5/F5</f>
        <v>#DIV/0!</v>
      </c>
      <c r="H5" s="8"/>
    </row>
    <row r="6" spans="1:9" x14ac:dyDescent="0.25">
      <c r="A6" s="2"/>
      <c r="B6" s="5" t="s">
        <v>116</v>
      </c>
      <c r="C6" s="9"/>
      <c r="D6" s="5"/>
      <c r="E6" s="5"/>
      <c r="F6" s="7">
        <f t="shared" ref="F6:F11" si="0">E6*1.6</f>
        <v>0</v>
      </c>
      <c r="G6" s="7" t="e">
        <f t="shared" ref="G6:G11" si="1">H6/F6</f>
        <v>#DIV/0!</v>
      </c>
      <c r="H6" s="8"/>
    </row>
    <row r="7" spans="1:9" ht="15" customHeight="1" x14ac:dyDescent="0.25">
      <c r="A7" s="2"/>
      <c r="B7" s="5" t="s">
        <v>116</v>
      </c>
      <c r="C7" s="6"/>
      <c r="D7" s="5"/>
      <c r="E7" s="5"/>
      <c r="F7" s="7">
        <f t="shared" si="0"/>
        <v>0</v>
      </c>
      <c r="G7" s="7" t="e">
        <f t="shared" si="1"/>
        <v>#DIV/0!</v>
      </c>
      <c r="H7" s="8"/>
    </row>
    <row r="8" spans="1:9" x14ac:dyDescent="0.25">
      <c r="A8" s="2"/>
      <c r="B8" s="5" t="s">
        <v>116</v>
      </c>
      <c r="C8" s="9"/>
      <c r="D8" s="5"/>
      <c r="E8" s="5"/>
      <c r="F8" s="7">
        <f t="shared" si="0"/>
        <v>0</v>
      </c>
      <c r="G8" s="7" t="e">
        <f t="shared" si="1"/>
        <v>#DIV/0!</v>
      </c>
      <c r="H8" s="8"/>
    </row>
    <row r="9" spans="1:9" ht="15" customHeight="1" x14ac:dyDescent="0.25">
      <c r="A9" s="2"/>
      <c r="B9" s="5" t="s">
        <v>116</v>
      </c>
      <c r="C9" s="9"/>
      <c r="D9" s="5"/>
      <c r="E9" s="5"/>
      <c r="F9" s="7">
        <f t="shared" si="0"/>
        <v>0</v>
      </c>
      <c r="G9" s="7" t="e">
        <f t="shared" si="1"/>
        <v>#DIV/0!</v>
      </c>
      <c r="H9" s="8"/>
    </row>
    <row r="10" spans="1:9" ht="15" customHeight="1" x14ac:dyDescent="0.25">
      <c r="A10" s="2"/>
      <c r="B10" s="5" t="s">
        <v>117</v>
      </c>
      <c r="C10" s="6"/>
      <c r="D10" s="5"/>
      <c r="E10" s="5"/>
      <c r="F10" s="7">
        <f t="shared" si="0"/>
        <v>0</v>
      </c>
      <c r="G10" s="7" t="e">
        <f t="shared" si="1"/>
        <v>#DIV/0!</v>
      </c>
      <c r="H10" s="8"/>
    </row>
    <row r="11" spans="1:9" ht="15" customHeight="1" x14ac:dyDescent="0.25">
      <c r="A11" s="2"/>
      <c r="B11" s="5" t="s">
        <v>117</v>
      </c>
      <c r="C11" s="6"/>
      <c r="D11" s="5"/>
      <c r="E11" s="5"/>
      <c r="F11" s="7">
        <f t="shared" si="0"/>
        <v>0</v>
      </c>
      <c r="G11" s="7" t="e">
        <f t="shared" si="1"/>
        <v>#DIV/0!</v>
      </c>
      <c r="H11" s="8"/>
    </row>
    <row r="12" spans="1:9" ht="15" customHeight="1" x14ac:dyDescent="0.25">
      <c r="A12" s="2"/>
      <c r="B12" s="10" t="s">
        <v>118</v>
      </c>
      <c r="C12" s="5"/>
      <c r="D12" s="5"/>
      <c r="E12" s="5"/>
      <c r="F12" s="5"/>
      <c r="G12" s="11" t="e">
        <f>AVERAGE(G5:G11)</f>
        <v>#DIV/0!</v>
      </c>
      <c r="H12" s="5"/>
    </row>
    <row r="13" spans="1:9" ht="15" customHeight="1" x14ac:dyDescent="0.25">
      <c r="B13" s="10" t="s">
        <v>119</v>
      </c>
      <c r="C13" s="5"/>
      <c r="D13" s="5"/>
      <c r="E13" s="5"/>
      <c r="F13" s="12"/>
      <c r="G13" s="10"/>
      <c r="H13" s="10"/>
      <c r="I13" s="4"/>
    </row>
    <row r="14" spans="1:9" ht="15" customHeight="1" x14ac:dyDescent="0.25"/>
    <row r="15" spans="1:9" ht="15" customHeight="1" x14ac:dyDescent="0.25"/>
    <row r="16" spans="1:9" ht="15" customHeight="1" x14ac:dyDescent="0.25"/>
  </sheetData>
  <mergeCells count="1">
    <mergeCell ref="B3:H3"/>
  </mergeCell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zoomScale="70" zoomScaleNormal="70" workbookViewId="0">
      <selection activeCell="E24" sqref="E24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VSJC-06</cp:lastModifiedBy>
  <cp:lastPrinted>2025-09-19T06:29:04Z</cp:lastPrinted>
  <dcterms:created xsi:type="dcterms:W3CDTF">2019-07-16T09:29:46Z</dcterms:created>
  <dcterms:modified xsi:type="dcterms:W3CDTF">2025-09-19T06:31:36Z</dcterms:modified>
</cp:coreProperties>
</file>