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3" i="1"/>
  <c r="C59" i="1" l="1"/>
  <c r="J70" i="1"/>
  <c r="J69" i="1"/>
  <c r="J68" i="1"/>
  <c r="J67" i="1"/>
  <c r="H60" i="1"/>
  <c r="J63" i="1" l="1"/>
  <c r="D72" i="1"/>
  <c r="D70" i="1"/>
  <c r="D68" i="1"/>
  <c r="D66" i="1"/>
  <c r="J64" i="1"/>
  <c r="C63" i="1" s="1"/>
  <c r="J62" i="1"/>
  <c r="J65" i="1"/>
  <c r="J66" i="1" s="1"/>
  <c r="J71" i="1" s="1"/>
  <c r="J72" i="1" s="1"/>
  <c r="C64" i="1" s="1"/>
  <c r="D71" i="1"/>
  <c r="D69" i="1"/>
  <c r="D67" i="1"/>
  <c r="D65" i="1"/>
  <c r="E63" i="1" l="1"/>
  <c r="D64" i="1"/>
  <c r="G63" i="1"/>
  <c r="D63" i="1"/>
  <c r="D58" i="1" l="1"/>
  <c r="F73" i="1"/>
  <c r="I59" i="1"/>
  <c r="C61" i="1" s="1"/>
  <c r="D108" i="1" l="1"/>
  <c r="F108" i="1" s="1"/>
  <c r="J108" i="1" s="1"/>
  <c r="D107" i="1"/>
  <c r="F107" i="1" s="1"/>
  <c r="J107" i="1" s="1"/>
  <c r="D105" i="1"/>
  <c r="F105" i="1" s="1"/>
  <c r="J105" i="1" s="1"/>
  <c r="D106" i="1"/>
  <c r="F106" i="1" s="1"/>
  <c r="J106" i="1" s="1"/>
  <c r="D104" i="1"/>
  <c r="F104" i="1" s="1"/>
  <c r="J104" i="1" s="1"/>
  <c r="D99" i="1"/>
  <c r="F99" i="1" s="1"/>
  <c r="J99" i="1" s="1"/>
  <c r="D100" i="1"/>
  <c r="F100" i="1" s="1"/>
  <c r="J100" i="1" s="1"/>
  <c r="D101" i="1"/>
  <c r="F101" i="1" s="1"/>
  <c r="J101" i="1" s="1"/>
  <c r="D102" i="1"/>
  <c r="F102" i="1" s="1"/>
  <c r="J102" i="1" s="1"/>
  <c r="D103" i="1"/>
  <c r="F103" i="1" s="1"/>
  <c r="J103" i="1" s="1"/>
  <c r="D98" i="1"/>
  <c r="F98" i="1" s="1"/>
  <c r="J98" i="1" s="1"/>
  <c r="D97" i="1"/>
  <c r="F97" i="1" s="1"/>
  <c r="J97" i="1" s="1"/>
  <c r="G92" i="1" l="1"/>
  <c r="G89" i="1"/>
  <c r="I113" i="1"/>
  <c r="I98" i="1"/>
  <c r="I97" i="1"/>
  <c r="D126" i="1" l="1"/>
  <c r="E126" i="1"/>
  <c r="D125" i="1"/>
  <c r="D124" i="1"/>
  <c r="E123" i="1"/>
  <c r="D123" i="1"/>
  <c r="D121" i="1"/>
  <c r="D120" i="1"/>
  <c r="D119" i="1"/>
  <c r="D118" i="1"/>
  <c r="I118" i="1" s="1"/>
  <c r="D116" i="1"/>
  <c r="J116" i="1" s="1"/>
  <c r="D115" i="1"/>
  <c r="J115" i="1" s="1"/>
  <c r="D114" i="1"/>
  <c r="J114" i="1" s="1"/>
  <c r="D113" i="1"/>
  <c r="J113" i="1" s="1"/>
  <c r="U119" i="1"/>
  <c r="U120" i="1" s="1"/>
  <c r="U121" i="1" s="1"/>
  <c r="G118" i="1"/>
  <c r="G119" i="1" s="1"/>
  <c r="G120" i="1" s="1"/>
  <c r="G121" i="1" s="1"/>
  <c r="V117" i="1"/>
  <c r="W117" i="1"/>
  <c r="W112" i="1"/>
  <c r="V118" i="1"/>
  <c r="E89" i="1" l="1"/>
  <c r="C89" i="1"/>
  <c r="E92" i="1"/>
  <c r="C92" i="1"/>
  <c r="V119" i="1"/>
  <c r="G46" i="1"/>
  <c r="E40" i="1"/>
  <c r="E41" i="1" s="1"/>
  <c r="W118" i="1"/>
  <c r="W119" i="1" l="1"/>
  <c r="W120" i="1" s="1"/>
  <c r="W121" i="1" s="1"/>
  <c r="S118" i="1"/>
  <c r="V120" i="1"/>
  <c r="G97" i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V112" i="1"/>
  <c r="V113" i="1"/>
  <c r="V121" i="1" l="1"/>
  <c r="S120" i="1"/>
  <c r="S119" i="1"/>
  <c r="U114" i="1"/>
  <c r="U115" i="1" s="1"/>
  <c r="U116" i="1" s="1"/>
  <c r="V114" i="1"/>
  <c r="W113" i="1"/>
  <c r="S121" i="1" l="1"/>
  <c r="S113" i="1"/>
  <c r="W114" i="1"/>
  <c r="W115" i="1" s="1"/>
  <c r="W116" i="1" s="1"/>
  <c r="V115" i="1"/>
  <c r="U124" i="1"/>
  <c r="U125" i="1" s="1"/>
  <c r="U126" i="1" s="1"/>
  <c r="G113" i="1"/>
  <c r="V122" i="1"/>
  <c r="G123" i="1"/>
  <c r="G124" i="1" s="1"/>
  <c r="G125" i="1" s="1"/>
  <c r="G126" i="1" s="1"/>
  <c r="E24" i="1"/>
  <c r="E22" i="1"/>
  <c r="V123" i="1"/>
  <c r="S115" i="1" l="1"/>
  <c r="S114" i="1"/>
  <c r="V116" i="1"/>
  <c r="S123" i="1"/>
  <c r="A123" i="1" s="1"/>
  <c r="V124" i="1"/>
  <c r="S124" i="1" s="1"/>
  <c r="A124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116" i="1" l="1"/>
  <c r="V125" i="1"/>
  <c r="S125" i="1" s="1"/>
  <c r="A125" i="1" s="1"/>
  <c r="G12" i="5"/>
  <c r="V126" i="1" l="1"/>
  <c r="S126" i="1" s="1"/>
  <c r="A126" i="1" s="1"/>
  <c r="D141" i="1" l="1"/>
  <c r="F86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<sst xmlns="http://schemas.openxmlformats.org/spreadsheetml/2006/main" count="327" uniqueCount="240">
  <si>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</si>
  <si>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</si>
  <si>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</si>
  <si>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</si>
  <si>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</si>
  <si>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</si>
  <si>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</si>
  <si>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</si>
  <si>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</si>
  <si>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</si>
  <si>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</si>
  <si>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</si>
  <si>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</si>
  <si>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</si>
  <si>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</si>
  <si>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</si>
  <si>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</si>
  <si>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</si>
  <si>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</si>
  <si>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</si>
  <si>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</si>
  <si>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</si>
  <si>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</si>
  <si>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</si>
  <si>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</si>
  <si>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</si>
  <si>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</si>
  <si>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</si>
  <si>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</si>
  <si>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</si>
  <si>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</si>
  <si>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</si>
  <si>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</si>
  <si>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</si>
  <si>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</si>
  <si>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</si>
  <si>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</si>
  <si>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</si>
  <si>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</si>
  <si>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</si>
  <si>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</si>
  <si>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</si>
  <si>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</si>
  <si>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</si>
  <si>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</si>
  <si>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</si>
  <si>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</si>
  <si>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</si>
  <si>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</si>
  <si>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</si>
  <si>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</si>
  <si>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</si>
  <si>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</si>
  <si>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</si>
  <si>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</si>
  <si>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</si>
  <si>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</si>
  <si>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</si>
  <si>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</si>
  <si>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</si>
  <si>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</si>
  <si>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</si>
  <si>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</si>
  <si>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</si>
  <si>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</si>
  <si>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</si>
  <si>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</si>
  <si>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</si>
  <si>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</si>
  <si>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</si>
  <si>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</si>
  <si>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</si>
  <si>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</si>
  <si>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</si>
  <si>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</si>
  <si>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</si>
  <si>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</si>
  <si>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</si>
  <si>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</si>
  <si>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</si>
  <si>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</si>
  <si>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</si>
  <si>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</si>
  <si>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</si>
  <si>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</si>
  <si>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</si>
  <si>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</si>
  <si>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</si>
  <si>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</si>
  <si>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</si>
  <si>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</si>
  <si>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</si>
  <si>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</si>
  <si>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</si>
  <si>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</si>
  <si>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</si>
  <si>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</si>
  <si>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</si>
  <si>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</si>
  <si>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</si>
  <si>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</si>
  <si>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</si>
  <si>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</si>
  <si>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</si>
  <si>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</si>
  <si>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</si>
  <si>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</si>
  <si>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</si>
  <si>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</si>
  <si>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</si>
  <si>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</si>
  <si>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</si>
  <si>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</si>
  <si>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</si>
  <si>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</si>
  <si>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</si>
  <si>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</si>
  <si>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</si>
  <si>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</si>
  <si>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</si>
  <si>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</si>
  <si>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</si>
  <si>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</si>
  <si>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</si>
  <si>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</si>
  <si>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</si>
  <si>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</si>
  <si>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</si>
  <si>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</si>
  <si>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</si>
  <si>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</si>
  <si>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</si>
  <si>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</si>
  <si>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</si>
  <si>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</si>
  <si>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</si>
  <si>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</si>
  <si>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</si>
  <si>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</si>
  <si>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</si>
  <si>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</si>
  <si>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</si>
  <si>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</si>
  <si>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</si>
  <si>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</si>
  <si>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</si>
  <si>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</si>
  <si>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</si>
  <si>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</si>
  <si>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</si>
  <si>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</si>
  <si>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</si>
  <si>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</si>
  <si>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</si>
  <si>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</si>
  <si>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</si>
  <si>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</si>
  <si>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</si>
  <si>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,..,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</si>
  <si>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</si>
  <si>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</si>
  <si>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</si>
  <si>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</si>
  <si>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</si>
  <si>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</si>
  <si>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Axis Sanpada</t>
  </si>
  <si>
    <t>Mr.Suresh Shivshankar Sharma</t>
  </si>
  <si>
    <t>M/s. Abhishek Enterprises Builders &amp; Developers</t>
  </si>
  <si>
    <t>Name of the builder</t>
  </si>
  <si>
    <t>Shiv Shankar Residency</t>
  </si>
  <si>
    <t>CIDCO/BP-17355/TPO(NM &amp; K)/2020/6894</t>
  </si>
  <si>
    <t>Internal Road</t>
  </si>
  <si>
    <t>Open Plot</t>
  </si>
  <si>
    <t>City Height Building</t>
  </si>
  <si>
    <t>L.K. Exotica Apartment</t>
  </si>
  <si>
    <t>Pacific Tower</t>
  </si>
  <si>
    <t>Panvel</t>
  </si>
  <si>
    <t>Taloja(New)</t>
  </si>
  <si>
    <t>1.7Km from Taloja Panchanand Railway Station</t>
  </si>
  <si>
    <t>Raigad</t>
  </si>
  <si>
    <t>15, Sector - 19</t>
  </si>
  <si>
    <t>Ground Floor for Commecial &amp; Parking</t>
  </si>
  <si>
    <t>Shop</t>
  </si>
  <si>
    <t>1st Floor for Amenities</t>
  </si>
  <si>
    <t>2nd, 4th, 6th, 8th, 10th &amp; 12th Floor for Residential</t>
  </si>
  <si>
    <t>201,..,1201</t>
  </si>
  <si>
    <t>202,..,1202</t>
  </si>
  <si>
    <t>203,..,1203</t>
  </si>
  <si>
    <t>204,..,1204</t>
  </si>
  <si>
    <t>3rd, 5th, 7th, 9th &amp; 11th Floor</t>
  </si>
  <si>
    <t>301,..,1101</t>
  </si>
  <si>
    <t>302,..,1102</t>
  </si>
  <si>
    <t>303,..,1103</t>
  </si>
  <si>
    <t>304,..,1104</t>
  </si>
  <si>
    <t>13th Floor</t>
  </si>
  <si>
    <t>2BHK</t>
  </si>
  <si>
    <t>1BHK</t>
  </si>
  <si>
    <t>10000/-</t>
  </si>
  <si>
    <t>200000/-</t>
  </si>
  <si>
    <t>Plot No</t>
  </si>
  <si>
    <t>Flats - 48, Shops - 12</t>
  </si>
  <si>
    <t>Taloja</t>
  </si>
  <si>
    <t>Builder Saleable area</t>
  </si>
  <si>
    <t>Recommended rate of the shop Per Sq. Ft. (on Saleable area)</t>
  </si>
  <si>
    <t>Recommended rate of the flat Per Sq. Ft. (on Saleable area)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</si>
  <si>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</si>
  <si>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</si>
  <si>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</si>
  <si>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</si>
  <si>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</si>
  <si>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</si>
  <si>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</si>
  <si>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</si>
  <si>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</si>
  <si>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</si>
  <si>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</si>
  <si>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</si>
  <si>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</si>
  <si>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</si>
  <si>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</si>
  <si>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</si>
  <si>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</si>
  <si>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</si>
  <si>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Gr + 1st to 13th Floor</t>
  </si>
  <si>
    <t>125000/-</t>
  </si>
  <si>
    <t>225000/-</t>
  </si>
  <si>
    <t>Development Charges</t>
  </si>
  <si>
    <t>Valid Up to:  Gr + 1st to 13th Floor</t>
  </si>
  <si>
    <t>1 Building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</si>
  <si>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E mail : vsjcapf@gmail.com. Web site : www.vsjadon.com</t>
  </si>
  <si>
    <t>Location Link</t>
  </si>
  <si>
    <t>https://goo.gl/maps/jdY8niKBKpvtoGzc6</t>
  </si>
  <si>
    <t>Latitude,Longitude</t>
  </si>
  <si>
    <t>19.070604459,73.095466424</t>
  </si>
  <si>
    <t>P52000025032</t>
  </si>
  <si>
    <t xml:space="preserve">29/02/2020
</t>
  </si>
  <si>
    <t>As per RERA - 31/12/2025</t>
  </si>
  <si>
    <t>1. Lift &amp; Finishing work is pending.
2. We considered Flat Saleable area as per Builder area sheet &amp; Shop area as per our calculation.
3. We considered Carpet area as per Approved Plan.
4. We considered Gross carpet area = Net carpet + Enclose balcony + Chajja/Cornice.
5. We have considered rate by verifying it from market inquire.
6. Car parking is subjected to authentic documentation.
7. On Site, we meet Mr. Sandip : 8108443441.
7. The project has received first CC on 29/02/2020, But construction workis not yet completed.</t>
  </si>
  <si>
    <t>Pranita Mhatre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</si>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</sst>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11.5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</cellStyleXfs>
  <cellXfs count="15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1" fillId="0" borderId="0" xfId="1" applyFont="1" applyProtection="1">
      <protection hidden="1"/>
    </xf>
    <xf numFmtId="0" fontId="11" fillId="0" borderId="5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0" fontId="13" fillId="0" borderId="0" xfId="1" applyFont="1"/>
    <xf numFmtId="0" fontId="11" fillId="0" borderId="0" xfId="2" applyFont="1"/>
    <xf numFmtId="0" fontId="11" fillId="0" borderId="0" xfId="0" applyFont="1" applyAlignment="1">
      <alignment horizontal="center" vertical="center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top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0" xfId="1" applyFont="1" applyProtection="1">
      <protection hidden="1"/>
    </xf>
    <xf numFmtId="0" fontId="7" fillId="0" borderId="13" xfId="1" applyFont="1" applyBorder="1" applyProtection="1">
      <protection hidden="1"/>
    </xf>
    <xf numFmtId="0" fontId="21" fillId="0" borderId="0" xfId="0" applyFont="1" applyProtection="1">
      <protection hidden="1"/>
    </xf>
    <xf numFmtId="0" fontId="7" fillId="0" borderId="13" xfId="1" applyFont="1" applyBorder="1"/>
    <xf numFmtId="0" fontId="21" fillId="0" borderId="13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21" fillId="0" borderId="14" xfId="0" applyFont="1" applyBorder="1" applyProtection="1">
      <protection hidden="1"/>
    </xf>
    <xf numFmtId="1" fontId="0" fillId="0" borderId="15" xfId="0" applyNumberForma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top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23" xfId="0" applyNumberFormat="1" applyFont="1" applyBorder="1" applyAlignment="1" applyProtection="1">
      <alignment horizontal="left" vertical="top" wrapText="1"/>
      <protection locked="0"/>
    </xf>
    <xf numFmtId="1" fontId="8" fillId="0" borderId="10" xfId="0" applyNumberFormat="1" applyFont="1" applyBorder="1" applyAlignment="1" applyProtection="1">
      <alignment horizontal="left" vertical="top" wrapText="1"/>
      <protection locked="0"/>
    </xf>
    <xf numFmtId="0" fontId="12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2" fillId="0" borderId="1" xfId="8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20" fillId="0" borderId="1" xfId="1" applyFont="1" applyBorder="1" applyAlignment="1" applyProtection="1">
      <alignment horizontal="center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23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448237</xdr:colOff>
      <xdr:row>198</xdr:row>
      <xdr:rowOff>103498</xdr:rowOff>
    </xdr:from>
    <xdr:to>
      <xdr:col>6</xdr:col>
      <xdr:colOff>392206</xdr:colOff>
      <xdr:row>212</xdr:row>
      <xdr:rowOff>38898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0237" y="41805680"/>
          <a:ext cx="4022401" cy="27236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448234</xdr:colOff>
      <xdr:row>184</xdr:row>
      <xdr:rowOff>9675</xdr:rowOff>
    </xdr:from>
    <xdr:to>
      <xdr:col>6</xdr:col>
      <xdr:colOff>403411</xdr:colOff>
      <xdr:row>197</xdr:row>
      <xdr:rowOff>141685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0234" y="38923630"/>
          <a:ext cx="4033609" cy="27210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574221</xdr:colOff>
      <xdr:row>139</xdr:row>
      <xdr:rowOff>171450</xdr:rowOff>
    </xdr:from>
    <xdr:to>
      <xdr:col>19</xdr:col>
      <xdr:colOff>506609</xdr:colOff>
      <xdr:row>176</xdr:row>
      <xdr:rowOff>7350</xdr:rowOff>
    </xdr:to>
    <xdr:grpSp>
      <xdr:nvGrpSpPr>
        <xdr:cNvPr id="2" name="Group 1"/>
        <xdr:cNvGrpSpPr/>
      </xdr:nvGrpSpPr>
      <xdr:grpSpPr>
        <a:xfrm>
          <a:off x="8346621" y="31146750"/>
          <a:ext cx="6285563" cy="7227300"/>
          <a:chOff x="57150" y="32080200"/>
          <a:chExt cx="6276038" cy="7227300"/>
        </a:xfrm>
      </xdr:grpSpPr>
      <xdr:pic>
        <xdr:nvPicPr>
          <xdr:cNvPr id="31" name="Picture 30" descr="https://vsjcllp.vsjadon.com/upload/insp-23642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52675" y="371475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42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32089725"/>
            <a:ext cx="2026712" cy="27050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642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95775" y="32080200"/>
            <a:ext cx="2026712" cy="27050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426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0" y="34880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42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62125" y="3488531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426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0275" y="32080200"/>
            <a:ext cx="2026712" cy="27050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426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14875" y="34880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108858</xdr:colOff>
      <xdr:row>141</xdr:row>
      <xdr:rowOff>27214</xdr:rowOff>
    </xdr:from>
    <xdr:to>
      <xdr:col>7</xdr:col>
      <xdr:colOff>544286</xdr:colOff>
      <xdr:row>178</xdr:row>
      <xdr:rowOff>27214</xdr:rowOff>
    </xdr:to>
    <xdr:grpSp>
      <xdr:nvGrpSpPr>
        <xdr:cNvPr id="22" name="Group 21"/>
        <xdr:cNvGrpSpPr/>
      </xdr:nvGrpSpPr>
      <xdr:grpSpPr>
        <a:xfrm>
          <a:off x="108858" y="31402564"/>
          <a:ext cx="6017078" cy="7391400"/>
          <a:chOff x="-290309" y="276110"/>
          <a:chExt cx="7541773" cy="8497819"/>
        </a:xfrm>
      </xdr:grpSpPr>
      <xdr:pic>
        <xdr:nvPicPr>
          <xdr:cNvPr id="38" name="Picture 37" descr="https://vsjcllp.vsjadon.com/upload/insp-24687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1362" y="6587381"/>
            <a:ext cx="1645037" cy="2186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87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52894" y="276110"/>
            <a:ext cx="3092710" cy="4110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87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90309" y="4482127"/>
            <a:ext cx="1512215" cy="20100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687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50707" y="6587381"/>
            <a:ext cx="1645037" cy="2186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87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850" y="6587381"/>
            <a:ext cx="1645037" cy="2186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687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0525" y="4482127"/>
            <a:ext cx="1512215" cy="20100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687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37882" y="4482127"/>
            <a:ext cx="1513582" cy="20118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6875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053" y="276111"/>
            <a:ext cx="3092710" cy="4110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6875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6340" y="4482127"/>
            <a:ext cx="2667642" cy="20100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687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0044" y="6587381"/>
            <a:ext cx="1638203" cy="2186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dY8niKBKpvtoGzc6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184"/>
  <sheetViews>
    <sheetView tabSelected="1" view="pageBreakPreview" topLeftCell="B60" zoomScaleNormal="100" zoomScaleSheetLayoutView="100" zoomScalePageLayoutView="85" workbookViewId="0">
      <selection activeCell="N72" sqref="N72"/>
    </sheetView>
  </sheetViews>
  <sheetFormatPr defaultColWidth="9.140625" defaultRowHeight="15.75" x14ac:dyDescent="0.25"/>
  <cols>
    <col min="1" max="1" width="11.42578125" style="17" customWidth="1"/>
    <col min="2" max="2" width="12.140625" style="17" customWidth="1"/>
    <col min="3" max="3" width="12.5703125" style="17" customWidth="1"/>
    <col min="4" max="4" width="12.85546875" style="17" customWidth="1"/>
    <col min="5" max="7" width="11.5703125" style="17" customWidth="1"/>
    <col min="8" max="8" width="12.42578125" style="17" customWidth="1"/>
    <col min="9" max="9" width="20.42578125" style="8" customWidth="1"/>
    <col min="10" max="10" width="9.85546875" style="8" bestFit="1" customWidth="1"/>
    <col min="11" max="11" width="10.5703125" style="8" bestFit="1" customWidth="1"/>
    <col min="12" max="17" width="9.140625" style="8"/>
    <col min="18" max="18" width="9.42578125" style="8" customWidth="1"/>
    <col min="19" max="19" width="10.5703125" style="8" customWidth="1"/>
    <col min="20" max="20" width="9.140625" style="8" customWidth="1"/>
    <col min="21" max="21" width="3.42578125" style="8" bestFit="1" customWidth="1"/>
    <col min="22" max="22" width="9" style="8" bestFit="1" customWidth="1"/>
    <col min="23" max="23" width="5.5703125" style="8" bestFit="1" customWidth="1"/>
    <col min="24" max="254" width="9.140625" style="8"/>
    <col min="255" max="255" width="8.5703125" style="8" customWidth="1"/>
    <col min="256" max="256" width="9.85546875" style="8" customWidth="1"/>
    <col min="257" max="257" width="14.42578125" style="8" customWidth="1"/>
    <col min="258" max="258" width="7.42578125" style="8" customWidth="1"/>
    <col min="259" max="259" width="5.5703125" style="8" customWidth="1"/>
    <col min="260" max="260" width="9" style="8" customWidth="1"/>
    <col min="261" max="262" width="9.85546875" style="8" customWidth="1"/>
    <col min="263" max="263" width="11.140625" style="8" customWidth="1"/>
    <col min="264" max="264" width="2.85546875" style="8" customWidth="1"/>
    <col min="265" max="265" width="3.5703125" style="8" customWidth="1"/>
    <col min="266" max="510" width="9.140625" style="8"/>
    <col min="511" max="511" width="8.5703125" style="8" customWidth="1"/>
    <col min="512" max="512" width="9.85546875" style="8" customWidth="1"/>
    <col min="513" max="513" width="14.42578125" style="8" customWidth="1"/>
    <col min="514" max="514" width="7.42578125" style="8" customWidth="1"/>
    <col min="515" max="515" width="5.5703125" style="8" customWidth="1"/>
    <col min="516" max="516" width="9" style="8" customWidth="1"/>
    <col min="517" max="518" width="9.85546875" style="8" customWidth="1"/>
    <col min="519" max="519" width="11.140625" style="8" customWidth="1"/>
    <col min="520" max="520" width="2.85546875" style="8" customWidth="1"/>
    <col min="521" max="521" width="3.5703125" style="8" customWidth="1"/>
    <col min="522" max="766" width="9.140625" style="8"/>
    <col min="767" max="767" width="8.5703125" style="8" customWidth="1"/>
    <col min="768" max="768" width="9.85546875" style="8" customWidth="1"/>
    <col min="769" max="769" width="14.42578125" style="8" customWidth="1"/>
    <col min="770" max="770" width="7.42578125" style="8" customWidth="1"/>
    <col min="771" max="771" width="5.5703125" style="8" customWidth="1"/>
    <col min="772" max="772" width="9" style="8" customWidth="1"/>
    <col min="773" max="774" width="9.85546875" style="8" customWidth="1"/>
    <col min="775" max="775" width="11.140625" style="8" customWidth="1"/>
    <col min="776" max="776" width="2.85546875" style="8" customWidth="1"/>
    <col min="777" max="777" width="3.5703125" style="8" customWidth="1"/>
    <col min="778" max="1022" width="9.140625" style="8"/>
    <col min="1023" max="1023" width="8.5703125" style="8" customWidth="1"/>
    <col min="1024" max="1024" width="9.85546875" style="8" customWidth="1"/>
    <col min="1025" max="1025" width="14.42578125" style="8" customWidth="1"/>
    <col min="1026" max="1026" width="7.42578125" style="8" customWidth="1"/>
    <col min="1027" max="1027" width="5.5703125" style="8" customWidth="1"/>
    <col min="1028" max="1028" width="9" style="8" customWidth="1"/>
    <col min="1029" max="1030" width="9.85546875" style="8" customWidth="1"/>
    <col min="1031" max="1031" width="11.140625" style="8" customWidth="1"/>
    <col min="1032" max="1032" width="2.85546875" style="8" customWidth="1"/>
    <col min="1033" max="1033" width="3.5703125" style="8" customWidth="1"/>
    <col min="1034" max="1278" width="9.140625" style="8"/>
    <col min="1279" max="1279" width="8.5703125" style="8" customWidth="1"/>
    <col min="1280" max="1280" width="9.85546875" style="8" customWidth="1"/>
    <col min="1281" max="1281" width="14.42578125" style="8" customWidth="1"/>
    <col min="1282" max="1282" width="7.42578125" style="8" customWidth="1"/>
    <col min="1283" max="1283" width="5.5703125" style="8" customWidth="1"/>
    <col min="1284" max="1284" width="9" style="8" customWidth="1"/>
    <col min="1285" max="1286" width="9.85546875" style="8" customWidth="1"/>
    <col min="1287" max="1287" width="11.140625" style="8" customWidth="1"/>
    <col min="1288" max="1288" width="2.85546875" style="8" customWidth="1"/>
    <col min="1289" max="1289" width="3.5703125" style="8" customWidth="1"/>
    <col min="1290" max="1534" width="9.140625" style="8"/>
    <col min="1535" max="1535" width="8.5703125" style="8" customWidth="1"/>
    <col min="1536" max="1536" width="9.85546875" style="8" customWidth="1"/>
    <col min="1537" max="1537" width="14.42578125" style="8" customWidth="1"/>
    <col min="1538" max="1538" width="7.42578125" style="8" customWidth="1"/>
    <col min="1539" max="1539" width="5.5703125" style="8" customWidth="1"/>
    <col min="1540" max="1540" width="9" style="8" customWidth="1"/>
    <col min="1541" max="1542" width="9.85546875" style="8" customWidth="1"/>
    <col min="1543" max="1543" width="11.140625" style="8" customWidth="1"/>
    <col min="1544" max="1544" width="2.85546875" style="8" customWidth="1"/>
    <col min="1545" max="1545" width="3.5703125" style="8" customWidth="1"/>
    <col min="1546" max="1790" width="9.140625" style="8"/>
    <col min="1791" max="1791" width="8.5703125" style="8" customWidth="1"/>
    <col min="1792" max="1792" width="9.85546875" style="8" customWidth="1"/>
    <col min="1793" max="1793" width="14.42578125" style="8" customWidth="1"/>
    <col min="1794" max="1794" width="7.42578125" style="8" customWidth="1"/>
    <col min="1795" max="1795" width="5.5703125" style="8" customWidth="1"/>
    <col min="1796" max="1796" width="9" style="8" customWidth="1"/>
    <col min="1797" max="1798" width="9.85546875" style="8" customWidth="1"/>
    <col min="1799" max="1799" width="11.140625" style="8" customWidth="1"/>
    <col min="1800" max="1800" width="2.85546875" style="8" customWidth="1"/>
    <col min="1801" max="1801" width="3.5703125" style="8" customWidth="1"/>
    <col min="1802" max="2046" width="9.140625" style="8"/>
    <col min="2047" max="2047" width="8.5703125" style="8" customWidth="1"/>
    <col min="2048" max="2048" width="9.85546875" style="8" customWidth="1"/>
    <col min="2049" max="2049" width="14.42578125" style="8" customWidth="1"/>
    <col min="2050" max="2050" width="7.42578125" style="8" customWidth="1"/>
    <col min="2051" max="2051" width="5.5703125" style="8" customWidth="1"/>
    <col min="2052" max="2052" width="9" style="8" customWidth="1"/>
    <col min="2053" max="2054" width="9.85546875" style="8" customWidth="1"/>
    <col min="2055" max="2055" width="11.140625" style="8" customWidth="1"/>
    <col min="2056" max="2056" width="2.85546875" style="8" customWidth="1"/>
    <col min="2057" max="2057" width="3.5703125" style="8" customWidth="1"/>
    <col min="2058" max="2302" width="9.140625" style="8"/>
    <col min="2303" max="2303" width="8.5703125" style="8" customWidth="1"/>
    <col min="2304" max="2304" width="9.85546875" style="8" customWidth="1"/>
    <col min="2305" max="2305" width="14.42578125" style="8" customWidth="1"/>
    <col min="2306" max="2306" width="7.42578125" style="8" customWidth="1"/>
    <col min="2307" max="2307" width="5.5703125" style="8" customWidth="1"/>
    <col min="2308" max="2308" width="9" style="8" customWidth="1"/>
    <col min="2309" max="2310" width="9.85546875" style="8" customWidth="1"/>
    <col min="2311" max="2311" width="11.140625" style="8" customWidth="1"/>
    <col min="2312" max="2312" width="2.85546875" style="8" customWidth="1"/>
    <col min="2313" max="2313" width="3.5703125" style="8" customWidth="1"/>
    <col min="2314" max="2558" width="9.140625" style="8"/>
    <col min="2559" max="2559" width="8.5703125" style="8" customWidth="1"/>
    <col min="2560" max="2560" width="9.85546875" style="8" customWidth="1"/>
    <col min="2561" max="2561" width="14.42578125" style="8" customWidth="1"/>
    <col min="2562" max="2562" width="7.42578125" style="8" customWidth="1"/>
    <col min="2563" max="2563" width="5.5703125" style="8" customWidth="1"/>
    <col min="2564" max="2564" width="9" style="8" customWidth="1"/>
    <col min="2565" max="2566" width="9.85546875" style="8" customWidth="1"/>
    <col min="2567" max="2567" width="11.140625" style="8" customWidth="1"/>
    <col min="2568" max="2568" width="2.85546875" style="8" customWidth="1"/>
    <col min="2569" max="2569" width="3.5703125" style="8" customWidth="1"/>
    <col min="2570" max="2814" width="9.140625" style="8"/>
    <col min="2815" max="2815" width="8.5703125" style="8" customWidth="1"/>
    <col min="2816" max="2816" width="9.85546875" style="8" customWidth="1"/>
    <col min="2817" max="2817" width="14.42578125" style="8" customWidth="1"/>
    <col min="2818" max="2818" width="7.42578125" style="8" customWidth="1"/>
    <col min="2819" max="2819" width="5.5703125" style="8" customWidth="1"/>
    <col min="2820" max="2820" width="9" style="8" customWidth="1"/>
    <col min="2821" max="2822" width="9.85546875" style="8" customWidth="1"/>
    <col min="2823" max="2823" width="11.140625" style="8" customWidth="1"/>
    <col min="2824" max="2824" width="2.85546875" style="8" customWidth="1"/>
    <col min="2825" max="2825" width="3.5703125" style="8" customWidth="1"/>
    <col min="2826" max="3070" width="9.140625" style="8"/>
    <col min="3071" max="3071" width="8.5703125" style="8" customWidth="1"/>
    <col min="3072" max="3072" width="9.85546875" style="8" customWidth="1"/>
    <col min="3073" max="3073" width="14.42578125" style="8" customWidth="1"/>
    <col min="3074" max="3074" width="7.42578125" style="8" customWidth="1"/>
    <col min="3075" max="3075" width="5.5703125" style="8" customWidth="1"/>
    <col min="3076" max="3076" width="9" style="8" customWidth="1"/>
    <col min="3077" max="3078" width="9.85546875" style="8" customWidth="1"/>
    <col min="3079" max="3079" width="11.140625" style="8" customWidth="1"/>
    <col min="3080" max="3080" width="2.85546875" style="8" customWidth="1"/>
    <col min="3081" max="3081" width="3.5703125" style="8" customWidth="1"/>
    <col min="3082" max="3326" width="9.140625" style="8"/>
    <col min="3327" max="3327" width="8.5703125" style="8" customWidth="1"/>
    <col min="3328" max="3328" width="9.85546875" style="8" customWidth="1"/>
    <col min="3329" max="3329" width="14.42578125" style="8" customWidth="1"/>
    <col min="3330" max="3330" width="7.42578125" style="8" customWidth="1"/>
    <col min="3331" max="3331" width="5.5703125" style="8" customWidth="1"/>
    <col min="3332" max="3332" width="9" style="8" customWidth="1"/>
    <col min="3333" max="3334" width="9.85546875" style="8" customWidth="1"/>
    <col min="3335" max="3335" width="11.140625" style="8" customWidth="1"/>
    <col min="3336" max="3336" width="2.85546875" style="8" customWidth="1"/>
    <col min="3337" max="3337" width="3.5703125" style="8" customWidth="1"/>
    <col min="3338" max="3582" width="9.140625" style="8"/>
    <col min="3583" max="3583" width="8.5703125" style="8" customWidth="1"/>
    <col min="3584" max="3584" width="9.85546875" style="8" customWidth="1"/>
    <col min="3585" max="3585" width="14.42578125" style="8" customWidth="1"/>
    <col min="3586" max="3586" width="7.42578125" style="8" customWidth="1"/>
    <col min="3587" max="3587" width="5.5703125" style="8" customWidth="1"/>
    <col min="3588" max="3588" width="9" style="8" customWidth="1"/>
    <col min="3589" max="3590" width="9.85546875" style="8" customWidth="1"/>
    <col min="3591" max="3591" width="11.140625" style="8" customWidth="1"/>
    <col min="3592" max="3592" width="2.85546875" style="8" customWidth="1"/>
    <col min="3593" max="3593" width="3.5703125" style="8" customWidth="1"/>
    <col min="3594" max="3838" width="9.140625" style="8"/>
    <col min="3839" max="3839" width="8.5703125" style="8" customWidth="1"/>
    <col min="3840" max="3840" width="9.85546875" style="8" customWidth="1"/>
    <col min="3841" max="3841" width="14.42578125" style="8" customWidth="1"/>
    <col min="3842" max="3842" width="7.42578125" style="8" customWidth="1"/>
    <col min="3843" max="3843" width="5.5703125" style="8" customWidth="1"/>
    <col min="3844" max="3844" width="9" style="8" customWidth="1"/>
    <col min="3845" max="3846" width="9.85546875" style="8" customWidth="1"/>
    <col min="3847" max="3847" width="11.140625" style="8" customWidth="1"/>
    <col min="3848" max="3848" width="2.85546875" style="8" customWidth="1"/>
    <col min="3849" max="3849" width="3.5703125" style="8" customWidth="1"/>
    <col min="3850" max="4094" width="9.140625" style="8"/>
    <col min="4095" max="4095" width="8.5703125" style="8" customWidth="1"/>
    <col min="4096" max="4096" width="9.85546875" style="8" customWidth="1"/>
    <col min="4097" max="4097" width="14.42578125" style="8" customWidth="1"/>
    <col min="4098" max="4098" width="7.42578125" style="8" customWidth="1"/>
    <col min="4099" max="4099" width="5.5703125" style="8" customWidth="1"/>
    <col min="4100" max="4100" width="9" style="8" customWidth="1"/>
    <col min="4101" max="4102" width="9.85546875" style="8" customWidth="1"/>
    <col min="4103" max="4103" width="11.140625" style="8" customWidth="1"/>
    <col min="4104" max="4104" width="2.85546875" style="8" customWidth="1"/>
    <col min="4105" max="4105" width="3.5703125" style="8" customWidth="1"/>
    <col min="4106" max="4350" width="9.140625" style="8"/>
    <col min="4351" max="4351" width="8.5703125" style="8" customWidth="1"/>
    <col min="4352" max="4352" width="9.85546875" style="8" customWidth="1"/>
    <col min="4353" max="4353" width="14.42578125" style="8" customWidth="1"/>
    <col min="4354" max="4354" width="7.42578125" style="8" customWidth="1"/>
    <col min="4355" max="4355" width="5.5703125" style="8" customWidth="1"/>
    <col min="4356" max="4356" width="9" style="8" customWidth="1"/>
    <col min="4357" max="4358" width="9.85546875" style="8" customWidth="1"/>
    <col min="4359" max="4359" width="11.140625" style="8" customWidth="1"/>
    <col min="4360" max="4360" width="2.85546875" style="8" customWidth="1"/>
    <col min="4361" max="4361" width="3.5703125" style="8" customWidth="1"/>
    <col min="4362" max="4606" width="9.140625" style="8"/>
    <col min="4607" max="4607" width="8.5703125" style="8" customWidth="1"/>
    <col min="4608" max="4608" width="9.85546875" style="8" customWidth="1"/>
    <col min="4609" max="4609" width="14.42578125" style="8" customWidth="1"/>
    <col min="4610" max="4610" width="7.42578125" style="8" customWidth="1"/>
    <col min="4611" max="4611" width="5.5703125" style="8" customWidth="1"/>
    <col min="4612" max="4612" width="9" style="8" customWidth="1"/>
    <col min="4613" max="4614" width="9.85546875" style="8" customWidth="1"/>
    <col min="4615" max="4615" width="11.140625" style="8" customWidth="1"/>
    <col min="4616" max="4616" width="2.85546875" style="8" customWidth="1"/>
    <col min="4617" max="4617" width="3.5703125" style="8" customWidth="1"/>
    <col min="4618" max="4862" width="9.140625" style="8"/>
    <col min="4863" max="4863" width="8.5703125" style="8" customWidth="1"/>
    <col min="4864" max="4864" width="9.85546875" style="8" customWidth="1"/>
    <col min="4865" max="4865" width="14.42578125" style="8" customWidth="1"/>
    <col min="4866" max="4866" width="7.42578125" style="8" customWidth="1"/>
    <col min="4867" max="4867" width="5.5703125" style="8" customWidth="1"/>
    <col min="4868" max="4868" width="9" style="8" customWidth="1"/>
    <col min="4869" max="4870" width="9.85546875" style="8" customWidth="1"/>
    <col min="4871" max="4871" width="11.140625" style="8" customWidth="1"/>
    <col min="4872" max="4872" width="2.85546875" style="8" customWidth="1"/>
    <col min="4873" max="4873" width="3.5703125" style="8" customWidth="1"/>
    <col min="4874" max="5118" width="9.140625" style="8"/>
    <col min="5119" max="5119" width="8.5703125" style="8" customWidth="1"/>
    <col min="5120" max="5120" width="9.85546875" style="8" customWidth="1"/>
    <col min="5121" max="5121" width="14.42578125" style="8" customWidth="1"/>
    <col min="5122" max="5122" width="7.42578125" style="8" customWidth="1"/>
    <col min="5123" max="5123" width="5.5703125" style="8" customWidth="1"/>
    <col min="5124" max="5124" width="9" style="8" customWidth="1"/>
    <col min="5125" max="5126" width="9.85546875" style="8" customWidth="1"/>
    <col min="5127" max="5127" width="11.140625" style="8" customWidth="1"/>
    <col min="5128" max="5128" width="2.85546875" style="8" customWidth="1"/>
    <col min="5129" max="5129" width="3.5703125" style="8" customWidth="1"/>
    <col min="5130" max="5374" width="9.140625" style="8"/>
    <col min="5375" max="5375" width="8.5703125" style="8" customWidth="1"/>
    <col min="5376" max="5376" width="9.85546875" style="8" customWidth="1"/>
    <col min="5377" max="5377" width="14.42578125" style="8" customWidth="1"/>
    <col min="5378" max="5378" width="7.42578125" style="8" customWidth="1"/>
    <col min="5379" max="5379" width="5.5703125" style="8" customWidth="1"/>
    <col min="5380" max="5380" width="9" style="8" customWidth="1"/>
    <col min="5381" max="5382" width="9.85546875" style="8" customWidth="1"/>
    <col min="5383" max="5383" width="11.140625" style="8" customWidth="1"/>
    <col min="5384" max="5384" width="2.85546875" style="8" customWidth="1"/>
    <col min="5385" max="5385" width="3.5703125" style="8" customWidth="1"/>
    <col min="5386" max="5630" width="9.140625" style="8"/>
    <col min="5631" max="5631" width="8.5703125" style="8" customWidth="1"/>
    <col min="5632" max="5632" width="9.85546875" style="8" customWidth="1"/>
    <col min="5633" max="5633" width="14.42578125" style="8" customWidth="1"/>
    <col min="5634" max="5634" width="7.42578125" style="8" customWidth="1"/>
    <col min="5635" max="5635" width="5.5703125" style="8" customWidth="1"/>
    <col min="5636" max="5636" width="9" style="8" customWidth="1"/>
    <col min="5637" max="5638" width="9.85546875" style="8" customWidth="1"/>
    <col min="5639" max="5639" width="11.140625" style="8" customWidth="1"/>
    <col min="5640" max="5640" width="2.85546875" style="8" customWidth="1"/>
    <col min="5641" max="5641" width="3.5703125" style="8" customWidth="1"/>
    <col min="5642" max="5886" width="9.140625" style="8"/>
    <col min="5887" max="5887" width="8.5703125" style="8" customWidth="1"/>
    <col min="5888" max="5888" width="9.85546875" style="8" customWidth="1"/>
    <col min="5889" max="5889" width="14.42578125" style="8" customWidth="1"/>
    <col min="5890" max="5890" width="7.42578125" style="8" customWidth="1"/>
    <col min="5891" max="5891" width="5.5703125" style="8" customWidth="1"/>
    <col min="5892" max="5892" width="9" style="8" customWidth="1"/>
    <col min="5893" max="5894" width="9.85546875" style="8" customWidth="1"/>
    <col min="5895" max="5895" width="11.140625" style="8" customWidth="1"/>
    <col min="5896" max="5896" width="2.85546875" style="8" customWidth="1"/>
    <col min="5897" max="5897" width="3.5703125" style="8" customWidth="1"/>
    <col min="5898" max="6142" width="9.140625" style="8"/>
    <col min="6143" max="6143" width="8.5703125" style="8" customWidth="1"/>
    <col min="6144" max="6144" width="9.85546875" style="8" customWidth="1"/>
    <col min="6145" max="6145" width="14.42578125" style="8" customWidth="1"/>
    <col min="6146" max="6146" width="7.42578125" style="8" customWidth="1"/>
    <col min="6147" max="6147" width="5.5703125" style="8" customWidth="1"/>
    <col min="6148" max="6148" width="9" style="8" customWidth="1"/>
    <col min="6149" max="6150" width="9.85546875" style="8" customWidth="1"/>
    <col min="6151" max="6151" width="11.140625" style="8" customWidth="1"/>
    <col min="6152" max="6152" width="2.85546875" style="8" customWidth="1"/>
    <col min="6153" max="6153" width="3.5703125" style="8" customWidth="1"/>
    <col min="6154" max="6398" width="9.140625" style="8"/>
    <col min="6399" max="6399" width="8.5703125" style="8" customWidth="1"/>
    <col min="6400" max="6400" width="9.85546875" style="8" customWidth="1"/>
    <col min="6401" max="6401" width="14.42578125" style="8" customWidth="1"/>
    <col min="6402" max="6402" width="7.42578125" style="8" customWidth="1"/>
    <col min="6403" max="6403" width="5.5703125" style="8" customWidth="1"/>
    <col min="6404" max="6404" width="9" style="8" customWidth="1"/>
    <col min="6405" max="6406" width="9.85546875" style="8" customWidth="1"/>
    <col min="6407" max="6407" width="11.140625" style="8" customWidth="1"/>
    <col min="6408" max="6408" width="2.85546875" style="8" customWidth="1"/>
    <col min="6409" max="6409" width="3.5703125" style="8" customWidth="1"/>
    <col min="6410" max="6654" width="9.140625" style="8"/>
    <col min="6655" max="6655" width="8.5703125" style="8" customWidth="1"/>
    <col min="6656" max="6656" width="9.85546875" style="8" customWidth="1"/>
    <col min="6657" max="6657" width="14.42578125" style="8" customWidth="1"/>
    <col min="6658" max="6658" width="7.42578125" style="8" customWidth="1"/>
    <col min="6659" max="6659" width="5.5703125" style="8" customWidth="1"/>
    <col min="6660" max="6660" width="9" style="8" customWidth="1"/>
    <col min="6661" max="6662" width="9.85546875" style="8" customWidth="1"/>
    <col min="6663" max="6663" width="11.140625" style="8" customWidth="1"/>
    <col min="6664" max="6664" width="2.85546875" style="8" customWidth="1"/>
    <col min="6665" max="6665" width="3.5703125" style="8" customWidth="1"/>
    <col min="6666" max="6910" width="9.140625" style="8"/>
    <col min="6911" max="6911" width="8.5703125" style="8" customWidth="1"/>
    <col min="6912" max="6912" width="9.85546875" style="8" customWidth="1"/>
    <col min="6913" max="6913" width="14.42578125" style="8" customWidth="1"/>
    <col min="6914" max="6914" width="7.42578125" style="8" customWidth="1"/>
    <col min="6915" max="6915" width="5.5703125" style="8" customWidth="1"/>
    <col min="6916" max="6916" width="9" style="8" customWidth="1"/>
    <col min="6917" max="6918" width="9.85546875" style="8" customWidth="1"/>
    <col min="6919" max="6919" width="11.140625" style="8" customWidth="1"/>
    <col min="6920" max="6920" width="2.85546875" style="8" customWidth="1"/>
    <col min="6921" max="6921" width="3.5703125" style="8" customWidth="1"/>
    <col min="6922" max="7166" width="9.140625" style="8"/>
    <col min="7167" max="7167" width="8.5703125" style="8" customWidth="1"/>
    <col min="7168" max="7168" width="9.85546875" style="8" customWidth="1"/>
    <col min="7169" max="7169" width="14.42578125" style="8" customWidth="1"/>
    <col min="7170" max="7170" width="7.42578125" style="8" customWidth="1"/>
    <col min="7171" max="7171" width="5.5703125" style="8" customWidth="1"/>
    <col min="7172" max="7172" width="9" style="8" customWidth="1"/>
    <col min="7173" max="7174" width="9.85546875" style="8" customWidth="1"/>
    <col min="7175" max="7175" width="11.140625" style="8" customWidth="1"/>
    <col min="7176" max="7176" width="2.85546875" style="8" customWidth="1"/>
    <col min="7177" max="7177" width="3.5703125" style="8" customWidth="1"/>
    <col min="7178" max="7422" width="9.140625" style="8"/>
    <col min="7423" max="7423" width="8.5703125" style="8" customWidth="1"/>
    <col min="7424" max="7424" width="9.85546875" style="8" customWidth="1"/>
    <col min="7425" max="7425" width="14.42578125" style="8" customWidth="1"/>
    <col min="7426" max="7426" width="7.42578125" style="8" customWidth="1"/>
    <col min="7427" max="7427" width="5.5703125" style="8" customWidth="1"/>
    <col min="7428" max="7428" width="9" style="8" customWidth="1"/>
    <col min="7429" max="7430" width="9.85546875" style="8" customWidth="1"/>
    <col min="7431" max="7431" width="11.140625" style="8" customWidth="1"/>
    <col min="7432" max="7432" width="2.85546875" style="8" customWidth="1"/>
    <col min="7433" max="7433" width="3.5703125" style="8" customWidth="1"/>
    <col min="7434" max="7678" width="9.140625" style="8"/>
    <col min="7679" max="7679" width="8.5703125" style="8" customWidth="1"/>
    <col min="7680" max="7680" width="9.85546875" style="8" customWidth="1"/>
    <col min="7681" max="7681" width="14.42578125" style="8" customWidth="1"/>
    <col min="7682" max="7682" width="7.42578125" style="8" customWidth="1"/>
    <col min="7683" max="7683" width="5.5703125" style="8" customWidth="1"/>
    <col min="7684" max="7684" width="9" style="8" customWidth="1"/>
    <col min="7685" max="7686" width="9.85546875" style="8" customWidth="1"/>
    <col min="7687" max="7687" width="11.140625" style="8" customWidth="1"/>
    <col min="7688" max="7688" width="2.85546875" style="8" customWidth="1"/>
    <col min="7689" max="7689" width="3.5703125" style="8" customWidth="1"/>
    <col min="7690" max="7934" width="9.140625" style="8"/>
    <col min="7935" max="7935" width="8.5703125" style="8" customWidth="1"/>
    <col min="7936" max="7936" width="9.85546875" style="8" customWidth="1"/>
    <col min="7937" max="7937" width="14.42578125" style="8" customWidth="1"/>
    <col min="7938" max="7938" width="7.42578125" style="8" customWidth="1"/>
    <col min="7939" max="7939" width="5.5703125" style="8" customWidth="1"/>
    <col min="7940" max="7940" width="9" style="8" customWidth="1"/>
    <col min="7941" max="7942" width="9.85546875" style="8" customWidth="1"/>
    <col min="7943" max="7943" width="11.140625" style="8" customWidth="1"/>
    <col min="7944" max="7944" width="2.85546875" style="8" customWidth="1"/>
    <col min="7945" max="7945" width="3.5703125" style="8" customWidth="1"/>
    <col min="7946" max="8190" width="9.140625" style="8"/>
    <col min="8191" max="8191" width="8.5703125" style="8" customWidth="1"/>
    <col min="8192" max="8192" width="9.85546875" style="8" customWidth="1"/>
    <col min="8193" max="8193" width="14.42578125" style="8" customWidth="1"/>
    <col min="8194" max="8194" width="7.42578125" style="8" customWidth="1"/>
    <col min="8195" max="8195" width="5.5703125" style="8" customWidth="1"/>
    <col min="8196" max="8196" width="9" style="8" customWidth="1"/>
    <col min="8197" max="8198" width="9.85546875" style="8" customWidth="1"/>
    <col min="8199" max="8199" width="11.140625" style="8" customWidth="1"/>
    <col min="8200" max="8200" width="2.85546875" style="8" customWidth="1"/>
    <col min="8201" max="8201" width="3.5703125" style="8" customWidth="1"/>
    <col min="8202" max="8446" width="9.140625" style="8"/>
    <col min="8447" max="8447" width="8.5703125" style="8" customWidth="1"/>
    <col min="8448" max="8448" width="9.85546875" style="8" customWidth="1"/>
    <col min="8449" max="8449" width="14.42578125" style="8" customWidth="1"/>
    <col min="8450" max="8450" width="7.42578125" style="8" customWidth="1"/>
    <col min="8451" max="8451" width="5.5703125" style="8" customWidth="1"/>
    <col min="8452" max="8452" width="9" style="8" customWidth="1"/>
    <col min="8453" max="8454" width="9.85546875" style="8" customWidth="1"/>
    <col min="8455" max="8455" width="11.140625" style="8" customWidth="1"/>
    <col min="8456" max="8456" width="2.85546875" style="8" customWidth="1"/>
    <col min="8457" max="8457" width="3.5703125" style="8" customWidth="1"/>
    <col min="8458" max="8702" width="9.140625" style="8"/>
    <col min="8703" max="8703" width="8.5703125" style="8" customWidth="1"/>
    <col min="8704" max="8704" width="9.85546875" style="8" customWidth="1"/>
    <col min="8705" max="8705" width="14.42578125" style="8" customWidth="1"/>
    <col min="8706" max="8706" width="7.42578125" style="8" customWidth="1"/>
    <col min="8707" max="8707" width="5.5703125" style="8" customWidth="1"/>
    <col min="8708" max="8708" width="9" style="8" customWidth="1"/>
    <col min="8709" max="8710" width="9.85546875" style="8" customWidth="1"/>
    <col min="8711" max="8711" width="11.140625" style="8" customWidth="1"/>
    <col min="8712" max="8712" width="2.85546875" style="8" customWidth="1"/>
    <col min="8713" max="8713" width="3.5703125" style="8" customWidth="1"/>
    <col min="8714" max="8958" width="9.140625" style="8"/>
    <col min="8959" max="8959" width="8.5703125" style="8" customWidth="1"/>
    <col min="8960" max="8960" width="9.85546875" style="8" customWidth="1"/>
    <col min="8961" max="8961" width="14.42578125" style="8" customWidth="1"/>
    <col min="8962" max="8962" width="7.42578125" style="8" customWidth="1"/>
    <col min="8963" max="8963" width="5.5703125" style="8" customWidth="1"/>
    <col min="8964" max="8964" width="9" style="8" customWidth="1"/>
    <col min="8965" max="8966" width="9.85546875" style="8" customWidth="1"/>
    <col min="8967" max="8967" width="11.140625" style="8" customWidth="1"/>
    <col min="8968" max="8968" width="2.85546875" style="8" customWidth="1"/>
    <col min="8969" max="8969" width="3.5703125" style="8" customWidth="1"/>
    <col min="8970" max="9214" width="9.140625" style="8"/>
    <col min="9215" max="9215" width="8.5703125" style="8" customWidth="1"/>
    <col min="9216" max="9216" width="9.85546875" style="8" customWidth="1"/>
    <col min="9217" max="9217" width="14.42578125" style="8" customWidth="1"/>
    <col min="9218" max="9218" width="7.42578125" style="8" customWidth="1"/>
    <col min="9219" max="9219" width="5.5703125" style="8" customWidth="1"/>
    <col min="9220" max="9220" width="9" style="8" customWidth="1"/>
    <col min="9221" max="9222" width="9.85546875" style="8" customWidth="1"/>
    <col min="9223" max="9223" width="11.140625" style="8" customWidth="1"/>
    <col min="9224" max="9224" width="2.85546875" style="8" customWidth="1"/>
    <col min="9225" max="9225" width="3.5703125" style="8" customWidth="1"/>
    <col min="9226" max="9470" width="9.140625" style="8"/>
    <col min="9471" max="9471" width="8.5703125" style="8" customWidth="1"/>
    <col min="9472" max="9472" width="9.85546875" style="8" customWidth="1"/>
    <col min="9473" max="9473" width="14.42578125" style="8" customWidth="1"/>
    <col min="9474" max="9474" width="7.42578125" style="8" customWidth="1"/>
    <col min="9475" max="9475" width="5.5703125" style="8" customWidth="1"/>
    <col min="9476" max="9476" width="9" style="8" customWidth="1"/>
    <col min="9477" max="9478" width="9.85546875" style="8" customWidth="1"/>
    <col min="9479" max="9479" width="11.140625" style="8" customWidth="1"/>
    <col min="9480" max="9480" width="2.85546875" style="8" customWidth="1"/>
    <col min="9481" max="9481" width="3.5703125" style="8" customWidth="1"/>
    <col min="9482" max="9726" width="9.140625" style="8"/>
    <col min="9727" max="9727" width="8.5703125" style="8" customWidth="1"/>
    <col min="9728" max="9728" width="9.85546875" style="8" customWidth="1"/>
    <col min="9729" max="9729" width="14.42578125" style="8" customWidth="1"/>
    <col min="9730" max="9730" width="7.42578125" style="8" customWidth="1"/>
    <col min="9731" max="9731" width="5.5703125" style="8" customWidth="1"/>
    <col min="9732" max="9732" width="9" style="8" customWidth="1"/>
    <col min="9733" max="9734" width="9.85546875" style="8" customWidth="1"/>
    <col min="9735" max="9735" width="11.140625" style="8" customWidth="1"/>
    <col min="9736" max="9736" width="2.85546875" style="8" customWidth="1"/>
    <col min="9737" max="9737" width="3.5703125" style="8" customWidth="1"/>
    <col min="9738" max="9982" width="9.140625" style="8"/>
    <col min="9983" max="9983" width="8.5703125" style="8" customWidth="1"/>
    <col min="9984" max="9984" width="9.85546875" style="8" customWidth="1"/>
    <col min="9985" max="9985" width="14.42578125" style="8" customWidth="1"/>
    <col min="9986" max="9986" width="7.42578125" style="8" customWidth="1"/>
    <col min="9987" max="9987" width="5.5703125" style="8" customWidth="1"/>
    <col min="9988" max="9988" width="9" style="8" customWidth="1"/>
    <col min="9989" max="9990" width="9.85546875" style="8" customWidth="1"/>
    <col min="9991" max="9991" width="11.140625" style="8" customWidth="1"/>
    <col min="9992" max="9992" width="2.85546875" style="8" customWidth="1"/>
    <col min="9993" max="9993" width="3.5703125" style="8" customWidth="1"/>
    <col min="9994" max="10238" width="9.140625" style="8"/>
    <col min="10239" max="10239" width="8.5703125" style="8" customWidth="1"/>
    <col min="10240" max="10240" width="9.85546875" style="8" customWidth="1"/>
    <col min="10241" max="10241" width="14.42578125" style="8" customWidth="1"/>
    <col min="10242" max="10242" width="7.42578125" style="8" customWidth="1"/>
    <col min="10243" max="10243" width="5.5703125" style="8" customWidth="1"/>
    <col min="10244" max="10244" width="9" style="8" customWidth="1"/>
    <col min="10245" max="10246" width="9.85546875" style="8" customWidth="1"/>
    <col min="10247" max="10247" width="11.140625" style="8" customWidth="1"/>
    <col min="10248" max="10248" width="2.85546875" style="8" customWidth="1"/>
    <col min="10249" max="10249" width="3.5703125" style="8" customWidth="1"/>
    <col min="10250" max="10494" width="9.140625" style="8"/>
    <col min="10495" max="10495" width="8.5703125" style="8" customWidth="1"/>
    <col min="10496" max="10496" width="9.85546875" style="8" customWidth="1"/>
    <col min="10497" max="10497" width="14.42578125" style="8" customWidth="1"/>
    <col min="10498" max="10498" width="7.42578125" style="8" customWidth="1"/>
    <col min="10499" max="10499" width="5.5703125" style="8" customWidth="1"/>
    <col min="10500" max="10500" width="9" style="8" customWidth="1"/>
    <col min="10501" max="10502" width="9.85546875" style="8" customWidth="1"/>
    <col min="10503" max="10503" width="11.140625" style="8" customWidth="1"/>
    <col min="10504" max="10504" width="2.85546875" style="8" customWidth="1"/>
    <col min="10505" max="10505" width="3.5703125" style="8" customWidth="1"/>
    <col min="10506" max="10750" width="9.140625" style="8"/>
    <col min="10751" max="10751" width="8.5703125" style="8" customWidth="1"/>
    <col min="10752" max="10752" width="9.85546875" style="8" customWidth="1"/>
    <col min="10753" max="10753" width="14.42578125" style="8" customWidth="1"/>
    <col min="10754" max="10754" width="7.42578125" style="8" customWidth="1"/>
    <col min="10755" max="10755" width="5.5703125" style="8" customWidth="1"/>
    <col min="10756" max="10756" width="9" style="8" customWidth="1"/>
    <col min="10757" max="10758" width="9.85546875" style="8" customWidth="1"/>
    <col min="10759" max="10759" width="11.140625" style="8" customWidth="1"/>
    <col min="10760" max="10760" width="2.85546875" style="8" customWidth="1"/>
    <col min="10761" max="10761" width="3.5703125" style="8" customWidth="1"/>
    <col min="10762" max="11006" width="9.140625" style="8"/>
    <col min="11007" max="11007" width="8.5703125" style="8" customWidth="1"/>
    <col min="11008" max="11008" width="9.85546875" style="8" customWidth="1"/>
    <col min="11009" max="11009" width="14.42578125" style="8" customWidth="1"/>
    <col min="11010" max="11010" width="7.42578125" style="8" customWidth="1"/>
    <col min="11011" max="11011" width="5.5703125" style="8" customWidth="1"/>
    <col min="11012" max="11012" width="9" style="8" customWidth="1"/>
    <col min="11013" max="11014" width="9.85546875" style="8" customWidth="1"/>
    <col min="11015" max="11015" width="11.140625" style="8" customWidth="1"/>
    <col min="11016" max="11016" width="2.85546875" style="8" customWidth="1"/>
    <col min="11017" max="11017" width="3.5703125" style="8" customWidth="1"/>
    <col min="11018" max="11262" width="9.140625" style="8"/>
    <col min="11263" max="11263" width="8.5703125" style="8" customWidth="1"/>
    <col min="11264" max="11264" width="9.85546875" style="8" customWidth="1"/>
    <col min="11265" max="11265" width="14.42578125" style="8" customWidth="1"/>
    <col min="11266" max="11266" width="7.42578125" style="8" customWidth="1"/>
    <col min="11267" max="11267" width="5.5703125" style="8" customWidth="1"/>
    <col min="11268" max="11268" width="9" style="8" customWidth="1"/>
    <col min="11269" max="11270" width="9.85546875" style="8" customWidth="1"/>
    <col min="11271" max="11271" width="11.140625" style="8" customWidth="1"/>
    <col min="11272" max="11272" width="2.85546875" style="8" customWidth="1"/>
    <col min="11273" max="11273" width="3.5703125" style="8" customWidth="1"/>
    <col min="11274" max="11518" width="9.140625" style="8"/>
    <col min="11519" max="11519" width="8.5703125" style="8" customWidth="1"/>
    <col min="11520" max="11520" width="9.85546875" style="8" customWidth="1"/>
    <col min="11521" max="11521" width="14.42578125" style="8" customWidth="1"/>
    <col min="11522" max="11522" width="7.42578125" style="8" customWidth="1"/>
    <col min="11523" max="11523" width="5.5703125" style="8" customWidth="1"/>
    <col min="11524" max="11524" width="9" style="8" customWidth="1"/>
    <col min="11525" max="11526" width="9.85546875" style="8" customWidth="1"/>
    <col min="11527" max="11527" width="11.140625" style="8" customWidth="1"/>
    <col min="11528" max="11528" width="2.85546875" style="8" customWidth="1"/>
    <col min="11529" max="11529" width="3.5703125" style="8" customWidth="1"/>
    <col min="11530" max="11774" width="9.140625" style="8"/>
    <col min="11775" max="11775" width="8.5703125" style="8" customWidth="1"/>
    <col min="11776" max="11776" width="9.85546875" style="8" customWidth="1"/>
    <col min="11777" max="11777" width="14.42578125" style="8" customWidth="1"/>
    <col min="11778" max="11778" width="7.42578125" style="8" customWidth="1"/>
    <col min="11779" max="11779" width="5.5703125" style="8" customWidth="1"/>
    <col min="11780" max="11780" width="9" style="8" customWidth="1"/>
    <col min="11781" max="11782" width="9.85546875" style="8" customWidth="1"/>
    <col min="11783" max="11783" width="11.140625" style="8" customWidth="1"/>
    <col min="11784" max="11784" width="2.85546875" style="8" customWidth="1"/>
    <col min="11785" max="11785" width="3.5703125" style="8" customWidth="1"/>
    <col min="11786" max="12030" width="9.140625" style="8"/>
    <col min="12031" max="12031" width="8.5703125" style="8" customWidth="1"/>
    <col min="12032" max="12032" width="9.85546875" style="8" customWidth="1"/>
    <col min="12033" max="12033" width="14.42578125" style="8" customWidth="1"/>
    <col min="12034" max="12034" width="7.42578125" style="8" customWidth="1"/>
    <col min="12035" max="12035" width="5.5703125" style="8" customWidth="1"/>
    <col min="12036" max="12036" width="9" style="8" customWidth="1"/>
    <col min="12037" max="12038" width="9.85546875" style="8" customWidth="1"/>
    <col min="12039" max="12039" width="11.140625" style="8" customWidth="1"/>
    <col min="12040" max="12040" width="2.85546875" style="8" customWidth="1"/>
    <col min="12041" max="12041" width="3.5703125" style="8" customWidth="1"/>
    <col min="12042" max="12286" width="9.140625" style="8"/>
    <col min="12287" max="12287" width="8.5703125" style="8" customWidth="1"/>
    <col min="12288" max="12288" width="9.85546875" style="8" customWidth="1"/>
    <col min="12289" max="12289" width="14.42578125" style="8" customWidth="1"/>
    <col min="12290" max="12290" width="7.42578125" style="8" customWidth="1"/>
    <col min="12291" max="12291" width="5.5703125" style="8" customWidth="1"/>
    <col min="12292" max="12292" width="9" style="8" customWidth="1"/>
    <col min="12293" max="12294" width="9.85546875" style="8" customWidth="1"/>
    <col min="12295" max="12295" width="11.140625" style="8" customWidth="1"/>
    <col min="12296" max="12296" width="2.85546875" style="8" customWidth="1"/>
    <col min="12297" max="12297" width="3.5703125" style="8" customWidth="1"/>
    <col min="12298" max="12542" width="9.140625" style="8"/>
    <col min="12543" max="12543" width="8.5703125" style="8" customWidth="1"/>
    <col min="12544" max="12544" width="9.85546875" style="8" customWidth="1"/>
    <col min="12545" max="12545" width="14.42578125" style="8" customWidth="1"/>
    <col min="12546" max="12546" width="7.42578125" style="8" customWidth="1"/>
    <col min="12547" max="12547" width="5.5703125" style="8" customWidth="1"/>
    <col min="12548" max="12548" width="9" style="8" customWidth="1"/>
    <col min="12549" max="12550" width="9.85546875" style="8" customWidth="1"/>
    <col min="12551" max="12551" width="11.140625" style="8" customWidth="1"/>
    <col min="12552" max="12552" width="2.85546875" style="8" customWidth="1"/>
    <col min="12553" max="12553" width="3.5703125" style="8" customWidth="1"/>
    <col min="12554" max="12798" width="9.140625" style="8"/>
    <col min="12799" max="12799" width="8.5703125" style="8" customWidth="1"/>
    <col min="12800" max="12800" width="9.85546875" style="8" customWidth="1"/>
    <col min="12801" max="12801" width="14.42578125" style="8" customWidth="1"/>
    <col min="12802" max="12802" width="7.42578125" style="8" customWidth="1"/>
    <col min="12803" max="12803" width="5.5703125" style="8" customWidth="1"/>
    <col min="12804" max="12804" width="9" style="8" customWidth="1"/>
    <col min="12805" max="12806" width="9.85546875" style="8" customWidth="1"/>
    <col min="12807" max="12807" width="11.140625" style="8" customWidth="1"/>
    <col min="12808" max="12808" width="2.85546875" style="8" customWidth="1"/>
    <col min="12809" max="12809" width="3.5703125" style="8" customWidth="1"/>
    <col min="12810" max="13054" width="9.140625" style="8"/>
    <col min="13055" max="13055" width="8.5703125" style="8" customWidth="1"/>
    <col min="13056" max="13056" width="9.85546875" style="8" customWidth="1"/>
    <col min="13057" max="13057" width="14.42578125" style="8" customWidth="1"/>
    <col min="13058" max="13058" width="7.42578125" style="8" customWidth="1"/>
    <col min="13059" max="13059" width="5.5703125" style="8" customWidth="1"/>
    <col min="13060" max="13060" width="9" style="8" customWidth="1"/>
    <col min="13061" max="13062" width="9.85546875" style="8" customWidth="1"/>
    <col min="13063" max="13063" width="11.140625" style="8" customWidth="1"/>
    <col min="13064" max="13064" width="2.85546875" style="8" customWidth="1"/>
    <col min="13065" max="13065" width="3.5703125" style="8" customWidth="1"/>
    <col min="13066" max="13310" width="9.140625" style="8"/>
    <col min="13311" max="13311" width="8.5703125" style="8" customWidth="1"/>
    <col min="13312" max="13312" width="9.85546875" style="8" customWidth="1"/>
    <col min="13313" max="13313" width="14.42578125" style="8" customWidth="1"/>
    <col min="13314" max="13314" width="7.42578125" style="8" customWidth="1"/>
    <col min="13315" max="13315" width="5.5703125" style="8" customWidth="1"/>
    <col min="13316" max="13316" width="9" style="8" customWidth="1"/>
    <col min="13317" max="13318" width="9.85546875" style="8" customWidth="1"/>
    <col min="13319" max="13319" width="11.140625" style="8" customWidth="1"/>
    <col min="13320" max="13320" width="2.85546875" style="8" customWidth="1"/>
    <col min="13321" max="13321" width="3.5703125" style="8" customWidth="1"/>
    <col min="13322" max="13566" width="9.140625" style="8"/>
    <col min="13567" max="13567" width="8.5703125" style="8" customWidth="1"/>
    <col min="13568" max="13568" width="9.85546875" style="8" customWidth="1"/>
    <col min="13569" max="13569" width="14.42578125" style="8" customWidth="1"/>
    <col min="13570" max="13570" width="7.42578125" style="8" customWidth="1"/>
    <col min="13571" max="13571" width="5.5703125" style="8" customWidth="1"/>
    <col min="13572" max="13572" width="9" style="8" customWidth="1"/>
    <col min="13573" max="13574" width="9.85546875" style="8" customWidth="1"/>
    <col min="13575" max="13575" width="11.140625" style="8" customWidth="1"/>
    <col min="13576" max="13576" width="2.85546875" style="8" customWidth="1"/>
    <col min="13577" max="13577" width="3.5703125" style="8" customWidth="1"/>
    <col min="13578" max="13822" width="9.140625" style="8"/>
    <col min="13823" max="13823" width="8.5703125" style="8" customWidth="1"/>
    <col min="13824" max="13824" width="9.85546875" style="8" customWidth="1"/>
    <col min="13825" max="13825" width="14.42578125" style="8" customWidth="1"/>
    <col min="13826" max="13826" width="7.42578125" style="8" customWidth="1"/>
    <col min="13827" max="13827" width="5.5703125" style="8" customWidth="1"/>
    <col min="13828" max="13828" width="9" style="8" customWidth="1"/>
    <col min="13829" max="13830" width="9.85546875" style="8" customWidth="1"/>
    <col min="13831" max="13831" width="11.140625" style="8" customWidth="1"/>
    <col min="13832" max="13832" width="2.85546875" style="8" customWidth="1"/>
    <col min="13833" max="13833" width="3.5703125" style="8" customWidth="1"/>
    <col min="13834" max="14078" width="9.140625" style="8"/>
    <col min="14079" max="14079" width="8.5703125" style="8" customWidth="1"/>
    <col min="14080" max="14080" width="9.85546875" style="8" customWidth="1"/>
    <col min="14081" max="14081" width="14.42578125" style="8" customWidth="1"/>
    <col min="14082" max="14082" width="7.42578125" style="8" customWidth="1"/>
    <col min="14083" max="14083" width="5.5703125" style="8" customWidth="1"/>
    <col min="14084" max="14084" width="9" style="8" customWidth="1"/>
    <col min="14085" max="14086" width="9.85546875" style="8" customWidth="1"/>
    <col min="14087" max="14087" width="11.140625" style="8" customWidth="1"/>
    <col min="14088" max="14088" width="2.85546875" style="8" customWidth="1"/>
    <col min="14089" max="14089" width="3.5703125" style="8" customWidth="1"/>
    <col min="14090" max="14334" width="9.140625" style="8"/>
    <col min="14335" max="14335" width="8.5703125" style="8" customWidth="1"/>
    <col min="14336" max="14336" width="9.85546875" style="8" customWidth="1"/>
    <col min="14337" max="14337" width="14.42578125" style="8" customWidth="1"/>
    <col min="14338" max="14338" width="7.42578125" style="8" customWidth="1"/>
    <col min="14339" max="14339" width="5.5703125" style="8" customWidth="1"/>
    <col min="14340" max="14340" width="9" style="8" customWidth="1"/>
    <col min="14341" max="14342" width="9.85546875" style="8" customWidth="1"/>
    <col min="14343" max="14343" width="11.140625" style="8" customWidth="1"/>
    <col min="14344" max="14344" width="2.85546875" style="8" customWidth="1"/>
    <col min="14345" max="14345" width="3.5703125" style="8" customWidth="1"/>
    <col min="14346" max="14590" width="9.140625" style="8"/>
    <col min="14591" max="14591" width="8.5703125" style="8" customWidth="1"/>
    <col min="14592" max="14592" width="9.85546875" style="8" customWidth="1"/>
    <col min="14593" max="14593" width="14.42578125" style="8" customWidth="1"/>
    <col min="14594" max="14594" width="7.42578125" style="8" customWidth="1"/>
    <col min="14595" max="14595" width="5.5703125" style="8" customWidth="1"/>
    <col min="14596" max="14596" width="9" style="8" customWidth="1"/>
    <col min="14597" max="14598" width="9.85546875" style="8" customWidth="1"/>
    <col min="14599" max="14599" width="11.140625" style="8" customWidth="1"/>
    <col min="14600" max="14600" width="2.85546875" style="8" customWidth="1"/>
    <col min="14601" max="14601" width="3.5703125" style="8" customWidth="1"/>
    <col min="14602" max="14846" width="9.140625" style="8"/>
    <col min="14847" max="14847" width="8.5703125" style="8" customWidth="1"/>
    <col min="14848" max="14848" width="9.85546875" style="8" customWidth="1"/>
    <col min="14849" max="14849" width="14.42578125" style="8" customWidth="1"/>
    <col min="14850" max="14850" width="7.42578125" style="8" customWidth="1"/>
    <col min="14851" max="14851" width="5.5703125" style="8" customWidth="1"/>
    <col min="14852" max="14852" width="9" style="8" customWidth="1"/>
    <col min="14853" max="14854" width="9.85546875" style="8" customWidth="1"/>
    <col min="14855" max="14855" width="11.140625" style="8" customWidth="1"/>
    <col min="14856" max="14856" width="2.85546875" style="8" customWidth="1"/>
    <col min="14857" max="14857" width="3.5703125" style="8" customWidth="1"/>
    <col min="14858" max="15102" width="9.140625" style="8"/>
    <col min="15103" max="15103" width="8.5703125" style="8" customWidth="1"/>
    <col min="15104" max="15104" width="9.85546875" style="8" customWidth="1"/>
    <col min="15105" max="15105" width="14.42578125" style="8" customWidth="1"/>
    <col min="15106" max="15106" width="7.42578125" style="8" customWidth="1"/>
    <col min="15107" max="15107" width="5.5703125" style="8" customWidth="1"/>
    <col min="15108" max="15108" width="9" style="8" customWidth="1"/>
    <col min="15109" max="15110" width="9.85546875" style="8" customWidth="1"/>
    <col min="15111" max="15111" width="11.140625" style="8" customWidth="1"/>
    <col min="15112" max="15112" width="2.85546875" style="8" customWidth="1"/>
    <col min="15113" max="15113" width="3.5703125" style="8" customWidth="1"/>
    <col min="15114" max="15358" width="9.140625" style="8"/>
    <col min="15359" max="15359" width="8.5703125" style="8" customWidth="1"/>
    <col min="15360" max="15360" width="9.85546875" style="8" customWidth="1"/>
    <col min="15361" max="15361" width="14.42578125" style="8" customWidth="1"/>
    <col min="15362" max="15362" width="7.42578125" style="8" customWidth="1"/>
    <col min="15363" max="15363" width="5.5703125" style="8" customWidth="1"/>
    <col min="15364" max="15364" width="9" style="8" customWidth="1"/>
    <col min="15365" max="15366" width="9.85546875" style="8" customWidth="1"/>
    <col min="15367" max="15367" width="11.140625" style="8" customWidth="1"/>
    <col min="15368" max="15368" width="2.85546875" style="8" customWidth="1"/>
    <col min="15369" max="15369" width="3.5703125" style="8" customWidth="1"/>
    <col min="15370" max="15614" width="9.140625" style="8"/>
    <col min="15615" max="15615" width="8.5703125" style="8" customWidth="1"/>
    <col min="15616" max="15616" width="9.85546875" style="8" customWidth="1"/>
    <col min="15617" max="15617" width="14.42578125" style="8" customWidth="1"/>
    <col min="15618" max="15618" width="7.42578125" style="8" customWidth="1"/>
    <col min="15619" max="15619" width="5.5703125" style="8" customWidth="1"/>
    <col min="15620" max="15620" width="9" style="8" customWidth="1"/>
    <col min="15621" max="15622" width="9.85546875" style="8" customWidth="1"/>
    <col min="15623" max="15623" width="11.140625" style="8" customWidth="1"/>
    <col min="15624" max="15624" width="2.85546875" style="8" customWidth="1"/>
    <col min="15625" max="15625" width="3.5703125" style="8" customWidth="1"/>
    <col min="15626" max="15870" width="9.140625" style="8"/>
    <col min="15871" max="15871" width="8.5703125" style="8" customWidth="1"/>
    <col min="15872" max="15872" width="9.85546875" style="8" customWidth="1"/>
    <col min="15873" max="15873" width="14.42578125" style="8" customWidth="1"/>
    <col min="15874" max="15874" width="7.42578125" style="8" customWidth="1"/>
    <col min="15875" max="15875" width="5.5703125" style="8" customWidth="1"/>
    <col min="15876" max="15876" width="9" style="8" customWidth="1"/>
    <col min="15877" max="15878" width="9.85546875" style="8" customWidth="1"/>
    <col min="15879" max="15879" width="11.140625" style="8" customWidth="1"/>
    <col min="15880" max="15880" width="2.85546875" style="8" customWidth="1"/>
    <col min="15881" max="15881" width="3.5703125" style="8" customWidth="1"/>
    <col min="15882" max="16126" width="9.140625" style="8"/>
    <col min="16127" max="16127" width="8.5703125" style="8" customWidth="1"/>
    <col min="16128" max="16128" width="9.85546875" style="8" customWidth="1"/>
    <col min="16129" max="16129" width="14.42578125" style="8" customWidth="1"/>
    <col min="16130" max="16130" width="7.42578125" style="8" customWidth="1"/>
    <col min="16131" max="16131" width="5.5703125" style="8" customWidth="1"/>
    <col min="16132" max="16132" width="9" style="8" customWidth="1"/>
    <col min="16133" max="16134" width="9.85546875" style="8" customWidth="1"/>
    <col min="16135" max="16135" width="11.140625" style="8" customWidth="1"/>
    <col min="16136" max="16136" width="2.85546875" style="8" customWidth="1"/>
    <col min="16137" max="16137" width="3.5703125" style="8" customWidth="1"/>
    <col min="16138" max="16384" width="9.140625" style="8"/>
  </cols>
  <sheetData>
    <row r="1" spans="1:11" ht="46.5" customHeight="1" x14ac:dyDescent="0.25">
      <c r="A1" s="113" t="s">
        <v>229</v>
      </c>
      <c r="B1" s="113"/>
      <c r="C1" s="113"/>
      <c r="D1" s="113"/>
      <c r="E1" s="113"/>
      <c r="F1" s="113"/>
      <c r="G1" s="113"/>
      <c r="H1" s="113"/>
      <c r="I1" s="11"/>
      <c r="J1" s="11"/>
      <c r="K1" s="11"/>
    </row>
    <row r="2" spans="1:11" ht="16.5" customHeight="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1"/>
      <c r="J2" s="11"/>
      <c r="K2" s="11"/>
    </row>
    <row r="3" spans="1:11" x14ac:dyDescent="0.25">
      <c r="A3" s="83" t="s">
        <v>1</v>
      </c>
      <c r="B3" s="83"/>
      <c r="C3" s="83"/>
      <c r="D3" s="83"/>
      <c r="E3" s="114" t="str">
        <f ca="1">TEXT(TODAY(),"DD/MM/YYYY")</f>
        <v>17/09/2025</v>
      </c>
      <c r="F3" s="114"/>
      <c r="G3" s="114"/>
      <c r="H3" s="114"/>
      <c r="I3" s="11"/>
      <c r="J3" s="11"/>
      <c r="K3" s="11"/>
    </row>
    <row r="4" spans="1:11" ht="15" customHeight="1" x14ac:dyDescent="0.25">
      <c r="A4" s="83" t="s">
        <v>2</v>
      </c>
      <c r="B4" s="83"/>
      <c r="C4" s="83"/>
      <c r="D4" s="83"/>
      <c r="E4" s="103" t="s">
        <v>165</v>
      </c>
      <c r="F4" s="103"/>
      <c r="G4" s="103"/>
      <c r="H4" s="103"/>
      <c r="I4" s="11"/>
      <c r="J4" s="11"/>
      <c r="K4" s="11"/>
    </row>
    <row r="5" spans="1:11" x14ac:dyDescent="0.25">
      <c r="A5" s="83" t="s">
        <v>3</v>
      </c>
      <c r="B5" s="83"/>
      <c r="C5" s="83"/>
      <c r="D5" s="83"/>
      <c r="E5" s="114">
        <v>45911</v>
      </c>
      <c r="F5" s="114"/>
      <c r="G5" s="114"/>
      <c r="H5" s="114"/>
      <c r="I5" s="11"/>
      <c r="J5" s="11"/>
      <c r="K5" s="11"/>
    </row>
    <row r="6" spans="1:11" ht="16.5" customHeight="1" x14ac:dyDescent="0.25">
      <c r="A6" s="83" t="s">
        <v>168</v>
      </c>
      <c r="B6" s="83"/>
      <c r="C6" s="83"/>
      <c r="D6" s="83"/>
      <c r="E6" s="84" t="s">
        <v>166</v>
      </c>
      <c r="F6" s="84"/>
      <c r="G6" s="84"/>
      <c r="H6" s="84"/>
      <c r="I6" s="11"/>
      <c r="J6" s="11"/>
      <c r="K6" s="11"/>
    </row>
    <row r="7" spans="1:11" ht="15" customHeight="1" x14ac:dyDescent="0.25">
      <c r="A7" s="83" t="s">
        <v>4</v>
      </c>
      <c r="B7" s="83"/>
      <c r="C7" s="83"/>
      <c r="D7" s="83"/>
      <c r="E7" s="84" t="s">
        <v>167</v>
      </c>
      <c r="F7" s="84"/>
      <c r="G7" s="84"/>
      <c r="H7" s="84"/>
      <c r="I7" s="11"/>
      <c r="J7" s="11"/>
      <c r="K7" s="11"/>
    </row>
    <row r="8" spans="1:11" x14ac:dyDescent="0.25">
      <c r="A8" s="83" t="s">
        <v>5</v>
      </c>
      <c r="B8" s="83"/>
      <c r="C8" s="83"/>
      <c r="D8" s="83"/>
      <c r="E8" s="102" t="s">
        <v>169</v>
      </c>
      <c r="F8" s="102"/>
      <c r="G8" s="102"/>
      <c r="H8" s="102"/>
      <c r="I8" s="11"/>
      <c r="J8" s="11"/>
      <c r="K8" s="11"/>
    </row>
    <row r="9" spans="1:11" x14ac:dyDescent="0.25">
      <c r="A9" s="83" t="s">
        <v>163</v>
      </c>
      <c r="B9" s="83"/>
      <c r="C9" s="83"/>
      <c r="D9" s="83"/>
      <c r="E9" s="83">
        <v>9594244505</v>
      </c>
      <c r="F9" s="83"/>
      <c r="G9" s="83"/>
      <c r="H9" s="83"/>
      <c r="I9" s="11"/>
      <c r="J9" s="11"/>
      <c r="K9" s="11"/>
    </row>
    <row r="10" spans="1:11" x14ac:dyDescent="0.25">
      <c r="A10" s="83" t="s">
        <v>6</v>
      </c>
      <c r="B10" s="83"/>
      <c r="C10" s="83"/>
      <c r="D10" s="83"/>
      <c r="E10" s="83" t="s">
        <v>228</v>
      </c>
      <c r="F10" s="83"/>
      <c r="G10" s="83"/>
      <c r="H10" s="83"/>
      <c r="I10" s="11"/>
      <c r="J10" s="11"/>
      <c r="K10" s="11"/>
    </row>
    <row r="11" spans="1:11" ht="32.25" customHeight="1" x14ac:dyDescent="0.25">
      <c r="A11" s="83" t="s">
        <v>7</v>
      </c>
      <c r="B11" s="83"/>
      <c r="C11" s="83"/>
      <c r="D11" s="83"/>
      <c r="E11" s="84" t="s">
        <v>142</v>
      </c>
      <c r="F11" s="84"/>
      <c r="G11" s="84"/>
      <c r="H11" s="84"/>
      <c r="I11" s="11"/>
      <c r="J11" s="11"/>
      <c r="K11" s="11"/>
    </row>
    <row r="12" spans="1:11" ht="15.75" customHeight="1" x14ac:dyDescent="0.25">
      <c r="A12" s="83" t="s">
        <v>8</v>
      </c>
      <c r="B12" s="83"/>
      <c r="C12" s="83"/>
      <c r="D12" s="83"/>
      <c r="E12" s="110" t="s">
        <v>234</v>
      </c>
      <c r="F12" s="111"/>
      <c r="G12" s="111"/>
      <c r="H12" s="112"/>
      <c r="I12" s="11"/>
      <c r="J12" s="11"/>
      <c r="K12" s="11"/>
    </row>
    <row r="13" spans="1:11" ht="33" customHeight="1" x14ac:dyDescent="0.25">
      <c r="A13" s="84" t="s">
        <v>9</v>
      </c>
      <c r="B13" s="84"/>
      <c r="C13" s="84" t="str">
        <f>CONCATENATE((IF(OR(E8="",E8="NA"),"",E8)),", ",(IF(OR(A14="",A14="NA"),"",A14)),".",(IF(OR(C14="",C14="NA"),"",C14)),", ",(IF(OR(C15="",C15="NA"),"",C15)),", Near",(IF(OR(C18="",C18="NA"),"",C18)),", ",(IF(OR(G15="",G15="NA"),"",G15)),", ",(IF(OR(C16="",C16="NA"),"",C16)),", ",(IF(OR(C17="",C17="NA"),"",C17)),", ",(IF(OR(G16="",G16="NA"),"",G16))," - ",(IF(OR(G17="",G17="NA"),"",G17)),".")</f>
        <v>Shiv Shankar Residency, Plot No.15, Sector - 19, Internal Road, NearPacific Tower, Taloja(New), Taloja, Panvel, Raigad - 410208.</v>
      </c>
      <c r="D13" s="84"/>
      <c r="E13" s="84"/>
      <c r="F13" s="84"/>
      <c r="G13" s="84"/>
      <c r="H13" s="84"/>
      <c r="I13" s="11"/>
      <c r="J13" s="11"/>
      <c r="K13" s="11"/>
    </row>
    <row r="14" spans="1:11" ht="18.75" customHeight="1" x14ac:dyDescent="0.25">
      <c r="A14" s="84" t="s">
        <v>199</v>
      </c>
      <c r="B14" s="84"/>
      <c r="C14" s="84" t="s">
        <v>180</v>
      </c>
      <c r="D14" s="84"/>
      <c r="E14" s="84"/>
      <c r="F14" s="84"/>
      <c r="G14" s="84"/>
      <c r="H14" s="84"/>
      <c r="I14" s="11"/>
      <c r="J14" s="11"/>
      <c r="K14" s="11"/>
    </row>
    <row r="15" spans="1:11" ht="15.75" customHeight="1" x14ac:dyDescent="0.25">
      <c r="A15" s="84" t="s">
        <v>10</v>
      </c>
      <c r="B15" s="84"/>
      <c r="C15" s="83" t="s">
        <v>171</v>
      </c>
      <c r="D15" s="83"/>
      <c r="E15" s="84" t="s">
        <v>104</v>
      </c>
      <c r="F15" s="84"/>
      <c r="G15" s="84" t="s">
        <v>177</v>
      </c>
      <c r="H15" s="84"/>
      <c r="I15" s="11"/>
      <c r="J15" s="11"/>
      <c r="K15" s="11"/>
    </row>
    <row r="16" spans="1:11" x14ac:dyDescent="0.25">
      <c r="A16" s="83" t="s">
        <v>12</v>
      </c>
      <c r="B16" s="83"/>
      <c r="C16" s="84" t="s">
        <v>201</v>
      </c>
      <c r="D16" s="84"/>
      <c r="E16" s="84" t="s">
        <v>11</v>
      </c>
      <c r="F16" s="84"/>
      <c r="G16" s="108" t="s">
        <v>179</v>
      </c>
      <c r="H16" s="108"/>
      <c r="I16" s="11"/>
      <c r="J16" s="11"/>
      <c r="K16" s="11"/>
    </row>
    <row r="17" spans="1:11" x14ac:dyDescent="0.25">
      <c r="A17" s="83" t="s">
        <v>105</v>
      </c>
      <c r="B17" s="83"/>
      <c r="C17" s="84" t="s">
        <v>176</v>
      </c>
      <c r="D17" s="84"/>
      <c r="E17" s="84" t="s">
        <v>13</v>
      </c>
      <c r="F17" s="84"/>
      <c r="G17" s="84">
        <v>410208</v>
      </c>
      <c r="H17" s="84"/>
      <c r="I17" s="11"/>
      <c r="J17" s="11"/>
      <c r="K17" s="11"/>
    </row>
    <row r="18" spans="1:11" ht="47.25" customHeight="1" x14ac:dyDescent="0.25">
      <c r="A18" s="83" t="s">
        <v>164</v>
      </c>
      <c r="B18" s="83"/>
      <c r="C18" s="109" t="s">
        <v>175</v>
      </c>
      <c r="D18" s="109"/>
      <c r="E18" s="84" t="s">
        <v>14</v>
      </c>
      <c r="F18" s="84"/>
      <c r="G18" s="84" t="s">
        <v>178</v>
      </c>
      <c r="H18" s="84"/>
      <c r="I18" s="11"/>
      <c r="J18" s="11"/>
      <c r="K18" s="11"/>
    </row>
    <row r="19" spans="1:11" ht="15" customHeight="1" x14ac:dyDescent="0.25">
      <c r="A19" s="84" t="s">
        <v>109</v>
      </c>
      <c r="B19" s="84"/>
      <c r="C19" s="84"/>
      <c r="D19" s="84"/>
      <c r="E19" s="83" t="s">
        <v>15</v>
      </c>
      <c r="F19" s="83"/>
      <c r="G19" s="83"/>
      <c r="H19" s="83"/>
      <c r="I19" s="11"/>
      <c r="J19" s="11"/>
      <c r="K19" s="11"/>
    </row>
    <row r="20" spans="1:11" ht="18.75" customHeight="1" x14ac:dyDescent="0.25">
      <c r="A20" s="84"/>
      <c r="B20" s="84"/>
      <c r="C20" s="84"/>
      <c r="D20" s="84"/>
      <c r="E20" s="83"/>
      <c r="F20" s="83"/>
      <c r="G20" s="83"/>
      <c r="H20" s="83"/>
      <c r="I20" s="11"/>
      <c r="J20" s="11"/>
      <c r="K20" s="11"/>
    </row>
    <row r="21" spans="1:11" ht="15" customHeight="1" x14ac:dyDescent="0.25">
      <c r="A21" s="84" t="s">
        <v>16</v>
      </c>
      <c r="B21" s="84"/>
      <c r="C21" s="84"/>
      <c r="D21" s="84"/>
      <c r="E21" s="84" t="s">
        <v>17</v>
      </c>
      <c r="F21" s="84"/>
      <c r="G21" s="84"/>
      <c r="H21" s="84"/>
      <c r="I21" s="11"/>
      <c r="J21" s="11"/>
      <c r="K21" s="11"/>
    </row>
    <row r="22" spans="1:11" ht="15" customHeight="1" x14ac:dyDescent="0.25">
      <c r="A22" s="83" t="s">
        <v>18</v>
      </c>
      <c r="B22" s="83"/>
      <c r="C22" s="83"/>
      <c r="D22" s="83"/>
      <c r="E22" s="84" t="str">
        <f>IF(AND(G16="Mumbai"),"Upper Class","Middle Class")</f>
        <v>Middle Class</v>
      </c>
      <c r="F22" s="84"/>
      <c r="G22" s="84"/>
      <c r="H22" s="84"/>
      <c r="I22" s="11"/>
      <c r="J22" s="11"/>
      <c r="K22" s="11"/>
    </row>
    <row r="23" spans="1:11" x14ac:dyDescent="0.25">
      <c r="A23" s="83" t="s">
        <v>19</v>
      </c>
      <c r="B23" s="83"/>
      <c r="C23" s="83"/>
      <c r="D23" s="83"/>
      <c r="E23" s="84" t="s">
        <v>20</v>
      </c>
      <c r="F23" s="84"/>
      <c r="G23" s="84"/>
      <c r="H23" s="84"/>
      <c r="I23" s="11"/>
      <c r="J23" s="11"/>
      <c r="K23" s="11"/>
    </row>
    <row r="24" spans="1:11" ht="15.75" customHeight="1" x14ac:dyDescent="0.25">
      <c r="A24" s="83" t="s">
        <v>21</v>
      </c>
      <c r="B24" s="83"/>
      <c r="C24" s="83"/>
      <c r="D24" s="83"/>
      <c r="E24" s="84" t="str">
        <f>IF(AND(G16="Mumbai"),"Developed","Developing")</f>
        <v>Developing</v>
      </c>
      <c r="F24" s="84"/>
      <c r="G24" s="84"/>
      <c r="H24" s="84"/>
      <c r="I24" s="11"/>
      <c r="J24" s="11"/>
      <c r="K24" s="11"/>
    </row>
    <row r="25" spans="1:11" x14ac:dyDescent="0.25">
      <c r="A25" s="83" t="s">
        <v>22</v>
      </c>
      <c r="B25" s="83"/>
      <c r="C25" s="83"/>
      <c r="D25" s="83"/>
      <c r="E25" s="84" t="s">
        <v>23</v>
      </c>
      <c r="F25" s="84"/>
      <c r="G25" s="84"/>
      <c r="H25" s="84"/>
      <c r="I25" s="11"/>
      <c r="J25" s="11"/>
      <c r="K25" s="11"/>
    </row>
    <row r="26" spans="1:11" x14ac:dyDescent="0.25">
      <c r="A26" s="83" t="s">
        <v>115</v>
      </c>
      <c r="B26" s="83"/>
      <c r="C26" s="83"/>
      <c r="D26" s="83"/>
      <c r="E26" s="84" t="s">
        <v>116</v>
      </c>
      <c r="F26" s="84"/>
      <c r="G26" s="84"/>
      <c r="H26" s="84"/>
      <c r="I26" s="11"/>
      <c r="J26" s="11"/>
      <c r="K26" s="11"/>
    </row>
    <row r="27" spans="1:11" ht="15" customHeight="1" x14ac:dyDescent="0.25">
      <c r="A27" s="84" t="s">
        <v>32</v>
      </c>
      <c r="B27" s="84"/>
      <c r="C27" s="84"/>
      <c r="D27" s="84"/>
      <c r="E27" s="103" t="s">
        <v>113</v>
      </c>
      <c r="F27" s="103"/>
      <c r="G27" s="103"/>
      <c r="H27" s="103"/>
      <c r="I27" s="11"/>
      <c r="J27" s="11"/>
      <c r="K27" s="11"/>
    </row>
    <row r="28" spans="1:11" x14ac:dyDescent="0.25">
      <c r="A28" s="84" t="s">
        <v>128</v>
      </c>
      <c r="B28" s="84"/>
      <c r="C28" s="84"/>
      <c r="D28" s="84"/>
      <c r="E28" s="84" t="s">
        <v>33</v>
      </c>
      <c r="F28" s="84"/>
      <c r="G28" s="84"/>
      <c r="H28" s="84"/>
      <c r="I28" s="11"/>
      <c r="J28" s="11"/>
      <c r="K28" s="11"/>
    </row>
    <row r="29" spans="1:11" s="12" customFormat="1" x14ac:dyDescent="0.25">
      <c r="A29" s="99" t="s">
        <v>129</v>
      </c>
      <c r="B29" s="99"/>
      <c r="C29" s="106" t="s">
        <v>28</v>
      </c>
      <c r="D29" s="106"/>
      <c r="E29" s="106"/>
      <c r="F29" s="106" t="s">
        <v>30</v>
      </c>
      <c r="G29" s="106"/>
      <c r="H29" s="106"/>
      <c r="I29" s="11"/>
      <c r="J29" s="11"/>
      <c r="K29" s="11"/>
    </row>
    <row r="30" spans="1:11" s="12" customFormat="1" x14ac:dyDescent="0.25">
      <c r="A30" s="98" t="s">
        <v>24</v>
      </c>
      <c r="B30" s="98" t="s">
        <v>29</v>
      </c>
      <c r="C30" s="105" t="s">
        <v>29</v>
      </c>
      <c r="D30" s="105"/>
      <c r="E30" s="105"/>
      <c r="F30" s="105" t="s">
        <v>171</v>
      </c>
      <c r="G30" s="105"/>
      <c r="H30" s="105"/>
      <c r="I30" s="11"/>
      <c r="J30" s="11"/>
      <c r="K30" s="11"/>
    </row>
    <row r="31" spans="1:11" x14ac:dyDescent="0.25">
      <c r="A31" s="98" t="s">
        <v>25</v>
      </c>
      <c r="B31" s="98" t="s">
        <v>29</v>
      </c>
      <c r="C31" s="105" t="s">
        <v>29</v>
      </c>
      <c r="D31" s="105"/>
      <c r="E31" s="105"/>
      <c r="F31" s="105" t="s">
        <v>172</v>
      </c>
      <c r="G31" s="105"/>
      <c r="H31" s="105"/>
      <c r="I31" s="11"/>
      <c r="J31" s="11"/>
      <c r="K31" s="11"/>
    </row>
    <row r="32" spans="1:11" s="12" customFormat="1" x14ac:dyDescent="0.25">
      <c r="A32" s="98" t="s">
        <v>27</v>
      </c>
      <c r="B32" s="98" t="s">
        <v>29</v>
      </c>
      <c r="C32" s="105" t="s">
        <v>29</v>
      </c>
      <c r="D32" s="105"/>
      <c r="E32" s="105"/>
      <c r="F32" s="105" t="s">
        <v>173</v>
      </c>
      <c r="G32" s="105"/>
      <c r="H32" s="105"/>
      <c r="I32" s="11"/>
      <c r="J32" s="11"/>
      <c r="K32" s="11"/>
    </row>
    <row r="33" spans="1:11" x14ac:dyDescent="0.25">
      <c r="A33" s="98" t="s">
        <v>26</v>
      </c>
      <c r="B33" s="98" t="s">
        <v>29</v>
      </c>
      <c r="C33" s="105" t="s">
        <v>29</v>
      </c>
      <c r="D33" s="105"/>
      <c r="E33" s="105"/>
      <c r="F33" s="105" t="s">
        <v>174</v>
      </c>
      <c r="G33" s="105"/>
      <c r="H33" s="105"/>
      <c r="I33" s="11"/>
      <c r="J33" s="11"/>
      <c r="K33" s="11"/>
    </row>
    <row r="34" spans="1:11" x14ac:dyDescent="0.25">
      <c r="A34" s="83" t="s">
        <v>31</v>
      </c>
      <c r="B34" s="83"/>
      <c r="C34" s="83"/>
      <c r="D34" s="83"/>
      <c r="E34" s="83"/>
      <c r="F34" s="83"/>
      <c r="G34" s="83"/>
      <c r="H34" s="83"/>
      <c r="I34" s="11"/>
      <c r="J34" s="11"/>
      <c r="K34" s="11"/>
    </row>
    <row r="35" spans="1:11" ht="15.75" customHeight="1" x14ac:dyDescent="0.25">
      <c r="A35" s="83" t="s">
        <v>232</v>
      </c>
      <c r="B35" s="83"/>
      <c r="C35" s="127" t="s">
        <v>233</v>
      </c>
      <c r="D35" s="127"/>
      <c r="E35" s="127"/>
      <c r="F35" s="127"/>
      <c r="G35" s="127"/>
      <c r="H35" s="127"/>
      <c r="I35" s="11"/>
      <c r="J35" s="11"/>
      <c r="K35" s="11"/>
    </row>
    <row r="36" spans="1:11" ht="15.75" customHeight="1" x14ac:dyDescent="0.25">
      <c r="A36" s="83" t="s">
        <v>230</v>
      </c>
      <c r="B36" s="83"/>
      <c r="C36" s="107" t="s">
        <v>231</v>
      </c>
      <c r="D36" s="108"/>
      <c r="E36" s="108"/>
      <c r="F36" s="108"/>
      <c r="G36" s="108"/>
      <c r="H36" s="108"/>
      <c r="I36" s="11"/>
      <c r="J36" s="11"/>
      <c r="K36" s="11"/>
    </row>
    <row r="37" spans="1:11" x14ac:dyDescent="0.25">
      <c r="A37" s="102" t="s">
        <v>34</v>
      </c>
      <c r="B37" s="102"/>
      <c r="C37" s="102"/>
      <c r="D37" s="102"/>
      <c r="E37" s="102"/>
      <c r="F37" s="102"/>
      <c r="G37" s="102"/>
      <c r="H37" s="102"/>
      <c r="I37" s="11"/>
      <c r="J37" s="11"/>
      <c r="K37" s="11"/>
    </row>
    <row r="38" spans="1:11" x14ac:dyDescent="0.25">
      <c r="A38" s="83" t="s">
        <v>35</v>
      </c>
      <c r="B38" s="83"/>
      <c r="C38" s="83"/>
      <c r="D38" s="83"/>
      <c r="E38" s="104">
        <v>1349.7</v>
      </c>
      <c r="F38" s="104"/>
      <c r="G38" s="104"/>
      <c r="H38" s="104"/>
      <c r="I38" s="11"/>
      <c r="J38" s="11"/>
      <c r="K38" s="11"/>
    </row>
    <row r="39" spans="1:11" x14ac:dyDescent="0.25">
      <c r="A39" s="83" t="s">
        <v>36</v>
      </c>
      <c r="B39" s="83"/>
      <c r="C39" s="83"/>
      <c r="D39" s="83"/>
      <c r="E39" s="100">
        <v>1.5</v>
      </c>
      <c r="F39" s="100"/>
      <c r="G39" s="100"/>
      <c r="H39" s="100"/>
      <c r="I39" s="11"/>
      <c r="J39" s="11"/>
      <c r="K39" s="11"/>
    </row>
    <row r="40" spans="1:11" x14ac:dyDescent="0.25">
      <c r="A40" s="83" t="s">
        <v>37</v>
      </c>
      <c r="B40" s="83"/>
      <c r="C40" s="83"/>
      <c r="D40" s="83"/>
      <c r="E40" s="100">
        <f>E42/E38-E39</f>
        <v>0</v>
      </c>
      <c r="F40" s="100"/>
      <c r="G40" s="100"/>
      <c r="H40" s="100"/>
      <c r="I40" s="11"/>
      <c r="J40" s="11"/>
      <c r="K40" s="11"/>
    </row>
    <row r="41" spans="1:11" x14ac:dyDescent="0.25">
      <c r="A41" s="83" t="s">
        <v>38</v>
      </c>
      <c r="B41" s="83"/>
      <c r="C41" s="83"/>
      <c r="D41" s="83"/>
      <c r="E41" s="100">
        <f>E39+E40</f>
        <v>1.5</v>
      </c>
      <c r="F41" s="100"/>
      <c r="G41" s="100"/>
      <c r="H41" s="100"/>
      <c r="I41" s="11"/>
      <c r="J41" s="11"/>
      <c r="K41" s="11"/>
    </row>
    <row r="42" spans="1:11" x14ac:dyDescent="0.25">
      <c r="A42" s="83" t="s">
        <v>127</v>
      </c>
      <c r="B42" s="83"/>
      <c r="C42" s="83"/>
      <c r="D42" s="83"/>
      <c r="E42" s="101">
        <v>2024.55</v>
      </c>
      <c r="F42" s="101"/>
      <c r="G42" s="101"/>
      <c r="H42" s="101"/>
      <c r="I42" s="11"/>
      <c r="J42" s="11"/>
      <c r="K42" s="11"/>
    </row>
    <row r="43" spans="1:11" x14ac:dyDescent="0.25">
      <c r="A43" s="83" t="s">
        <v>39</v>
      </c>
      <c r="B43" s="83"/>
      <c r="C43" s="83"/>
      <c r="D43" s="83"/>
      <c r="E43" s="83" t="s">
        <v>228</v>
      </c>
      <c r="F43" s="83"/>
      <c r="G43" s="83"/>
      <c r="H43" s="83"/>
      <c r="I43" s="11"/>
      <c r="J43" s="11"/>
      <c r="K43" s="11"/>
    </row>
    <row r="44" spans="1:11" x14ac:dyDescent="0.25">
      <c r="A44" s="102" t="s">
        <v>40</v>
      </c>
      <c r="B44" s="102"/>
      <c r="C44" s="102"/>
      <c r="D44" s="102"/>
      <c r="E44" s="102"/>
      <c r="F44" s="102"/>
      <c r="G44" s="102"/>
      <c r="H44" s="102"/>
      <c r="I44" s="11"/>
      <c r="J44" s="11"/>
      <c r="K44" s="11"/>
    </row>
    <row r="45" spans="1:11" ht="35.25" customHeight="1" x14ac:dyDescent="0.25">
      <c r="A45" s="84" t="s">
        <v>41</v>
      </c>
      <c r="B45" s="84"/>
      <c r="C45" s="109" t="s">
        <v>170</v>
      </c>
      <c r="D45" s="109"/>
      <c r="E45" s="109"/>
      <c r="F45" s="35" t="s">
        <v>42</v>
      </c>
      <c r="G45" s="150">
        <v>43890</v>
      </c>
      <c r="H45" s="150"/>
      <c r="I45" s="11"/>
      <c r="J45" s="11"/>
      <c r="K45" s="11"/>
    </row>
    <row r="46" spans="1:11" ht="31.5" customHeight="1" x14ac:dyDescent="0.25">
      <c r="A46" s="84" t="s">
        <v>43</v>
      </c>
      <c r="B46" s="84"/>
      <c r="C46" s="109" t="str">
        <f>C45</f>
        <v>CIDCO/BP-17355/TPO(NM &amp; K)/2020/6894</v>
      </c>
      <c r="D46" s="109"/>
      <c r="E46" s="109"/>
      <c r="F46" s="35" t="s">
        <v>42</v>
      </c>
      <c r="G46" s="150">
        <f>G45</f>
        <v>43890</v>
      </c>
      <c r="H46" s="150"/>
      <c r="I46" s="11"/>
      <c r="J46" s="11"/>
      <c r="K46" s="11"/>
    </row>
    <row r="47" spans="1:11" s="11" customFormat="1" ht="33" customHeight="1" x14ac:dyDescent="0.25">
      <c r="A47" s="84" t="s">
        <v>44</v>
      </c>
      <c r="B47" s="84"/>
      <c r="C47" s="109" t="s">
        <v>170</v>
      </c>
      <c r="D47" s="91"/>
      <c r="E47" s="91"/>
      <c r="F47" s="14" t="s">
        <v>42</v>
      </c>
      <c r="G47" s="150" t="s">
        <v>235</v>
      </c>
      <c r="H47" s="150"/>
    </row>
    <row r="48" spans="1:11" s="11" customFormat="1" x14ac:dyDescent="0.25">
      <c r="A48" s="84"/>
      <c r="B48" s="84"/>
      <c r="C48" s="152" t="s">
        <v>227</v>
      </c>
      <c r="D48" s="153"/>
      <c r="E48" s="153"/>
      <c r="F48" s="153"/>
      <c r="G48" s="153"/>
      <c r="H48" s="154"/>
    </row>
    <row r="49" spans="1:11" x14ac:dyDescent="0.25">
      <c r="A49" s="123" t="s">
        <v>45</v>
      </c>
      <c r="B49" s="123"/>
      <c r="C49" s="124" t="s">
        <v>143</v>
      </c>
      <c r="D49" s="125"/>
      <c r="E49" s="125" t="s">
        <v>46</v>
      </c>
      <c r="F49" s="38" t="s">
        <v>42</v>
      </c>
      <c r="G49" s="151" t="s">
        <v>29</v>
      </c>
      <c r="H49" s="151"/>
      <c r="I49" s="11"/>
      <c r="J49" s="11"/>
      <c r="K49" s="11"/>
    </row>
    <row r="50" spans="1:11" x14ac:dyDescent="0.25">
      <c r="A50" s="126" t="s">
        <v>48</v>
      </c>
      <c r="B50" s="126"/>
      <c r="C50" s="126"/>
      <c r="D50" s="126"/>
      <c r="E50" s="126"/>
      <c r="F50" s="126"/>
      <c r="G50" s="126"/>
      <c r="H50" s="126"/>
      <c r="I50" s="11"/>
      <c r="J50" s="11"/>
      <c r="K50" s="11"/>
    </row>
    <row r="51" spans="1:11" x14ac:dyDescent="0.25">
      <c r="A51" s="84" t="s">
        <v>126</v>
      </c>
      <c r="B51" s="84"/>
      <c r="C51" s="84"/>
      <c r="D51" s="83">
        <f>E42</f>
        <v>2024.55</v>
      </c>
      <c r="E51" s="83"/>
      <c r="F51" s="83"/>
      <c r="G51" s="83"/>
      <c r="H51" s="83"/>
      <c r="I51" s="11"/>
      <c r="J51" s="11"/>
      <c r="K51" s="11"/>
    </row>
    <row r="52" spans="1:11" x14ac:dyDescent="0.25">
      <c r="A52" s="84" t="s">
        <v>49</v>
      </c>
      <c r="B52" s="83"/>
      <c r="C52" s="83"/>
      <c r="D52" s="83" t="s">
        <v>200</v>
      </c>
      <c r="E52" s="83"/>
      <c r="F52" s="83"/>
      <c r="G52" s="83"/>
      <c r="H52" s="83"/>
      <c r="I52" s="11"/>
      <c r="J52" s="11"/>
      <c r="K52" s="11"/>
    </row>
    <row r="53" spans="1:11" x14ac:dyDescent="0.25">
      <c r="A53" s="84" t="s">
        <v>50</v>
      </c>
      <c r="B53" s="83"/>
      <c r="C53" s="83"/>
      <c r="D53" s="83" t="s">
        <v>223</v>
      </c>
      <c r="E53" s="83"/>
      <c r="F53" s="83"/>
      <c r="G53" s="83"/>
      <c r="H53" s="83"/>
      <c r="I53" s="11"/>
      <c r="J53" s="11"/>
      <c r="K53" s="11"/>
    </row>
    <row r="54" spans="1:11" x14ac:dyDescent="0.25">
      <c r="A54" s="84" t="s">
        <v>124</v>
      </c>
      <c r="B54" s="83"/>
      <c r="C54" s="83"/>
      <c r="D54" s="83" t="s">
        <v>223</v>
      </c>
      <c r="E54" s="83"/>
      <c r="F54" s="83"/>
      <c r="G54" s="83"/>
      <c r="H54" s="83"/>
      <c r="I54" s="11"/>
      <c r="J54" s="11"/>
      <c r="K54" s="11"/>
    </row>
    <row r="55" spans="1:11" ht="15.75" customHeight="1" x14ac:dyDescent="0.25">
      <c r="A55" s="83" t="s">
        <v>47</v>
      </c>
      <c r="B55" s="83"/>
      <c r="C55" s="83"/>
      <c r="D55" s="84" t="s">
        <v>236</v>
      </c>
      <c r="E55" s="84"/>
      <c r="F55" s="84"/>
      <c r="G55" s="84"/>
      <c r="H55" s="84"/>
      <c r="I55" s="11"/>
      <c r="J55" s="11"/>
      <c r="K55" s="11"/>
    </row>
    <row r="56" spans="1:11" ht="15.75" customHeight="1" x14ac:dyDescent="0.25">
      <c r="A56" s="83" t="s">
        <v>121</v>
      </c>
      <c r="B56" s="83"/>
      <c r="C56" s="83"/>
      <c r="D56" s="84" t="s">
        <v>122</v>
      </c>
      <c r="E56" s="84"/>
      <c r="F56" s="84"/>
      <c r="G56" s="84"/>
      <c r="H56" s="84"/>
      <c r="I56" s="11"/>
      <c r="J56" s="11"/>
      <c r="K56" s="11"/>
    </row>
    <row r="57" spans="1:11" ht="15.75" customHeight="1" x14ac:dyDescent="0.25">
      <c r="A57" s="83" t="s">
        <v>123</v>
      </c>
      <c r="B57" s="83"/>
      <c r="C57" s="83"/>
      <c r="D57" s="84" t="s">
        <v>23</v>
      </c>
      <c r="E57" s="84"/>
      <c r="F57" s="84"/>
      <c r="G57" s="84"/>
      <c r="H57" s="84"/>
      <c r="I57" s="11"/>
      <c r="J57" s="39"/>
      <c r="K57" s="39"/>
    </row>
    <row r="58" spans="1:11" ht="15.75" customHeight="1" thickBot="1" x14ac:dyDescent="0.3">
      <c r="A58" s="148" t="s">
        <v>120</v>
      </c>
      <c r="B58" s="148"/>
      <c r="C58" s="148"/>
      <c r="D58" s="149" t="str">
        <f ca="1">(IF(E63&gt;95%,"Nothing",IF(E63&gt;0%,"Cement, Aggregate, Steel, etc",IF(E63=0%,"Work not yet Started"))))</f>
        <v>Cement, Aggregate, Steel, etc</v>
      </c>
      <c r="E58" s="149"/>
      <c r="F58" s="149"/>
      <c r="G58" s="149"/>
      <c r="H58" s="149"/>
      <c r="I58" s="11"/>
      <c r="J58" s="39"/>
      <c r="K58" s="39"/>
    </row>
    <row r="59" spans="1:11" ht="15.75" customHeight="1" x14ac:dyDescent="0.25">
      <c r="A59" s="131" t="s">
        <v>205</v>
      </c>
      <c r="B59" s="132"/>
      <c r="C59" s="133" t="str">
        <f>D54</f>
        <v>Gr + 1st to 13th Floor</v>
      </c>
      <c r="D59" s="134"/>
      <c r="E59" s="134"/>
      <c r="F59" s="134"/>
      <c r="G59" s="134"/>
      <c r="H59" s="135"/>
      <c r="I59" s="51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Plinth, RCC, Brick, Plaster, Flooring, Painting work Completed. Finishing work is in process.</v>
      </c>
      <c r="J59" s="52"/>
      <c r="K59" s="39"/>
    </row>
    <row r="60" spans="1:11" ht="15.75" customHeight="1" x14ac:dyDescent="0.25">
      <c r="A60" s="20" t="s">
        <v>101</v>
      </c>
      <c r="B60" s="50">
        <v>0</v>
      </c>
      <c r="C60" s="50" t="s">
        <v>103</v>
      </c>
      <c r="D60" s="50">
        <v>1</v>
      </c>
      <c r="E60" s="50" t="s">
        <v>102</v>
      </c>
      <c r="F60" s="50">
        <v>0</v>
      </c>
      <c r="G60" s="50" t="s">
        <v>114</v>
      </c>
      <c r="H60" s="40">
        <f ca="1">--TRIM(RIGHT(SUBSTITUTE(LEFT(C59,_xlfn.AGGREGATE(16,6,FIND({0,1,2,3,4,5,6,7,8,9},C59,ROW(INDIRECT("1:"&amp;LEN(C59)))),1))," ",REPT(" ",LEN(C59))),LEN(C59)))</f>
        <v>13</v>
      </c>
      <c r="I60" s="53"/>
      <c r="J60" s="54"/>
      <c r="K60" s="39"/>
    </row>
    <row r="61" spans="1:11" ht="30.75" customHeight="1" x14ac:dyDescent="0.25">
      <c r="A61" s="136" t="s">
        <v>125</v>
      </c>
      <c r="B61" s="102"/>
      <c r="C61" s="123" t="str">
        <f ca="1">I59</f>
        <v>Plinth, RCC, Brick, Plaster, Flooring, Painting work Completed. Finishing work is in process.</v>
      </c>
      <c r="D61" s="123"/>
      <c r="E61" s="123"/>
      <c r="F61" s="123"/>
      <c r="G61" s="123"/>
      <c r="H61" s="137"/>
      <c r="I61" s="53" t="s">
        <v>141</v>
      </c>
      <c r="J61" s="54"/>
      <c r="K61" s="39"/>
    </row>
    <row r="62" spans="1:11" ht="15.75" customHeight="1" x14ac:dyDescent="0.25">
      <c r="A62" s="138" t="s">
        <v>51</v>
      </c>
      <c r="B62" s="139"/>
      <c r="C62" s="41" t="s">
        <v>206</v>
      </c>
      <c r="D62" s="41" t="s">
        <v>117</v>
      </c>
      <c r="E62" s="139" t="s">
        <v>119</v>
      </c>
      <c r="F62" s="139"/>
      <c r="G62" s="139" t="s">
        <v>118</v>
      </c>
      <c r="H62" s="140"/>
      <c r="I62" s="55" t="s">
        <v>207</v>
      </c>
      <c r="J62" s="56">
        <f ca="1">H60*25%</f>
        <v>3.25</v>
      </c>
      <c r="K62" s="39"/>
    </row>
    <row r="63" spans="1:11" ht="15.75" customHeight="1" x14ac:dyDescent="0.25">
      <c r="A63" s="138" t="s">
        <v>208</v>
      </c>
      <c r="B63" s="139"/>
      <c r="C63" s="42">
        <f ca="1">J64</f>
        <v>13</v>
      </c>
      <c r="D63" s="48">
        <f ca="1">((100/H60)*C63)/100</f>
        <v>1</v>
      </c>
      <c r="E63" s="141">
        <f ca="1">(((C64/H60*10)+(40/(D60+F60+H60)*C65)+(7.5/(H60)*C66)+(7.5/(H60)*C67)+(10/H60*C68)+(10/H60*C69)+(5/H60*C70)+(5/H60*C71)+(5/H60*C72))/100)</f>
        <v>0.93076923076923079</v>
      </c>
      <c r="F63" s="141"/>
      <c r="G63" s="141">
        <f ca="1">((((C63/H60)*20)+((C64/H60)*25)+(30/(H60+F60+D60)*C65)+(5/H60*C66)+(5/H60*C67)+(5/H60*C68)+(5/H60*C69)+(0/H60*C70)+(0/H60*C71)+(5/H60*C72))/100)</f>
        <v>0.95</v>
      </c>
      <c r="H63" s="143"/>
      <c r="I63" s="55" t="s">
        <v>135</v>
      </c>
      <c r="J63" s="57">
        <f ca="1">H60*50%</f>
        <v>6.5</v>
      </c>
      <c r="K63" s="39"/>
    </row>
    <row r="64" spans="1:11" ht="15.75" customHeight="1" x14ac:dyDescent="0.25">
      <c r="A64" s="138" t="s">
        <v>52</v>
      </c>
      <c r="B64" s="139"/>
      <c r="C64" s="43">
        <f ca="1">J72</f>
        <v>13</v>
      </c>
      <c r="D64" s="48">
        <f ca="1">((100/H60)*C64)/100</f>
        <v>1</v>
      </c>
      <c r="E64" s="141"/>
      <c r="F64" s="141"/>
      <c r="G64" s="141"/>
      <c r="H64" s="143"/>
      <c r="I64" s="55" t="s">
        <v>136</v>
      </c>
      <c r="J64" s="57">
        <f ca="1">H60</f>
        <v>13</v>
      </c>
      <c r="K64" s="39"/>
    </row>
    <row r="65" spans="1:11" ht="15.75" customHeight="1" x14ac:dyDescent="0.25">
      <c r="A65" s="145" t="s">
        <v>209</v>
      </c>
      <c r="B65" s="105"/>
      <c r="C65" s="43">
        <v>14</v>
      </c>
      <c r="D65" s="48">
        <f ca="1">((100/(D60+F60+H60))*C65)/100</f>
        <v>1</v>
      </c>
      <c r="E65" s="141"/>
      <c r="F65" s="141"/>
      <c r="G65" s="141"/>
      <c r="H65" s="143"/>
      <c r="I65" s="55" t="s">
        <v>137</v>
      </c>
      <c r="J65" s="58">
        <f ca="1">(IF(B60&gt;1,(H60/(B60+2)),H60/4))</f>
        <v>3.25</v>
      </c>
      <c r="K65" s="39"/>
    </row>
    <row r="66" spans="1:11" ht="15.75" customHeight="1" x14ac:dyDescent="0.25">
      <c r="A66" s="138" t="s">
        <v>210</v>
      </c>
      <c r="B66" s="139" t="s">
        <v>211</v>
      </c>
      <c r="C66" s="42">
        <v>13</v>
      </c>
      <c r="D66" s="48">
        <f ca="1">((100/H60)*C66)/100</f>
        <v>1</v>
      </c>
      <c r="E66" s="141"/>
      <c r="F66" s="141"/>
      <c r="G66" s="141"/>
      <c r="H66" s="143"/>
      <c r="I66" s="55" t="s">
        <v>138</v>
      </c>
      <c r="J66" s="58">
        <f ca="1">(IF(B60&gt;1,(H60/(B60+2)+J65),H60/4+J65))</f>
        <v>6.5</v>
      </c>
      <c r="K66" s="39"/>
    </row>
    <row r="67" spans="1:11" ht="15.75" customHeight="1" x14ac:dyDescent="0.25">
      <c r="A67" s="138" t="s">
        <v>212</v>
      </c>
      <c r="B67" s="139" t="s">
        <v>211</v>
      </c>
      <c r="C67" s="42">
        <v>13</v>
      </c>
      <c r="D67" s="48">
        <f ca="1">((100/H60)*C67)/100</f>
        <v>1</v>
      </c>
      <c r="E67" s="141"/>
      <c r="F67" s="141"/>
      <c r="G67" s="141"/>
      <c r="H67" s="143"/>
      <c r="I67" s="55" t="s">
        <v>213</v>
      </c>
      <c r="J67" s="58">
        <f>(IF(B60&gt;1,(H60/(B60+2)+J66),0))</f>
        <v>0</v>
      </c>
      <c r="K67" s="39"/>
    </row>
    <row r="68" spans="1:11" ht="15.75" customHeight="1" x14ac:dyDescent="0.25">
      <c r="A68" s="138" t="s">
        <v>214</v>
      </c>
      <c r="B68" s="139" t="s">
        <v>215</v>
      </c>
      <c r="C68" s="42">
        <v>13</v>
      </c>
      <c r="D68" s="48">
        <f ca="1">((100/(H60))*C68)/100</f>
        <v>1</v>
      </c>
      <c r="E68" s="141"/>
      <c r="F68" s="141"/>
      <c r="G68" s="141"/>
      <c r="H68" s="143"/>
      <c r="I68" s="55" t="s">
        <v>216</v>
      </c>
      <c r="J68" s="58">
        <f>(IF(B60&gt;2,(H60/(B60+2)+J67),0))</f>
        <v>0</v>
      </c>
      <c r="K68" s="39"/>
    </row>
    <row r="69" spans="1:11" ht="15.75" customHeight="1" x14ac:dyDescent="0.25">
      <c r="A69" s="138" t="s">
        <v>217</v>
      </c>
      <c r="B69" s="139" t="s">
        <v>217</v>
      </c>
      <c r="C69" s="42">
        <v>13</v>
      </c>
      <c r="D69" s="48">
        <f ca="1">((100/H60)*C69)/100</f>
        <v>1</v>
      </c>
      <c r="E69" s="141"/>
      <c r="F69" s="141"/>
      <c r="G69" s="141"/>
      <c r="H69" s="143"/>
      <c r="I69" s="55" t="s">
        <v>218</v>
      </c>
      <c r="J69" s="59">
        <f>(IF(B60&gt;3,(H60/(B60+2)+J68),0))</f>
        <v>0</v>
      </c>
      <c r="K69" s="39"/>
    </row>
    <row r="70" spans="1:11" ht="15.75" customHeight="1" x14ac:dyDescent="0.25">
      <c r="A70" s="138" t="s">
        <v>219</v>
      </c>
      <c r="B70" s="139"/>
      <c r="C70" s="42">
        <v>12</v>
      </c>
      <c r="D70" s="48">
        <f ca="1">((100/H60)*C70)/100</f>
        <v>0.92307692307692302</v>
      </c>
      <c r="E70" s="141"/>
      <c r="F70" s="141"/>
      <c r="G70" s="141"/>
      <c r="H70" s="143"/>
      <c r="I70" s="55" t="s">
        <v>220</v>
      </c>
      <c r="J70" s="58">
        <f>(IF(B60&gt;4,(H60/(B60+2)+J69),0))</f>
        <v>0</v>
      </c>
      <c r="K70" s="39"/>
    </row>
    <row r="71" spans="1:11" ht="15.75" customHeight="1" x14ac:dyDescent="0.25">
      <c r="A71" s="138" t="s">
        <v>221</v>
      </c>
      <c r="B71" s="139" t="s">
        <v>221</v>
      </c>
      <c r="C71" s="42">
        <v>9</v>
      </c>
      <c r="D71" s="48">
        <f ca="1">((100/(H60))*C71)/100</f>
        <v>0.69230769230769229</v>
      </c>
      <c r="E71" s="141"/>
      <c r="F71" s="141"/>
      <c r="G71" s="141"/>
      <c r="H71" s="143"/>
      <c r="I71" s="55" t="s">
        <v>139</v>
      </c>
      <c r="J71" s="58">
        <f ca="1">(IF(B60=1,(H60/(B60+3)+J66),IF(B60=0,(H60/4+J66),IF(B60&gt;1,0))))</f>
        <v>9.75</v>
      </c>
      <c r="K71" s="39"/>
    </row>
    <row r="72" spans="1:11" ht="15.75" customHeight="1" thickBot="1" x14ac:dyDescent="0.3">
      <c r="A72" s="146" t="s">
        <v>222</v>
      </c>
      <c r="B72" s="147"/>
      <c r="C72" s="44">
        <v>0</v>
      </c>
      <c r="D72" s="49">
        <f ca="1">((100/(H60))*C72)/100</f>
        <v>0</v>
      </c>
      <c r="E72" s="142"/>
      <c r="F72" s="142"/>
      <c r="G72" s="142"/>
      <c r="H72" s="144"/>
      <c r="I72" s="60" t="s">
        <v>140</v>
      </c>
      <c r="J72" s="61">
        <f ca="1">(IF(B60&gt;1.5,(H60/(B60+2)+J66+MAX(0,J67-J66)+MAX(0,J68-J67)+MAX(0,J69-J68)+MAX(0,J70-J69)+MAX(0,J71-J70)),IF(B60=1,(H60/(B60+3)+J71),IF(B60=0,H60/4+J71))))</f>
        <v>13</v>
      </c>
      <c r="K72" s="39"/>
    </row>
    <row r="73" spans="1:11" x14ac:dyDescent="0.25">
      <c r="A73" s="128" t="s">
        <v>157</v>
      </c>
      <c r="B73" s="129"/>
      <c r="C73" s="129"/>
      <c r="D73" s="129"/>
      <c r="E73" s="130"/>
      <c r="F73" s="128" t="str">
        <f ca="1">(IF(E63="100%","Yes",IF(E63&gt;0%,"Under Construction",IF(E63=0%,"Work not yet Started"))))</f>
        <v>Under Construction</v>
      </c>
      <c r="G73" s="129"/>
      <c r="H73" s="130"/>
      <c r="I73" s="11"/>
      <c r="J73" s="11"/>
      <c r="K73" s="11"/>
    </row>
    <row r="74" spans="1:11" x14ac:dyDescent="0.25">
      <c r="A74" s="83" t="s">
        <v>53</v>
      </c>
      <c r="B74" s="83"/>
      <c r="C74" s="83"/>
      <c r="D74" s="83"/>
      <c r="E74" s="83"/>
      <c r="F74" s="83"/>
      <c r="G74" s="83"/>
      <c r="H74" s="83"/>
      <c r="I74" s="11"/>
      <c r="J74" s="11"/>
      <c r="K74" s="11"/>
    </row>
    <row r="75" spans="1:11" ht="15" hidden="1" customHeight="1" x14ac:dyDescent="0.25">
      <c r="A75" s="102" t="s">
        <v>106</v>
      </c>
      <c r="B75" s="102"/>
      <c r="C75" s="123" t="s">
        <v>107</v>
      </c>
      <c r="D75" s="123"/>
      <c r="E75" s="123"/>
      <c r="F75" s="123"/>
      <c r="G75" s="123"/>
      <c r="H75" s="123"/>
      <c r="I75" s="11"/>
      <c r="J75" s="11"/>
      <c r="K75" s="11"/>
    </row>
    <row r="76" spans="1:11" x14ac:dyDescent="0.25">
      <c r="A76" s="102" t="s">
        <v>54</v>
      </c>
      <c r="B76" s="102"/>
      <c r="C76" s="102"/>
      <c r="D76" s="102"/>
      <c r="E76" s="102"/>
      <c r="F76" s="102"/>
      <c r="G76" s="102"/>
      <c r="H76" s="102"/>
      <c r="I76" s="11"/>
      <c r="J76" s="11"/>
      <c r="K76" s="11"/>
    </row>
    <row r="77" spans="1:11" x14ac:dyDescent="0.25">
      <c r="A77" s="83" t="s">
        <v>204</v>
      </c>
      <c r="B77" s="83"/>
      <c r="C77" s="83"/>
      <c r="D77" s="83"/>
      <c r="E77" s="83"/>
      <c r="F77" s="125">
        <v>7000</v>
      </c>
      <c r="G77" s="125"/>
      <c r="H77" s="125"/>
      <c r="I77" s="11"/>
      <c r="J77" s="11"/>
      <c r="K77" s="11"/>
    </row>
    <row r="78" spans="1:11" x14ac:dyDescent="0.25">
      <c r="A78" s="83" t="s">
        <v>203</v>
      </c>
      <c r="B78" s="83"/>
      <c r="C78" s="83"/>
      <c r="D78" s="83"/>
      <c r="E78" s="83"/>
      <c r="F78" s="91" t="s">
        <v>197</v>
      </c>
      <c r="G78" s="91"/>
      <c r="H78" s="91"/>
      <c r="I78" s="11"/>
      <c r="J78" s="11"/>
      <c r="K78" s="11"/>
    </row>
    <row r="79" spans="1:11" s="13" customFormat="1" x14ac:dyDescent="0.25">
      <c r="A79" s="83" t="s">
        <v>226</v>
      </c>
      <c r="B79" s="83"/>
      <c r="C79" s="83"/>
      <c r="D79" s="83"/>
      <c r="E79" s="83"/>
      <c r="F79" s="91" t="s">
        <v>225</v>
      </c>
      <c r="G79" s="91"/>
      <c r="H79" s="91"/>
      <c r="I79" s="45"/>
      <c r="J79" s="45"/>
      <c r="K79" s="45"/>
    </row>
    <row r="80" spans="1:11" s="13" customFormat="1" hidden="1" x14ac:dyDescent="0.25">
      <c r="A80" s="83" t="s">
        <v>130</v>
      </c>
      <c r="B80" s="83"/>
      <c r="C80" s="83"/>
      <c r="D80" s="83"/>
      <c r="E80" s="83"/>
      <c r="F80" s="91" t="s">
        <v>29</v>
      </c>
      <c r="G80" s="91"/>
      <c r="H80" s="91"/>
      <c r="I80" s="45"/>
      <c r="J80" s="45"/>
      <c r="K80" s="45"/>
    </row>
    <row r="81" spans="1:11" s="13" customFormat="1" hidden="1" x14ac:dyDescent="0.25">
      <c r="A81" s="83" t="s">
        <v>131</v>
      </c>
      <c r="B81" s="83"/>
      <c r="C81" s="83"/>
      <c r="D81" s="83"/>
      <c r="E81" s="83"/>
      <c r="F81" s="91" t="s">
        <v>29</v>
      </c>
      <c r="G81" s="91"/>
      <c r="H81" s="91"/>
      <c r="I81" s="45"/>
      <c r="J81" s="45"/>
      <c r="K81" s="45"/>
    </row>
    <row r="82" spans="1:11" s="13" customFormat="1" hidden="1" x14ac:dyDescent="0.25">
      <c r="A82" s="83" t="s">
        <v>132</v>
      </c>
      <c r="B82" s="83"/>
      <c r="C82" s="83"/>
      <c r="D82" s="83"/>
      <c r="E82" s="83"/>
      <c r="F82" s="91" t="s">
        <v>29</v>
      </c>
      <c r="G82" s="91"/>
      <c r="H82" s="91"/>
      <c r="I82" s="45"/>
      <c r="J82" s="45"/>
      <c r="K82" s="45"/>
    </row>
    <row r="83" spans="1:11" s="13" customFormat="1" hidden="1" x14ac:dyDescent="0.25">
      <c r="A83" s="83" t="s">
        <v>133</v>
      </c>
      <c r="B83" s="83"/>
      <c r="C83" s="83"/>
      <c r="D83" s="83"/>
      <c r="E83" s="83"/>
      <c r="F83" s="91" t="s">
        <v>29</v>
      </c>
      <c r="G83" s="91"/>
      <c r="H83" s="91"/>
      <c r="I83" s="45"/>
      <c r="J83" s="45"/>
      <c r="K83" s="45"/>
    </row>
    <row r="84" spans="1:11" s="13" customFormat="1" x14ac:dyDescent="0.25">
      <c r="A84" s="83" t="s">
        <v>134</v>
      </c>
      <c r="B84" s="83"/>
      <c r="C84" s="83"/>
      <c r="D84" s="83"/>
      <c r="E84" s="83"/>
      <c r="F84" s="91" t="s">
        <v>224</v>
      </c>
      <c r="G84" s="91"/>
      <c r="H84" s="91"/>
      <c r="I84" s="45"/>
      <c r="J84" s="45"/>
      <c r="K84" s="45"/>
    </row>
    <row r="85" spans="1:11" x14ac:dyDescent="0.25">
      <c r="A85" s="83" t="s">
        <v>55</v>
      </c>
      <c r="B85" s="83"/>
      <c r="C85" s="83"/>
      <c r="D85" s="83"/>
      <c r="E85" s="83"/>
      <c r="F85" s="109" t="s">
        <v>198</v>
      </c>
      <c r="G85" s="109"/>
      <c r="H85" s="109"/>
      <c r="I85" s="11"/>
      <c r="J85" s="11"/>
      <c r="K85" s="11"/>
    </row>
    <row r="86" spans="1:11" s="9" customFormat="1" x14ac:dyDescent="0.25">
      <c r="A86" s="102" t="s">
        <v>56</v>
      </c>
      <c r="B86" s="102"/>
      <c r="C86" s="102"/>
      <c r="D86" s="102"/>
      <c r="E86" s="102"/>
      <c r="F86" s="91">
        <f>F77*0.8</f>
        <v>5600</v>
      </c>
      <c r="G86" s="91"/>
      <c r="H86" s="91"/>
      <c r="I86" s="46"/>
      <c r="J86" s="46"/>
      <c r="K86" s="46"/>
    </row>
    <row r="87" spans="1:11" s="1" customFormat="1" ht="15.75" customHeight="1" x14ac:dyDescent="0.25">
      <c r="A87" s="117" t="s">
        <v>108</v>
      </c>
      <c r="B87" s="117"/>
      <c r="C87" s="117"/>
      <c r="D87" s="117"/>
      <c r="E87" s="117"/>
      <c r="F87" s="117"/>
      <c r="G87" s="117"/>
      <c r="H87" s="117"/>
      <c r="I87" s="47"/>
      <c r="J87" s="47"/>
      <c r="K87" s="47"/>
    </row>
    <row r="88" spans="1:11" s="1" customFormat="1" ht="15.75" customHeight="1" x14ac:dyDescent="0.25">
      <c r="A88" s="121" t="s">
        <v>57</v>
      </c>
      <c r="B88" s="121"/>
      <c r="C88" s="120" t="s">
        <v>111</v>
      </c>
      <c r="D88" s="120"/>
      <c r="E88" s="122" t="s">
        <v>58</v>
      </c>
      <c r="F88" s="122"/>
      <c r="G88" s="121" t="s">
        <v>59</v>
      </c>
      <c r="H88" s="121"/>
      <c r="I88" s="47"/>
      <c r="J88" s="47"/>
      <c r="K88" s="47"/>
    </row>
    <row r="89" spans="1:11" s="1" customFormat="1" x14ac:dyDescent="0.25">
      <c r="A89" s="118" t="s">
        <v>182</v>
      </c>
      <c r="B89" s="118"/>
      <c r="C89" s="95">
        <f>COUNT(D97:D108)</f>
        <v>12</v>
      </c>
      <c r="D89" s="95"/>
      <c r="E89" s="96">
        <f>SUM(D97:D108)</f>
        <v>3417.1534331999992</v>
      </c>
      <c r="F89" s="97"/>
      <c r="G89" s="96">
        <f>SUM(F97:F108)</f>
        <v>6150.87617976</v>
      </c>
      <c r="H89" s="97"/>
    </row>
    <row r="90" spans="1:11" s="1" customFormat="1" x14ac:dyDescent="0.25">
      <c r="A90" s="119" t="s">
        <v>100</v>
      </c>
      <c r="B90" s="119"/>
      <c r="C90" s="119"/>
      <c r="D90" s="119"/>
      <c r="E90" s="119"/>
      <c r="F90" s="119"/>
      <c r="G90" s="119"/>
      <c r="H90" s="119"/>
    </row>
    <row r="91" spans="1:11" s="1" customFormat="1" ht="15.75" customHeight="1" x14ac:dyDescent="0.25">
      <c r="A91" s="68" t="s">
        <v>57</v>
      </c>
      <c r="B91" s="68"/>
      <c r="C91" s="66" t="s">
        <v>111</v>
      </c>
      <c r="D91" s="66"/>
      <c r="E91" s="67" t="s">
        <v>58</v>
      </c>
      <c r="F91" s="67"/>
      <c r="G91" s="68" t="s">
        <v>59</v>
      </c>
      <c r="H91" s="68"/>
    </row>
    <row r="92" spans="1:11" s="1" customFormat="1" x14ac:dyDescent="0.25">
      <c r="A92" s="118" t="s">
        <v>79</v>
      </c>
      <c r="B92" s="118"/>
      <c r="C92" s="95">
        <f>COUNT(D113:D116)*6+COUNT(D118:D121)*5+COUNT(D123:D126)</f>
        <v>48</v>
      </c>
      <c r="D92" s="95"/>
      <c r="E92" s="96">
        <f>SUM(D113:D116)*6+SUM(D118:D121)*5+SUM(D123:D126)</f>
        <v>22827.53772</v>
      </c>
      <c r="F92" s="97"/>
      <c r="G92" s="96">
        <f>SUM(F113:F116)*6+SUM(F118:F121)*5+SUM(F123:F126)</f>
        <v>41060</v>
      </c>
      <c r="H92" s="97"/>
    </row>
    <row r="93" spans="1:11" s="9" customFormat="1" x14ac:dyDescent="0.25">
      <c r="A93" s="90" t="s">
        <v>62</v>
      </c>
      <c r="B93" s="90"/>
      <c r="C93" s="90"/>
      <c r="D93" s="90"/>
      <c r="E93" s="90"/>
      <c r="F93" s="90"/>
      <c r="G93" s="90"/>
      <c r="H93" s="90"/>
    </row>
    <row r="94" spans="1:11" x14ac:dyDescent="0.25">
      <c r="A94" s="90" t="s">
        <v>63</v>
      </c>
      <c r="B94" s="90"/>
      <c r="C94" s="90"/>
      <c r="D94" s="90"/>
      <c r="E94" s="90"/>
      <c r="F94" s="90"/>
      <c r="G94" s="90"/>
      <c r="H94" s="90"/>
    </row>
    <row r="95" spans="1:11" ht="47.25" customHeight="1" x14ac:dyDescent="0.25">
      <c r="A95" s="34" t="s">
        <v>160</v>
      </c>
      <c r="B95" s="34" t="s">
        <v>159</v>
      </c>
      <c r="C95" s="34" t="s">
        <v>64</v>
      </c>
      <c r="D95" s="34" t="s">
        <v>65</v>
      </c>
      <c r="E95" s="37" t="s">
        <v>66</v>
      </c>
      <c r="F95" s="34" t="s">
        <v>202</v>
      </c>
      <c r="G95" s="69" t="s">
        <v>67</v>
      </c>
      <c r="H95" s="70"/>
    </row>
    <row r="96" spans="1:11" s="2" customFormat="1" x14ac:dyDescent="0.25">
      <c r="A96" s="92" t="s">
        <v>181</v>
      </c>
      <c r="B96" s="93"/>
      <c r="C96" s="93"/>
      <c r="D96" s="93"/>
      <c r="E96" s="93"/>
      <c r="F96" s="93"/>
      <c r="G96" s="93"/>
      <c r="H96" s="94"/>
    </row>
    <row r="97" spans="1:23" s="2" customFormat="1" x14ac:dyDescent="0.25">
      <c r="A97" s="71">
        <v>1</v>
      </c>
      <c r="B97" s="72"/>
      <c r="C97" s="19" t="s">
        <v>182</v>
      </c>
      <c r="D97" s="19">
        <f>(2.98*9.25+1.68*1+1.2*0.9+3.18*1.2)*10.764</f>
        <v>367.49372400000004</v>
      </c>
      <c r="E97" s="19">
        <v>0</v>
      </c>
      <c r="F97" s="19">
        <f>D97*1.8</f>
        <v>661.48870320000015</v>
      </c>
      <c r="G97" s="71" t="str">
        <f>A96</f>
        <v>Ground Floor for Commecial &amp; Parking</v>
      </c>
      <c r="H97" s="72"/>
      <c r="I97" s="33">
        <f>202500/F97</f>
        <v>306.12767689061263</v>
      </c>
      <c r="J97" s="2">
        <f>F97/D97</f>
        <v>1.8000000000000003</v>
      </c>
      <c r="S97" s="64"/>
      <c r="T97" s="64"/>
      <c r="U97" s="33"/>
    </row>
    <row r="98" spans="1:23" s="2" customFormat="1" x14ac:dyDescent="0.25">
      <c r="A98" s="71">
        <f>A97+1</f>
        <v>2</v>
      </c>
      <c r="B98" s="72"/>
      <c r="C98" s="19" t="s">
        <v>182</v>
      </c>
      <c r="D98" s="19">
        <f>(2.7*9.25+2.8*1.21+1.2*0.9+1.4*1)*10.764</f>
        <v>331.99405199999995</v>
      </c>
      <c r="E98" s="19">
        <v>0</v>
      </c>
      <c r="F98" s="19">
        <f t="shared" ref="F98:F108" si="0">D98*1.8</f>
        <v>597.58929359999991</v>
      </c>
      <c r="G98" s="71" t="str">
        <f t="shared" ref="G98:G108" si="1">G97</f>
        <v>Ground Floor for Commecial &amp; Parking</v>
      </c>
      <c r="H98" s="72"/>
      <c r="I98" s="33">
        <f>182500/F98</f>
        <v>305.39369087518742</v>
      </c>
      <c r="J98" s="2">
        <f t="shared" ref="J98:J108" si="2">F98/D98</f>
        <v>1.8</v>
      </c>
      <c r="S98" s="64"/>
      <c r="T98" s="64"/>
      <c r="U98" s="33"/>
    </row>
    <row r="99" spans="1:23" s="2" customFormat="1" x14ac:dyDescent="0.25">
      <c r="A99" s="71">
        <f t="shared" ref="A99:A101" si="3">A98+1</f>
        <v>3</v>
      </c>
      <c r="B99" s="72"/>
      <c r="C99" s="19" t="s">
        <v>182</v>
      </c>
      <c r="D99" s="19">
        <f t="shared" ref="D99:D103" si="4">(2.7*9.25+2.8*1.21+1.2*0.9+1.4*1)*10.764</f>
        <v>331.99405199999995</v>
      </c>
      <c r="E99" s="19">
        <v>0</v>
      </c>
      <c r="F99" s="19">
        <f t="shared" si="0"/>
        <v>597.58929359999991</v>
      </c>
      <c r="G99" s="71" t="str">
        <f t="shared" si="1"/>
        <v>Ground Floor for Commecial &amp; Parking</v>
      </c>
      <c r="H99" s="72"/>
      <c r="I99" s="33"/>
      <c r="J99" s="2">
        <f t="shared" si="2"/>
        <v>1.8</v>
      </c>
      <c r="S99" s="64"/>
      <c r="T99" s="64"/>
      <c r="U99" s="33"/>
    </row>
    <row r="100" spans="1:23" s="2" customFormat="1" x14ac:dyDescent="0.25">
      <c r="A100" s="71">
        <f t="shared" si="3"/>
        <v>4</v>
      </c>
      <c r="B100" s="72"/>
      <c r="C100" s="19" t="s">
        <v>182</v>
      </c>
      <c r="D100" s="19">
        <f t="shared" si="4"/>
        <v>331.99405199999995</v>
      </c>
      <c r="E100" s="19">
        <v>0</v>
      </c>
      <c r="F100" s="19">
        <f t="shared" si="0"/>
        <v>597.58929359999991</v>
      </c>
      <c r="G100" s="71" t="str">
        <f t="shared" si="1"/>
        <v>Ground Floor for Commecial &amp; Parking</v>
      </c>
      <c r="H100" s="72"/>
      <c r="I100" s="33"/>
      <c r="J100" s="2">
        <f t="shared" si="2"/>
        <v>1.8</v>
      </c>
      <c r="S100" s="64"/>
      <c r="T100" s="64"/>
      <c r="U100" s="33"/>
    </row>
    <row r="101" spans="1:23" s="2" customFormat="1" x14ac:dyDescent="0.25">
      <c r="A101" s="71">
        <f t="shared" si="3"/>
        <v>5</v>
      </c>
      <c r="B101" s="72"/>
      <c r="C101" s="19" t="s">
        <v>182</v>
      </c>
      <c r="D101" s="19">
        <f t="shared" si="4"/>
        <v>331.99405199999995</v>
      </c>
      <c r="E101" s="19">
        <v>0</v>
      </c>
      <c r="F101" s="19">
        <f t="shared" si="0"/>
        <v>597.58929359999991</v>
      </c>
      <c r="G101" s="71" t="str">
        <f t="shared" si="1"/>
        <v>Ground Floor for Commecial &amp; Parking</v>
      </c>
      <c r="H101" s="72"/>
      <c r="I101" s="33"/>
      <c r="J101" s="2">
        <f t="shared" si="2"/>
        <v>1.8</v>
      </c>
      <c r="S101" s="64"/>
      <c r="T101" s="64"/>
      <c r="U101" s="33"/>
    </row>
    <row r="102" spans="1:23" s="2" customFormat="1" x14ac:dyDescent="0.25">
      <c r="A102" s="71">
        <f t="shared" ref="A102:A103" si="5">A101+1</f>
        <v>6</v>
      </c>
      <c r="B102" s="72"/>
      <c r="C102" s="19" t="s">
        <v>182</v>
      </c>
      <c r="D102" s="19">
        <f t="shared" si="4"/>
        <v>331.99405199999995</v>
      </c>
      <c r="E102" s="19">
        <v>0</v>
      </c>
      <c r="F102" s="19">
        <f t="shared" si="0"/>
        <v>597.58929359999991</v>
      </c>
      <c r="G102" s="71" t="str">
        <f t="shared" si="1"/>
        <v>Ground Floor for Commecial &amp; Parking</v>
      </c>
      <c r="H102" s="72"/>
      <c r="I102" s="33"/>
      <c r="J102" s="2">
        <f t="shared" si="2"/>
        <v>1.8</v>
      </c>
      <c r="S102" s="64"/>
      <c r="T102" s="64"/>
      <c r="U102" s="33"/>
    </row>
    <row r="103" spans="1:23" s="2" customFormat="1" x14ac:dyDescent="0.25">
      <c r="A103" s="71">
        <f t="shared" si="5"/>
        <v>7</v>
      </c>
      <c r="B103" s="72"/>
      <c r="C103" s="19" t="s">
        <v>182</v>
      </c>
      <c r="D103" s="19">
        <f t="shared" si="4"/>
        <v>331.99405199999995</v>
      </c>
      <c r="E103" s="19">
        <v>0</v>
      </c>
      <c r="F103" s="19">
        <f>D103*1.8</f>
        <v>597.58929359999991</v>
      </c>
      <c r="G103" s="71" t="str">
        <f t="shared" si="1"/>
        <v>Ground Floor for Commecial &amp; Parking</v>
      </c>
      <c r="H103" s="72"/>
      <c r="I103" s="33"/>
      <c r="J103" s="2">
        <f t="shared" si="2"/>
        <v>1.8</v>
      </c>
      <c r="S103" s="64"/>
      <c r="T103" s="64"/>
      <c r="U103" s="33"/>
    </row>
    <row r="104" spans="1:23" s="2" customFormat="1" x14ac:dyDescent="0.25">
      <c r="A104" s="71">
        <f>A103+1</f>
        <v>8</v>
      </c>
      <c r="B104" s="72"/>
      <c r="C104" s="19" t="s">
        <v>182</v>
      </c>
      <c r="D104" s="19">
        <f>(4.93*4.45+0.9*1.2+1*3.15)*10.764</f>
        <v>281.67773399999999</v>
      </c>
      <c r="E104" s="19">
        <v>0</v>
      </c>
      <c r="F104" s="19">
        <f t="shared" si="0"/>
        <v>507.0199212</v>
      </c>
      <c r="G104" s="71" t="str">
        <f t="shared" si="1"/>
        <v>Ground Floor for Commecial &amp; Parking</v>
      </c>
      <c r="H104" s="72"/>
      <c r="I104" s="33"/>
      <c r="J104" s="2">
        <f t="shared" si="2"/>
        <v>1.8</v>
      </c>
      <c r="S104" s="64"/>
      <c r="T104" s="64"/>
      <c r="U104" s="33"/>
    </row>
    <row r="105" spans="1:23" s="2" customFormat="1" x14ac:dyDescent="0.25">
      <c r="A105" s="71">
        <f t="shared" ref="A105:A108" si="6">A104+1</f>
        <v>9</v>
      </c>
      <c r="B105" s="72"/>
      <c r="C105" s="19" t="s">
        <v>182</v>
      </c>
      <c r="D105" s="19">
        <f>(4.93*2.55+0.9*1.2+1*1.25+1*2.65)*10.764</f>
        <v>188.92434599999996</v>
      </c>
      <c r="E105" s="19">
        <v>0</v>
      </c>
      <c r="F105" s="19">
        <f t="shared" si="0"/>
        <v>340.06382279999991</v>
      </c>
      <c r="G105" s="71" t="str">
        <f t="shared" si="1"/>
        <v>Ground Floor for Commecial &amp; Parking</v>
      </c>
      <c r="H105" s="72"/>
      <c r="I105" s="33"/>
      <c r="J105" s="2">
        <f t="shared" si="2"/>
        <v>1.8</v>
      </c>
      <c r="S105" s="64"/>
      <c r="T105" s="64"/>
      <c r="U105" s="33"/>
    </row>
    <row r="106" spans="1:23" s="2" customFormat="1" x14ac:dyDescent="0.25">
      <c r="A106" s="71">
        <f t="shared" si="6"/>
        <v>10</v>
      </c>
      <c r="B106" s="72"/>
      <c r="C106" s="19" t="s">
        <v>182</v>
      </c>
      <c r="D106" s="19">
        <f>(4.93*2.55+0.9*1.2+1*1.25+1*2.65)*10.764</f>
        <v>188.92434599999996</v>
      </c>
      <c r="E106" s="19">
        <v>0</v>
      </c>
      <c r="F106" s="19">
        <f t="shared" si="0"/>
        <v>340.06382279999991</v>
      </c>
      <c r="G106" s="71" t="str">
        <f t="shared" si="1"/>
        <v>Ground Floor for Commecial &amp; Parking</v>
      </c>
      <c r="H106" s="72"/>
      <c r="I106" s="33"/>
      <c r="J106" s="2">
        <f t="shared" si="2"/>
        <v>1.8</v>
      </c>
      <c r="S106" s="64"/>
      <c r="T106" s="64"/>
      <c r="U106" s="33"/>
    </row>
    <row r="107" spans="1:23" s="2" customFormat="1" x14ac:dyDescent="0.25">
      <c r="A107" s="71">
        <f t="shared" si="6"/>
        <v>11</v>
      </c>
      <c r="B107" s="72"/>
      <c r="C107" s="19" t="s">
        <v>182</v>
      </c>
      <c r="D107" s="19">
        <f>(4.43*2.78+1.5*1.48+0.9*1.2+1*2.88)*10.764</f>
        <v>199.08448559999999</v>
      </c>
      <c r="E107" s="19">
        <v>0</v>
      </c>
      <c r="F107" s="19">
        <f t="shared" si="0"/>
        <v>358.35207408000002</v>
      </c>
      <c r="G107" s="71" t="str">
        <f t="shared" si="1"/>
        <v>Ground Floor for Commecial &amp; Parking</v>
      </c>
      <c r="H107" s="72"/>
      <c r="I107" s="33"/>
      <c r="J107" s="2">
        <f t="shared" si="2"/>
        <v>1.8000000000000003</v>
      </c>
      <c r="S107" s="64"/>
      <c r="T107" s="64"/>
      <c r="U107" s="33"/>
    </row>
    <row r="108" spans="1:23" s="2" customFormat="1" x14ac:dyDescent="0.25">
      <c r="A108" s="71">
        <f t="shared" si="6"/>
        <v>12</v>
      </c>
      <c r="B108" s="72"/>
      <c r="C108" s="19" t="s">
        <v>182</v>
      </c>
      <c r="D108" s="19">
        <f>(4.43*2.78+1.5*1.48+0.9*1.2+1*2.88)*10.764</f>
        <v>199.08448559999999</v>
      </c>
      <c r="E108" s="19">
        <v>0</v>
      </c>
      <c r="F108" s="19">
        <f t="shared" si="0"/>
        <v>358.35207408000002</v>
      </c>
      <c r="G108" s="71" t="str">
        <f t="shared" si="1"/>
        <v>Ground Floor for Commecial &amp; Parking</v>
      </c>
      <c r="H108" s="72"/>
      <c r="I108" s="33"/>
      <c r="J108" s="2">
        <f t="shared" si="2"/>
        <v>1.8000000000000003</v>
      </c>
      <c r="S108" s="64"/>
      <c r="T108" s="64"/>
      <c r="U108" s="33"/>
    </row>
    <row r="109" spans="1:23" s="2" customFormat="1" x14ac:dyDescent="0.25">
      <c r="A109" s="71"/>
      <c r="B109" s="80"/>
      <c r="C109" s="80"/>
      <c r="D109" s="80"/>
      <c r="E109" s="80"/>
      <c r="F109" s="80"/>
      <c r="G109" s="80"/>
      <c r="H109" s="72"/>
      <c r="I109" s="33"/>
      <c r="U109" s="33"/>
    </row>
    <row r="110" spans="1:23" ht="47.25" customHeight="1" x14ac:dyDescent="0.25">
      <c r="A110" s="36" t="s">
        <v>161</v>
      </c>
      <c r="B110" s="36" t="s">
        <v>162</v>
      </c>
      <c r="C110" s="34" t="s">
        <v>64</v>
      </c>
      <c r="D110" s="34" t="s">
        <v>65</v>
      </c>
      <c r="E110" s="37" t="s">
        <v>66</v>
      </c>
      <c r="F110" s="34" t="s">
        <v>202</v>
      </c>
      <c r="G110" s="69" t="s">
        <v>67</v>
      </c>
      <c r="H110" s="70"/>
      <c r="I110" s="33"/>
    </row>
    <row r="111" spans="1:23" s="2" customFormat="1" x14ac:dyDescent="0.25">
      <c r="A111" s="79" t="s">
        <v>183</v>
      </c>
      <c r="B111" s="79"/>
      <c r="C111" s="79"/>
      <c r="D111" s="79"/>
      <c r="E111" s="79"/>
      <c r="F111" s="79"/>
      <c r="G111" s="79"/>
      <c r="H111" s="79"/>
      <c r="I111" s="33"/>
    </row>
    <row r="112" spans="1:23" s="2" customFormat="1" ht="15.75" customHeight="1" x14ac:dyDescent="0.25">
      <c r="A112" s="92" t="s">
        <v>184</v>
      </c>
      <c r="B112" s="93"/>
      <c r="C112" s="93"/>
      <c r="D112" s="93"/>
      <c r="E112" s="93"/>
      <c r="F112" s="93"/>
      <c r="G112" s="93"/>
      <c r="H112" s="94"/>
      <c r="I112" s="33"/>
      <c r="S112" s="64" t="s">
        <v>158</v>
      </c>
      <c r="T112" s="64"/>
      <c r="V112" s="2" t="str">
        <f>LEFT(A112,SUM(LEN(A112)-LEN(SUBSTITUTE(A112,{"0","1","2","3","4","5","6","7","8","9"},""))))</f>
        <v>2nd, 4th</v>
      </c>
      <c r="W112" s="2">
        <f ca="1">--TRIM(RIGHT(SUBSTITUTE(LEFT(A112,_xlfn.AGGREGATE(16,6,FIND({0,1,2,3,4,5,6,7,8,9},A112,ROW(INDIRECT("1:"&amp;LEN(A112)))),1))," ",REPT(" ",LEN(A112))),LEN(A112)))</f>
        <v>12</v>
      </c>
    </row>
    <row r="113" spans="1:23" s="2" customFormat="1" ht="15.75" customHeight="1" x14ac:dyDescent="0.25">
      <c r="A113" s="71" t="s">
        <v>185</v>
      </c>
      <c r="B113" s="72" t="s">
        <v>185</v>
      </c>
      <c r="C113" s="19" t="s">
        <v>195</v>
      </c>
      <c r="D113" s="19">
        <f>(46.13+(2.9+2.88+3.1+2.1)*0.75)*10.764</f>
        <v>585.18485999999996</v>
      </c>
      <c r="E113" s="19">
        <v>0</v>
      </c>
      <c r="F113" s="19">
        <v>1055</v>
      </c>
      <c r="G113" s="73" t="str">
        <f>A112</f>
        <v>2nd, 4th, 6th, 8th, 10th &amp; 12th Floor for Residential</v>
      </c>
      <c r="H113" s="74"/>
      <c r="I113" s="33">
        <f>263750/F113</f>
        <v>250</v>
      </c>
      <c r="J113" s="2">
        <f>F113/D113</f>
        <v>1.8028491031022233</v>
      </c>
      <c r="S113" s="64" t="str">
        <f ca="1">V113&amp;""&amp;$S$112&amp;""&amp;W113</f>
        <v>2401,..,1201</v>
      </c>
      <c r="T113" s="64"/>
      <c r="U113" s="33">
        <v>1</v>
      </c>
      <c r="V113" s="2">
        <f ca="1">(SUMPRODUCT(MID(0&amp;V112, LARGE(INDEX(ISNUMBER(--MID(V112, ROW(INDIRECT("1:"&amp;LEN(V112))), 1)) * ROW(INDIRECT("1:"&amp;LEN(V112))), 0), ROW(INDIRECT("1:"&amp;LEN(V112))))+1, 1) * 10^ROW(INDIRECT("1:"&amp;LEN(V112)))/10))*U113*100+1</f>
        <v>2401</v>
      </c>
      <c r="W113" s="2">
        <f ca="1">(SUMPRODUCT(MID(0&amp;W112, LARGE(INDEX(ISNUMBER(--MID(W112, ROW(INDIRECT("1:"&amp;LEN(W112))), 1)) * ROW(INDIRECT("1:"&amp;LEN(W112))), 0), ROW(INDIRECT("1:"&amp;LEN(W112))))+1, 1) * 10^ROW(INDIRECT("1:"&amp;LEN(W112)))/10))*U113*100+1</f>
        <v>1201</v>
      </c>
    </row>
    <row r="114" spans="1:23" s="2" customFormat="1" ht="15.75" customHeight="1" x14ac:dyDescent="0.25">
      <c r="A114" s="71" t="s">
        <v>186</v>
      </c>
      <c r="B114" s="72" t="s">
        <v>186</v>
      </c>
      <c r="C114" s="19" t="s">
        <v>196</v>
      </c>
      <c r="D114" s="19">
        <f>(29.94+(2.7+2.1+1.8)*0.75)*10.764</f>
        <v>375.55595999999997</v>
      </c>
      <c r="E114" s="19">
        <v>0</v>
      </c>
      <c r="F114" s="19">
        <v>665</v>
      </c>
      <c r="G114" s="75"/>
      <c r="H114" s="76"/>
      <c r="I114" s="33"/>
      <c r="J114" s="2">
        <f t="shared" ref="J114:J116" si="7">F114/D114</f>
        <v>1.770708152255126</v>
      </c>
      <c r="S114" s="64" t="str">
        <f ca="1">V114&amp;""&amp;$S$112&amp;""&amp;W114</f>
        <v>2402,..,1202</v>
      </c>
      <c r="T114" s="64"/>
      <c r="U114" s="33">
        <f t="shared" ref="U114:W116" si="8">U113+1</f>
        <v>2</v>
      </c>
      <c r="V114" s="2">
        <f t="shared" ca="1" si="8"/>
        <v>2402</v>
      </c>
      <c r="W114" s="2">
        <f t="shared" ca="1" si="8"/>
        <v>1202</v>
      </c>
    </row>
    <row r="115" spans="1:23" s="2" customFormat="1" ht="15.75" customHeight="1" x14ac:dyDescent="0.25">
      <c r="A115" s="71" t="s">
        <v>187</v>
      </c>
      <c r="B115" s="72" t="s">
        <v>187</v>
      </c>
      <c r="C115" s="19" t="s">
        <v>196</v>
      </c>
      <c r="D115" s="19">
        <f>(29.94+(2.7+2.1+1.8)*0.75)*10.764</f>
        <v>375.55595999999997</v>
      </c>
      <c r="E115" s="19">
        <v>0</v>
      </c>
      <c r="F115" s="19">
        <v>665</v>
      </c>
      <c r="G115" s="75"/>
      <c r="H115" s="76"/>
      <c r="I115" s="33"/>
      <c r="J115" s="2">
        <f t="shared" si="7"/>
        <v>1.770708152255126</v>
      </c>
      <c r="S115" s="64" t="str">
        <f ca="1">V115&amp;""&amp;$S$112&amp;""&amp;W115</f>
        <v>2403,..,1203</v>
      </c>
      <c r="T115" s="64"/>
      <c r="U115" s="33">
        <f t="shared" si="8"/>
        <v>3</v>
      </c>
      <c r="V115" s="2">
        <f t="shared" ca="1" si="8"/>
        <v>2403</v>
      </c>
      <c r="W115" s="2">
        <f t="shared" ca="1" si="8"/>
        <v>1203</v>
      </c>
    </row>
    <row r="116" spans="1:23" s="2" customFormat="1" ht="15.75" customHeight="1" x14ac:dyDescent="0.25">
      <c r="A116" s="71" t="s">
        <v>188</v>
      </c>
      <c r="B116" s="72" t="s">
        <v>188</v>
      </c>
      <c r="C116" s="19" t="s">
        <v>195</v>
      </c>
      <c r="D116" s="19">
        <f>(46.13+(2.9+2.88+3.1+2.1)*0.75)*10.764</f>
        <v>585.18485999999996</v>
      </c>
      <c r="E116" s="19">
        <v>0</v>
      </c>
      <c r="F116" s="19">
        <v>1055</v>
      </c>
      <c r="G116" s="77"/>
      <c r="H116" s="78"/>
      <c r="I116" s="33"/>
      <c r="J116" s="2">
        <f t="shared" si="7"/>
        <v>1.8028491031022233</v>
      </c>
      <c r="S116" s="64" t="str">
        <f ca="1">V116&amp;""&amp;$S$112&amp;""&amp;W116</f>
        <v>2404,..,1204</v>
      </c>
      <c r="T116" s="64"/>
      <c r="U116" s="33">
        <f t="shared" si="8"/>
        <v>4</v>
      </c>
      <c r="V116" s="2">
        <f t="shared" ca="1" si="8"/>
        <v>2404</v>
      </c>
      <c r="W116" s="2">
        <f t="shared" ca="1" si="8"/>
        <v>1204</v>
      </c>
    </row>
    <row r="117" spans="1:23" s="2" customFormat="1" ht="15.75" customHeight="1" x14ac:dyDescent="0.25">
      <c r="A117" s="79" t="s">
        <v>189</v>
      </c>
      <c r="B117" s="79"/>
      <c r="C117" s="79"/>
      <c r="D117" s="79"/>
      <c r="E117" s="79"/>
      <c r="F117" s="79"/>
      <c r="G117" s="79"/>
      <c r="H117" s="79"/>
      <c r="I117" s="33"/>
      <c r="S117" s="64" t="s">
        <v>158</v>
      </c>
      <c r="T117" s="64"/>
      <c r="V117" s="2" t="str">
        <f>LEFT(A117,SUM(LEN(A117)-LEN(SUBSTITUTE(A117,{"0","1","2","3","4","5","6","7","8","9"},""))))</f>
        <v>3rd, 5</v>
      </c>
      <c r="W117" s="2">
        <f ca="1">--TRIM(RIGHT(SUBSTITUTE(LEFT(A117,_xlfn.AGGREGATE(16,6,FIND({0,1,2,3,4,5,6,7,8,9},A117,ROW(INDIRECT("1:"&amp;LEN(A117)))),1))," ",REPT(" ",LEN(A117))),LEN(A117)))</f>
        <v>11</v>
      </c>
    </row>
    <row r="118" spans="1:23" s="2" customFormat="1" ht="15.75" customHeight="1" x14ac:dyDescent="0.25">
      <c r="A118" s="65" t="s">
        <v>190</v>
      </c>
      <c r="B118" s="65" t="s">
        <v>190</v>
      </c>
      <c r="C118" s="62" t="s">
        <v>195</v>
      </c>
      <c r="D118" s="62">
        <f>(46.13+(2.9+2.88+3.1+2.1)*0.75)*10.764</f>
        <v>585.18485999999996</v>
      </c>
      <c r="E118" s="62">
        <v>0</v>
      </c>
      <c r="F118" s="62">
        <v>1050</v>
      </c>
      <c r="G118" s="65" t="str">
        <f>A117</f>
        <v>3rd, 5th, 7th, 9th &amp; 11th Floor</v>
      </c>
      <c r="H118" s="65"/>
      <c r="I118" s="33">
        <f>1055/D118</f>
        <v>1.8028491031022233</v>
      </c>
      <c r="S118" s="64" t="str">
        <f ca="1">V118&amp;""&amp;$S$112&amp;""&amp;W118</f>
        <v>3501,..,1101</v>
      </c>
      <c r="T118" s="64"/>
      <c r="U118" s="33">
        <v>1</v>
      </c>
      <c r="V118" s="2">
        <f ca="1">(SUMPRODUCT(MID(0&amp;V117, LARGE(INDEX(ISNUMBER(--MID(V117, ROW(INDIRECT("1:"&amp;LEN(V117))), 1)) * ROW(INDIRECT("1:"&amp;LEN(V117))), 0), ROW(INDIRECT("1:"&amp;LEN(V117))))+1, 1) * 10^ROW(INDIRECT("1:"&amp;LEN(V117)))/10))*U118*100+1</f>
        <v>3501</v>
      </c>
      <c r="W118" s="2">
        <f ca="1">(SUMPRODUCT(MID(0&amp;W117, LARGE(INDEX(ISNUMBER(--MID(W117, ROW(INDIRECT("1:"&amp;LEN(W117))), 1)) * ROW(INDIRECT("1:"&amp;LEN(W117))), 0), ROW(INDIRECT("1:"&amp;LEN(W117))))+1, 1) * 10^ROW(INDIRECT("1:"&amp;LEN(W117)))/10))*U118*100+1</f>
        <v>1101</v>
      </c>
    </row>
    <row r="119" spans="1:23" s="2" customFormat="1" ht="15.75" customHeight="1" x14ac:dyDescent="0.25">
      <c r="A119" s="65" t="s">
        <v>191</v>
      </c>
      <c r="B119" s="65" t="s">
        <v>191</v>
      </c>
      <c r="C119" s="62" t="s">
        <v>196</v>
      </c>
      <c r="D119" s="62">
        <f>(29.94+(2.7+2.1+1.8)*0.75)*10.764</f>
        <v>375.55595999999997</v>
      </c>
      <c r="E119" s="62">
        <v>0</v>
      </c>
      <c r="F119" s="62">
        <v>665</v>
      </c>
      <c r="G119" s="65" t="str">
        <f t="shared" ref="G119:G121" si="9">G118</f>
        <v>3rd, 5th, 7th, 9th &amp; 11th Floor</v>
      </c>
      <c r="H119" s="65"/>
      <c r="I119" s="33"/>
      <c r="S119" s="64" t="str">
        <f ca="1">V119&amp;""&amp;$S$112&amp;""&amp;W119</f>
        <v>3502,..,1102</v>
      </c>
      <c r="T119" s="64"/>
      <c r="U119" s="33">
        <f t="shared" ref="U119:W119" si="10">U118+1</f>
        <v>2</v>
      </c>
      <c r="V119" s="2">
        <f t="shared" ca="1" si="10"/>
        <v>3502</v>
      </c>
      <c r="W119" s="2">
        <f t="shared" ca="1" si="10"/>
        <v>1102</v>
      </c>
    </row>
    <row r="120" spans="1:23" s="2" customFormat="1" ht="15.75" customHeight="1" x14ac:dyDescent="0.25">
      <c r="A120" s="65" t="s">
        <v>192</v>
      </c>
      <c r="B120" s="65" t="s">
        <v>192</v>
      </c>
      <c r="C120" s="62" t="s">
        <v>196</v>
      </c>
      <c r="D120" s="62">
        <f>(29.94+(2.7+2.1+1.8)*0.75)*10.764</f>
        <v>375.55595999999997</v>
      </c>
      <c r="E120" s="62">
        <v>0</v>
      </c>
      <c r="F120" s="62">
        <v>665</v>
      </c>
      <c r="G120" s="65" t="str">
        <f t="shared" si="9"/>
        <v>3rd, 5th, 7th, 9th &amp; 11th Floor</v>
      </c>
      <c r="H120" s="65"/>
      <c r="I120" s="33"/>
      <c r="S120" s="64" t="str">
        <f ca="1">V120&amp;""&amp;$S$112&amp;""&amp;W120</f>
        <v>3503,..,1103</v>
      </c>
      <c r="T120" s="64"/>
      <c r="U120" s="33">
        <f t="shared" ref="U120:W120" si="11">U119+1</f>
        <v>3</v>
      </c>
      <c r="V120" s="2">
        <f t="shared" ca="1" si="11"/>
        <v>3503</v>
      </c>
      <c r="W120" s="2">
        <f t="shared" ca="1" si="11"/>
        <v>1103</v>
      </c>
    </row>
    <row r="121" spans="1:23" s="2" customFormat="1" ht="15.75" customHeight="1" x14ac:dyDescent="0.25">
      <c r="A121" s="65" t="s">
        <v>193</v>
      </c>
      <c r="B121" s="65" t="s">
        <v>193</v>
      </c>
      <c r="C121" s="62" t="s">
        <v>195</v>
      </c>
      <c r="D121" s="62">
        <f>(46.13+(2.9+2.88+3.1+2.1)*0.75)*10.764</f>
        <v>585.18485999999996</v>
      </c>
      <c r="E121" s="62">
        <v>0</v>
      </c>
      <c r="F121" s="62">
        <v>1050</v>
      </c>
      <c r="G121" s="65" t="str">
        <f t="shared" si="9"/>
        <v>3rd, 5th, 7th, 9th &amp; 11th Floor</v>
      </c>
      <c r="H121" s="65"/>
      <c r="I121" s="33"/>
      <c r="S121" s="64" t="str">
        <f ca="1">V121&amp;""&amp;$S$112&amp;""&amp;W121</f>
        <v>3504,..,1104</v>
      </c>
      <c r="T121" s="64"/>
      <c r="U121" s="33">
        <f t="shared" ref="U121:W121" si="12">U120+1</f>
        <v>4</v>
      </c>
      <c r="V121" s="2">
        <f t="shared" ca="1" si="12"/>
        <v>3504</v>
      </c>
      <c r="W121" s="2">
        <f t="shared" ca="1" si="12"/>
        <v>1104</v>
      </c>
    </row>
    <row r="122" spans="1:23" s="2" customFormat="1" x14ac:dyDescent="0.25">
      <c r="A122" s="79" t="s">
        <v>194</v>
      </c>
      <c r="B122" s="79"/>
      <c r="C122" s="79"/>
      <c r="D122" s="79"/>
      <c r="E122" s="79"/>
      <c r="F122" s="79"/>
      <c r="G122" s="79"/>
      <c r="H122" s="79"/>
      <c r="I122" s="33"/>
      <c r="S122" s="64"/>
      <c r="T122" s="64"/>
      <c r="V122" s="2" t="str">
        <f>LEFT(A122,SUM(LEN(A122)-LEN(SUBSTITUTE(A122,{"0","1","2","3","4","5","6","7","8","9"},""))))</f>
        <v>13</v>
      </c>
    </row>
    <row r="123" spans="1:23" s="2" customFormat="1" x14ac:dyDescent="0.25">
      <c r="A123" s="65">
        <f t="shared" ref="A123:A126" ca="1" si="13">S123</f>
        <v>1301</v>
      </c>
      <c r="B123" s="65"/>
      <c r="C123" s="19" t="s">
        <v>196</v>
      </c>
      <c r="D123" s="19">
        <f>(37.76+(2.9+2.88+2.1)*0.75)*10.764</f>
        <v>470.06387999999993</v>
      </c>
      <c r="E123" s="19">
        <f>3.4*2.85*10.764</f>
        <v>104.30315999999999</v>
      </c>
      <c r="F123" s="19">
        <v>980</v>
      </c>
      <c r="G123" s="73" t="str">
        <f>A122</f>
        <v>13th Floor</v>
      </c>
      <c r="H123" s="74"/>
      <c r="I123" s="33"/>
      <c r="S123" s="64">
        <f t="shared" ref="S123:S126" ca="1" si="14">V123</f>
        <v>1301</v>
      </c>
      <c r="T123" s="64"/>
      <c r="U123" s="33">
        <v>1</v>
      </c>
      <c r="V123" s="2">
        <f ca="1">(SUMPRODUCT(MID(0&amp;V122, LARGE(INDEX(ISNUMBER(--MID(V122, ROW(INDIRECT("1:"&amp;LEN(V122))), 1)) * ROW(INDIRECT("1:"&amp;LEN(V122))), 0), ROW(INDIRECT("1:"&amp;LEN(V122))))+1, 1) * 10^ROW(INDIRECT("1:"&amp;LEN(V122)))/10))*U123*100+1</f>
        <v>1301</v>
      </c>
    </row>
    <row r="124" spans="1:23" s="2" customFormat="1" x14ac:dyDescent="0.25">
      <c r="A124" s="65">
        <f t="shared" ca="1" si="13"/>
        <v>1302</v>
      </c>
      <c r="B124" s="65"/>
      <c r="C124" s="19" t="s">
        <v>196</v>
      </c>
      <c r="D124" s="19">
        <f>(29.94+(2.7+2.1+1.8)*0.75)*10.764</f>
        <v>375.55595999999997</v>
      </c>
      <c r="E124" s="19">
        <v>0</v>
      </c>
      <c r="F124" s="19">
        <v>655</v>
      </c>
      <c r="G124" s="75" t="str">
        <f t="shared" ref="G124:G126" si="15">G123</f>
        <v>13th Floor</v>
      </c>
      <c r="H124" s="76"/>
      <c r="I124" s="33"/>
      <c r="S124" s="64">
        <f t="shared" ca="1" si="14"/>
        <v>1302</v>
      </c>
      <c r="T124" s="64"/>
      <c r="U124" s="33">
        <f>U123+1</f>
        <v>2</v>
      </c>
      <c r="V124" s="2">
        <f ca="1">V123+1</f>
        <v>1302</v>
      </c>
    </row>
    <row r="125" spans="1:23" s="2" customFormat="1" x14ac:dyDescent="0.25">
      <c r="A125" s="65">
        <f t="shared" ca="1" si="13"/>
        <v>1303</v>
      </c>
      <c r="B125" s="65"/>
      <c r="C125" s="19" t="s">
        <v>196</v>
      </c>
      <c r="D125" s="19">
        <f>(29.94+(2.7+2.1+1.8)*0.75)*10.764</f>
        <v>375.55595999999997</v>
      </c>
      <c r="E125" s="19">
        <v>0</v>
      </c>
      <c r="F125" s="19">
        <v>655</v>
      </c>
      <c r="G125" s="75" t="str">
        <f t="shared" si="15"/>
        <v>13th Floor</v>
      </c>
      <c r="H125" s="76"/>
      <c r="I125" s="33"/>
      <c r="S125" s="64">
        <f t="shared" ca="1" si="14"/>
        <v>1303</v>
      </c>
      <c r="T125" s="64"/>
      <c r="U125" s="33">
        <f>U124+1</f>
        <v>3</v>
      </c>
      <c r="V125" s="2">
        <f ca="1">V124+1</f>
        <v>1303</v>
      </c>
    </row>
    <row r="126" spans="1:23" s="2" customFormat="1" x14ac:dyDescent="0.25">
      <c r="A126" s="65">
        <f t="shared" ca="1" si="13"/>
        <v>1304</v>
      </c>
      <c r="B126" s="65"/>
      <c r="C126" s="19" t="s">
        <v>196</v>
      </c>
      <c r="D126" s="19">
        <f>(37.76+(2.9+2.88+2.1)*0.75)*10.764</f>
        <v>470.06387999999993</v>
      </c>
      <c r="E126" s="19">
        <f>3.4*2.85*10.764</f>
        <v>104.30315999999999</v>
      </c>
      <c r="F126" s="19">
        <v>980</v>
      </c>
      <c r="G126" s="77" t="str">
        <f t="shared" si="15"/>
        <v>13th Floor</v>
      </c>
      <c r="H126" s="78"/>
      <c r="I126" s="33"/>
      <c r="S126" s="64">
        <f t="shared" ca="1" si="14"/>
        <v>1304</v>
      </c>
      <c r="T126" s="64"/>
      <c r="U126" s="33">
        <f t="shared" ref="U126" si="16">U125+1</f>
        <v>4</v>
      </c>
      <c r="V126" s="2">
        <f t="shared" ref="V126" ca="1" si="17">V125+1</f>
        <v>1304</v>
      </c>
    </row>
    <row r="127" spans="1:23" s="1" customFormat="1" x14ac:dyDescent="0.25">
      <c r="A127" s="85" t="s">
        <v>77</v>
      </c>
      <c r="B127" s="86"/>
      <c r="C127" s="86"/>
      <c r="D127" s="86"/>
      <c r="E127" s="86"/>
      <c r="F127" s="86"/>
      <c r="G127" s="86"/>
      <c r="H127" s="87"/>
    </row>
    <row r="128" spans="1:23" s="10" customFormat="1" ht="95.25" customHeight="1" x14ac:dyDescent="0.25">
      <c r="A128" s="88" t="s">
        <v>237</v>
      </c>
      <c r="B128" s="88"/>
      <c r="C128" s="88"/>
      <c r="D128" s="88"/>
      <c r="E128" s="88"/>
      <c r="F128" s="88"/>
      <c r="G128" s="88"/>
      <c r="H128" s="88"/>
      <c r="I128" s="63"/>
    </row>
    <row r="129" spans="1:8" x14ac:dyDescent="0.25">
      <c r="A129" s="89" t="s">
        <v>68</v>
      </c>
      <c r="B129" s="89"/>
      <c r="C129" s="89"/>
      <c r="D129" s="89"/>
      <c r="E129" s="89"/>
      <c r="F129" s="89"/>
      <c r="G129" s="89"/>
      <c r="H129" s="89"/>
    </row>
    <row r="130" spans="1:8" x14ac:dyDescent="0.25">
      <c r="A130" s="81" t="s">
        <v>69</v>
      </c>
      <c r="B130" s="81"/>
      <c r="C130" s="81"/>
      <c r="D130" s="81"/>
      <c r="E130" s="81"/>
      <c r="F130" s="81"/>
      <c r="G130" s="81"/>
      <c r="H130" s="81"/>
    </row>
    <row r="131" spans="1:8" ht="15.75" customHeight="1" x14ac:dyDescent="0.25">
      <c r="A131" s="89" t="s">
        <v>70</v>
      </c>
      <c r="B131" s="89"/>
      <c r="C131" s="89"/>
      <c r="D131" s="89"/>
      <c r="E131" s="89"/>
      <c r="F131" s="89"/>
      <c r="G131" s="89"/>
      <c r="H131" s="89"/>
    </row>
    <row r="132" spans="1:8" x14ac:dyDescent="0.25">
      <c r="A132" s="81" t="s">
        <v>71</v>
      </c>
      <c r="B132" s="81"/>
      <c r="C132" s="81"/>
      <c r="D132" s="81"/>
      <c r="E132" s="81"/>
      <c r="F132" s="81"/>
      <c r="G132" s="81"/>
      <c r="H132" s="81"/>
    </row>
    <row r="133" spans="1:8" x14ac:dyDescent="0.25">
      <c r="A133" s="81" t="s">
        <v>72</v>
      </c>
      <c r="B133" s="81"/>
      <c r="C133" s="81"/>
      <c r="D133" s="81"/>
      <c r="E133" s="81"/>
      <c r="F133" s="81"/>
      <c r="G133" s="81"/>
      <c r="H133" s="81"/>
    </row>
    <row r="134" spans="1:8" x14ac:dyDescent="0.25">
      <c r="A134" s="81" t="s">
        <v>73</v>
      </c>
      <c r="B134" s="81"/>
      <c r="C134" s="81"/>
      <c r="D134" s="81"/>
      <c r="E134" s="81"/>
      <c r="F134" s="81"/>
      <c r="G134" s="81"/>
      <c r="H134" s="81"/>
    </row>
    <row r="135" spans="1:8" ht="35.25" customHeight="1" x14ac:dyDescent="0.25">
      <c r="A135" s="82" t="s">
        <v>74</v>
      </c>
      <c r="B135" s="82"/>
      <c r="C135" s="82"/>
      <c r="D135" s="82"/>
      <c r="E135" s="82"/>
      <c r="F135" s="82"/>
      <c r="G135" s="82"/>
      <c r="H135" s="82"/>
    </row>
    <row r="136" spans="1:8" x14ac:dyDescent="0.25">
      <c r="A136" s="116" t="s">
        <v>110</v>
      </c>
      <c r="B136" s="116"/>
      <c r="C136" s="116" t="s">
        <v>239</v>
      </c>
      <c r="D136" s="116"/>
      <c r="E136" s="116" t="s">
        <v>144</v>
      </c>
      <c r="F136" s="116"/>
      <c r="G136" s="116" t="s">
        <v>238</v>
      </c>
      <c r="H136" s="116"/>
    </row>
    <row r="137" spans="1:8" x14ac:dyDescent="0.25">
      <c r="A137" s="115" t="s">
        <v>112</v>
      </c>
      <c r="B137" s="115"/>
      <c r="C137" s="115"/>
      <c r="D137" s="115"/>
      <c r="E137" s="115"/>
      <c r="F137" s="115"/>
      <c r="G137" s="115"/>
      <c r="H137" s="115"/>
    </row>
    <row r="138" spans="1:8" x14ac:dyDescent="0.25">
      <c r="A138" s="115"/>
      <c r="B138" s="115"/>
      <c r="C138" s="115"/>
      <c r="D138" s="115"/>
      <c r="E138" s="115"/>
      <c r="F138" s="115"/>
      <c r="G138" s="115"/>
      <c r="H138" s="115"/>
    </row>
    <row r="139" spans="1:8" x14ac:dyDescent="0.25">
      <c r="A139" s="115"/>
      <c r="B139" s="115"/>
      <c r="C139" s="115"/>
      <c r="D139" s="115"/>
      <c r="E139" s="115"/>
      <c r="F139" s="115"/>
      <c r="G139" s="115"/>
      <c r="H139" s="115"/>
    </row>
    <row r="140" spans="1:8" x14ac:dyDescent="0.25">
      <c r="A140" s="115"/>
      <c r="B140" s="115"/>
      <c r="C140" s="115"/>
      <c r="D140" s="115"/>
      <c r="E140" s="115"/>
      <c r="F140" s="115"/>
      <c r="G140" s="115"/>
      <c r="H140" s="115"/>
    </row>
    <row r="141" spans="1:8" x14ac:dyDescent="0.25">
      <c r="A141" s="15" t="s">
        <v>75</v>
      </c>
      <c r="B141" s="16"/>
      <c r="C141" s="16"/>
      <c r="D141" s="15" t="str">
        <f>E8</f>
        <v>Shiv Shankar Residency</v>
      </c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ht="15" customHeight="1" x14ac:dyDescent="0.25"/>
    <row r="176" spans="8:8" x14ac:dyDescent="0.25">
      <c r="H176"/>
    </row>
    <row r="180" spans="1:1" hidden="1" x14ac:dyDescent="0.25"/>
    <row r="181" spans="1:1" hidden="1" x14ac:dyDescent="0.25"/>
    <row r="182" spans="1:1" hidden="1" x14ac:dyDescent="0.25"/>
    <row r="184" spans="1:1" x14ac:dyDescent="0.25">
      <c r="A184" s="18" t="s">
        <v>76</v>
      </c>
    </row>
  </sheetData>
  <mergeCells count="277">
    <mergeCell ref="A58:C58"/>
    <mergeCell ref="D58:H58"/>
    <mergeCell ref="G45:H45"/>
    <mergeCell ref="G46:H46"/>
    <mergeCell ref="A47:B48"/>
    <mergeCell ref="G47:H47"/>
    <mergeCell ref="D53:H53"/>
    <mergeCell ref="A53:C53"/>
    <mergeCell ref="G49:H49"/>
    <mergeCell ref="C48:H48"/>
    <mergeCell ref="A56:C56"/>
    <mergeCell ref="D55:H55"/>
    <mergeCell ref="A59:B59"/>
    <mergeCell ref="C59:H59"/>
    <mergeCell ref="A61:B61"/>
    <mergeCell ref="C61:H61"/>
    <mergeCell ref="A62:B62"/>
    <mergeCell ref="E62:F62"/>
    <mergeCell ref="G62:H62"/>
    <mergeCell ref="A63:B63"/>
    <mergeCell ref="E63:F72"/>
    <mergeCell ref="G63:H72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F80:H80"/>
    <mergeCell ref="A81:E81"/>
    <mergeCell ref="F81:H81"/>
    <mergeCell ref="A82:E82"/>
    <mergeCell ref="F82:H82"/>
    <mergeCell ref="S126:T126"/>
    <mergeCell ref="S123:T123"/>
    <mergeCell ref="S124:T124"/>
    <mergeCell ref="S125:T125"/>
    <mergeCell ref="A84:E84"/>
    <mergeCell ref="S113:T113"/>
    <mergeCell ref="S114:T114"/>
    <mergeCell ref="S122:T122"/>
    <mergeCell ref="A116:B116"/>
    <mergeCell ref="A113:B113"/>
    <mergeCell ref="A121:B121"/>
    <mergeCell ref="S121:T121"/>
    <mergeCell ref="A117:H117"/>
    <mergeCell ref="S117:T117"/>
    <mergeCell ref="A118:B118"/>
    <mergeCell ref="S118:T118"/>
    <mergeCell ref="S101:T101"/>
    <mergeCell ref="S100:T100"/>
    <mergeCell ref="G89:H89"/>
    <mergeCell ref="A79:E79"/>
    <mergeCell ref="F79:H79"/>
    <mergeCell ref="A73:E73"/>
    <mergeCell ref="F73:H73"/>
    <mergeCell ref="A75:B75"/>
    <mergeCell ref="C75:H75"/>
    <mergeCell ref="F78:H78"/>
    <mergeCell ref="A78:E78"/>
    <mergeCell ref="A76:H76"/>
    <mergeCell ref="A77:E77"/>
    <mergeCell ref="F77:H77"/>
    <mergeCell ref="A74:H74"/>
    <mergeCell ref="C33:E33"/>
    <mergeCell ref="D56:H56"/>
    <mergeCell ref="C46:E46"/>
    <mergeCell ref="A49:B49"/>
    <mergeCell ref="C49:E49"/>
    <mergeCell ref="A46:B46"/>
    <mergeCell ref="A50:H50"/>
    <mergeCell ref="A51:C51"/>
    <mergeCell ref="A54:C54"/>
    <mergeCell ref="D54:H54"/>
    <mergeCell ref="A52:C52"/>
    <mergeCell ref="D52:H52"/>
    <mergeCell ref="D51:H51"/>
    <mergeCell ref="C47:E47"/>
    <mergeCell ref="A45:B45"/>
    <mergeCell ref="C45:E45"/>
    <mergeCell ref="C35:H35"/>
    <mergeCell ref="A137:H140"/>
    <mergeCell ref="A136:B136"/>
    <mergeCell ref="E136:F136"/>
    <mergeCell ref="C136:D136"/>
    <mergeCell ref="G136:H136"/>
    <mergeCell ref="A87:H87"/>
    <mergeCell ref="A85:E85"/>
    <mergeCell ref="F85:H85"/>
    <mergeCell ref="A86:E86"/>
    <mergeCell ref="F86:H86"/>
    <mergeCell ref="A122:H122"/>
    <mergeCell ref="A92:B92"/>
    <mergeCell ref="A115:B115"/>
    <mergeCell ref="A89:B89"/>
    <mergeCell ref="A132:H132"/>
    <mergeCell ref="A90:H90"/>
    <mergeCell ref="C92:D92"/>
    <mergeCell ref="E92:F92"/>
    <mergeCell ref="G92:H92"/>
    <mergeCell ref="A112:H112"/>
    <mergeCell ref="C88:D88"/>
    <mergeCell ref="A88:B88"/>
    <mergeCell ref="E88:F88"/>
    <mergeCell ref="G88:H8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0:D10"/>
    <mergeCell ref="E10:H10"/>
    <mergeCell ref="A21:D21"/>
    <mergeCell ref="E21:H21"/>
    <mergeCell ref="A15:B15"/>
    <mergeCell ref="C15:D15"/>
    <mergeCell ref="E15:F15"/>
    <mergeCell ref="G15:H15"/>
    <mergeCell ref="A23:D23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2:D22"/>
    <mergeCell ref="E22:H22"/>
    <mergeCell ref="E26:H26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C36:H36"/>
    <mergeCell ref="C30:E30"/>
    <mergeCell ref="A31:B31"/>
    <mergeCell ref="C31:E31"/>
    <mergeCell ref="A32:B32"/>
    <mergeCell ref="C32:E32"/>
    <mergeCell ref="A104:B104"/>
    <mergeCell ref="A108:B108"/>
    <mergeCell ref="C89:D89"/>
    <mergeCell ref="E89:F89"/>
    <mergeCell ref="A24:D24"/>
    <mergeCell ref="E24:H24"/>
    <mergeCell ref="E23:H23"/>
    <mergeCell ref="A25:D25"/>
    <mergeCell ref="E25:H25"/>
    <mergeCell ref="A30:B30"/>
    <mergeCell ref="A29:B29"/>
    <mergeCell ref="A36:B36"/>
    <mergeCell ref="A40:D40"/>
    <mergeCell ref="E40:H40"/>
    <mergeCell ref="E41:H41"/>
    <mergeCell ref="E42:H42"/>
    <mergeCell ref="E43:H43"/>
    <mergeCell ref="A41:D41"/>
    <mergeCell ref="A42:D42"/>
    <mergeCell ref="A39:D39"/>
    <mergeCell ref="A43:D43"/>
    <mergeCell ref="A44:H44"/>
    <mergeCell ref="A55:C55"/>
    <mergeCell ref="A26:D26"/>
    <mergeCell ref="S102:T102"/>
    <mergeCell ref="G99:H99"/>
    <mergeCell ref="G97:H97"/>
    <mergeCell ref="G103:H103"/>
    <mergeCell ref="A133:H133"/>
    <mergeCell ref="A134:H134"/>
    <mergeCell ref="A135:H135"/>
    <mergeCell ref="A57:C57"/>
    <mergeCell ref="D57:H57"/>
    <mergeCell ref="A127:H127"/>
    <mergeCell ref="A128:H128"/>
    <mergeCell ref="A129:H129"/>
    <mergeCell ref="A130:H130"/>
    <mergeCell ref="A94:H94"/>
    <mergeCell ref="A123:B123"/>
    <mergeCell ref="A91:B91"/>
    <mergeCell ref="A93:H93"/>
    <mergeCell ref="A83:E83"/>
    <mergeCell ref="F83:H83"/>
    <mergeCell ref="A114:B114"/>
    <mergeCell ref="A131:H131"/>
    <mergeCell ref="F84:H84"/>
    <mergeCell ref="A80:E80"/>
    <mergeCell ref="A96:H96"/>
    <mergeCell ref="A126:B126"/>
    <mergeCell ref="G113:H116"/>
    <mergeCell ref="G118:H121"/>
    <mergeCell ref="G123:H126"/>
    <mergeCell ref="A119:B119"/>
    <mergeCell ref="A120:B120"/>
    <mergeCell ref="A102:B102"/>
    <mergeCell ref="A103:B103"/>
    <mergeCell ref="A97:B97"/>
    <mergeCell ref="A98:B98"/>
    <mergeCell ref="A99:B99"/>
    <mergeCell ref="A100:B100"/>
    <mergeCell ref="A101:B101"/>
    <mergeCell ref="A111:H111"/>
    <mergeCell ref="G110:H110"/>
    <mergeCell ref="A109:H109"/>
    <mergeCell ref="G102:H102"/>
    <mergeCell ref="G98:H98"/>
    <mergeCell ref="G101:H101"/>
    <mergeCell ref="G100:H100"/>
    <mergeCell ref="G104:H104"/>
    <mergeCell ref="G108:H108"/>
    <mergeCell ref="A105:B105"/>
    <mergeCell ref="G105:H105"/>
    <mergeCell ref="S112:T112"/>
    <mergeCell ref="S115:T115"/>
    <mergeCell ref="S116:T116"/>
    <mergeCell ref="A124:B124"/>
    <mergeCell ref="A125:B125"/>
    <mergeCell ref="S107:T107"/>
    <mergeCell ref="S119:T119"/>
    <mergeCell ref="S120:T120"/>
    <mergeCell ref="C91:D91"/>
    <mergeCell ref="E91:F91"/>
    <mergeCell ref="G91:H91"/>
    <mergeCell ref="G95:H95"/>
    <mergeCell ref="S108:T108"/>
    <mergeCell ref="S104:T104"/>
    <mergeCell ref="S105:T105"/>
    <mergeCell ref="A106:B106"/>
    <mergeCell ref="G106:H106"/>
    <mergeCell ref="S106:T106"/>
    <mergeCell ref="A107:B107"/>
    <mergeCell ref="G107:H107"/>
    <mergeCell ref="S99:T99"/>
    <mergeCell ref="S98:T98"/>
    <mergeCell ref="S97:T97"/>
    <mergeCell ref="S103:T103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&amp;P</oddFooter>
  </headerFooter>
  <rowBreaks count="2" manualBreakCount="2">
    <brk id="140" max="16383" man="1"/>
    <brk id="18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5" x14ac:dyDescent="0.25"/>
  <cols>
    <col min="2" max="2" width="12.42578125" customWidth="1"/>
  </cols>
  <sheetData>
    <row r="2" spans="1:12" x14ac:dyDescent="0.25">
      <c r="B2" s="3" t="s">
        <v>78</v>
      </c>
      <c r="C2" s="155"/>
      <c r="D2" s="155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79</v>
      </c>
      <c r="B4" s="5" t="s">
        <v>80</v>
      </c>
      <c r="C4" s="156" t="s">
        <v>81</v>
      </c>
      <c r="D4" s="156"/>
      <c r="E4" s="156"/>
      <c r="F4" s="6"/>
      <c r="G4" s="156" t="s">
        <v>82</v>
      </c>
      <c r="H4" s="156"/>
      <c r="I4" s="156"/>
      <c r="J4" s="156" t="s">
        <v>83</v>
      </c>
      <c r="K4" s="156"/>
      <c r="L4" s="156"/>
    </row>
    <row r="5" spans="1:12" x14ac:dyDescent="0.25">
      <c r="A5" s="3">
        <v>202</v>
      </c>
      <c r="B5" s="5"/>
      <c r="C5" s="5" t="s">
        <v>84</v>
      </c>
      <c r="D5" s="5" t="s">
        <v>85</v>
      </c>
      <c r="E5" s="5" t="s">
        <v>60</v>
      </c>
      <c r="F5" s="5"/>
      <c r="G5" s="5" t="s">
        <v>84</v>
      </c>
      <c r="H5" s="5" t="s">
        <v>85</v>
      </c>
      <c r="I5" s="5" t="s">
        <v>60</v>
      </c>
      <c r="J5" s="5" t="s">
        <v>84</v>
      </c>
      <c r="K5" s="5" t="s">
        <v>85</v>
      </c>
      <c r="L5" s="5" t="s">
        <v>60</v>
      </c>
    </row>
    <row r="6" spans="1:12" x14ac:dyDescent="0.25">
      <c r="B6" s="7" t="s">
        <v>86</v>
      </c>
      <c r="C6" s="7">
        <v>4.5</v>
      </c>
      <c r="D6" s="7">
        <v>2.9</v>
      </c>
      <c r="E6" s="7">
        <f>C6*D6</f>
        <v>13.049999999999999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89</v>
      </c>
      <c r="C9" s="7">
        <v>1.88</v>
      </c>
      <c r="D9" s="7">
        <v>2.13</v>
      </c>
      <c r="E9" s="7">
        <f t="shared" si="0"/>
        <v>4.0043999999999995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92</v>
      </c>
      <c r="C23" s="7">
        <v>1.9</v>
      </c>
      <c r="D23" s="7">
        <v>1.07</v>
      </c>
      <c r="E23" s="7">
        <f t="shared" si="0"/>
        <v>2.0329999999999999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61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5703125" defaultRowHeight="15" x14ac:dyDescent="0.25"/>
  <cols>
    <col min="1" max="1" width="8.5703125" style="21"/>
    <col min="2" max="2" width="22.140625" style="21" customWidth="1"/>
    <col min="3" max="3" width="37" style="21" customWidth="1"/>
    <col min="4" max="5" width="11.42578125" style="21" customWidth="1"/>
    <col min="6" max="6" width="14" style="21" customWidth="1"/>
    <col min="7" max="7" width="20" style="21" customWidth="1"/>
    <col min="8" max="8" width="16.42578125" style="21" customWidth="1"/>
    <col min="9" max="16384" width="8.5703125" style="21"/>
  </cols>
  <sheetData>
    <row r="1" spans="1:9" ht="15" customHeight="1" x14ac:dyDescent="0.25"/>
    <row r="2" spans="1:9" ht="15" customHeight="1" x14ac:dyDescent="0.25">
      <c r="A2" s="22"/>
      <c r="B2" s="22"/>
      <c r="C2" s="22"/>
      <c r="D2" s="22"/>
      <c r="E2" s="22"/>
      <c r="F2" s="22"/>
      <c r="G2" s="22"/>
      <c r="H2" s="22"/>
    </row>
    <row r="3" spans="1:9" ht="15.75" customHeight="1" x14ac:dyDescent="0.25">
      <c r="A3" s="22"/>
      <c r="B3" s="157" t="s">
        <v>145</v>
      </c>
      <c r="C3" s="157"/>
      <c r="D3" s="157"/>
      <c r="E3" s="157"/>
      <c r="F3" s="157"/>
      <c r="G3" s="157"/>
      <c r="H3" s="157"/>
    </row>
    <row r="4" spans="1:9" x14ac:dyDescent="0.25">
      <c r="A4" s="22"/>
      <c r="B4" s="23" t="s">
        <v>146</v>
      </c>
      <c r="C4" s="23" t="s">
        <v>147</v>
      </c>
      <c r="D4" s="23" t="s">
        <v>79</v>
      </c>
      <c r="E4" s="23" t="s">
        <v>148</v>
      </c>
      <c r="F4" s="23" t="s">
        <v>155</v>
      </c>
      <c r="G4" s="23" t="s">
        <v>156</v>
      </c>
      <c r="H4" s="23" t="s">
        <v>149</v>
      </c>
    </row>
    <row r="5" spans="1:9" ht="15" customHeight="1" x14ac:dyDescent="0.25">
      <c r="A5" s="22"/>
      <c r="B5" s="25" t="s">
        <v>150</v>
      </c>
      <c r="C5" s="26"/>
      <c r="D5" s="25" t="s">
        <v>151</v>
      </c>
      <c r="E5" s="25">
        <v>1106</v>
      </c>
      <c r="F5" s="27">
        <f>E5*1.6</f>
        <v>1769.6000000000001</v>
      </c>
      <c r="G5" s="27">
        <f>H5/F5</f>
        <v>31532.549728752259</v>
      </c>
      <c r="H5" s="28">
        <v>55800000</v>
      </c>
    </row>
    <row r="6" spans="1:9" x14ac:dyDescent="0.25">
      <c r="A6" s="22"/>
      <c r="B6" s="25" t="s">
        <v>150</v>
      </c>
      <c r="C6" s="29"/>
      <c r="D6" s="25"/>
      <c r="E6" s="25"/>
      <c r="F6" s="27">
        <f t="shared" ref="F6:F11" si="0">E6*1.6</f>
        <v>0</v>
      </c>
      <c r="G6" s="27" t="e">
        <f t="shared" ref="G6:G11" si="1">H6/F6</f>
        <v>#DIV/0!</v>
      </c>
      <c r="H6" s="28"/>
    </row>
    <row r="7" spans="1:9" ht="15" customHeight="1" x14ac:dyDescent="0.25">
      <c r="A7" s="22"/>
      <c r="B7" s="25" t="s">
        <v>150</v>
      </c>
      <c r="C7" s="26"/>
      <c r="D7" s="25"/>
      <c r="E7" s="25"/>
      <c r="F7" s="27">
        <f t="shared" si="0"/>
        <v>0</v>
      </c>
      <c r="G7" s="27" t="e">
        <f t="shared" si="1"/>
        <v>#DIV/0!</v>
      </c>
      <c r="H7" s="28"/>
    </row>
    <row r="8" spans="1:9" x14ac:dyDescent="0.25">
      <c r="A8" s="22"/>
      <c r="B8" s="25" t="s">
        <v>150</v>
      </c>
      <c r="C8" s="29"/>
      <c r="D8" s="25"/>
      <c r="E8" s="25"/>
      <c r="F8" s="27">
        <f t="shared" si="0"/>
        <v>0</v>
      </c>
      <c r="G8" s="27" t="e">
        <f t="shared" si="1"/>
        <v>#DIV/0!</v>
      </c>
      <c r="H8" s="28"/>
    </row>
    <row r="9" spans="1:9" ht="15" customHeight="1" x14ac:dyDescent="0.25">
      <c r="A9" s="22"/>
      <c r="B9" s="25" t="s">
        <v>150</v>
      </c>
      <c r="C9" s="29"/>
      <c r="D9" s="25"/>
      <c r="E9" s="25"/>
      <c r="F9" s="27">
        <f t="shared" si="0"/>
        <v>0</v>
      </c>
      <c r="G9" s="27" t="e">
        <f t="shared" si="1"/>
        <v>#DIV/0!</v>
      </c>
      <c r="H9" s="28"/>
    </row>
    <row r="10" spans="1:9" ht="15" customHeight="1" x14ac:dyDescent="0.25">
      <c r="A10" s="22"/>
      <c r="B10" s="25" t="s">
        <v>152</v>
      </c>
      <c r="C10" s="26"/>
      <c r="D10" s="25"/>
      <c r="E10" s="25"/>
      <c r="F10" s="27">
        <f t="shared" si="0"/>
        <v>0</v>
      </c>
      <c r="G10" s="27" t="e">
        <f t="shared" si="1"/>
        <v>#DIV/0!</v>
      </c>
      <c r="H10" s="28"/>
    </row>
    <row r="11" spans="1:9" ht="15" customHeight="1" x14ac:dyDescent="0.25">
      <c r="A11" s="22"/>
      <c r="B11" s="25" t="s">
        <v>152</v>
      </c>
      <c r="C11" s="26"/>
      <c r="D11" s="25"/>
      <c r="E11" s="25"/>
      <c r="F11" s="27">
        <f t="shared" si="0"/>
        <v>0</v>
      </c>
      <c r="G11" s="27" t="e">
        <f t="shared" si="1"/>
        <v>#DIV/0!</v>
      </c>
      <c r="H11" s="28"/>
    </row>
    <row r="12" spans="1:9" ht="15" customHeight="1" x14ac:dyDescent="0.25">
      <c r="A12" s="22"/>
      <c r="B12" s="30" t="s">
        <v>153</v>
      </c>
      <c r="C12" s="25"/>
      <c r="D12" s="25"/>
      <c r="E12" s="25"/>
      <c r="F12" s="25"/>
      <c r="G12" s="31" t="e">
        <f>AVERAGE(G5:G11)</f>
        <v>#DIV/0!</v>
      </c>
      <c r="H12" s="25"/>
    </row>
    <row r="13" spans="1:9" ht="15" customHeight="1" x14ac:dyDescent="0.25">
      <c r="B13" s="30" t="s">
        <v>154</v>
      </c>
      <c r="C13" s="25"/>
      <c r="D13" s="25"/>
      <c r="E13" s="25"/>
      <c r="F13" s="32"/>
      <c r="G13" s="30"/>
      <c r="H13" s="30"/>
      <c r="I13" s="2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2025-09-17T10:11:46Z</cp:lastPrinted>
  <dcterms:created xsi:type="dcterms:W3CDTF">2019-07-16T09:29:46Z</dcterms:created>
  <dcterms:modified xsi:type="dcterms:W3CDTF">2025-09-17T10:21:34Z</dcterms:modified>
</cp:coreProperties>
</file>