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" l="1"/>
  <c r="M152" i="1" l="1"/>
  <c r="J123" i="1"/>
  <c r="D158" i="1"/>
  <c r="D159" i="1"/>
  <c r="D160" i="1"/>
  <c r="D157" i="1"/>
  <c r="I158" i="1"/>
  <c r="D179" i="1"/>
  <c r="D178" i="1"/>
  <c r="D177" i="1"/>
  <c r="D176" i="1"/>
  <c r="D175" i="1"/>
  <c r="D174" i="1"/>
  <c r="D173" i="1"/>
  <c r="D172" i="1"/>
  <c r="D151" i="1" l="1"/>
  <c r="D150" i="1"/>
  <c r="I149" i="1"/>
  <c r="D149" i="1"/>
  <c r="D148" i="1"/>
  <c r="D147" i="1"/>
  <c r="D146" i="1"/>
  <c r="F178" i="1" l="1"/>
  <c r="K177" i="1" s="1"/>
  <c r="F176" i="1"/>
  <c r="K175" i="1" s="1"/>
  <c r="F175" i="1"/>
  <c r="K174" i="1" s="1"/>
  <c r="F174" i="1"/>
  <c r="K173" i="1" s="1"/>
  <c r="F173" i="1"/>
  <c r="K172" i="1" s="1"/>
  <c r="F172" i="1"/>
  <c r="K171" i="1" s="1"/>
  <c r="F179" i="1"/>
  <c r="K178" i="1" s="1"/>
  <c r="F177" i="1"/>
  <c r="K176" i="1" s="1"/>
  <c r="D170" i="1"/>
  <c r="F170" i="1" s="1"/>
  <c r="D167" i="1"/>
  <c r="F167" i="1" s="1"/>
  <c r="D166" i="1"/>
  <c r="F166" i="1" s="1"/>
  <c r="D165" i="1"/>
  <c r="F165" i="1" s="1"/>
  <c r="D164" i="1"/>
  <c r="F164" i="1" s="1"/>
  <c r="D163" i="1"/>
  <c r="G172" i="1"/>
  <c r="G163" i="1"/>
  <c r="F158" i="1"/>
  <c r="F159" i="1"/>
  <c r="F160" i="1"/>
  <c r="L160" i="1" s="1"/>
  <c r="F157" i="1"/>
  <c r="D154" i="1"/>
  <c r="A158" i="1"/>
  <c r="A159" i="1" s="1"/>
  <c r="A160" i="1" s="1"/>
  <c r="G157" i="1"/>
  <c r="D155" i="1"/>
  <c r="F155" i="1" s="1"/>
  <c r="A155" i="1"/>
  <c r="G154" i="1"/>
  <c r="F151" i="1"/>
  <c r="D144" i="1"/>
  <c r="D143" i="1"/>
  <c r="I144" i="1"/>
  <c r="I143" i="1"/>
  <c r="D137" i="1"/>
  <c r="F137" i="1" s="1"/>
  <c r="D136" i="1"/>
  <c r="F136" i="1" s="1"/>
  <c r="D135" i="1"/>
  <c r="F135" i="1" s="1"/>
  <c r="D134" i="1"/>
  <c r="D133" i="1"/>
  <c r="D132" i="1"/>
  <c r="D131" i="1"/>
  <c r="I132" i="1"/>
  <c r="I131" i="1"/>
  <c r="E123" i="1" l="1"/>
  <c r="J151" i="1"/>
  <c r="K151" i="1"/>
  <c r="K153" i="1"/>
  <c r="I151" i="1"/>
  <c r="M151" i="1"/>
  <c r="L151" i="1"/>
  <c r="E121" i="1"/>
  <c r="E122" i="1"/>
  <c r="C121" i="1"/>
  <c r="E116" i="1"/>
  <c r="C116" i="1"/>
  <c r="F154" i="1"/>
  <c r="G122" i="1" s="1"/>
  <c r="C122" i="1"/>
  <c r="F163" i="1"/>
  <c r="G123" i="1" s="1"/>
  <c r="C123" i="1"/>
  <c r="C124" i="1" l="1"/>
  <c r="E124" i="1"/>
  <c r="C14" i="1"/>
  <c r="E29" i="1" l="1"/>
  <c r="F144" i="1" l="1"/>
  <c r="F143" i="1"/>
  <c r="A144" i="1"/>
  <c r="G143" i="1"/>
  <c r="F113" i="1" l="1"/>
  <c r="F132" i="1" l="1"/>
  <c r="F133" i="1"/>
  <c r="F134" i="1"/>
  <c r="F131" i="1"/>
  <c r="G116" i="1" l="1"/>
  <c r="B182" i="1"/>
  <c r="F150" i="1" l="1"/>
  <c r="F149" i="1"/>
  <c r="F147" i="1"/>
  <c r="F146" i="1"/>
  <c r="F148" i="1"/>
  <c r="J148" i="1" l="1"/>
  <c r="K148" i="1"/>
  <c r="M148" i="1"/>
  <c r="K150" i="1"/>
  <c r="J150" i="1"/>
  <c r="M150" i="1"/>
  <c r="J146" i="1"/>
  <c r="K146" i="1"/>
  <c r="M146" i="1"/>
  <c r="M147" i="1"/>
  <c r="J147" i="1"/>
  <c r="K147" i="1"/>
  <c r="J149" i="1"/>
  <c r="K149" i="1"/>
  <c r="M149" i="1"/>
  <c r="G121" i="1"/>
  <c r="G124" i="1" s="1"/>
  <c r="B18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5" i="1"/>
  <c r="G146" i="1"/>
  <c r="A147" i="1"/>
  <c r="A148" i="1" s="1"/>
  <c r="A149" i="1" s="1"/>
  <c r="A150" i="1" s="1"/>
  <c r="A151" i="1" s="1"/>
  <c r="A132" i="1"/>
  <c r="A133" i="1" s="1"/>
  <c r="A134" i="1" s="1"/>
  <c r="A135" i="1" s="1"/>
  <c r="A136" i="1" s="1"/>
  <c r="A137" i="1" s="1"/>
  <c r="G131" i="1"/>
  <c r="J106" i="1"/>
  <c r="J105" i="1"/>
  <c r="J104" i="1"/>
  <c r="J103" i="1"/>
  <c r="C95" i="1"/>
  <c r="J92" i="1"/>
  <c r="J91" i="1"/>
  <c r="J90" i="1"/>
  <c r="J89" i="1"/>
  <c r="J78" i="1"/>
  <c r="J77" i="1"/>
  <c r="J76" i="1"/>
  <c r="J75" i="1"/>
  <c r="C67" i="1"/>
  <c r="E26" i="1"/>
  <c r="E24" i="1"/>
  <c r="E7" i="1"/>
  <c r="E3" i="1"/>
  <c r="H96" i="1"/>
  <c r="H82" i="1"/>
  <c r="H68" i="1"/>
  <c r="D61" i="1" l="1"/>
  <c r="D92" i="1"/>
  <c r="D93" i="1"/>
  <c r="D94" i="1"/>
  <c r="D88" i="1"/>
  <c r="D89" i="1"/>
  <c r="D90" i="1"/>
  <c r="D91" i="1"/>
  <c r="C87" i="1"/>
  <c r="J81" i="1" s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J95" i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J87" i="1"/>
  <c r="J88" i="1" s="1"/>
  <c r="J93" i="1" s="1"/>
  <c r="J94" i="1" s="1"/>
  <c r="C86" i="1" s="1"/>
  <c r="J85" i="1"/>
  <c r="J86" i="1"/>
  <c r="C85" i="1" s="1"/>
  <c r="J84" i="1"/>
  <c r="D101" i="1" l="1"/>
  <c r="D99" i="1"/>
  <c r="D87" i="1"/>
  <c r="D73" i="1"/>
  <c r="J69" i="1"/>
  <c r="E71" i="1"/>
  <c r="D72" i="1"/>
  <c r="G71" i="1"/>
  <c r="D65" i="1" s="1"/>
  <c r="D66" i="1" s="1"/>
  <c r="D71" i="1"/>
  <c r="E85" i="1"/>
  <c r="D86" i="1"/>
  <c r="G85" i="1"/>
  <c r="D85" i="1"/>
  <c r="J82" i="1" s="1"/>
  <c r="E99" i="1"/>
  <c r="D100" i="1"/>
  <c r="G99" i="1"/>
  <c r="I68" i="1" l="1"/>
  <c r="J68" i="1"/>
  <c r="I96" i="1"/>
  <c r="J96" i="1"/>
  <c r="I82" i="1"/>
  <c r="F66" i="1"/>
  <c r="I69" i="1" l="1"/>
  <c r="I67" i="1" s="1"/>
  <c r="C69" i="1" s="1"/>
  <c r="I97" i="1"/>
  <c r="I95" i="1" s="1"/>
  <c r="C97" i="1" s="1"/>
  <c r="I83" i="1"/>
  <c r="I81" i="1" s="1"/>
  <c r="C83" i="1" s="1"/>
</calcChain>
</file>

<file path=xl/sharedStrings.xml><?xml version="1.0" encoding="utf-8"?>
<sst xmlns="http://schemas.openxmlformats.org/spreadsheetml/2006/main" count="378" uniqueCount="221">
  <si>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</si>
  <si>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</si>
  <si>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</si>
  <si>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</si>
  <si>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</si>
  <si>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</si>
  <si>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</si>
  <si>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</si>
  <si>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</si>
  <si>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</si>
  <si>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</si>
  <si>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</si>
  <si>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</si>
  <si>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</si>
  <si>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</si>
  <si>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</si>
  <si>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</si>
  <si>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</si>
  <si>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</si>
  <si>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</si>
  <si>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</si>
  <si>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</si>
  <si>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</si>
  <si>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</si>
  <si>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</si>
  <si>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</si>
  <si>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</si>
  <si>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</si>
  <si>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</si>
  <si>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</si>
  <si>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</si>
  <si>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</si>
  <si>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</si>
  <si>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</si>
  <si>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</si>
  <si>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</si>
  <si>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</si>
  <si>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</si>
  <si>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</si>
  <si>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</si>
  <si>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</si>
  <si>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</si>
  <si>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</si>
  <si>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</si>
  <si>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</si>
  <si>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</si>
  <si>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</si>
  <si>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</si>
  <si>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</si>
  <si>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</si>
  <si>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</si>
  <si>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</si>
  <si>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</si>
  <si>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</si>
  <si>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</si>
  <si>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</si>
  <si>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</si>
  <si>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</si>
  <si>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</si>
  <si>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</si>
  <si>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</si>
  <si>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</si>
  <si>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</si>
  <si>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</si>
  <si>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</si>
  <si>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</si>
  <si>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</si>
  <si>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</si>
  <si>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</si>
  <si>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</si>
  <si>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</si>
  <si>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</si>
  <si>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</si>
  <si>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</si>
  <si>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</si>
  <si>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</si>
  <si>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</si>
  <si>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</si>
  <si>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</si>
  <si>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</si>
  <si>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</si>
  <si>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</si>
  <si>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</si>
  <si>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</si>
  <si>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</si>
  <si>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</si>
  <si>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</si>
  <si>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</si>
  <si>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</si>
  <si>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</si>
  <si>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</si>
  <si>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</si>
  <si>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</si>
  <si>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</si>
  <si>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</si>
  <si>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</si>
  <si>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</si>
  <si>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</si>
  <si>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</si>
  <si>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</si>
  <si>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</si>
  <si>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</si>
  <si>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</si>
  <si>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</si>
  <si>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</si>
  <si>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</si>
  <si>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</si>
  <si>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</si>
  <si>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</si>
  <si>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</si>
  <si>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</si>
  <si>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</si>
  <si>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</si>
  <si>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</si>
  <si>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</si>
  <si>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</si>
  <si>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</si>
  <si>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</si>
  <si>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</si>
  <si>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</si>
  <si>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</si>
  <si>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</si>
  <si>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</si>
  <si>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</si>
  <si>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</si>
  <si>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</si>
  <si>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</si>
  <si>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</si>
  <si>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</si>
  <si>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</si>
  <si>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</si>
  <si>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</si>
  <si>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</si>
  <si>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</si>
  <si>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</si>
  <si>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</si>
  <si>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</si>
  <si>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</si>
  <si>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</si>
  <si>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</si>
  <si>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</si>
  <si>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</si>
  <si>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</si>
  <si>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</si>
  <si>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</si>
  <si>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</si>
  <si>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</si>
  <si>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</si>
  <si>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</si>
  <si>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</si>
  <si>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</si>
  <si>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</si>
  <si>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</si>
  <si>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</si>
  <si>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</si>
  <si>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</si>
  <si>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</si>
  <si>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</si>
  <si>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</si>
  <si>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</si>
  <si>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</si>
  <si>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</si>
  <si>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</si>
  <si>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</si>
  <si>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</si>
  <si>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</si>
  <si>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</si>
  <si>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Goregaon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</si>
  <si>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</si>
  <si>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Veer Global Infraconstruction Limited</t>
  </si>
  <si>
    <t xml:space="preserve">P99000034206
</t>
  </si>
  <si>
    <t>Veer 11</t>
  </si>
  <si>
    <t>8484817311 / 9594333331</t>
  </si>
  <si>
    <t>Building No. 6
Wing A = Type E1
Wing B = Type D1
Wing C = Type C1</t>
  </si>
  <si>
    <t>Gut No</t>
  </si>
  <si>
    <t>Umroli</t>
  </si>
  <si>
    <t>Palghar</t>
  </si>
  <si>
    <t>https://goo.gl/maps/kdQYunGWwynjorYMA</t>
  </si>
  <si>
    <t>Internal Rd</t>
  </si>
  <si>
    <t>Parasnath Nagari Bldg</t>
  </si>
  <si>
    <t>Open Plot</t>
  </si>
  <si>
    <t>Rd/Bldg No. 2 Parasnath Nagari</t>
  </si>
  <si>
    <t>Building No. 6
Wing A (Type E1) = Gr(Pt)/St(Pt) + 1st to 4th Floor
Wing B (Type D1) = Gr(Pt)/St(Pt) + 1st to 4th Floor
Wing C (Type C1) = Gr(Pt)/St(Pt) + 1st to 4th Floor</t>
  </si>
  <si>
    <t>Wing A (Type E1) = Gr(Pt)/St(Pt) + 1st to 4th Floor</t>
  </si>
  <si>
    <t>Wing B (Type D1) = Gr(Pt)/St(Pt) + 1st to 4th Floor</t>
  </si>
  <si>
    <t>Wing C (Type C1) = Gr(Pt)/St(Pt) + 1st to 4th Floor</t>
  </si>
  <si>
    <t xml:space="preserve">Wing A (Type E1) </t>
  </si>
  <si>
    <t>Shop</t>
  </si>
  <si>
    <t>Ground Floor For Commercial &amp; Parking</t>
  </si>
  <si>
    <t>Ground Floor For Residential &amp; Parking</t>
  </si>
  <si>
    <t>1RK</t>
  </si>
  <si>
    <t>1BHK</t>
  </si>
  <si>
    <t>1st to 4th Floor For Residential</t>
  </si>
  <si>
    <t xml:space="preserve">Wing B (Type D1) </t>
  </si>
  <si>
    <t xml:space="preserve">Wing C (Type C1) </t>
  </si>
  <si>
    <t>1st to 3rd Floor For Residential</t>
  </si>
  <si>
    <t>We considered Gross carpet area = Net carpet + Balcony.</t>
  </si>
  <si>
    <t>A Wing</t>
  </si>
  <si>
    <t>Flats - 74, Shops - 07.</t>
  </si>
  <si>
    <t>As per RERA - 31/12/2025</t>
  </si>
  <si>
    <t>Wing A (Type E1) = Gr(Pt)/St(Pt) + 1st to 4th Floor
Wing B (Type D1) = Gr(Pt)/St(Pt) + 1st to 4th Floor
Wing C (Type C1) = Gr(Pt)/St(Pt) + 1st to 3rdFloor</t>
  </si>
  <si>
    <t>Approved Floor Plans, CC, Cost Sheet</t>
  </si>
  <si>
    <t>950M from Umroli Railway Station</t>
  </si>
  <si>
    <t>Internal Road</t>
  </si>
  <si>
    <t>3 Wings</t>
  </si>
  <si>
    <t xml:space="preserve">Office Of District Collector, Palghar
</t>
  </si>
  <si>
    <t>Mahsul/K-1/T-1/NAP/SR-232/2017</t>
  </si>
  <si>
    <t>2BHK</t>
  </si>
  <si>
    <t>Parking Area</t>
  </si>
  <si>
    <t xml:space="preserve">Car parking is subjected to authentic documentation.
</t>
  </si>
  <si>
    <t>Mahsul/K-1/MJ1/NP/SR/232/17</t>
  </si>
  <si>
    <t xml:space="preserve">We have updated revised approved floor plan &amp; C.C (on 29/11/2017).
</t>
  </si>
  <si>
    <t>Construction work of Wing C goes beyond approved no. of floor (Gr.+ 3rd Floor).
Please Provide Latest Plan For Wing C.</t>
  </si>
  <si>
    <t>Miss. Jayashree : 9370078146</t>
  </si>
  <si>
    <t>Mr. Mridul Singh 8577021721</t>
  </si>
  <si>
    <t>Wing B (Type D1) = Gr(Pt)/St(Pt) + 1st to 4th Floor
Wing C (Type C1) = Gr(Pt)/St(Pt) + 1st to 4th Floor</t>
  </si>
  <si>
    <t>The project has received first CC on 29/11/2017, But construction work is not yet completed.</t>
  </si>
  <si>
    <t xml:space="preserve">A, B &amp; C Wing = Construction work is same as last visit dtd. 13/03/2025 but work is in process at the time of Visit.
</t>
  </si>
  <si>
    <t>Pranita Mhatre</t>
  </si>
  <si>
    <t>Harshad Pawade</t>
  </si>
  <si>
    <t xml:space="preserve">A, B &amp; C Wing = Construction work is in process at the time of Visit. (labour found)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</si>
</sst>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6" fillId="0" borderId="0" xfId="0" applyFont="1" applyProtection="1">
      <protection hidden="1"/>
    </xf>
    <xf numFmtId="0" fontId="16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2" fillId="0" borderId="0" xfId="1" applyFont="1"/>
    <xf numFmtId="0" fontId="7" fillId="0" borderId="10" xfId="1" applyFont="1" applyBorder="1"/>
    <xf numFmtId="0" fontId="16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3" fillId="2" borderId="30" xfId="0" applyFont="1" applyFill="1" applyBorder="1"/>
    <xf numFmtId="0" fontId="24" fillId="0" borderId="31" xfId="0" applyFont="1" applyBorder="1"/>
    <xf numFmtId="0" fontId="24" fillId="0" borderId="1" xfId="0" applyFont="1" applyBorder="1"/>
    <xf numFmtId="0" fontId="24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/>
    <xf numFmtId="0" fontId="23" fillId="0" borderId="5" xfId="0" applyFont="1" applyBorder="1"/>
    <xf numFmtId="0" fontId="15" fillId="0" borderId="0" xfId="0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66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5" fillId="0" borderId="1" xfId="10" applyFill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3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image" Target="../media/image3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280145</xdr:colOff>
      <xdr:row>243</xdr:row>
      <xdr:rowOff>67232</xdr:rowOff>
    </xdr:from>
    <xdr:to>
      <xdr:col>6</xdr:col>
      <xdr:colOff>444812</xdr:colOff>
      <xdr:row>257</xdr:row>
      <xdr:rowOff>123351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174" y="55581173"/>
          <a:ext cx="463581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280145</xdr:colOff>
      <xdr:row>257</xdr:row>
      <xdr:rowOff>183805</xdr:rowOff>
    </xdr:from>
    <xdr:to>
      <xdr:col>6</xdr:col>
      <xdr:colOff>444812</xdr:colOff>
      <xdr:row>272</xdr:row>
      <xdr:rowOff>38216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8174" y="58521629"/>
          <a:ext cx="4635814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280145</xdr:colOff>
      <xdr:row>272</xdr:row>
      <xdr:rowOff>98673</xdr:rowOff>
    </xdr:from>
    <xdr:to>
      <xdr:col>6</xdr:col>
      <xdr:colOff>444812</xdr:colOff>
      <xdr:row>285</xdr:row>
      <xdr:rowOff>101601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0245" y="57978923"/>
          <a:ext cx="4520767" cy="25619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111593</xdr:colOff>
      <xdr:row>287</xdr:row>
      <xdr:rowOff>22410</xdr:rowOff>
    </xdr:from>
    <xdr:to>
      <xdr:col>6</xdr:col>
      <xdr:colOff>731354</xdr:colOff>
      <xdr:row>304</xdr:row>
      <xdr:rowOff>193409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9622" y="64613116"/>
          <a:ext cx="509090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493055</xdr:colOff>
      <xdr:row>305</xdr:row>
      <xdr:rowOff>106390</xdr:rowOff>
    </xdr:from>
    <xdr:to>
      <xdr:col>7</xdr:col>
      <xdr:colOff>327479</xdr:colOff>
      <xdr:row>327</xdr:row>
      <xdr:rowOff>139700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3055" y="64482690"/>
          <a:ext cx="5809774" cy="43640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115956</xdr:colOff>
      <xdr:row>315</xdr:row>
      <xdr:rowOff>49697</xdr:rowOff>
    </xdr:from>
    <xdr:to>
      <xdr:col>3</xdr:col>
      <xdr:colOff>364434</xdr:colOff>
      <xdr:row>318</xdr:row>
      <xdr:rowOff>24849</xdr:rowOff>
    </xdr:to>
    <xdr:sp macro="" textlink="">
      <xdr:nvSpPr>
        <xdr:cNvPr id="2" name="Freefor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1369" y="64629197"/>
          <a:ext cx="1093304" cy="571500"/>
        </a:xfrm>
        <a:custGeom>
          <a:avLst/>
          <a:gdLst>
            <a:gd name="connsiteX0" fmla="*/ 0 w 1134717"/>
            <a:gd name="connsiteY0" fmla="*/ 248478 h 422413"/>
            <a:gd name="connsiteX1" fmla="*/ 0 w 1134717"/>
            <a:gd name="connsiteY1" fmla="*/ 248478 h 422413"/>
            <a:gd name="connsiteX2" fmla="*/ 8283 w 1134717"/>
            <a:gd name="connsiteY2" fmla="*/ 8283 h 422413"/>
            <a:gd name="connsiteX3" fmla="*/ 1126435 w 1134717"/>
            <a:gd name="connsiteY3" fmla="*/ 0 h 422413"/>
            <a:gd name="connsiteX4" fmla="*/ 1134717 w 1134717"/>
            <a:gd name="connsiteY4" fmla="*/ 405848 h 422413"/>
            <a:gd name="connsiteX5" fmla="*/ 927652 w 1134717"/>
            <a:gd name="connsiteY5" fmla="*/ 414131 h 422413"/>
            <a:gd name="connsiteX6" fmla="*/ 927652 w 1134717"/>
            <a:gd name="connsiteY6" fmla="*/ 289891 h 422413"/>
            <a:gd name="connsiteX7" fmla="*/ 381000 w 1134717"/>
            <a:gd name="connsiteY7" fmla="*/ 265044 h 422413"/>
            <a:gd name="connsiteX8" fmla="*/ 389283 w 1134717"/>
            <a:gd name="connsiteY8" fmla="*/ 414131 h 422413"/>
            <a:gd name="connsiteX9" fmla="*/ 157370 w 1134717"/>
            <a:gd name="connsiteY9" fmla="*/ 422413 h 422413"/>
            <a:gd name="connsiteX10" fmla="*/ 157370 w 1134717"/>
            <a:gd name="connsiteY10" fmla="*/ 289891 h 422413"/>
            <a:gd name="connsiteX11" fmla="*/ 0 w 1134717"/>
            <a:gd name="connsiteY11" fmla="*/ 248478 h 4224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134717" h="422413">
              <a:moveTo>
                <a:pt x="0" y="248478"/>
              </a:moveTo>
              <a:lnTo>
                <a:pt x="0" y="248478"/>
              </a:lnTo>
              <a:cubicBezTo>
                <a:pt x="9003" y="41429"/>
                <a:pt x="8283" y="121538"/>
                <a:pt x="8283" y="8283"/>
              </a:cubicBezTo>
              <a:lnTo>
                <a:pt x="1126435" y="0"/>
              </a:lnTo>
              <a:lnTo>
                <a:pt x="1134717" y="405848"/>
              </a:lnTo>
              <a:lnTo>
                <a:pt x="927652" y="414131"/>
              </a:lnTo>
              <a:lnTo>
                <a:pt x="927652" y="289891"/>
              </a:lnTo>
              <a:lnTo>
                <a:pt x="381000" y="265044"/>
              </a:lnTo>
              <a:lnTo>
                <a:pt x="389283" y="414131"/>
              </a:lnTo>
              <a:lnTo>
                <a:pt x="157370" y="422413"/>
              </a:lnTo>
              <a:lnTo>
                <a:pt x="157370" y="289891"/>
              </a:lnTo>
              <a:lnTo>
                <a:pt x="0" y="248478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9</xdr:col>
      <xdr:colOff>710657</xdr:colOff>
      <xdr:row>213</xdr:row>
      <xdr:rowOff>51953</xdr:rowOff>
    </xdr:from>
    <xdr:to>
      <xdr:col>12</xdr:col>
      <xdr:colOff>258346</xdr:colOff>
      <xdr:row>216</xdr:row>
      <xdr:rowOff>186426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936793" y="49633908"/>
          <a:ext cx="1851008" cy="7579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7030A0"/>
              </a:solidFill>
            </a:rPr>
            <a:t>Wing B</a:t>
          </a:r>
        </a:p>
      </xdr:txBody>
    </xdr:sp>
    <xdr:clientData/>
  </xdr:twoCellAnchor>
  <xdr:twoCellAnchor>
    <xdr:from>
      <xdr:col>9</xdr:col>
      <xdr:colOff>596153</xdr:colOff>
      <xdr:row>215</xdr:row>
      <xdr:rowOff>174812</xdr:rowOff>
    </xdr:from>
    <xdr:to>
      <xdr:col>12</xdr:col>
      <xdr:colOff>136711</xdr:colOff>
      <xdr:row>219</xdr:row>
      <xdr:rowOff>107577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854888" y="49032459"/>
          <a:ext cx="1860176" cy="73958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7030A0"/>
              </a:solidFill>
            </a:rPr>
            <a:t>Wing C</a:t>
          </a:r>
        </a:p>
      </xdr:txBody>
    </xdr:sp>
    <xdr:clientData/>
  </xdr:twoCellAnchor>
  <xdr:twoCellAnchor>
    <xdr:from>
      <xdr:col>1</xdr:col>
      <xdr:colOff>217802</xdr:colOff>
      <xdr:row>243</xdr:row>
      <xdr:rowOff>34636</xdr:rowOff>
    </xdr:from>
    <xdr:to>
      <xdr:col>3</xdr:col>
      <xdr:colOff>281982</xdr:colOff>
      <xdr:row>246</xdr:row>
      <xdr:rowOff>169109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31757" y="56890227"/>
          <a:ext cx="1847952" cy="7579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7030A0"/>
              </a:solidFill>
            </a:rPr>
            <a:t>Wing A</a:t>
          </a:r>
        </a:p>
      </xdr:txBody>
    </xdr:sp>
    <xdr:clientData/>
  </xdr:twoCellAnchor>
  <xdr:twoCellAnchor>
    <xdr:from>
      <xdr:col>1</xdr:col>
      <xdr:colOff>253049</xdr:colOff>
      <xdr:row>258</xdr:row>
      <xdr:rowOff>111651</xdr:rowOff>
    </xdr:from>
    <xdr:to>
      <xdr:col>3</xdr:col>
      <xdr:colOff>320285</xdr:colOff>
      <xdr:row>262</xdr:row>
      <xdr:rowOff>38306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67004" y="60084515"/>
          <a:ext cx="1851008" cy="7579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7030A0"/>
              </a:solidFill>
            </a:rPr>
            <a:t>Wing B</a:t>
          </a:r>
        </a:p>
      </xdr:txBody>
    </xdr:sp>
    <xdr:clientData/>
  </xdr:twoCellAnchor>
  <xdr:twoCellAnchor>
    <xdr:from>
      <xdr:col>1</xdr:col>
      <xdr:colOff>242454</xdr:colOff>
      <xdr:row>274</xdr:row>
      <xdr:rowOff>9373</xdr:rowOff>
    </xdr:from>
    <xdr:to>
      <xdr:col>3</xdr:col>
      <xdr:colOff>302559</xdr:colOff>
      <xdr:row>277</xdr:row>
      <xdr:rowOff>149957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056409" y="63307328"/>
          <a:ext cx="1843877" cy="76403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7030A0"/>
              </a:solidFill>
            </a:rPr>
            <a:t>Wing C</a:t>
          </a:r>
        </a:p>
      </xdr:txBody>
    </xdr:sp>
    <xdr:clientData/>
  </xdr:twoCellAnchor>
  <xdr:twoCellAnchor>
    <xdr:from>
      <xdr:col>3</xdr:col>
      <xdr:colOff>613648</xdr:colOff>
      <xdr:row>313</xdr:row>
      <xdr:rowOff>43294</xdr:rowOff>
    </xdr:from>
    <xdr:to>
      <xdr:col>5</xdr:col>
      <xdr:colOff>618449</xdr:colOff>
      <xdr:row>316</xdr:row>
      <xdr:rowOff>174054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199005" y="70541901"/>
          <a:ext cx="1855373" cy="7430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FFFF00"/>
              </a:solidFill>
            </a:rPr>
            <a:t>Wing A</a:t>
          </a:r>
        </a:p>
      </xdr:txBody>
    </xdr:sp>
    <xdr:clientData/>
  </xdr:twoCellAnchor>
  <xdr:twoCellAnchor>
    <xdr:from>
      <xdr:col>2</xdr:col>
      <xdr:colOff>319849</xdr:colOff>
      <xdr:row>309</xdr:row>
      <xdr:rowOff>68354</xdr:rowOff>
    </xdr:from>
    <xdr:to>
      <xdr:col>4</xdr:col>
      <xdr:colOff>259671</xdr:colOff>
      <xdr:row>312</xdr:row>
      <xdr:rowOff>199115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993528" y="69750533"/>
          <a:ext cx="1858429" cy="7430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FFFF00"/>
              </a:solidFill>
            </a:rPr>
            <a:t>Wing B</a:t>
          </a:r>
        </a:p>
      </xdr:txBody>
    </xdr:sp>
    <xdr:clientData/>
  </xdr:twoCellAnchor>
  <xdr:twoCellAnchor>
    <xdr:from>
      <xdr:col>0</xdr:col>
      <xdr:colOff>667989</xdr:colOff>
      <xdr:row>312</xdr:row>
      <xdr:rowOff>78645</xdr:rowOff>
    </xdr:from>
    <xdr:to>
      <xdr:col>2</xdr:col>
      <xdr:colOff>845608</xdr:colOff>
      <xdr:row>316</xdr:row>
      <xdr:rowOff>11410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67989" y="70373145"/>
          <a:ext cx="1851298" cy="7491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FFFF00"/>
              </a:solidFill>
            </a:rPr>
            <a:t>Wing C</a:t>
          </a:r>
        </a:p>
      </xdr:txBody>
    </xdr:sp>
    <xdr:clientData/>
  </xdr:twoCellAnchor>
  <xdr:twoCellAnchor>
    <xdr:from>
      <xdr:col>3</xdr:col>
      <xdr:colOff>258536</xdr:colOff>
      <xdr:row>315</xdr:row>
      <xdr:rowOff>13608</xdr:rowOff>
    </xdr:from>
    <xdr:to>
      <xdr:col>4</xdr:col>
      <xdr:colOff>95251</xdr:colOff>
      <xdr:row>317</xdr:row>
      <xdr:rowOff>40821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2843893" y="70920429"/>
          <a:ext cx="843644" cy="435428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748392</xdr:colOff>
      <xdr:row>310</xdr:row>
      <xdr:rowOff>136071</xdr:rowOff>
    </xdr:from>
    <xdr:to>
      <xdr:col>2</xdr:col>
      <xdr:colOff>789214</xdr:colOff>
      <xdr:row>316</xdr:row>
      <xdr:rowOff>27214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2422071" y="70022357"/>
          <a:ext cx="40822" cy="111578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421821</xdr:colOff>
      <xdr:row>313</xdr:row>
      <xdr:rowOff>190500</xdr:rowOff>
    </xdr:from>
    <xdr:to>
      <xdr:col>2</xdr:col>
      <xdr:colOff>312964</xdr:colOff>
      <xdr:row>316</xdr:row>
      <xdr:rowOff>122464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>
          <a:off x="1238250" y="70689107"/>
          <a:ext cx="748393" cy="544286"/>
        </a:xfrm>
        <a:prstGeom prst="straightConnector1">
          <a:avLst/>
        </a:prstGeom>
        <a:ln w="28575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807943</xdr:colOff>
      <xdr:row>204</xdr:row>
      <xdr:rowOff>112060</xdr:rowOff>
    </xdr:from>
    <xdr:to>
      <xdr:col>17</xdr:col>
      <xdr:colOff>92659</xdr:colOff>
      <xdr:row>238</xdr:row>
      <xdr:rowOff>130779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6F703A8F-AC9C-4AA9-9AF2-B137B8CA7FCA}"/>
            </a:ext>
          </a:extLst>
        </xdr:cNvPr>
        <xdr:cNvGrpSpPr/>
      </xdr:nvGrpSpPr>
      <xdr:grpSpPr>
        <a:xfrm>
          <a:off x="7326356" y="42394777"/>
          <a:ext cx="6283520" cy="6769045"/>
          <a:chOff x="342757" y="616139"/>
          <a:chExt cx="6290634" cy="6808364"/>
        </a:xfrm>
      </xdr:grpSpPr>
      <xdr:grpSp>
        <xdr:nvGrpSpPr>
          <xdr:cNvPr id="42" name="Group 41">
            <a:extLst>
              <a:ext uri="{FF2B5EF4-FFF2-40B4-BE49-F238E27FC236}">
                <a16:creationId xmlns:a16="http://schemas.microsoft.com/office/drawing/2014/main" id="{4E60F69A-E92B-4E7B-9DA1-65C107538991}"/>
              </a:ext>
            </a:extLst>
          </xdr:cNvPr>
          <xdr:cNvGrpSpPr/>
        </xdr:nvGrpSpPr>
        <xdr:grpSpPr>
          <a:xfrm>
            <a:off x="342757" y="616139"/>
            <a:ext cx="6290634" cy="6808364"/>
            <a:chOff x="342757" y="616139"/>
            <a:chExt cx="6290634" cy="6808364"/>
          </a:xfrm>
        </xdr:grpSpPr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C1D1B448-6286-48DC-A8A2-3DD920176A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2757" y="616139"/>
              <a:ext cx="1494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75CE5A2E-F1BB-44A5-88AF-AFC940E115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941532" y="616139"/>
              <a:ext cx="1494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EE40BB9F-C136-4C7B-A802-D5A75E9215F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0307" y="616139"/>
              <a:ext cx="1494311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38113259-6A61-4A6F-89F4-2611E6F2A31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139081" y="616139"/>
              <a:ext cx="1494310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B1884623-6BE5-4824-88EA-A88B1C4022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7178" y="2923026"/>
              <a:ext cx="140861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30D892B1-69E6-4741-ADBA-BF4855FC17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42164" y="2923026"/>
              <a:ext cx="1408615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579F1F10-5AB4-4064-B61A-F0F3E69122E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7150" y="2923026"/>
              <a:ext cx="1391097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89D58616-5CF8-4AB7-85E0-B37FCDA20E4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34618" y="2923026"/>
              <a:ext cx="13842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92BCB6A5-AECE-468B-BC68-9D7819FAEC4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01537" y="5031373"/>
              <a:ext cx="2340000" cy="141214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CB03E212-5B86-4F72-9AFC-E4E494AE1A9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0307" y="5031373"/>
              <a:ext cx="2340000" cy="141214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796F3FE2-04EA-4529-B1E7-AECCE63384C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476102" y="6530842"/>
              <a:ext cx="1980000" cy="893661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7" name="Picture 56">
              <a:extLst>
                <a:ext uri="{FF2B5EF4-FFF2-40B4-BE49-F238E27FC236}">
                  <a16:creationId xmlns:a16="http://schemas.microsoft.com/office/drawing/2014/main" id="{8000D335-83E3-4750-B1D8-19EB117AEF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47150" y="6530842"/>
              <a:ext cx="1980000" cy="891644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43" name="TextBox 91">
            <a:extLst>
              <a:ext uri="{FF2B5EF4-FFF2-40B4-BE49-F238E27FC236}">
                <a16:creationId xmlns:a16="http://schemas.microsoft.com/office/drawing/2014/main" id="{20D8C61D-9ED2-45B9-8E51-3C37141BAB92}"/>
              </a:ext>
            </a:extLst>
          </xdr:cNvPr>
          <xdr:cNvSpPr txBox="1"/>
        </xdr:nvSpPr>
        <xdr:spPr>
          <a:xfrm>
            <a:off x="537178" y="2279197"/>
            <a:ext cx="1010213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A 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4" name="TextBox 92">
            <a:extLst>
              <a:ext uri="{FF2B5EF4-FFF2-40B4-BE49-F238E27FC236}">
                <a16:creationId xmlns:a16="http://schemas.microsoft.com/office/drawing/2014/main" id="{1FAD1439-D17B-44F3-A8C3-A37C4B5F2E5C}"/>
              </a:ext>
            </a:extLst>
          </xdr:cNvPr>
          <xdr:cNvSpPr txBox="1"/>
        </xdr:nvSpPr>
        <xdr:spPr>
          <a:xfrm>
            <a:off x="2216434" y="2367616"/>
            <a:ext cx="998991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B Wing </a:t>
            </a:r>
            <a:endParaRPr lang="en-IN" sz="2000" b="1">
              <a:solidFill>
                <a:srgbClr val="FF0000"/>
              </a:solidFill>
            </a:endParaRPr>
          </a:p>
        </xdr:txBody>
      </xdr:sp>
      <xdr:sp macro="" textlink="">
        <xdr:nvSpPr>
          <xdr:cNvPr id="45" name="TextBox 93">
            <a:extLst>
              <a:ext uri="{FF2B5EF4-FFF2-40B4-BE49-F238E27FC236}">
                <a16:creationId xmlns:a16="http://schemas.microsoft.com/office/drawing/2014/main" id="{5255CFBB-8A80-47CC-8163-F1E677CFB1EA}"/>
              </a:ext>
            </a:extLst>
          </xdr:cNvPr>
          <xdr:cNvSpPr txBox="1"/>
        </xdr:nvSpPr>
        <xdr:spPr>
          <a:xfrm>
            <a:off x="3928034" y="2285444"/>
            <a:ext cx="990977" cy="4001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000" b="1">
                <a:solidFill>
                  <a:srgbClr val="FF0000"/>
                </a:solidFill>
              </a:rPr>
              <a:t>C Wing </a:t>
            </a:r>
            <a:endParaRPr lang="en-IN" sz="20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9</xdr:col>
      <xdr:colOff>311764</xdr:colOff>
      <xdr:row>200</xdr:row>
      <xdr:rowOff>170733</xdr:rowOff>
    </xdr:from>
    <xdr:to>
      <xdr:col>16</xdr:col>
      <xdr:colOff>487975</xdr:colOff>
      <xdr:row>236</xdr:row>
      <xdr:rowOff>142158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3F3CF27D-5F0C-4C88-A93D-7B57BF45B36D}"/>
            </a:ext>
          </a:extLst>
        </xdr:cNvPr>
        <xdr:cNvGrpSpPr/>
      </xdr:nvGrpSpPr>
      <xdr:grpSpPr>
        <a:xfrm>
          <a:off x="7989742" y="41658320"/>
          <a:ext cx="5402537" cy="7119316"/>
          <a:chOff x="710634" y="230410"/>
          <a:chExt cx="5436732" cy="7829763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624A6022-401B-489A-B70E-A99484DEA53F}"/>
              </a:ext>
            </a:extLst>
          </xdr:cNvPr>
          <xdr:cNvGrpSpPr/>
        </xdr:nvGrpSpPr>
        <xdr:grpSpPr>
          <a:xfrm>
            <a:off x="710634" y="230410"/>
            <a:ext cx="5436732" cy="7829763"/>
            <a:chOff x="710634" y="230410"/>
            <a:chExt cx="5436732" cy="7829763"/>
          </a:xfrm>
        </xdr:grpSpPr>
        <xdr:pic>
          <xdr:nvPicPr>
            <xdr:cNvPr id="58" name="Picture 57">
              <a:extLst>
                <a:ext uri="{FF2B5EF4-FFF2-40B4-BE49-F238E27FC236}">
                  <a16:creationId xmlns:a16="http://schemas.microsoft.com/office/drawing/2014/main" id="{3BC13564-859D-4DE0-8062-630D09F93B7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02821" y="2820159"/>
              <a:ext cx="1744545" cy="223916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9" name="Picture 58">
              <a:extLst>
                <a:ext uri="{FF2B5EF4-FFF2-40B4-BE49-F238E27FC236}">
                  <a16:creationId xmlns:a16="http://schemas.microsoft.com/office/drawing/2014/main" id="{BC592358-14FC-4A5D-9524-DCE4B784BE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47544" y="2824549"/>
              <a:ext cx="1744545" cy="223916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0" name="Picture 59">
              <a:extLst>
                <a:ext uri="{FF2B5EF4-FFF2-40B4-BE49-F238E27FC236}">
                  <a16:creationId xmlns:a16="http://schemas.microsoft.com/office/drawing/2014/main" id="{0F65B46C-F34A-45AC-A90B-13603FA6A1C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29000" y="230410"/>
              <a:ext cx="5400000" cy="243175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1" name="Picture 60">
              <a:extLst>
                <a:ext uri="{FF2B5EF4-FFF2-40B4-BE49-F238E27FC236}">
                  <a16:creationId xmlns:a16="http://schemas.microsoft.com/office/drawing/2014/main" id="{9F036214-647A-43DF-85BD-7DA40C89AA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10634" y="2783349"/>
              <a:ext cx="1744544" cy="2280366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2" name="Picture 61">
              <a:extLst>
                <a:ext uri="{FF2B5EF4-FFF2-40B4-BE49-F238E27FC236}">
                  <a16:creationId xmlns:a16="http://schemas.microsoft.com/office/drawing/2014/main" id="{FE094718-2694-4EED-B363-46226D43B1D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37634" y="5264065"/>
              <a:ext cx="2520000" cy="131492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3" name="Picture 62">
              <a:extLst>
                <a:ext uri="{FF2B5EF4-FFF2-40B4-BE49-F238E27FC236}">
                  <a16:creationId xmlns:a16="http://schemas.microsoft.com/office/drawing/2014/main" id="{960970CB-FFF1-40B2-A09C-3EF17F9473F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41237" y="5264064"/>
              <a:ext cx="2520000" cy="131492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4" name="Picture 63">
              <a:extLst>
                <a:ext uri="{FF2B5EF4-FFF2-40B4-BE49-F238E27FC236}">
                  <a16:creationId xmlns:a16="http://schemas.microsoft.com/office/drawing/2014/main" id="{D3E69C5D-DAA4-4866-9493-28542B25870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17634" y="6700174"/>
              <a:ext cx="2340000" cy="1359999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65" name="Picture 64">
              <a:extLst>
                <a:ext uri="{FF2B5EF4-FFF2-40B4-BE49-F238E27FC236}">
                  <a16:creationId xmlns:a16="http://schemas.microsoft.com/office/drawing/2014/main" id="{47C2E970-B047-4DB7-AC9B-E01260CFD19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441237" y="6700173"/>
              <a:ext cx="2308843" cy="13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8" name="TextBox 22">
            <a:extLst>
              <a:ext uri="{FF2B5EF4-FFF2-40B4-BE49-F238E27FC236}">
                <a16:creationId xmlns:a16="http://schemas.microsoft.com/office/drawing/2014/main" id="{92E32034-064A-48A4-A34E-3F8569EB986A}"/>
              </a:ext>
            </a:extLst>
          </xdr:cNvPr>
          <xdr:cNvSpPr txBox="1"/>
        </xdr:nvSpPr>
        <xdr:spPr>
          <a:xfrm>
            <a:off x="948867" y="2772342"/>
            <a:ext cx="1104790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Wing A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40" name="TextBox 23">
            <a:extLst>
              <a:ext uri="{FF2B5EF4-FFF2-40B4-BE49-F238E27FC236}">
                <a16:creationId xmlns:a16="http://schemas.microsoft.com/office/drawing/2014/main" id="{AE6B0B5F-E589-4018-9952-287265A5F203}"/>
              </a:ext>
            </a:extLst>
          </xdr:cNvPr>
          <xdr:cNvSpPr txBox="1"/>
        </xdr:nvSpPr>
        <xdr:spPr>
          <a:xfrm>
            <a:off x="2969658" y="4662642"/>
            <a:ext cx="1104790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Wing B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41" name="TextBox 24">
            <a:extLst>
              <a:ext uri="{FF2B5EF4-FFF2-40B4-BE49-F238E27FC236}">
                <a16:creationId xmlns:a16="http://schemas.microsoft.com/office/drawing/2014/main" id="{EF6EAFB1-1848-42BF-8875-922ECB1F54EB}"/>
              </a:ext>
            </a:extLst>
          </xdr:cNvPr>
          <xdr:cNvSpPr txBox="1"/>
        </xdr:nvSpPr>
        <xdr:spPr>
          <a:xfrm>
            <a:off x="4725824" y="4597660"/>
            <a:ext cx="1104790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Wing C</a:t>
            </a:r>
            <a:endParaRPr lang="en-IN" sz="2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280146</xdr:colOff>
      <xdr:row>205</xdr:row>
      <xdr:rowOff>112059</xdr:rowOff>
    </xdr:from>
    <xdr:to>
      <xdr:col>7</xdr:col>
      <xdr:colOff>291348</xdr:colOff>
      <xdr:row>242</xdr:row>
      <xdr:rowOff>70641</xdr:rowOff>
    </xdr:to>
    <xdr:grpSp>
      <xdr:nvGrpSpPr>
        <xdr:cNvPr id="66" name="Group 65"/>
        <xdr:cNvGrpSpPr/>
      </xdr:nvGrpSpPr>
      <xdr:grpSpPr>
        <a:xfrm>
          <a:off x="280146" y="42593559"/>
          <a:ext cx="5701354" cy="7305256"/>
          <a:chOff x="165238" y="309370"/>
          <a:chExt cx="6330740" cy="8257450"/>
        </a:xfrm>
      </xdr:grpSpPr>
      <xdr:pic>
        <xdr:nvPicPr>
          <xdr:cNvPr id="67" name="Picture 66" descr="https://vsjcllp.vsjadon.com/upload/insp-24687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506683" y="6403024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8" name="Picture 67" descr="https://vsjcllp.vsjadon.com/upload/insp-24687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86637" y="640682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9" name="Picture 68" descr="https://vsjcllp.vsjadon.com/upload/insp-246878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50962" y="2560550"/>
            <a:ext cx="16183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9" descr="https://vsjcllp.vsjadon.com/upload/insp-246878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36430" y="4782959"/>
            <a:ext cx="2030707" cy="15244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1" name="Picture 70" descr="https://vsjcllp.vsjadon.com/upload/insp-246878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5643" y="4783959"/>
            <a:ext cx="1142141" cy="15244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2" name="Picture 71" descr="https://vsjcllp.vsjadon.com/upload/insp-246878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12157" y="4799566"/>
            <a:ext cx="1142141" cy="15244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72" descr="https://vsjcllp.vsjadon.com/upload/insp-246878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9519" y="4814080"/>
            <a:ext cx="1142141" cy="152444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4" name="Picture 73" descr="https://vsjcllp.vsjadon.com/upload/insp-246878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108" y="309370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5" name="Picture 74" descr="https://vsjcllp.vsjadon.com/upload/insp-246878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77664" y="2560550"/>
            <a:ext cx="1618314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75" descr="https://vsjcllp.vsjadon.com/upload/insp-246878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16902" y="321857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7" name="Picture 76" descr="https://vsjcllp.vsjadon.com/upload/insp-246878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5238" y="2560550"/>
            <a:ext cx="287733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753828</xdr:colOff>
      <xdr:row>14</xdr:row>
      <xdr:rowOff>0</xdr:rowOff>
    </xdr:from>
    <xdr:to>
      <xdr:col>16</xdr:col>
      <xdr:colOff>518505</xdr:colOff>
      <xdr:row>34</xdr:row>
      <xdr:rowOff>45742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5093" y="2678206"/>
          <a:ext cx="6858000" cy="3855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6</xdr:col>
      <xdr:colOff>459441</xdr:colOff>
      <xdr:row>34</xdr:row>
      <xdr:rowOff>45742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6858000" cy="385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dQYunGWwynjorYM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87"/>
  <sheetViews>
    <sheetView tabSelected="1" view="pageBreakPreview" topLeftCell="A3" zoomScale="115" zoomScaleNormal="100" zoomScaleSheetLayoutView="115" zoomScalePageLayoutView="85" workbookViewId="0">
      <selection activeCell="J11" sqref="J11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2.42578125" style="39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62" t="s">
        <v>168</v>
      </c>
      <c r="B1" s="162"/>
      <c r="C1" s="162"/>
      <c r="D1" s="162"/>
      <c r="E1" s="162"/>
      <c r="F1" s="162"/>
      <c r="G1" s="162"/>
      <c r="H1" s="162"/>
    </row>
    <row r="2" spans="1:12" ht="16.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</row>
    <row r="3" spans="1:12" x14ac:dyDescent="0.25">
      <c r="A3" s="131" t="s">
        <v>1</v>
      </c>
      <c r="B3" s="131"/>
      <c r="C3" s="131"/>
      <c r="D3" s="131"/>
      <c r="E3" s="131" t="str">
        <f ca="1">TEXT(TODAY(),"DD/MM/YYYY")</f>
        <v>11/09/2025</v>
      </c>
      <c r="F3" s="131"/>
      <c r="G3" s="131"/>
      <c r="H3" s="131"/>
    </row>
    <row r="4" spans="1:12" ht="15" customHeight="1" x14ac:dyDescent="0.25">
      <c r="A4" s="131" t="s">
        <v>2</v>
      </c>
      <c r="B4" s="131"/>
      <c r="C4" s="131"/>
      <c r="D4" s="131"/>
      <c r="E4" s="131" t="s">
        <v>167</v>
      </c>
      <c r="F4" s="131"/>
      <c r="G4" s="131"/>
      <c r="H4" s="131"/>
    </row>
    <row r="5" spans="1:12" x14ac:dyDescent="0.25">
      <c r="A5" s="131" t="s">
        <v>3</v>
      </c>
      <c r="B5" s="131"/>
      <c r="C5" s="131"/>
      <c r="D5" s="131"/>
      <c r="E5" s="161">
        <v>45908</v>
      </c>
      <c r="F5" s="131"/>
      <c r="G5" s="131"/>
      <c r="H5" s="131"/>
    </row>
    <row r="6" spans="1:12" ht="16.5" customHeight="1" x14ac:dyDescent="0.25">
      <c r="A6" s="131" t="s">
        <v>4</v>
      </c>
      <c r="B6" s="131"/>
      <c r="C6" s="131"/>
      <c r="D6" s="131"/>
      <c r="E6" s="131" t="s">
        <v>169</v>
      </c>
      <c r="F6" s="131"/>
      <c r="G6" s="131"/>
      <c r="H6" s="131"/>
    </row>
    <row r="7" spans="1:12" ht="15" customHeight="1" x14ac:dyDescent="0.25">
      <c r="A7" s="131" t="s">
        <v>5</v>
      </c>
      <c r="B7" s="131"/>
      <c r="C7" s="131"/>
      <c r="D7" s="131"/>
      <c r="E7" s="131" t="str">
        <f>E6</f>
        <v>Veer Global Infraconstruction Limited</v>
      </c>
      <c r="F7" s="131"/>
      <c r="G7" s="131"/>
      <c r="H7" s="131"/>
    </row>
    <row r="8" spans="1:12" x14ac:dyDescent="0.25">
      <c r="A8" s="131" t="s">
        <v>6</v>
      </c>
      <c r="B8" s="131"/>
      <c r="C8" s="131"/>
      <c r="D8" s="131"/>
      <c r="E8" s="102" t="s">
        <v>171</v>
      </c>
      <c r="F8" s="102"/>
      <c r="G8" s="102"/>
      <c r="H8" s="102"/>
    </row>
    <row r="9" spans="1:12" x14ac:dyDescent="0.25">
      <c r="A9" s="131" t="s">
        <v>163</v>
      </c>
      <c r="B9" s="131"/>
      <c r="C9" s="131"/>
      <c r="D9" s="131"/>
      <c r="E9" s="131" t="s">
        <v>172</v>
      </c>
      <c r="F9" s="131"/>
      <c r="G9" s="131"/>
      <c r="H9" s="131"/>
    </row>
    <row r="10" spans="1:12" x14ac:dyDescent="0.25">
      <c r="A10" s="131" t="s">
        <v>164</v>
      </c>
      <c r="B10" s="131"/>
      <c r="C10" s="131"/>
      <c r="D10" s="131"/>
      <c r="E10" s="131" t="s">
        <v>214</v>
      </c>
      <c r="F10" s="131"/>
      <c r="G10" s="131"/>
      <c r="H10" s="131"/>
      <c r="I10" s="131" t="s">
        <v>213</v>
      </c>
      <c r="J10" s="131"/>
      <c r="K10" s="131"/>
      <c r="L10" s="131"/>
    </row>
    <row r="11" spans="1:12" ht="65.25" customHeight="1" x14ac:dyDescent="0.25">
      <c r="A11" s="131" t="s">
        <v>7</v>
      </c>
      <c r="B11" s="131"/>
      <c r="C11" s="131"/>
      <c r="D11" s="131"/>
      <c r="E11" s="120" t="s">
        <v>173</v>
      </c>
      <c r="F11" s="131"/>
      <c r="G11" s="131"/>
      <c r="H11" s="131"/>
    </row>
    <row r="12" spans="1:12" x14ac:dyDescent="0.25">
      <c r="A12" s="98" t="s">
        <v>8</v>
      </c>
      <c r="B12" s="98"/>
      <c r="C12" s="98"/>
      <c r="D12" s="98"/>
      <c r="E12" s="120" t="s">
        <v>201</v>
      </c>
      <c r="F12" s="120"/>
      <c r="G12" s="120"/>
      <c r="H12" s="120"/>
    </row>
    <row r="13" spans="1:12" x14ac:dyDescent="0.25">
      <c r="A13" s="98" t="s">
        <v>9</v>
      </c>
      <c r="B13" s="98"/>
      <c r="C13" s="98"/>
      <c r="D13" s="98"/>
      <c r="E13" s="120" t="s">
        <v>170</v>
      </c>
      <c r="F13" s="131"/>
      <c r="G13" s="131"/>
      <c r="H13" s="131"/>
    </row>
    <row r="14" spans="1:12" ht="33.75" customHeight="1" x14ac:dyDescent="0.25">
      <c r="A14" s="121" t="s">
        <v>10</v>
      </c>
      <c r="B14" s="121"/>
      <c r="C14" s="12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Veer 11, Gut No.133, near Parasnath Nagari Bldg, Internal Rd, , Umroli, Umroli, Palghar, Palghar - 401404.</v>
      </c>
      <c r="D14" s="121"/>
      <c r="E14" s="121"/>
      <c r="F14" s="121"/>
      <c r="G14" s="121"/>
      <c r="H14" s="121"/>
    </row>
    <row r="15" spans="1:12" x14ac:dyDescent="0.25">
      <c r="A15" s="120" t="s">
        <v>174</v>
      </c>
      <c r="B15" s="120"/>
      <c r="C15" s="120">
        <v>133</v>
      </c>
      <c r="D15" s="120"/>
      <c r="E15" s="120"/>
      <c r="F15" s="120"/>
      <c r="G15" s="120"/>
      <c r="H15" s="120"/>
    </row>
    <row r="16" spans="1:12" ht="15.75" hidden="1" customHeight="1" x14ac:dyDescent="0.25">
      <c r="A16" s="120" t="s">
        <v>162</v>
      </c>
      <c r="B16" s="120"/>
      <c r="C16" s="120"/>
      <c r="D16" s="120"/>
      <c r="E16" s="120"/>
      <c r="F16" s="120"/>
      <c r="G16" s="120"/>
      <c r="H16" s="120"/>
    </row>
    <row r="17" spans="1:8" ht="15.75" customHeight="1" x14ac:dyDescent="0.25">
      <c r="A17" s="121" t="s">
        <v>11</v>
      </c>
      <c r="B17" s="121"/>
      <c r="C17" s="131" t="s">
        <v>178</v>
      </c>
      <c r="D17" s="131"/>
      <c r="E17" s="121" t="s">
        <v>77</v>
      </c>
      <c r="F17" s="121"/>
      <c r="G17" s="120" t="s">
        <v>175</v>
      </c>
      <c r="H17" s="120"/>
    </row>
    <row r="18" spans="1:8" x14ac:dyDescent="0.25">
      <c r="A18" s="98" t="s">
        <v>13</v>
      </c>
      <c r="B18" s="98"/>
      <c r="C18" s="120" t="s">
        <v>175</v>
      </c>
      <c r="D18" s="120"/>
      <c r="E18" s="121" t="s">
        <v>12</v>
      </c>
      <c r="F18" s="121"/>
      <c r="G18" s="160" t="s">
        <v>176</v>
      </c>
      <c r="H18" s="160"/>
    </row>
    <row r="19" spans="1:8" x14ac:dyDescent="0.25">
      <c r="A19" s="98" t="s">
        <v>78</v>
      </c>
      <c r="B19" s="98"/>
      <c r="C19" s="120" t="s">
        <v>176</v>
      </c>
      <c r="D19" s="120"/>
      <c r="E19" s="121" t="s">
        <v>14</v>
      </c>
      <c r="F19" s="121"/>
      <c r="G19" s="120">
        <v>401404</v>
      </c>
      <c r="H19" s="120"/>
    </row>
    <row r="20" spans="1:8" ht="32.25" customHeight="1" x14ac:dyDescent="0.25">
      <c r="A20" s="98" t="s">
        <v>123</v>
      </c>
      <c r="B20" s="98"/>
      <c r="C20" s="120" t="s">
        <v>179</v>
      </c>
      <c r="D20" s="120"/>
      <c r="E20" s="121" t="s">
        <v>15</v>
      </c>
      <c r="F20" s="121"/>
      <c r="G20" s="120" t="s">
        <v>202</v>
      </c>
      <c r="H20" s="120"/>
    </row>
    <row r="21" spans="1:8" ht="15" customHeight="1" x14ac:dyDescent="0.25">
      <c r="A21" s="121" t="s">
        <v>81</v>
      </c>
      <c r="B21" s="121"/>
      <c r="C21" s="121"/>
      <c r="D21" s="121"/>
      <c r="E21" s="131" t="s">
        <v>16</v>
      </c>
      <c r="F21" s="131"/>
      <c r="G21" s="131"/>
      <c r="H21" s="131"/>
    </row>
    <row r="22" spans="1:8" ht="18.75" customHeight="1" x14ac:dyDescent="0.25">
      <c r="A22" s="121"/>
      <c r="B22" s="121"/>
      <c r="C22" s="121"/>
      <c r="D22" s="121"/>
      <c r="E22" s="131"/>
      <c r="F22" s="131"/>
      <c r="G22" s="131"/>
      <c r="H22" s="131"/>
    </row>
    <row r="23" spans="1:8" ht="15" customHeight="1" x14ac:dyDescent="0.25">
      <c r="A23" s="121" t="s">
        <v>17</v>
      </c>
      <c r="B23" s="121"/>
      <c r="C23" s="121"/>
      <c r="D23" s="121"/>
      <c r="E23" s="120" t="s">
        <v>18</v>
      </c>
      <c r="F23" s="120"/>
      <c r="G23" s="120"/>
      <c r="H23" s="120"/>
    </row>
    <row r="24" spans="1:8" ht="15" customHeight="1" x14ac:dyDescent="0.25">
      <c r="A24" s="98" t="s">
        <v>19</v>
      </c>
      <c r="B24" s="98"/>
      <c r="C24" s="98"/>
      <c r="D24" s="98"/>
      <c r="E24" s="120" t="str">
        <f>IF(AND(G18="Mumbai"),"Upper Class","Middle Class")</f>
        <v>Middle Class</v>
      </c>
      <c r="F24" s="120"/>
      <c r="G24" s="120"/>
      <c r="H24" s="120"/>
    </row>
    <row r="25" spans="1:8" x14ac:dyDescent="0.25">
      <c r="A25" s="98" t="s">
        <v>20</v>
      </c>
      <c r="B25" s="98"/>
      <c r="C25" s="98"/>
      <c r="D25" s="98"/>
      <c r="E25" s="120" t="s">
        <v>21</v>
      </c>
      <c r="F25" s="120"/>
      <c r="G25" s="120"/>
      <c r="H25" s="120"/>
    </row>
    <row r="26" spans="1:8" ht="15.75" customHeight="1" x14ac:dyDescent="0.25">
      <c r="A26" s="98" t="s">
        <v>22</v>
      </c>
      <c r="B26" s="98"/>
      <c r="C26" s="98"/>
      <c r="D26" s="98"/>
      <c r="E26" s="120" t="str">
        <f>IF(AND(G18="Mumbai"),"Developed","Developing")</f>
        <v>Developing</v>
      </c>
      <c r="F26" s="120"/>
      <c r="G26" s="120"/>
      <c r="H26" s="120"/>
    </row>
    <row r="27" spans="1:8" x14ac:dyDescent="0.25">
      <c r="A27" s="98" t="s">
        <v>23</v>
      </c>
      <c r="B27" s="98"/>
      <c r="C27" s="98"/>
      <c r="D27" s="98"/>
      <c r="E27" s="120" t="s">
        <v>24</v>
      </c>
      <c r="F27" s="120"/>
      <c r="G27" s="120"/>
      <c r="H27" s="120"/>
    </row>
    <row r="28" spans="1:8" ht="15.75" customHeight="1" x14ac:dyDescent="0.25">
      <c r="A28" s="98" t="s">
        <v>86</v>
      </c>
      <c r="B28" s="98"/>
      <c r="C28" s="98"/>
      <c r="D28" s="98"/>
      <c r="E28" s="120" t="s">
        <v>87</v>
      </c>
      <c r="F28" s="120"/>
      <c r="G28" s="120"/>
      <c r="H28" s="120"/>
    </row>
    <row r="29" spans="1:8" ht="15" customHeight="1" x14ac:dyDescent="0.25">
      <c r="A29" s="98" t="s">
        <v>35</v>
      </c>
      <c r="B29" s="98"/>
      <c r="C29" s="98"/>
      <c r="D29" s="98"/>
      <c r="E29" s="12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0"/>
      <c r="G29" s="120"/>
      <c r="H29" s="120"/>
    </row>
    <row r="30" spans="1:8" ht="15.75" customHeight="1" x14ac:dyDescent="0.25">
      <c r="A30" s="98" t="s">
        <v>98</v>
      </c>
      <c r="B30" s="98"/>
      <c r="C30" s="98"/>
      <c r="D30" s="98"/>
      <c r="E30" s="120" t="s">
        <v>36</v>
      </c>
      <c r="F30" s="120"/>
      <c r="G30" s="120"/>
      <c r="H30" s="120"/>
    </row>
    <row r="31" spans="1:8" s="22" customFormat="1" x14ac:dyDescent="0.25">
      <c r="A31" s="159" t="s">
        <v>99</v>
      </c>
      <c r="B31" s="159"/>
      <c r="C31" s="158" t="s">
        <v>29</v>
      </c>
      <c r="D31" s="158"/>
      <c r="E31" s="158"/>
      <c r="F31" s="158" t="s">
        <v>31</v>
      </c>
      <c r="G31" s="158"/>
      <c r="H31" s="158"/>
    </row>
    <row r="32" spans="1:8" s="22" customFormat="1" x14ac:dyDescent="0.25">
      <c r="A32" s="132" t="s">
        <v>25</v>
      </c>
      <c r="B32" s="132" t="s">
        <v>30</v>
      </c>
      <c r="C32" s="133" t="s">
        <v>30</v>
      </c>
      <c r="D32" s="133"/>
      <c r="E32" s="133"/>
      <c r="F32" s="133" t="s">
        <v>203</v>
      </c>
      <c r="G32" s="133"/>
      <c r="H32" s="133"/>
    </row>
    <row r="33" spans="1:8" x14ac:dyDescent="0.25">
      <c r="A33" s="132" t="s">
        <v>26</v>
      </c>
      <c r="B33" s="132" t="s">
        <v>30</v>
      </c>
      <c r="C33" s="133" t="s">
        <v>30</v>
      </c>
      <c r="D33" s="133"/>
      <c r="E33" s="133"/>
      <c r="F33" s="133" t="s">
        <v>180</v>
      </c>
      <c r="G33" s="133"/>
      <c r="H33" s="133"/>
    </row>
    <row r="34" spans="1:8" s="22" customFormat="1" x14ac:dyDescent="0.25">
      <c r="A34" s="132" t="s">
        <v>28</v>
      </c>
      <c r="B34" s="132" t="s">
        <v>30</v>
      </c>
      <c r="C34" s="133" t="s">
        <v>30</v>
      </c>
      <c r="D34" s="133"/>
      <c r="E34" s="133"/>
      <c r="F34" s="133" t="s">
        <v>180</v>
      </c>
      <c r="G34" s="133"/>
      <c r="H34" s="133"/>
    </row>
    <row r="35" spans="1:8" x14ac:dyDescent="0.25">
      <c r="A35" s="132" t="s">
        <v>27</v>
      </c>
      <c r="B35" s="132" t="s">
        <v>30</v>
      </c>
      <c r="C35" s="133" t="s">
        <v>30</v>
      </c>
      <c r="D35" s="133"/>
      <c r="E35" s="133"/>
      <c r="F35" s="133" t="s">
        <v>181</v>
      </c>
      <c r="G35" s="133"/>
      <c r="H35" s="133"/>
    </row>
    <row r="36" spans="1:8" x14ac:dyDescent="0.25">
      <c r="A36" s="98" t="s">
        <v>32</v>
      </c>
      <c r="B36" s="98"/>
      <c r="C36" s="98"/>
      <c r="D36" s="98"/>
      <c r="E36" s="98"/>
      <c r="F36" s="98"/>
      <c r="G36" s="98"/>
      <c r="H36" s="98"/>
    </row>
    <row r="37" spans="1:8" ht="15.75" customHeight="1" x14ac:dyDescent="0.25">
      <c r="A37" s="118" t="s">
        <v>33</v>
      </c>
      <c r="B37" s="118"/>
      <c r="C37" s="140">
        <v>19.7510364</v>
      </c>
      <c r="D37" s="140"/>
      <c r="E37" s="118" t="s">
        <v>34</v>
      </c>
      <c r="F37" s="118"/>
      <c r="G37" s="141">
        <v>72.763343399999997</v>
      </c>
      <c r="H37" s="141"/>
    </row>
    <row r="38" spans="1:8" x14ac:dyDescent="0.25">
      <c r="A38" s="118" t="s">
        <v>161</v>
      </c>
      <c r="B38" s="118"/>
      <c r="C38" s="142" t="s">
        <v>177</v>
      </c>
      <c r="D38" s="120"/>
      <c r="E38" s="120"/>
      <c r="F38" s="120"/>
      <c r="G38" s="120"/>
      <c r="H38" s="120"/>
    </row>
    <row r="39" spans="1:8" x14ac:dyDescent="0.25">
      <c r="A39" s="139" t="s">
        <v>37</v>
      </c>
      <c r="B39" s="139"/>
      <c r="C39" s="139"/>
      <c r="D39" s="139"/>
      <c r="E39" s="139"/>
      <c r="F39" s="139"/>
      <c r="G39" s="139"/>
      <c r="H39" s="139"/>
    </row>
    <row r="40" spans="1:8" x14ac:dyDescent="0.25">
      <c r="A40" s="98" t="s">
        <v>38</v>
      </c>
      <c r="B40" s="98"/>
      <c r="C40" s="98"/>
      <c r="D40" s="98"/>
      <c r="E40" s="130">
        <v>14987.49</v>
      </c>
      <c r="F40" s="130"/>
      <c r="G40" s="130"/>
      <c r="H40" s="130"/>
    </row>
    <row r="41" spans="1:8" x14ac:dyDescent="0.25">
      <c r="A41" s="98" t="s">
        <v>39</v>
      </c>
      <c r="B41" s="98"/>
      <c r="C41" s="98"/>
      <c r="D41" s="98"/>
      <c r="E41" s="130">
        <v>1</v>
      </c>
      <c r="F41" s="130"/>
      <c r="G41" s="130"/>
      <c r="H41" s="130"/>
    </row>
    <row r="42" spans="1:8" x14ac:dyDescent="0.25">
      <c r="A42" s="98" t="s">
        <v>40</v>
      </c>
      <c r="B42" s="98"/>
      <c r="C42" s="98"/>
      <c r="D42" s="98"/>
      <c r="E42" s="130">
        <v>0</v>
      </c>
      <c r="F42" s="130"/>
      <c r="G42" s="130"/>
      <c r="H42" s="130"/>
    </row>
    <row r="43" spans="1:8" x14ac:dyDescent="0.25">
      <c r="A43" s="98" t="s">
        <v>41</v>
      </c>
      <c r="B43" s="98"/>
      <c r="C43" s="98"/>
      <c r="D43" s="98"/>
      <c r="E43" s="130">
        <v>1</v>
      </c>
      <c r="F43" s="130"/>
      <c r="G43" s="130"/>
      <c r="H43" s="130"/>
    </row>
    <row r="44" spans="1:8" x14ac:dyDescent="0.25">
      <c r="A44" s="98" t="s">
        <v>97</v>
      </c>
      <c r="B44" s="98"/>
      <c r="C44" s="98"/>
      <c r="D44" s="98"/>
      <c r="E44" s="130">
        <v>14987.49</v>
      </c>
      <c r="F44" s="130"/>
      <c r="G44" s="130"/>
      <c r="H44" s="130"/>
    </row>
    <row r="45" spans="1:8" x14ac:dyDescent="0.25">
      <c r="A45" s="131" t="s">
        <v>42</v>
      </c>
      <c r="B45" s="131"/>
      <c r="C45" s="131"/>
      <c r="D45" s="131"/>
      <c r="E45" s="131" t="s">
        <v>204</v>
      </c>
      <c r="F45" s="131"/>
      <c r="G45" s="131"/>
      <c r="H45" s="131"/>
    </row>
    <row r="46" spans="1:8" x14ac:dyDescent="0.25">
      <c r="A46" s="139" t="s">
        <v>43</v>
      </c>
      <c r="B46" s="139"/>
      <c r="C46" s="139"/>
      <c r="D46" s="139"/>
      <c r="E46" s="139"/>
      <c r="F46" s="139"/>
      <c r="G46" s="139"/>
      <c r="H46" s="139"/>
    </row>
    <row r="47" spans="1:8" ht="33.75" customHeight="1" x14ac:dyDescent="0.25">
      <c r="A47" s="84" t="s">
        <v>151</v>
      </c>
      <c r="B47" s="85"/>
      <c r="C47" s="86" t="s">
        <v>205</v>
      </c>
      <c r="D47" s="87"/>
      <c r="E47" s="87"/>
      <c r="F47" s="87"/>
      <c r="G47" s="87"/>
      <c r="H47" s="88"/>
    </row>
    <row r="48" spans="1:8" ht="15.75" customHeight="1" x14ac:dyDescent="0.25">
      <c r="A48" s="84" t="s">
        <v>44</v>
      </c>
      <c r="B48" s="85"/>
      <c r="C48" s="84" t="s">
        <v>210</v>
      </c>
      <c r="D48" s="153"/>
      <c r="E48" s="85"/>
      <c r="F48" s="18" t="s">
        <v>45</v>
      </c>
      <c r="G48" s="147">
        <v>43068</v>
      </c>
      <c r="H48" s="85"/>
    </row>
    <row r="49" spans="1:14" ht="15.75" customHeight="1" x14ac:dyDescent="0.25">
      <c r="A49" s="84" t="s">
        <v>46</v>
      </c>
      <c r="B49" s="85"/>
      <c r="C49" s="84" t="s">
        <v>210</v>
      </c>
      <c r="D49" s="153"/>
      <c r="E49" s="85"/>
      <c r="F49" s="18" t="s">
        <v>45</v>
      </c>
      <c r="G49" s="147">
        <v>43068</v>
      </c>
      <c r="H49" s="85"/>
    </row>
    <row r="50" spans="1:14" s="23" customFormat="1" ht="15.75" customHeight="1" x14ac:dyDescent="0.25">
      <c r="A50" s="148" t="s">
        <v>155</v>
      </c>
      <c r="B50" s="149"/>
      <c r="C50" s="84" t="s">
        <v>206</v>
      </c>
      <c r="D50" s="153"/>
      <c r="E50" s="85"/>
      <c r="F50" s="18" t="s">
        <v>45</v>
      </c>
      <c r="G50" s="147">
        <v>43068</v>
      </c>
      <c r="H50" s="85"/>
    </row>
    <row r="51" spans="1:14" s="23" customFormat="1" ht="66.75" customHeight="1" x14ac:dyDescent="0.25">
      <c r="A51" s="150"/>
      <c r="B51" s="151"/>
      <c r="C51" s="84" t="s">
        <v>182</v>
      </c>
      <c r="D51" s="153"/>
      <c r="E51" s="153"/>
      <c r="F51" s="153"/>
      <c r="G51" s="153"/>
      <c r="H51" s="85"/>
    </row>
    <row r="52" spans="1:14" x14ac:dyDescent="0.25">
      <c r="A52" s="166" t="s">
        <v>47</v>
      </c>
      <c r="B52" s="167"/>
      <c r="C52" s="166" t="s">
        <v>105</v>
      </c>
      <c r="D52" s="168"/>
      <c r="E52" s="167"/>
      <c r="F52" s="45" t="s">
        <v>45</v>
      </c>
      <c r="G52" s="174" t="s">
        <v>30</v>
      </c>
      <c r="H52" s="175"/>
    </row>
    <row r="53" spans="1:14" x14ac:dyDescent="0.25">
      <c r="A53" s="165" t="s">
        <v>49</v>
      </c>
      <c r="B53" s="165"/>
      <c r="C53" s="165"/>
      <c r="D53" s="165"/>
      <c r="E53" s="165"/>
      <c r="F53" s="165"/>
      <c r="G53" s="165"/>
      <c r="H53" s="165"/>
    </row>
    <row r="54" spans="1:14" x14ac:dyDescent="0.25">
      <c r="A54" s="121" t="s">
        <v>96</v>
      </c>
      <c r="B54" s="121"/>
      <c r="C54" s="121"/>
      <c r="D54" s="152">
        <f>1045.19+649.82+1027.4</f>
        <v>2722.4100000000003</v>
      </c>
      <c r="E54" s="98"/>
      <c r="F54" s="98"/>
      <c r="G54" s="98"/>
      <c r="H54" s="98"/>
    </row>
    <row r="55" spans="1:14" x14ac:dyDescent="0.25">
      <c r="A55" s="120" t="s">
        <v>50</v>
      </c>
      <c r="B55" s="131"/>
      <c r="C55" s="131"/>
      <c r="D55" s="131" t="s">
        <v>198</v>
      </c>
      <c r="E55" s="131"/>
      <c r="F55" s="131"/>
      <c r="G55" s="131"/>
      <c r="H55" s="131"/>
      <c r="I55" s="24"/>
    </row>
    <row r="56" spans="1:14" ht="48.75" customHeight="1" x14ac:dyDescent="0.25">
      <c r="A56" s="144" t="s">
        <v>51</v>
      </c>
      <c r="B56" s="145"/>
      <c r="C56" s="146"/>
      <c r="D56" s="123" t="s">
        <v>200</v>
      </c>
      <c r="E56" s="143"/>
      <c r="F56" s="143"/>
      <c r="G56" s="143"/>
      <c r="H56" s="143"/>
    </row>
    <row r="57" spans="1:14" ht="15.75" customHeight="1" x14ac:dyDescent="0.25">
      <c r="A57" s="144" t="s">
        <v>94</v>
      </c>
      <c r="B57" s="145"/>
      <c r="C57" s="145"/>
      <c r="D57" s="131" t="s">
        <v>183</v>
      </c>
      <c r="E57" s="131"/>
      <c r="F57" s="131"/>
      <c r="G57" s="131"/>
      <c r="H57" s="131"/>
    </row>
    <row r="58" spans="1:14" ht="15.75" customHeight="1" x14ac:dyDescent="0.25">
      <c r="A58" s="154"/>
      <c r="B58" s="155"/>
      <c r="C58" s="155"/>
      <c r="D58" s="131" t="s">
        <v>184</v>
      </c>
      <c r="E58" s="131"/>
      <c r="F58" s="131"/>
      <c r="G58" s="131"/>
      <c r="H58" s="131"/>
    </row>
    <row r="59" spans="1:14" ht="15.75" customHeight="1" x14ac:dyDescent="0.25">
      <c r="A59" s="156"/>
      <c r="B59" s="157"/>
      <c r="C59" s="157"/>
      <c r="D59" s="172" t="s">
        <v>185</v>
      </c>
      <c r="E59" s="172"/>
      <c r="F59" s="172"/>
      <c r="G59" s="172"/>
      <c r="H59" s="172"/>
    </row>
    <row r="60" spans="1:14" ht="15.75" customHeight="1" x14ac:dyDescent="0.25">
      <c r="A60" s="98" t="s">
        <v>48</v>
      </c>
      <c r="B60" s="98"/>
      <c r="C60" s="98"/>
      <c r="D60" s="180" t="s">
        <v>199</v>
      </c>
      <c r="E60" s="180"/>
      <c r="F60" s="180"/>
      <c r="G60" s="180"/>
      <c r="H60" s="180"/>
      <c r="J60" s="25"/>
      <c r="K60" s="24"/>
      <c r="N60" s="24"/>
    </row>
    <row r="61" spans="1:14" ht="15.75" customHeight="1" x14ac:dyDescent="0.25">
      <c r="A61" s="98" t="s">
        <v>92</v>
      </c>
      <c r="B61" s="98"/>
      <c r="C61" s="98"/>
      <c r="D61" s="181" t="str">
        <f>(IF(G52="NA","60 Years After Completion",IF(G52&lt;&gt;"NA",""&amp;60-ROUNDDOWN((E3-G52)/360,0)&amp;" Years"," ")))</f>
        <v>60 Years After Completion</v>
      </c>
      <c r="E61" s="181"/>
      <c r="F61" s="181"/>
      <c r="G61" s="181"/>
      <c r="H61" s="181"/>
      <c r="N61" s="24"/>
    </row>
    <row r="62" spans="1:14" ht="15.75" customHeight="1" x14ac:dyDescent="0.25">
      <c r="A62" s="98" t="s">
        <v>93</v>
      </c>
      <c r="B62" s="98"/>
      <c r="C62" s="98"/>
      <c r="D62" s="121" t="s">
        <v>24</v>
      </c>
      <c r="E62" s="121"/>
      <c r="F62" s="121"/>
      <c r="G62" s="121"/>
      <c r="H62" s="121"/>
      <c r="J62" s="26"/>
      <c r="K62" s="26"/>
    </row>
    <row r="63" spans="1:14" ht="30" customHeight="1" x14ac:dyDescent="0.25">
      <c r="A63" s="98" t="s">
        <v>79</v>
      </c>
      <c r="B63" s="98"/>
      <c r="C63" s="98"/>
      <c r="D63" s="120" t="s">
        <v>166</v>
      </c>
      <c r="E63" s="121"/>
      <c r="F63" s="121"/>
      <c r="G63" s="121"/>
      <c r="H63" s="121"/>
    </row>
    <row r="64" spans="1:14" x14ac:dyDescent="0.25">
      <c r="A64" s="121" t="s">
        <v>148</v>
      </c>
      <c r="B64" s="121"/>
      <c r="C64" s="121"/>
      <c r="D64" s="121" t="s">
        <v>30</v>
      </c>
      <c r="E64" s="121"/>
      <c r="F64" s="121"/>
      <c r="G64" s="121"/>
      <c r="H64" s="121"/>
      <c r="I64" s="27"/>
      <c r="J64" s="27"/>
      <c r="K64" s="27"/>
      <c r="L64" s="27"/>
      <c r="M64" s="27"/>
      <c r="N64" s="27"/>
    </row>
    <row r="65" spans="1:10" ht="15.75" customHeight="1" x14ac:dyDescent="0.25">
      <c r="A65" s="173" t="s">
        <v>91</v>
      </c>
      <c r="B65" s="173"/>
      <c r="C65" s="173"/>
      <c r="D65" s="123" t="str">
        <f ca="1">(IF(G71&gt;95%,"Nothing",IF(G71&gt;0%,"Cement, Aggregate, Steel, etc",IF(G71=0%,"Work not yet Started"))))</f>
        <v>Cement, Aggregate, Steel, etc</v>
      </c>
      <c r="E65" s="123"/>
      <c r="F65" s="123"/>
      <c r="G65" s="123"/>
      <c r="H65" s="123"/>
      <c r="J65" s="26"/>
    </row>
    <row r="66" spans="1:10" ht="33.75" customHeight="1" thickBot="1" x14ac:dyDescent="0.3">
      <c r="A66" s="122" t="s">
        <v>118</v>
      </c>
      <c r="B66" s="122"/>
      <c r="C66" s="122"/>
      <c r="D66" s="123" t="str">
        <f ca="1">(IF(D65="Nothing","Yes",IF(D65="Cement, Aggregate, Steel, etc","Under Construction",IF(D65="Work not yet Started","Work not yet Started"))))</f>
        <v>Under Construction</v>
      </c>
      <c r="E66" s="123"/>
      <c r="F66" s="123" t="str">
        <f ca="1">(IF(D65="Nothing","Yes",IF(D65="Cement, Aggregate, Steel, etc","Under Construction",IF(D65="Work not yet Started","Work not yet Started"))))</f>
        <v>Under Construction</v>
      </c>
      <c r="G66" s="123"/>
      <c r="H66" s="123"/>
    </row>
    <row r="67" spans="1:10" ht="15.75" customHeight="1" x14ac:dyDescent="0.25">
      <c r="A67" s="134" t="s">
        <v>140</v>
      </c>
      <c r="B67" s="135"/>
      <c r="C67" s="136" t="str">
        <f>D57</f>
        <v>Wing A (Type E1) = Gr(Pt)/St(Pt) + 1st to 4th Floor</v>
      </c>
      <c r="D67" s="137"/>
      <c r="E67" s="137"/>
      <c r="F67" s="137"/>
      <c r="G67" s="137"/>
      <c r="H67" s="138"/>
      <c r="I67" s="48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 Completed, Flooring upto 2 Floor, Painting upto 1 Floor Completed</v>
      </c>
      <c r="J67" s="49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Flooring upto 2 Floor, Painting upto 1 Floor</v>
      </c>
    </row>
    <row r="68" spans="1:10" s="23" customFormat="1" x14ac:dyDescent="0.25">
      <c r="A68" s="16" t="s">
        <v>142</v>
      </c>
      <c r="B68" s="47">
        <v>0</v>
      </c>
      <c r="C68" s="47" t="s">
        <v>76</v>
      </c>
      <c r="D68" s="47">
        <v>1</v>
      </c>
      <c r="E68" s="47" t="s">
        <v>75</v>
      </c>
      <c r="F68" s="47">
        <v>0</v>
      </c>
      <c r="G68" s="47" t="s">
        <v>85</v>
      </c>
      <c r="H68" s="17">
        <f ca="1">--TRIM(RIGHT(SUBSTITUTE(LEFT(C67,_xlfn.AGGREGATE(16,6,FIND({0,1,2,3,4,5,6,7,8,9},C67,ROW(INDIRECT("1:"&amp;LEN(C67)))),1))," ",REPT(" ",LEN(C67))),LEN(C67)))</f>
        <v>4</v>
      </c>
      <c r="I68" s="54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</v>
      </c>
      <c r="J68" s="55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0" customHeight="1" x14ac:dyDescent="0.25">
      <c r="A69" s="101" t="s">
        <v>95</v>
      </c>
      <c r="B69" s="102"/>
      <c r="C69" s="103" t="str">
        <f ca="1">I67</f>
        <v>Excavation, Plinth, RCC Slab, Brickwork, Internal Plaster, External Plaster Completed, Flooring upto 2 Floor, Painting upto 1 Floor Completed</v>
      </c>
      <c r="D69" s="103"/>
      <c r="E69" s="103"/>
      <c r="F69" s="103"/>
      <c r="G69" s="103"/>
      <c r="H69" s="104"/>
      <c r="I69" s="50" t="str">
        <f ca="1">IF(I68&lt;&gt;""," Completed","")</f>
        <v xml:space="preserve"> Completed</v>
      </c>
      <c r="J69" s="51" t="str">
        <f ca="1">IF(J67&lt;&gt;"","Completed","")</f>
        <v>Completed</v>
      </c>
    </row>
    <row r="70" spans="1:10" ht="15.75" customHeight="1" x14ac:dyDescent="0.25">
      <c r="A70" s="89" t="s">
        <v>52</v>
      </c>
      <c r="B70" s="90"/>
      <c r="C70" s="43" t="s">
        <v>139</v>
      </c>
      <c r="D70" s="43" t="s">
        <v>88</v>
      </c>
      <c r="E70" s="90" t="s">
        <v>90</v>
      </c>
      <c r="F70" s="90"/>
      <c r="G70" s="90" t="s">
        <v>89</v>
      </c>
      <c r="H70" s="105"/>
      <c r="I70" s="14" t="s">
        <v>141</v>
      </c>
      <c r="J70" s="28">
        <f ca="1">H68*25%</f>
        <v>1</v>
      </c>
    </row>
    <row r="71" spans="1:10" x14ac:dyDescent="0.25">
      <c r="A71" s="89" t="s">
        <v>128</v>
      </c>
      <c r="B71" s="90"/>
      <c r="C71" s="43">
        <f ca="1">J72</f>
        <v>4</v>
      </c>
      <c r="D71" s="19">
        <f ca="1">((100/H68)*C71)/100</f>
        <v>1</v>
      </c>
      <c r="E71" s="91">
        <f ca="1">(((C72/H68*10)+(40/(D68+F68+H68)*C73)+(7.5/(H68)*C74)+(7.5/(H68)*C75)+(10/H68*C76)+(10/H68*C77)+(5/H68*C78)+(5/H68*C79)+(5/H68*C80))/100)</f>
        <v>0.8125</v>
      </c>
      <c r="F71" s="124"/>
      <c r="G71" s="91">
        <f ca="1">((((C71/H68)*20)+((C72/H68)*25)+(30/(H68+F68+D68)*C73)+(5/H68*C74)+(5/H68*C75)+(5/H68*C76)+(5/H68*C77)+(0/H68*C78)+(0/H68*C79)+(5/H68*C80))/100)</f>
        <v>0.92500000000000004</v>
      </c>
      <c r="H71" s="92"/>
      <c r="I71" s="14" t="s">
        <v>100</v>
      </c>
      <c r="J71" s="29">
        <f ca="1">H68*50%</f>
        <v>2</v>
      </c>
    </row>
    <row r="72" spans="1:10" x14ac:dyDescent="0.25">
      <c r="A72" s="89" t="s">
        <v>53</v>
      </c>
      <c r="B72" s="90"/>
      <c r="C72" s="43">
        <f ca="1">J80</f>
        <v>4</v>
      </c>
      <c r="D72" s="19">
        <f ca="1">((100/H68)*C72)/100</f>
        <v>1</v>
      </c>
      <c r="E72" s="93"/>
      <c r="F72" s="125"/>
      <c r="G72" s="93"/>
      <c r="H72" s="94"/>
      <c r="I72" s="14" t="s">
        <v>101</v>
      </c>
      <c r="J72" s="29">
        <f ca="1">H68</f>
        <v>4</v>
      </c>
    </row>
    <row r="73" spans="1:10" ht="15.75" customHeight="1" x14ac:dyDescent="0.25">
      <c r="A73" s="89" t="s">
        <v>129</v>
      </c>
      <c r="B73" s="90"/>
      <c r="C73" s="43">
        <v>5</v>
      </c>
      <c r="D73" s="19">
        <f ca="1">((100/(D68+F68+H68))*C73)/100</f>
        <v>1</v>
      </c>
      <c r="E73" s="93"/>
      <c r="F73" s="125"/>
      <c r="G73" s="93"/>
      <c r="H73" s="94"/>
      <c r="I73" s="14" t="s">
        <v>102</v>
      </c>
      <c r="J73" s="30">
        <f ca="1">(IF(B68&gt;1,(H68/(B68+2)),H68/4))</f>
        <v>1</v>
      </c>
    </row>
    <row r="74" spans="1:10" ht="15.75" customHeight="1" x14ac:dyDescent="0.25">
      <c r="A74" s="89" t="s">
        <v>136</v>
      </c>
      <c r="B74" s="90" t="s">
        <v>130</v>
      </c>
      <c r="C74" s="43">
        <v>4</v>
      </c>
      <c r="D74" s="19">
        <f ca="1">((100/H68)*C74)/100</f>
        <v>1</v>
      </c>
      <c r="E74" s="93"/>
      <c r="F74" s="125"/>
      <c r="G74" s="93"/>
      <c r="H74" s="94"/>
      <c r="I74" s="14" t="s">
        <v>103</v>
      </c>
      <c r="J74" s="30">
        <f ca="1">(IF(B68&gt;1,(H68/(B68+2)+J73),H68/4+J73))</f>
        <v>2</v>
      </c>
    </row>
    <row r="75" spans="1:10" ht="15.75" customHeight="1" x14ac:dyDescent="0.25">
      <c r="A75" s="89" t="s">
        <v>137</v>
      </c>
      <c r="B75" s="90" t="s">
        <v>130</v>
      </c>
      <c r="C75" s="43">
        <v>4</v>
      </c>
      <c r="D75" s="19">
        <f ca="1">((100/H68)*C75)/100</f>
        <v>1</v>
      </c>
      <c r="E75" s="93"/>
      <c r="F75" s="125"/>
      <c r="G75" s="93"/>
      <c r="H75" s="94"/>
      <c r="I75" s="14" t="s">
        <v>146</v>
      </c>
      <c r="J75" s="30">
        <f>(IF(B68&gt;1,(H68/(B68+2)+J74),0))</f>
        <v>0</v>
      </c>
    </row>
    <row r="76" spans="1:10" ht="15" customHeight="1" x14ac:dyDescent="0.25">
      <c r="A76" s="89" t="s">
        <v>135</v>
      </c>
      <c r="B76" s="90" t="s">
        <v>132</v>
      </c>
      <c r="C76" s="43">
        <v>4</v>
      </c>
      <c r="D76" s="19">
        <f ca="1">((100/(H68))*C76)/100</f>
        <v>1</v>
      </c>
      <c r="E76" s="93"/>
      <c r="F76" s="125"/>
      <c r="G76" s="93"/>
      <c r="H76" s="94"/>
      <c r="I76" s="14" t="s">
        <v>143</v>
      </c>
      <c r="J76" s="30">
        <f>(IF(B68&gt;2,(H68/(B68+2)+J75),0))</f>
        <v>0</v>
      </c>
    </row>
    <row r="77" spans="1:10" ht="15.75" customHeight="1" x14ac:dyDescent="0.25">
      <c r="A77" s="89" t="s">
        <v>131</v>
      </c>
      <c r="B77" s="90" t="s">
        <v>131</v>
      </c>
      <c r="C77" s="43">
        <v>2</v>
      </c>
      <c r="D77" s="19">
        <f ca="1">((100/H68)*C77)/100</f>
        <v>0.5</v>
      </c>
      <c r="E77" s="93"/>
      <c r="F77" s="125"/>
      <c r="G77" s="93"/>
      <c r="H77" s="94"/>
      <c r="I77" s="14" t="s">
        <v>144</v>
      </c>
      <c r="J77" s="31">
        <f>(IF(B68&gt;3,(H68/(B68+2)+J76),0))</f>
        <v>0</v>
      </c>
    </row>
    <row r="78" spans="1:10" ht="15.75" customHeight="1" x14ac:dyDescent="0.25">
      <c r="A78" s="89" t="s">
        <v>138</v>
      </c>
      <c r="B78" s="90"/>
      <c r="C78" s="43">
        <v>1</v>
      </c>
      <c r="D78" s="19">
        <f ca="1">((100/H68)*C78)/100</f>
        <v>0.25</v>
      </c>
      <c r="E78" s="93"/>
      <c r="F78" s="125"/>
      <c r="G78" s="93"/>
      <c r="H78" s="94"/>
      <c r="I78" s="14" t="s">
        <v>145</v>
      </c>
      <c r="J78" s="30">
        <f>(IF(B68&gt;4,(H68/(B68+2)+J77),0))</f>
        <v>0</v>
      </c>
    </row>
    <row r="79" spans="1:10" ht="15.75" customHeight="1" x14ac:dyDescent="0.25">
      <c r="A79" s="89" t="s">
        <v>133</v>
      </c>
      <c r="B79" s="90" t="s">
        <v>133</v>
      </c>
      <c r="C79" s="43">
        <v>0</v>
      </c>
      <c r="D79" s="19">
        <f ca="1">((100/(H68))*C79)/100</f>
        <v>0</v>
      </c>
      <c r="E79" s="93"/>
      <c r="F79" s="125"/>
      <c r="G79" s="93"/>
      <c r="H79" s="94"/>
      <c r="I79" s="14" t="s">
        <v>147</v>
      </c>
      <c r="J79" s="30">
        <f ca="1">(IF(B68=1,(H68/(B68+3)+J74),IF(B68=0,(H68/4+J74),IF(B68&gt;1,0))))</f>
        <v>3</v>
      </c>
    </row>
    <row r="80" spans="1:10" ht="16.5" thickBot="1" x14ac:dyDescent="0.3">
      <c r="A80" s="127" t="s">
        <v>134</v>
      </c>
      <c r="B80" s="128"/>
      <c r="C80" s="44">
        <v>0</v>
      </c>
      <c r="D80" s="20">
        <f ca="1">((100/(H68))*C80)/100</f>
        <v>0</v>
      </c>
      <c r="E80" s="95"/>
      <c r="F80" s="126"/>
      <c r="G80" s="95"/>
      <c r="H80" s="96"/>
      <c r="I80" s="15" t="s">
        <v>104</v>
      </c>
      <c r="J80" s="32">
        <f ca="1">(IF(B68&gt;1.5,(H68/(B68+2)+J74+MAX(0,J75-J74)+MAX(0,J76-J75)+MAX(0,J77-J76)+MAX(0,J78-J77)+MAX(0,J79-J78)),IF(B68=1,(H68/(B68+3)+J79),IF(B68=0,H68/4+J79))))</f>
        <v>4</v>
      </c>
    </row>
    <row r="81" spans="1:10" ht="30.75" customHeight="1" x14ac:dyDescent="0.25">
      <c r="A81" s="134" t="s">
        <v>140</v>
      </c>
      <c r="B81" s="135"/>
      <c r="C81" s="136" t="s">
        <v>215</v>
      </c>
      <c r="D81" s="137"/>
      <c r="E81" s="137"/>
      <c r="F81" s="137"/>
      <c r="G81" s="137"/>
      <c r="H81" s="138"/>
      <c r="I81" s="48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Plaster, External Plaster Completed, Flooring upto 1 Floor, Painting upto 1 Floor Completed</v>
      </c>
      <c r="J81" s="49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Flooring upto 1 Floor, Painting upto 1 Floor</v>
      </c>
    </row>
    <row r="82" spans="1:10" s="23" customFormat="1" x14ac:dyDescent="0.25">
      <c r="A82" s="16" t="s">
        <v>142</v>
      </c>
      <c r="B82" s="47">
        <v>0</v>
      </c>
      <c r="C82" s="47" t="s">
        <v>76</v>
      </c>
      <c r="D82" s="47">
        <v>1</v>
      </c>
      <c r="E82" s="47" t="s">
        <v>75</v>
      </c>
      <c r="F82" s="47">
        <v>0</v>
      </c>
      <c r="G82" s="47" t="s">
        <v>85</v>
      </c>
      <c r="H82" s="17">
        <f ca="1">--TRIM(RIGHT(SUBSTITUTE(LEFT(C81,_xlfn.AGGREGATE(16,6,FIND({0,1,2,3,4,5,6,7,8,9},C81,ROW(INDIRECT("1:"&amp;LEN(C81)))),1))," ",REPT(" ",LEN(C81))),LEN(C81)))</f>
        <v>4</v>
      </c>
      <c r="I82" s="54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Plaster, External Plaster</v>
      </c>
      <c r="J82" s="55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4.5" customHeight="1" x14ac:dyDescent="0.25">
      <c r="A83" s="101" t="s">
        <v>95</v>
      </c>
      <c r="B83" s="102"/>
      <c r="C83" s="103" t="str">
        <f ca="1">(IF($G$52="NA",I81,"All work Completed. OC Received."))</f>
        <v>Excavation, Plinth, RCC Slab, Brickwork, Internal Plaster, External Plaster Completed, Flooring upto 1 Floor, Painting upto 1 Floor Completed</v>
      </c>
      <c r="D83" s="103"/>
      <c r="E83" s="103"/>
      <c r="F83" s="103"/>
      <c r="G83" s="103"/>
      <c r="H83" s="104"/>
      <c r="I83" s="50" t="str">
        <f ca="1">IF(I82&lt;&gt;""," Completed","")</f>
        <v xml:space="preserve"> Completed</v>
      </c>
      <c r="J83" s="51" t="str">
        <f ca="1">IF(J81&lt;&gt;"","Completed","")</f>
        <v>Completed</v>
      </c>
    </row>
    <row r="84" spans="1:10" ht="15.75" customHeight="1" x14ac:dyDescent="0.25">
      <c r="A84" s="89" t="s">
        <v>52</v>
      </c>
      <c r="B84" s="90"/>
      <c r="C84" s="43" t="s">
        <v>139</v>
      </c>
      <c r="D84" s="43" t="s">
        <v>88</v>
      </c>
      <c r="E84" s="90" t="s">
        <v>90</v>
      </c>
      <c r="F84" s="90"/>
      <c r="G84" s="90" t="s">
        <v>89</v>
      </c>
      <c r="H84" s="105"/>
      <c r="I84" s="14" t="s">
        <v>141</v>
      </c>
      <c r="J84" s="28">
        <f ca="1">H82*25%</f>
        <v>1</v>
      </c>
    </row>
    <row r="85" spans="1:10" x14ac:dyDescent="0.25">
      <c r="A85" s="89" t="s">
        <v>128</v>
      </c>
      <c r="B85" s="90"/>
      <c r="C85" s="43">
        <f ca="1">J86</f>
        <v>4</v>
      </c>
      <c r="D85" s="19">
        <f ca="1">((100/H82)*C85)/100</f>
        <v>1</v>
      </c>
      <c r="E85" s="91">
        <f ca="1">(((C86/H82*10)+(40/(D82+F82+H82)*C87)+(7.5/(H82)*C88)+(7.5/(H82)*C89)+(10/H82*C90)+(10/H82*C91)+(5/H82*C92)+(5/H82*C93)+(5/H82*C94))/100)</f>
        <v>0.78749999999999998</v>
      </c>
      <c r="F85" s="124"/>
      <c r="G85" s="91">
        <f ca="1">((((C85/H82)*20)+((C86/H82)*25)+(30/(H82+F82+D82)*C87)+(5/H82*C88)+(5/H82*C89)+(5/H82*C90)+(5/H82*C91)+(0/H82*C92)+(0/H82*C93)+(5/H82*C94))/100)</f>
        <v>0.91249999999999998</v>
      </c>
      <c r="H85" s="92"/>
      <c r="I85" s="14" t="s">
        <v>100</v>
      </c>
      <c r="J85" s="29">
        <f ca="1">H82*50%</f>
        <v>2</v>
      </c>
    </row>
    <row r="86" spans="1:10" x14ac:dyDescent="0.25">
      <c r="A86" s="89" t="s">
        <v>53</v>
      </c>
      <c r="B86" s="90"/>
      <c r="C86" s="43">
        <f ca="1">J94</f>
        <v>4</v>
      </c>
      <c r="D86" s="19">
        <f ca="1">((100/H82)*C86)/100</f>
        <v>1</v>
      </c>
      <c r="E86" s="93"/>
      <c r="F86" s="125"/>
      <c r="G86" s="93"/>
      <c r="H86" s="94"/>
      <c r="I86" s="14" t="s">
        <v>101</v>
      </c>
      <c r="J86" s="29">
        <f ca="1">H82</f>
        <v>4</v>
      </c>
    </row>
    <row r="87" spans="1:10" ht="15.75" customHeight="1" x14ac:dyDescent="0.25">
      <c r="A87" s="89" t="s">
        <v>129</v>
      </c>
      <c r="B87" s="90"/>
      <c r="C87" s="43">
        <f ca="1">D82+H82</f>
        <v>5</v>
      </c>
      <c r="D87" s="19">
        <f ca="1">((100/(D82+F82+H82))*C87)/100</f>
        <v>1</v>
      </c>
      <c r="E87" s="93"/>
      <c r="F87" s="125"/>
      <c r="G87" s="93"/>
      <c r="H87" s="94"/>
      <c r="I87" s="14" t="s">
        <v>102</v>
      </c>
      <c r="J87" s="30">
        <f ca="1">(IF(B82&gt;1,(H82/(B82+2)),H82/4))</f>
        <v>1</v>
      </c>
    </row>
    <row r="88" spans="1:10" ht="15.75" customHeight="1" x14ac:dyDescent="0.25">
      <c r="A88" s="89" t="s">
        <v>136</v>
      </c>
      <c r="B88" s="90" t="s">
        <v>130</v>
      </c>
      <c r="C88" s="43">
        <v>4</v>
      </c>
      <c r="D88" s="19">
        <f ca="1">((100/H82)*C88)/100</f>
        <v>1</v>
      </c>
      <c r="E88" s="93"/>
      <c r="F88" s="125"/>
      <c r="G88" s="93"/>
      <c r="H88" s="94"/>
      <c r="I88" s="14" t="s">
        <v>103</v>
      </c>
      <c r="J88" s="30">
        <f ca="1">(IF(B82&gt;1,(H82/(B82+2)+J87),H82/4+J87))</f>
        <v>2</v>
      </c>
    </row>
    <row r="89" spans="1:10" ht="15.75" customHeight="1" x14ac:dyDescent="0.25">
      <c r="A89" s="89" t="s">
        <v>137</v>
      </c>
      <c r="B89" s="90" t="s">
        <v>130</v>
      </c>
      <c r="C89" s="43">
        <v>4</v>
      </c>
      <c r="D89" s="19">
        <f ca="1">((100/H82)*C89)/100</f>
        <v>1</v>
      </c>
      <c r="E89" s="93"/>
      <c r="F89" s="125"/>
      <c r="G89" s="93"/>
      <c r="H89" s="94"/>
      <c r="I89" s="14" t="s">
        <v>146</v>
      </c>
      <c r="J89" s="30">
        <f>(IF(B82&gt;1,(H82/(B82+2)+J88),0))</f>
        <v>0</v>
      </c>
    </row>
    <row r="90" spans="1:10" ht="15" customHeight="1" x14ac:dyDescent="0.25">
      <c r="A90" s="89" t="s">
        <v>135</v>
      </c>
      <c r="B90" s="90" t="s">
        <v>132</v>
      </c>
      <c r="C90" s="43">
        <v>4</v>
      </c>
      <c r="D90" s="19">
        <f ca="1">((100/(H82))*C90)/100</f>
        <v>1</v>
      </c>
      <c r="E90" s="93"/>
      <c r="F90" s="125"/>
      <c r="G90" s="93"/>
      <c r="H90" s="94"/>
      <c r="I90" s="14" t="s">
        <v>143</v>
      </c>
      <c r="J90" s="30">
        <f>(IF(B82&gt;2,(H82/(B82+2)+J89),0))</f>
        <v>0</v>
      </c>
    </row>
    <row r="91" spans="1:10" ht="15.75" customHeight="1" x14ac:dyDescent="0.25">
      <c r="A91" s="89" t="s">
        <v>131</v>
      </c>
      <c r="B91" s="90" t="s">
        <v>131</v>
      </c>
      <c r="C91" s="43">
        <v>1</v>
      </c>
      <c r="D91" s="19">
        <f ca="1">((100/H82)*C91)/100</f>
        <v>0.25</v>
      </c>
      <c r="E91" s="93"/>
      <c r="F91" s="125"/>
      <c r="G91" s="93"/>
      <c r="H91" s="94"/>
      <c r="I91" s="14" t="s">
        <v>144</v>
      </c>
      <c r="J91" s="31">
        <f>(IF(B82&gt;3,(H82/(B82+2)+J90),0))</f>
        <v>0</v>
      </c>
    </row>
    <row r="92" spans="1:10" ht="15.75" customHeight="1" x14ac:dyDescent="0.25">
      <c r="A92" s="89" t="s">
        <v>138</v>
      </c>
      <c r="B92" s="90"/>
      <c r="C92" s="43">
        <v>1</v>
      </c>
      <c r="D92" s="19">
        <f ca="1">((100/H82)*C92)/100</f>
        <v>0.25</v>
      </c>
      <c r="E92" s="93"/>
      <c r="F92" s="125"/>
      <c r="G92" s="93"/>
      <c r="H92" s="94"/>
      <c r="I92" s="14" t="s">
        <v>145</v>
      </c>
      <c r="J92" s="30">
        <f>(IF(B82&gt;4,(H82/(B82+2)+J91),0))</f>
        <v>0</v>
      </c>
    </row>
    <row r="93" spans="1:10" ht="15.75" customHeight="1" x14ac:dyDescent="0.25">
      <c r="A93" s="89" t="s">
        <v>133</v>
      </c>
      <c r="B93" s="90" t="s">
        <v>133</v>
      </c>
      <c r="C93" s="43">
        <v>0</v>
      </c>
      <c r="D93" s="19">
        <f ca="1">((100/(H82))*C93)/100</f>
        <v>0</v>
      </c>
      <c r="E93" s="93"/>
      <c r="F93" s="125"/>
      <c r="G93" s="93"/>
      <c r="H93" s="94"/>
      <c r="I93" s="14" t="s">
        <v>147</v>
      </c>
      <c r="J93" s="30">
        <f ca="1">(IF(B82=1,(H82/(B82+3)+J88),IF(B82=0,(H82/4+J88),IF(B82&gt;1,0))))</f>
        <v>3</v>
      </c>
    </row>
    <row r="94" spans="1:10" ht="16.5" thickBot="1" x14ac:dyDescent="0.3">
      <c r="A94" s="127" t="s">
        <v>134</v>
      </c>
      <c r="B94" s="128"/>
      <c r="C94" s="44">
        <v>0</v>
      </c>
      <c r="D94" s="20">
        <f ca="1">((100/(H82))*C94)/100</f>
        <v>0</v>
      </c>
      <c r="E94" s="95"/>
      <c r="F94" s="126"/>
      <c r="G94" s="95"/>
      <c r="H94" s="96"/>
      <c r="I94" s="15" t="s">
        <v>104</v>
      </c>
      <c r="J94" s="32">
        <f ca="1">(IF(B82&gt;1.5,(H82/(B82+2)+J88+MAX(0,J89-J88)+MAX(0,J90-J89)+MAX(0,J91-J90)+MAX(0,J92-J91)+MAX(0,J93-J92)),IF(B82=1,(H82/(B82+3)+J93),IF(B82=0,H82/4+J93))))</f>
        <v>4</v>
      </c>
    </row>
    <row r="95" spans="1:10" ht="15.75" hidden="1" customHeight="1" x14ac:dyDescent="0.25">
      <c r="A95" s="134" t="s">
        <v>140</v>
      </c>
      <c r="B95" s="135"/>
      <c r="C95" s="136" t="str">
        <f>D59</f>
        <v>Wing C (Type C1) = Gr(Pt)/St(Pt) + 1st to 4th Floor</v>
      </c>
      <c r="D95" s="137"/>
      <c r="E95" s="137"/>
      <c r="F95" s="137"/>
      <c r="G95" s="137"/>
      <c r="H95" s="138"/>
      <c r="I95" s="48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Slab, Brickwork, Internal Plaster, External Plaster Completed </v>
      </c>
      <c r="J95" s="49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s="23" customFormat="1" hidden="1" x14ac:dyDescent="0.25">
      <c r="A96" s="16" t="s">
        <v>142</v>
      </c>
      <c r="B96" s="47">
        <v>0</v>
      </c>
      <c r="C96" s="47" t="s">
        <v>76</v>
      </c>
      <c r="D96" s="47">
        <v>1</v>
      </c>
      <c r="E96" s="47" t="s">
        <v>75</v>
      </c>
      <c r="F96" s="47">
        <v>0</v>
      </c>
      <c r="G96" s="47" t="s">
        <v>85</v>
      </c>
      <c r="H96" s="17">
        <f ca="1">--TRIM(RIGHT(SUBSTITUTE(LEFT(C95,_xlfn.AGGREGATE(16,6,FIND({0,1,2,3,4,5,6,7,8,9},C95,ROW(INDIRECT("1:"&amp;LEN(C95)))),1))," ",REPT(" ",LEN(C95))),LEN(C95)))</f>
        <v>4</v>
      </c>
      <c r="I96" s="54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Slab, Brickwork, Internal Plaster, External Plaster</v>
      </c>
      <c r="J96" s="55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0.6" hidden="1" customHeight="1" x14ac:dyDescent="0.25">
      <c r="A97" s="101" t="s">
        <v>95</v>
      </c>
      <c r="B97" s="102"/>
      <c r="C97" s="103" t="str">
        <f ca="1">(IF($G$52="NA",I95,"All work Completed. OC Received."))</f>
        <v xml:space="preserve">Excavation, Plinth, RCC Slab, Brickwork, Internal Plaster, External Plaster Completed </v>
      </c>
      <c r="D97" s="103"/>
      <c r="E97" s="103"/>
      <c r="F97" s="103"/>
      <c r="G97" s="103"/>
      <c r="H97" s="104"/>
      <c r="I97" s="50" t="str">
        <f ca="1">IF(I96&lt;&gt;""," Completed","")</f>
        <v xml:space="preserve"> Completed</v>
      </c>
      <c r="J97" s="51" t="str">
        <f ca="1">IF(J95&lt;&gt;"","Completed","")</f>
        <v/>
      </c>
    </row>
    <row r="98" spans="1:10" ht="15.75" hidden="1" customHeight="1" x14ac:dyDescent="0.25">
      <c r="A98" s="89" t="s">
        <v>52</v>
      </c>
      <c r="B98" s="90"/>
      <c r="C98" s="43" t="s">
        <v>139</v>
      </c>
      <c r="D98" s="43" t="s">
        <v>88</v>
      </c>
      <c r="E98" s="90" t="s">
        <v>90</v>
      </c>
      <c r="F98" s="90"/>
      <c r="G98" s="90" t="s">
        <v>89</v>
      </c>
      <c r="H98" s="105"/>
      <c r="I98" s="14" t="s">
        <v>141</v>
      </c>
      <c r="J98" s="28">
        <f ca="1">H96*25%</f>
        <v>1</v>
      </c>
    </row>
    <row r="99" spans="1:10" hidden="1" x14ac:dyDescent="0.25">
      <c r="A99" s="89" t="s">
        <v>128</v>
      </c>
      <c r="B99" s="90"/>
      <c r="C99" s="43">
        <f ca="1">J100</f>
        <v>4</v>
      </c>
      <c r="D99" s="19">
        <f ca="1">((100/H96)*C99)/100</f>
        <v>1</v>
      </c>
      <c r="E99" s="91">
        <f ca="1">(((C100/H96*10)+(40/(D96+F96+H96)*C101)+(7.5/(H96)*C102)+(7.5/(H96)*C103)+(10/H96*C104)+(10/H96*C105)+(5/H96*C106)+(5/H96*C107)+(5/H96*C108))/100)</f>
        <v>0.75</v>
      </c>
      <c r="F99" s="124"/>
      <c r="G99" s="91">
        <f ca="1">((((C99/H96)*20)+((C100/H96)*25)+(30/(H96+F96+D96)*C101)+(5/H96*C102)+(5/H96*C103)+(5/H96*C104)+(5/H96*C105)+(0/H96*C106)+(0/H96*C107)+(5/H96*C108))/100)</f>
        <v>0.9</v>
      </c>
      <c r="H99" s="92"/>
      <c r="I99" s="14" t="s">
        <v>100</v>
      </c>
      <c r="J99" s="29">
        <f ca="1">H96*50%</f>
        <v>2</v>
      </c>
    </row>
    <row r="100" spans="1:10" hidden="1" x14ac:dyDescent="0.25">
      <c r="A100" s="89" t="s">
        <v>53</v>
      </c>
      <c r="B100" s="90"/>
      <c r="C100" s="43">
        <f ca="1">J108</f>
        <v>4</v>
      </c>
      <c r="D100" s="19">
        <f ca="1">((100/H96)*C100)/100</f>
        <v>1</v>
      </c>
      <c r="E100" s="93"/>
      <c r="F100" s="125"/>
      <c r="G100" s="93"/>
      <c r="H100" s="94"/>
      <c r="I100" s="14" t="s">
        <v>101</v>
      </c>
      <c r="J100" s="29">
        <f ca="1">H96</f>
        <v>4</v>
      </c>
    </row>
    <row r="101" spans="1:10" ht="15.75" hidden="1" customHeight="1" x14ac:dyDescent="0.25">
      <c r="A101" s="89" t="s">
        <v>129</v>
      </c>
      <c r="B101" s="90"/>
      <c r="C101" s="43">
        <v>5</v>
      </c>
      <c r="D101" s="19">
        <f ca="1">((100/(D96+F96+H96))*C101)/100</f>
        <v>1</v>
      </c>
      <c r="E101" s="93"/>
      <c r="F101" s="125"/>
      <c r="G101" s="93"/>
      <c r="H101" s="94"/>
      <c r="I101" s="14" t="s">
        <v>102</v>
      </c>
      <c r="J101" s="30">
        <f ca="1">(IF(B96&gt;1,(H96/(B96+2)),H96/4))</f>
        <v>1</v>
      </c>
    </row>
    <row r="102" spans="1:10" ht="15.75" hidden="1" customHeight="1" x14ac:dyDescent="0.25">
      <c r="A102" s="89" t="s">
        <v>136</v>
      </c>
      <c r="B102" s="90" t="s">
        <v>130</v>
      </c>
      <c r="C102" s="43">
        <v>4</v>
      </c>
      <c r="D102" s="19">
        <f ca="1">((100/H96)*C102)/100</f>
        <v>1</v>
      </c>
      <c r="E102" s="93"/>
      <c r="F102" s="125"/>
      <c r="G102" s="93"/>
      <c r="H102" s="94"/>
      <c r="I102" s="14" t="s">
        <v>103</v>
      </c>
      <c r="J102" s="30">
        <f ca="1">(IF(B96&gt;1,(H96/(B96+2)+J101),H96/4+J101))</f>
        <v>2</v>
      </c>
    </row>
    <row r="103" spans="1:10" ht="15.75" hidden="1" customHeight="1" x14ac:dyDescent="0.25">
      <c r="A103" s="89" t="s">
        <v>137</v>
      </c>
      <c r="B103" s="90" t="s">
        <v>130</v>
      </c>
      <c r="C103" s="43">
        <v>4</v>
      </c>
      <c r="D103" s="19">
        <f ca="1">((100/H96)*C103)/100</f>
        <v>1</v>
      </c>
      <c r="E103" s="93"/>
      <c r="F103" s="125"/>
      <c r="G103" s="93"/>
      <c r="H103" s="94"/>
      <c r="I103" s="14" t="s">
        <v>146</v>
      </c>
      <c r="J103" s="30">
        <f>(IF(B96&gt;1,(H96/(B96+2)+J102),0))</f>
        <v>0</v>
      </c>
    </row>
    <row r="104" spans="1:10" ht="15" hidden="1" customHeight="1" x14ac:dyDescent="0.25">
      <c r="A104" s="89" t="s">
        <v>135</v>
      </c>
      <c r="B104" s="90" t="s">
        <v>132</v>
      </c>
      <c r="C104" s="43">
        <v>4</v>
      </c>
      <c r="D104" s="19">
        <f ca="1">((100/(H96))*C104)/100</f>
        <v>1</v>
      </c>
      <c r="E104" s="93"/>
      <c r="F104" s="125"/>
      <c r="G104" s="93"/>
      <c r="H104" s="94"/>
      <c r="I104" s="14" t="s">
        <v>143</v>
      </c>
      <c r="J104" s="30">
        <f>(IF(B96&gt;2,(H96/(B96+2)+J103),0))</f>
        <v>0</v>
      </c>
    </row>
    <row r="105" spans="1:10" ht="15.75" hidden="1" customHeight="1" x14ac:dyDescent="0.25">
      <c r="A105" s="89" t="s">
        <v>131</v>
      </c>
      <c r="B105" s="90" t="s">
        <v>131</v>
      </c>
      <c r="C105" s="43">
        <v>0</v>
      </c>
      <c r="D105" s="19">
        <f ca="1">((100/H96)*C105)/100</f>
        <v>0</v>
      </c>
      <c r="E105" s="93"/>
      <c r="F105" s="125"/>
      <c r="G105" s="93"/>
      <c r="H105" s="94"/>
      <c r="I105" s="14" t="s">
        <v>144</v>
      </c>
      <c r="J105" s="31">
        <f>(IF(B96&gt;3,(H96/(B96+2)+J104),0))</f>
        <v>0</v>
      </c>
    </row>
    <row r="106" spans="1:10" ht="15.75" hidden="1" customHeight="1" x14ac:dyDescent="0.25">
      <c r="A106" s="89" t="s">
        <v>138</v>
      </c>
      <c r="B106" s="90"/>
      <c r="C106" s="43">
        <v>0</v>
      </c>
      <c r="D106" s="19">
        <f ca="1">((100/H96)*C106)/100</f>
        <v>0</v>
      </c>
      <c r="E106" s="93"/>
      <c r="F106" s="125"/>
      <c r="G106" s="93"/>
      <c r="H106" s="94"/>
      <c r="I106" s="14" t="s">
        <v>145</v>
      </c>
      <c r="J106" s="30">
        <f>(IF(B96&gt;4,(H96/(B96+2)+J105),0))</f>
        <v>0</v>
      </c>
    </row>
    <row r="107" spans="1:10" ht="15.75" hidden="1" customHeight="1" x14ac:dyDescent="0.25">
      <c r="A107" s="89" t="s">
        <v>133</v>
      </c>
      <c r="B107" s="90" t="s">
        <v>133</v>
      </c>
      <c r="C107" s="43">
        <v>0</v>
      </c>
      <c r="D107" s="19">
        <f ca="1">((100/(H96))*C107)/100</f>
        <v>0</v>
      </c>
      <c r="E107" s="93"/>
      <c r="F107" s="125"/>
      <c r="G107" s="93"/>
      <c r="H107" s="94"/>
      <c r="I107" s="14" t="s">
        <v>147</v>
      </c>
      <c r="J107" s="30">
        <f ca="1">(IF(B96=1,(H96/(B96+3)+J102),IF(B96=0,(H96/4+J102),IF(B96&gt;1,0))))</f>
        <v>3</v>
      </c>
    </row>
    <row r="108" spans="1:10" ht="16.5" hidden="1" thickBot="1" x14ac:dyDescent="0.3">
      <c r="A108" s="127" t="s">
        <v>134</v>
      </c>
      <c r="B108" s="128"/>
      <c r="C108" s="44">
        <v>0</v>
      </c>
      <c r="D108" s="20">
        <f ca="1">((100/(H96))*C108)/100</f>
        <v>0</v>
      </c>
      <c r="E108" s="95"/>
      <c r="F108" s="126"/>
      <c r="G108" s="95"/>
      <c r="H108" s="96"/>
      <c r="I108" s="15" t="s">
        <v>104</v>
      </c>
      <c r="J108" s="32">
        <f ca="1">(IF(B96&gt;1.5,(H96/(B96+2)+J102+MAX(0,J103-J102)+MAX(0,J104-J103)+MAX(0,J105-J104)+MAX(0,J106-J105)+MAX(0,J107-J106)),IF(B96=1,(H96/(B96+3)+J107),IF(B96=0,H96/4+J107))))</f>
        <v>4</v>
      </c>
    </row>
    <row r="109" spans="1:10" x14ac:dyDescent="0.25">
      <c r="A109" s="119" t="s">
        <v>157</v>
      </c>
      <c r="B109" s="119"/>
      <c r="C109" s="119"/>
      <c r="D109" s="119"/>
      <c r="E109" s="119"/>
      <c r="F109" s="129" t="s">
        <v>160</v>
      </c>
      <c r="G109" s="129"/>
      <c r="H109" s="129"/>
    </row>
    <row r="110" spans="1:10" x14ac:dyDescent="0.25">
      <c r="A110" s="98" t="s">
        <v>159</v>
      </c>
      <c r="B110" s="98"/>
      <c r="C110" s="98"/>
      <c r="D110" s="98"/>
      <c r="E110" s="98"/>
      <c r="F110" s="97">
        <v>3200</v>
      </c>
      <c r="G110" s="97"/>
      <c r="H110" s="97"/>
    </row>
    <row r="111" spans="1:10" x14ac:dyDescent="0.25">
      <c r="A111" s="98" t="s">
        <v>158</v>
      </c>
      <c r="B111" s="98"/>
      <c r="C111" s="98"/>
      <c r="D111" s="98"/>
      <c r="E111" s="98"/>
      <c r="F111" s="97">
        <v>6000</v>
      </c>
      <c r="G111" s="97"/>
      <c r="H111" s="97"/>
    </row>
    <row r="112" spans="1:10" x14ac:dyDescent="0.25">
      <c r="A112" s="98" t="s">
        <v>54</v>
      </c>
      <c r="B112" s="98"/>
      <c r="C112" s="98"/>
      <c r="D112" s="98"/>
      <c r="E112" s="98"/>
      <c r="F112" s="97">
        <v>100000</v>
      </c>
      <c r="G112" s="97"/>
      <c r="H112" s="97"/>
    </row>
    <row r="113" spans="1:11" s="33" customFormat="1" x14ac:dyDescent="0.25">
      <c r="A113" s="139" t="s">
        <v>55</v>
      </c>
      <c r="B113" s="139"/>
      <c r="C113" s="139"/>
      <c r="D113" s="139"/>
      <c r="E113" s="139"/>
      <c r="F113" s="97">
        <f>F110*0.8</f>
        <v>2560</v>
      </c>
      <c r="G113" s="97"/>
      <c r="H113" s="97"/>
    </row>
    <row r="114" spans="1:11" s="34" customFormat="1" ht="15.75" customHeight="1" x14ac:dyDescent="0.25">
      <c r="A114" s="116" t="s">
        <v>80</v>
      </c>
      <c r="B114" s="116"/>
      <c r="C114" s="116"/>
      <c r="D114" s="116"/>
      <c r="E114" s="116"/>
      <c r="F114" s="116"/>
      <c r="G114" s="116"/>
      <c r="H114" s="116"/>
    </row>
    <row r="115" spans="1:11" s="34" customFormat="1" ht="15.75" customHeight="1" x14ac:dyDescent="0.25">
      <c r="A115" s="109" t="s">
        <v>56</v>
      </c>
      <c r="B115" s="109"/>
      <c r="C115" s="107" t="s">
        <v>83</v>
      </c>
      <c r="D115" s="107"/>
      <c r="E115" s="108" t="s">
        <v>57</v>
      </c>
      <c r="F115" s="108"/>
      <c r="G115" s="109" t="s">
        <v>58</v>
      </c>
      <c r="H115" s="109"/>
    </row>
    <row r="116" spans="1:11" s="34" customFormat="1" x14ac:dyDescent="0.25">
      <c r="A116" s="110" t="s">
        <v>197</v>
      </c>
      <c r="B116" s="110"/>
      <c r="C116" s="111">
        <f>COUNT(D131:D137)</f>
        <v>7</v>
      </c>
      <c r="D116" s="113"/>
      <c r="E116" s="112">
        <f>SUM(D131:D137)</f>
        <v>992.54844000000003</v>
      </c>
      <c r="F116" s="114"/>
      <c r="G116" s="112">
        <f>SUM(F131:F137)</f>
        <v>1488.82266</v>
      </c>
      <c r="H116" s="114"/>
    </row>
    <row r="117" spans="1:11" s="34" customFormat="1" hidden="1" x14ac:dyDescent="0.25">
      <c r="A117" s="110"/>
      <c r="B117" s="110"/>
      <c r="C117" s="113"/>
      <c r="D117" s="113"/>
      <c r="E117" s="114"/>
      <c r="F117" s="114"/>
      <c r="G117" s="115"/>
      <c r="H117" s="115"/>
    </row>
    <row r="118" spans="1:11" s="34" customFormat="1" hidden="1" x14ac:dyDescent="0.25">
      <c r="A118" s="116" t="s">
        <v>150</v>
      </c>
      <c r="B118" s="116"/>
      <c r="C118" s="107"/>
      <c r="D118" s="107"/>
      <c r="E118" s="108"/>
      <c r="F118" s="108"/>
      <c r="G118" s="109"/>
      <c r="H118" s="109"/>
    </row>
    <row r="119" spans="1:11" s="34" customFormat="1" x14ac:dyDescent="0.25">
      <c r="A119" s="116" t="s">
        <v>74</v>
      </c>
      <c r="B119" s="116"/>
      <c r="C119" s="116"/>
      <c r="D119" s="116"/>
      <c r="E119" s="116"/>
      <c r="F119" s="116"/>
      <c r="G119" s="116"/>
      <c r="H119" s="116"/>
    </row>
    <row r="120" spans="1:11" s="34" customFormat="1" ht="15.75" customHeight="1" x14ac:dyDescent="0.25">
      <c r="A120" s="109" t="s">
        <v>56</v>
      </c>
      <c r="B120" s="109"/>
      <c r="C120" s="107" t="s">
        <v>83</v>
      </c>
      <c r="D120" s="107"/>
      <c r="E120" s="108" t="s">
        <v>57</v>
      </c>
      <c r="F120" s="108"/>
      <c r="G120" s="109" t="s">
        <v>58</v>
      </c>
      <c r="H120" s="109"/>
    </row>
    <row r="121" spans="1:11" s="34" customFormat="1" x14ac:dyDescent="0.25">
      <c r="A121" s="110" t="s">
        <v>186</v>
      </c>
      <c r="B121" s="110"/>
      <c r="C121" s="111">
        <f>COUNT(D143:D144)+COUNT(D146:D151)*4</f>
        <v>26</v>
      </c>
      <c r="D121" s="111"/>
      <c r="E121" s="112">
        <f>SUM(D143:D144)+SUM(D146:D151)*4</f>
        <v>10275.74496</v>
      </c>
      <c r="F121" s="112"/>
      <c r="G121" s="112">
        <f>SUM(F143:F144)+SUM(F146:F151)*4</f>
        <v>14899.830191999999</v>
      </c>
      <c r="H121" s="112"/>
    </row>
    <row r="122" spans="1:11" s="34" customFormat="1" x14ac:dyDescent="0.25">
      <c r="A122" s="110" t="s">
        <v>193</v>
      </c>
      <c r="B122" s="110"/>
      <c r="C122" s="111">
        <f>COUNT(D154:D155)+COUNT(D157:D160)*4</f>
        <v>18</v>
      </c>
      <c r="D122" s="111"/>
      <c r="E122" s="112">
        <f>SUM(D154:D155)+SUM(D157:D160)*4</f>
        <v>7311.7699199999997</v>
      </c>
      <c r="F122" s="112"/>
      <c r="G122" s="112">
        <f>SUM(F154:F155)+SUM(F157:F160)*4</f>
        <v>10602.066384</v>
      </c>
      <c r="H122" s="112"/>
    </row>
    <row r="123" spans="1:11" s="34" customFormat="1" x14ac:dyDescent="0.25">
      <c r="A123" s="110" t="s">
        <v>194</v>
      </c>
      <c r="B123" s="110"/>
      <c r="C123" s="111">
        <f>COUNT(D163:D170)+COUNT(D172:D179)*3</f>
        <v>30</v>
      </c>
      <c r="D123" s="111"/>
      <c r="E123" s="112">
        <f>SUM(D163:D167,D170)+SUM(D172:D179)*3</f>
        <v>10545.14097</v>
      </c>
      <c r="F123" s="112"/>
      <c r="G123" s="112">
        <f>SUM(F163:F167,F170)+SUM(F172:F179)*3</f>
        <v>15290.454406499997</v>
      </c>
      <c r="H123" s="112"/>
      <c r="J123" s="34">
        <f>8*4-2</f>
        <v>30</v>
      </c>
    </row>
    <row r="124" spans="1:11" s="34" customFormat="1" x14ac:dyDescent="0.25">
      <c r="A124" s="116" t="s">
        <v>150</v>
      </c>
      <c r="B124" s="116"/>
      <c r="C124" s="106">
        <f>SUM(C121:C123)</f>
        <v>74</v>
      </c>
      <c r="D124" s="107"/>
      <c r="E124" s="117">
        <f>SUM(E121:E123)</f>
        <v>28132.655849999999</v>
      </c>
      <c r="F124" s="108"/>
      <c r="G124" s="109">
        <f>SUM(G121:G123)</f>
        <v>40792.350982499993</v>
      </c>
      <c r="H124" s="109"/>
    </row>
    <row r="125" spans="1:11" s="33" customFormat="1" x14ac:dyDescent="0.25">
      <c r="A125" s="118" t="s">
        <v>59</v>
      </c>
      <c r="B125" s="118"/>
      <c r="C125" s="118"/>
      <c r="D125" s="118"/>
      <c r="E125" s="118"/>
      <c r="F125" s="118"/>
      <c r="G125" s="118"/>
      <c r="H125" s="118"/>
    </row>
    <row r="126" spans="1:11" x14ac:dyDescent="0.25">
      <c r="A126" s="118" t="s">
        <v>60</v>
      </c>
      <c r="B126" s="118"/>
      <c r="C126" s="118"/>
      <c r="D126" s="118"/>
      <c r="E126" s="118"/>
      <c r="F126" s="118"/>
      <c r="G126" s="118"/>
      <c r="H126" s="118"/>
    </row>
    <row r="127" spans="1:11" ht="47.25" customHeight="1" x14ac:dyDescent="0.25">
      <c r="A127" s="99" t="s">
        <v>120</v>
      </c>
      <c r="B127" s="99" t="s">
        <v>119</v>
      </c>
      <c r="C127" s="99" t="s">
        <v>61</v>
      </c>
      <c r="D127" s="99" t="s">
        <v>62</v>
      </c>
      <c r="E127" s="176" t="s">
        <v>156</v>
      </c>
      <c r="F127" s="42" t="s">
        <v>149</v>
      </c>
      <c r="G127" s="81" t="s">
        <v>64</v>
      </c>
      <c r="H127" s="178"/>
    </row>
    <row r="128" spans="1:11" s="36" customFormat="1" x14ac:dyDescent="0.25">
      <c r="A128" s="100"/>
      <c r="B128" s="100"/>
      <c r="C128" s="100"/>
      <c r="D128" s="100"/>
      <c r="E128" s="177"/>
      <c r="F128" s="13">
        <v>0.5</v>
      </c>
      <c r="G128" s="82"/>
      <c r="H128" s="179"/>
      <c r="K128" s="52">
        <v>10.763999999999999</v>
      </c>
    </row>
    <row r="129" spans="1:14" s="36" customFormat="1" x14ac:dyDescent="0.25">
      <c r="A129" s="78" t="s">
        <v>186</v>
      </c>
      <c r="B129" s="79"/>
      <c r="C129" s="79"/>
      <c r="D129" s="79"/>
      <c r="E129" s="79"/>
      <c r="F129" s="79"/>
      <c r="G129" s="79"/>
      <c r="H129" s="80"/>
      <c r="J129" s="35"/>
    </row>
    <row r="130" spans="1:14" s="36" customFormat="1" x14ac:dyDescent="0.25">
      <c r="A130" s="78" t="s">
        <v>188</v>
      </c>
      <c r="B130" s="79"/>
      <c r="C130" s="79"/>
      <c r="D130" s="79"/>
      <c r="E130" s="79"/>
      <c r="F130" s="79"/>
      <c r="G130" s="79"/>
      <c r="H130" s="80"/>
      <c r="J130" s="35"/>
    </row>
    <row r="131" spans="1:14" s="36" customFormat="1" ht="15.75" customHeight="1" x14ac:dyDescent="0.25">
      <c r="A131" s="74">
        <v>1</v>
      </c>
      <c r="B131" s="75"/>
      <c r="C131" s="41" t="s">
        <v>187</v>
      </c>
      <c r="D131" s="52">
        <f>(14.36)*10.764</f>
        <v>154.57103999999998</v>
      </c>
      <c r="E131" s="41">
        <v>0</v>
      </c>
      <c r="F131" s="41">
        <f>(D131+E131)*(($F$128)+1)</f>
        <v>231.85655999999997</v>
      </c>
      <c r="G131" s="64" t="str">
        <f>A130</f>
        <v>Ground Floor For Commercial &amp; Parking</v>
      </c>
      <c r="H131" s="65"/>
      <c r="I131" s="35">
        <f>4.95*2.9</f>
        <v>14.355</v>
      </c>
      <c r="L131" s="63"/>
      <c r="M131" s="63"/>
      <c r="N131" s="35"/>
    </row>
    <row r="132" spans="1:14" s="36" customFormat="1" ht="15.75" customHeight="1" x14ac:dyDescent="0.25">
      <c r="A132" s="74">
        <f t="shared" ref="A132:A137" si="0">A131+1</f>
        <v>2</v>
      </c>
      <c r="B132" s="75"/>
      <c r="C132" s="41" t="s">
        <v>187</v>
      </c>
      <c r="D132" s="52">
        <f>(11.62)*10.764</f>
        <v>125.07767999999999</v>
      </c>
      <c r="E132" s="41">
        <v>0</v>
      </c>
      <c r="F132" s="41">
        <f t="shared" ref="F132:F134" si="1">(D132+E132)*(($F$128)+1)</f>
        <v>187.61651999999998</v>
      </c>
      <c r="G132" s="66"/>
      <c r="H132" s="67"/>
      <c r="I132" s="35">
        <f>4.95*2.15</f>
        <v>10.6425</v>
      </c>
      <c r="L132" s="63"/>
      <c r="M132" s="63"/>
      <c r="N132" s="35"/>
    </row>
    <row r="133" spans="1:14" s="36" customFormat="1" ht="15.75" customHeight="1" x14ac:dyDescent="0.25">
      <c r="A133" s="74">
        <f t="shared" si="0"/>
        <v>3</v>
      </c>
      <c r="B133" s="75"/>
      <c r="C133" s="41" t="s">
        <v>187</v>
      </c>
      <c r="D133" s="52">
        <f>(15.4)*10.764</f>
        <v>165.76560000000001</v>
      </c>
      <c r="E133" s="41">
        <v>0</v>
      </c>
      <c r="F133" s="41">
        <f t="shared" si="1"/>
        <v>248.64840000000001</v>
      </c>
      <c r="G133" s="66"/>
      <c r="H133" s="67"/>
      <c r="I133" s="35"/>
      <c r="L133" s="63"/>
      <c r="M133" s="63"/>
      <c r="N133" s="35"/>
    </row>
    <row r="134" spans="1:14" s="36" customFormat="1" ht="15.75" customHeight="1" x14ac:dyDescent="0.25">
      <c r="A134" s="74">
        <f t="shared" si="0"/>
        <v>4</v>
      </c>
      <c r="B134" s="75"/>
      <c r="C134" s="41" t="s">
        <v>187</v>
      </c>
      <c r="D134" s="52">
        <f>(15.4)*10.764</f>
        <v>165.76560000000001</v>
      </c>
      <c r="E134" s="41">
        <v>0</v>
      </c>
      <c r="F134" s="41">
        <f t="shared" si="1"/>
        <v>248.64840000000001</v>
      </c>
      <c r="G134" s="66"/>
      <c r="H134" s="67"/>
      <c r="I134" s="35"/>
      <c r="L134" s="63"/>
      <c r="M134" s="63"/>
      <c r="N134" s="35"/>
    </row>
    <row r="135" spans="1:14" s="36" customFormat="1" ht="15.75" customHeight="1" x14ac:dyDescent="0.25">
      <c r="A135" s="74">
        <f t="shared" si="0"/>
        <v>5</v>
      </c>
      <c r="B135" s="75"/>
      <c r="C135" s="41" t="s">
        <v>187</v>
      </c>
      <c r="D135" s="52">
        <f>(9.46)*10.764</f>
        <v>101.82744000000001</v>
      </c>
      <c r="E135" s="41">
        <v>0</v>
      </c>
      <c r="F135" s="41">
        <f t="shared" ref="F135:F137" si="2">(D135+E135)*(($F$128)+1)</f>
        <v>152.74116000000001</v>
      </c>
      <c r="G135" s="66"/>
      <c r="H135" s="67"/>
      <c r="I135" s="35"/>
      <c r="L135" s="63"/>
      <c r="M135" s="63"/>
      <c r="N135" s="35"/>
    </row>
    <row r="136" spans="1:14" s="36" customFormat="1" ht="15.75" customHeight="1" x14ac:dyDescent="0.25">
      <c r="A136" s="74">
        <f t="shared" si="0"/>
        <v>6</v>
      </c>
      <c r="B136" s="75"/>
      <c r="C136" s="41" t="s">
        <v>187</v>
      </c>
      <c r="D136" s="52">
        <f>(14.08)*10.764</f>
        <v>151.55712</v>
      </c>
      <c r="E136" s="41">
        <v>0</v>
      </c>
      <c r="F136" s="41">
        <f t="shared" si="2"/>
        <v>227.33568</v>
      </c>
      <c r="G136" s="66"/>
      <c r="H136" s="67"/>
      <c r="I136" s="35"/>
      <c r="L136" s="63"/>
      <c r="M136" s="63"/>
      <c r="N136" s="35"/>
    </row>
    <row r="137" spans="1:14" s="36" customFormat="1" ht="15.75" customHeight="1" x14ac:dyDescent="0.25">
      <c r="A137" s="74">
        <f t="shared" si="0"/>
        <v>7</v>
      </c>
      <c r="B137" s="75"/>
      <c r="C137" s="41" t="s">
        <v>187</v>
      </c>
      <c r="D137" s="52">
        <f>(11.89)*10.764</f>
        <v>127.98396</v>
      </c>
      <c r="E137" s="41">
        <v>0</v>
      </c>
      <c r="F137" s="41">
        <f t="shared" si="2"/>
        <v>191.97593999999998</v>
      </c>
      <c r="G137" s="68"/>
      <c r="H137" s="69"/>
      <c r="I137" s="35"/>
      <c r="L137" s="63"/>
      <c r="M137" s="63"/>
      <c r="N137" s="35"/>
    </row>
    <row r="138" spans="1:14" s="36" customFormat="1" x14ac:dyDescent="0.25">
      <c r="A138" s="74"/>
      <c r="B138" s="83"/>
      <c r="C138" s="83"/>
      <c r="D138" s="83"/>
      <c r="E138" s="83"/>
      <c r="F138" s="83"/>
      <c r="G138" s="83"/>
      <c r="H138" s="75"/>
      <c r="I138" s="35"/>
      <c r="N138" s="35"/>
    </row>
    <row r="139" spans="1:14" ht="47.25" customHeight="1" x14ac:dyDescent="0.25">
      <c r="A139" s="81" t="s">
        <v>121</v>
      </c>
      <c r="B139" s="81" t="s">
        <v>122</v>
      </c>
      <c r="C139" s="99" t="s">
        <v>61</v>
      </c>
      <c r="D139" s="99" t="s">
        <v>62</v>
      </c>
      <c r="E139" s="176" t="s">
        <v>63</v>
      </c>
      <c r="F139" s="42" t="s">
        <v>149</v>
      </c>
      <c r="G139" s="81" t="s">
        <v>64</v>
      </c>
      <c r="H139" s="178"/>
      <c r="I139" s="35"/>
    </row>
    <row r="140" spans="1:14" s="36" customFormat="1" x14ac:dyDescent="0.25">
      <c r="A140" s="82"/>
      <c r="B140" s="82"/>
      <c r="C140" s="100"/>
      <c r="D140" s="100"/>
      <c r="E140" s="177"/>
      <c r="F140" s="13">
        <v>0.45</v>
      </c>
      <c r="G140" s="82"/>
      <c r="H140" s="179"/>
      <c r="I140" s="35"/>
    </row>
    <row r="141" spans="1:14" s="36" customFormat="1" x14ac:dyDescent="0.25">
      <c r="A141" s="78" t="s">
        <v>186</v>
      </c>
      <c r="B141" s="79"/>
      <c r="C141" s="79"/>
      <c r="D141" s="79"/>
      <c r="E141" s="79"/>
      <c r="F141" s="79"/>
      <c r="G141" s="79"/>
      <c r="H141" s="80"/>
      <c r="J141" s="35"/>
      <c r="K141" s="52">
        <v>10.763999999999999</v>
      </c>
    </row>
    <row r="142" spans="1:14" s="36" customFormat="1" x14ac:dyDescent="0.25">
      <c r="A142" s="78" t="s">
        <v>189</v>
      </c>
      <c r="B142" s="79"/>
      <c r="C142" s="79"/>
      <c r="D142" s="79"/>
      <c r="E142" s="79"/>
      <c r="F142" s="79"/>
      <c r="G142" s="79"/>
      <c r="H142" s="80"/>
      <c r="J142" s="35"/>
    </row>
    <row r="143" spans="1:14" s="36" customFormat="1" ht="15.75" customHeight="1" x14ac:dyDescent="0.25">
      <c r="A143" s="74">
        <v>1</v>
      </c>
      <c r="B143" s="75"/>
      <c r="C143" s="41" t="s">
        <v>190</v>
      </c>
      <c r="D143" s="52">
        <f>(20.5)*10.764</f>
        <v>220.66199999999998</v>
      </c>
      <c r="E143" s="41">
        <v>0</v>
      </c>
      <c r="F143" s="41">
        <f>D143*(($F$140)+1)+(IF(E143&lt;101,E143,IF(E143&lt;201,E143/2,IF(E143&lt;=301,E143/3,E143/4))))</f>
        <v>319.95989999999995</v>
      </c>
      <c r="G143" s="64" t="str">
        <f>A142</f>
        <v>Ground Floor For Residential &amp; Parking</v>
      </c>
      <c r="H143" s="65"/>
      <c r="I143" s="35">
        <f>2.45*1.35+2.75*2.9+2.15*2.9+2.45*1.2</f>
        <v>20.4575</v>
      </c>
      <c r="L143" s="63"/>
      <c r="M143" s="63"/>
      <c r="N143" s="35"/>
    </row>
    <row r="144" spans="1:14" s="36" customFormat="1" ht="15.75" customHeight="1" x14ac:dyDescent="0.25">
      <c r="A144" s="74">
        <f t="shared" ref="A144" si="3">A143+1</f>
        <v>2</v>
      </c>
      <c r="B144" s="75"/>
      <c r="C144" s="41" t="s">
        <v>191</v>
      </c>
      <c r="D144" s="52">
        <f>(31.96)*10.764</f>
        <v>344.01743999999997</v>
      </c>
      <c r="E144" s="41">
        <v>0</v>
      </c>
      <c r="F144" s="41">
        <f>D144*(($F$140)+1)+(IF(E144&lt;101,E144,IF(E144&lt;201,E144/2,IF(E144&lt;=301,E144/3,E144/4))))</f>
        <v>498.82528799999994</v>
      </c>
      <c r="G144" s="68"/>
      <c r="H144" s="69"/>
      <c r="I144" s="35">
        <f>2.75*4.4+2*0.3+2.15*2.75+2.9*2.75+1.55*0.6+1.85*1.2</f>
        <v>29.737499999999997</v>
      </c>
      <c r="L144" s="63"/>
      <c r="M144" s="63"/>
      <c r="N144" s="35"/>
    </row>
    <row r="145" spans="1:14" s="36" customFormat="1" x14ac:dyDescent="0.25">
      <c r="A145" s="62" t="s">
        <v>192</v>
      </c>
      <c r="B145" s="62"/>
      <c r="C145" s="62"/>
      <c r="D145" s="62"/>
      <c r="E145" s="62"/>
      <c r="F145" s="62"/>
      <c r="G145" s="62"/>
      <c r="H145" s="62"/>
      <c r="I145" s="35"/>
      <c r="L145" s="63"/>
      <c r="M145" s="63"/>
    </row>
    <row r="146" spans="1:14" s="36" customFormat="1" ht="15.75" customHeight="1" x14ac:dyDescent="0.25">
      <c r="A146" s="61">
        <v>1</v>
      </c>
      <c r="B146" s="61"/>
      <c r="C146" s="41" t="s">
        <v>191</v>
      </c>
      <c r="D146" s="52">
        <f>(32.51+0.75*(2.75+2.15+2.9))*10.764</f>
        <v>412.90703999999999</v>
      </c>
      <c r="E146" s="41">
        <v>0</v>
      </c>
      <c r="F146" s="41">
        <f t="shared" ref="F146:F147" si="4">D146*(($F$140)+1)+(IF(E146&lt;101,E146,IF(E146&lt;201,E146/2,IF(E146&lt;=301,E146/3,E146/4))))</f>
        <v>598.71520799999996</v>
      </c>
      <c r="G146" s="64" t="str">
        <f>A145</f>
        <v>1st to 4th Floor For Residential</v>
      </c>
      <c r="H146" s="65"/>
      <c r="I146" s="35"/>
      <c r="J146" s="36">
        <f>3300*F146</f>
        <v>1975760.1863999998</v>
      </c>
      <c r="K146" s="36">
        <f>3400*F146</f>
        <v>2035631.7071999998</v>
      </c>
      <c r="M146" s="36">
        <f>2000000/F146</f>
        <v>3340.4863836363415</v>
      </c>
      <c r="N146" s="35"/>
    </row>
    <row r="147" spans="1:14" s="36" customFormat="1" ht="15.75" customHeight="1" x14ac:dyDescent="0.25">
      <c r="A147" s="61">
        <f>A146+1</f>
        <v>2</v>
      </c>
      <c r="B147" s="61"/>
      <c r="C147" s="41" t="s">
        <v>191</v>
      </c>
      <c r="D147" s="52">
        <f>(31.91+0.75*(2.75+2.15+2.9))*10.764</f>
        <v>406.44863999999995</v>
      </c>
      <c r="E147" s="41">
        <v>0</v>
      </c>
      <c r="F147" s="41">
        <f t="shared" si="4"/>
        <v>589.35052799999994</v>
      </c>
      <c r="G147" s="66"/>
      <c r="H147" s="67"/>
      <c r="I147" s="35"/>
      <c r="J147" s="36">
        <f t="shared" ref="J147:J151" si="5">3300*F147</f>
        <v>1944856.7423999999</v>
      </c>
      <c r="K147" s="36">
        <f t="shared" ref="K147:K151" si="6">3400*F147</f>
        <v>2003791.7951999998</v>
      </c>
      <c r="M147" s="36">
        <f t="shared" ref="M147:M151" si="7">2000000/F147</f>
        <v>3393.5661460881906</v>
      </c>
      <c r="N147" s="35"/>
    </row>
    <row r="148" spans="1:14" s="36" customFormat="1" ht="15.75" customHeight="1" x14ac:dyDescent="0.25">
      <c r="A148" s="61">
        <f>A147+1</f>
        <v>3</v>
      </c>
      <c r="B148" s="61"/>
      <c r="C148" s="41" t="s">
        <v>191</v>
      </c>
      <c r="D148" s="52">
        <f>(31.91+0.75*(2.75+2.15+2.9))*10.764</f>
        <v>406.44863999999995</v>
      </c>
      <c r="E148" s="41">
        <v>0</v>
      </c>
      <c r="F148" s="41">
        <f>D148*(($F$140)+1)+(IF(E148&lt;101,E148,IF(E148&lt;201,E148/2,IF(E148&lt;=301,E148/3,E148/4))))</f>
        <v>589.35052799999994</v>
      </c>
      <c r="G148" s="66"/>
      <c r="H148" s="67"/>
      <c r="I148" s="35"/>
      <c r="J148" s="36">
        <f t="shared" si="5"/>
        <v>1944856.7423999999</v>
      </c>
      <c r="K148" s="36">
        <f t="shared" si="6"/>
        <v>2003791.7951999998</v>
      </c>
      <c r="M148" s="36">
        <f t="shared" si="7"/>
        <v>3393.5661460881906</v>
      </c>
      <c r="N148" s="35"/>
    </row>
    <row r="149" spans="1:14" s="36" customFormat="1" ht="15.75" customHeight="1" x14ac:dyDescent="0.25">
      <c r="A149" s="61">
        <f>A148+1</f>
        <v>4</v>
      </c>
      <c r="B149" s="61"/>
      <c r="C149" s="41" t="s">
        <v>191</v>
      </c>
      <c r="D149" s="52">
        <f>(31.91+0.75*(2.75+2.15+2.9))*10.764</f>
        <v>406.44863999999995</v>
      </c>
      <c r="E149" s="41">
        <v>0</v>
      </c>
      <c r="F149" s="41">
        <f>D149*(($F$140)+1)+(IF(E149&lt;101,E149,IF(E149&lt;201,E149/2,IF(E149&lt;=301,E149/3,E149/4))))</f>
        <v>589.35052799999994</v>
      </c>
      <c r="G149" s="66"/>
      <c r="H149" s="67"/>
      <c r="I149" s="35">
        <f>3.2*2.75+2*0.3+1.75*2.15+2.75*2.9+1.2*1.85+1.85*1.2+1.55*0.45</f>
        <v>26.274999999999999</v>
      </c>
      <c r="J149" s="36">
        <f t="shared" si="5"/>
        <v>1944856.7423999999</v>
      </c>
      <c r="K149" s="36">
        <f t="shared" si="6"/>
        <v>2003791.7951999998</v>
      </c>
      <c r="M149" s="36">
        <f t="shared" si="7"/>
        <v>3393.5661460881906</v>
      </c>
      <c r="N149" s="35"/>
    </row>
    <row r="150" spans="1:14" s="36" customFormat="1" ht="15.75" customHeight="1" x14ac:dyDescent="0.25">
      <c r="A150" s="61">
        <f>A149+1</f>
        <v>5</v>
      </c>
      <c r="B150" s="61"/>
      <c r="C150" s="41" t="s">
        <v>191</v>
      </c>
      <c r="D150" s="52">
        <f>(31.91+0.75*(2.75+2.15+2.9))*10.764</f>
        <v>406.44863999999995</v>
      </c>
      <c r="E150" s="41">
        <v>0</v>
      </c>
      <c r="F150" s="41">
        <f>D150*(($F$140)+1)+(IF(E150&lt;101,E150,IF(E150&lt;201,E150/2,IF(E150&lt;=301,E150/3,E150/4))))</f>
        <v>589.35052799999994</v>
      </c>
      <c r="G150" s="66"/>
      <c r="H150" s="67"/>
      <c r="I150" s="35"/>
      <c r="J150" s="36">
        <f t="shared" si="5"/>
        <v>1944856.7423999999</v>
      </c>
      <c r="K150" s="36">
        <f t="shared" si="6"/>
        <v>2003791.7951999998</v>
      </c>
      <c r="M150" s="36">
        <f t="shared" si="7"/>
        <v>3393.5661460881906</v>
      </c>
      <c r="N150" s="35"/>
    </row>
    <row r="151" spans="1:14" s="36" customFormat="1" ht="15.75" customHeight="1" x14ac:dyDescent="0.25">
      <c r="A151" s="61">
        <f>A150+1</f>
        <v>6</v>
      </c>
      <c r="B151" s="61"/>
      <c r="C151" s="41" t="s">
        <v>191</v>
      </c>
      <c r="D151" s="52">
        <f>(32.47+0.75*(2.75+2.15))*10.764</f>
        <v>389.06477999999993</v>
      </c>
      <c r="E151" s="41">
        <v>0</v>
      </c>
      <c r="F151" s="41">
        <f>D151*(($F$140)+1)+(IF(E151&lt;101,E151,IF(E151&lt;201,E151/2,IF(E151&lt;=301,E151/3,E151/4))))</f>
        <v>564.14393099999984</v>
      </c>
      <c r="G151" s="68"/>
      <c r="H151" s="69"/>
      <c r="I151" s="35">
        <f>1800000/F151</f>
        <v>3190.6751115966549</v>
      </c>
      <c r="J151" s="36">
        <f t="shared" si="5"/>
        <v>1861674.9722999996</v>
      </c>
      <c r="K151" s="36">
        <f t="shared" si="6"/>
        <v>1918089.3653999995</v>
      </c>
      <c r="L151" s="36">
        <f>1750000/F151</f>
        <v>3102.0452473856367</v>
      </c>
      <c r="M151" s="36">
        <f t="shared" si="7"/>
        <v>3545.1945684407274</v>
      </c>
      <c r="N151" s="35"/>
    </row>
    <row r="152" spans="1:14" s="36" customFormat="1" x14ac:dyDescent="0.25">
      <c r="A152" s="78" t="s">
        <v>193</v>
      </c>
      <c r="B152" s="79"/>
      <c r="C152" s="79"/>
      <c r="D152" s="79"/>
      <c r="E152" s="79"/>
      <c r="F152" s="79"/>
      <c r="G152" s="79"/>
      <c r="H152" s="80"/>
      <c r="J152" s="35"/>
      <c r="M152" s="36">
        <f>4800/1.45</f>
        <v>3310.344827586207</v>
      </c>
    </row>
    <row r="153" spans="1:14" s="36" customFormat="1" x14ac:dyDescent="0.25">
      <c r="A153" s="78" t="s">
        <v>189</v>
      </c>
      <c r="B153" s="79"/>
      <c r="C153" s="79"/>
      <c r="D153" s="79"/>
      <c r="E153" s="79"/>
      <c r="F153" s="79"/>
      <c r="G153" s="79"/>
      <c r="H153" s="80"/>
      <c r="J153" s="35"/>
      <c r="K153" s="36">
        <f>1702944/F151</f>
        <v>3018.6339095793633</v>
      </c>
    </row>
    <row r="154" spans="1:14" s="36" customFormat="1" ht="15.75" customHeight="1" x14ac:dyDescent="0.25">
      <c r="A154" s="74">
        <v>1</v>
      </c>
      <c r="B154" s="75"/>
      <c r="C154" s="41" t="s">
        <v>191</v>
      </c>
      <c r="D154" s="52">
        <f>(31.96)*10.764</f>
        <v>344.01743999999997</v>
      </c>
      <c r="E154" s="41">
        <v>0</v>
      </c>
      <c r="F154" s="41">
        <f>D154*(($F$140)+1)+(IF(E154&lt;101,E154,IF(E154&lt;201,E154/2,IF(E154&lt;=301,E154/3,E154/4))))</f>
        <v>498.82528799999994</v>
      </c>
      <c r="G154" s="64" t="str">
        <f>A153</f>
        <v>Ground Floor For Residential &amp; Parking</v>
      </c>
      <c r="H154" s="65"/>
      <c r="I154" s="35"/>
      <c r="L154" s="63"/>
      <c r="M154" s="63"/>
      <c r="N154" s="35"/>
    </row>
    <row r="155" spans="1:14" s="36" customFormat="1" ht="15.75" customHeight="1" x14ac:dyDescent="0.25">
      <c r="A155" s="74">
        <f t="shared" ref="A155" si="8">A154+1</f>
        <v>2</v>
      </c>
      <c r="B155" s="75"/>
      <c r="C155" s="41" t="s">
        <v>191</v>
      </c>
      <c r="D155" s="52">
        <f>(31.96)*10.764</f>
        <v>344.01743999999997</v>
      </c>
      <c r="E155" s="41">
        <v>0</v>
      </c>
      <c r="F155" s="41">
        <f>D155*(($F$140)+1)+(IF(E155&lt;101,E155,IF(E155&lt;201,E155/2,IF(E155&lt;=301,E155/3,E155/4))))</f>
        <v>498.82528799999994</v>
      </c>
      <c r="G155" s="68"/>
      <c r="H155" s="69"/>
      <c r="I155" s="35"/>
      <c r="L155" s="63"/>
      <c r="M155" s="63"/>
      <c r="N155" s="35"/>
    </row>
    <row r="156" spans="1:14" s="36" customFormat="1" x14ac:dyDescent="0.25">
      <c r="A156" s="62" t="s">
        <v>192</v>
      </c>
      <c r="B156" s="62"/>
      <c r="C156" s="62"/>
      <c r="D156" s="62"/>
      <c r="E156" s="62"/>
      <c r="F156" s="62"/>
      <c r="G156" s="62"/>
      <c r="H156" s="62"/>
      <c r="I156" s="35"/>
      <c r="L156" s="63"/>
      <c r="M156" s="63"/>
    </row>
    <row r="157" spans="1:14" s="36" customFormat="1" ht="15.75" customHeight="1" x14ac:dyDescent="0.25">
      <c r="A157" s="61">
        <v>1</v>
      </c>
      <c r="B157" s="61"/>
      <c r="C157" s="41" t="s">
        <v>191</v>
      </c>
      <c r="D157" s="52">
        <f>(32.61+0.75*(2.75+2.15+2.9))*10.764</f>
        <v>413.98343999999997</v>
      </c>
      <c r="E157" s="41">
        <v>0</v>
      </c>
      <c r="F157" s="41">
        <f t="shared" ref="F157:F158" si="9">D157*(($F$140)+1)+(IF(E157&lt;101,E157,IF(E157&lt;201,E157/2,IF(E157&lt;=301,E157/3,E157/4))))</f>
        <v>600.27598799999998</v>
      </c>
      <c r="G157" s="64" t="str">
        <f>A156</f>
        <v>1st to 4th Floor For Residential</v>
      </c>
      <c r="H157" s="65"/>
      <c r="I157" s="35"/>
      <c r="N157" s="35"/>
    </row>
    <row r="158" spans="1:14" s="36" customFormat="1" ht="15.75" customHeight="1" x14ac:dyDescent="0.25">
      <c r="A158" s="61">
        <f>A157+1</f>
        <v>2</v>
      </c>
      <c r="B158" s="61"/>
      <c r="C158" s="41" t="s">
        <v>191</v>
      </c>
      <c r="D158" s="52">
        <f t="shared" ref="D158:D160" si="10">(32.61+0.75*(2.75+2.15+2.9))*10.764</f>
        <v>413.98343999999997</v>
      </c>
      <c r="E158" s="41">
        <v>0</v>
      </c>
      <c r="F158" s="41">
        <f t="shared" si="9"/>
        <v>600.27598799999998</v>
      </c>
      <c r="G158" s="66"/>
      <c r="H158" s="67"/>
      <c r="I158" s="35">
        <f>2.75*3.35+2.15*1.75+2.9*2.75+1.55*0.45+1.85*1.2+1.2*1.85+2.3+1.05*2.75+1*2.15</f>
        <v>33.424999999999997</v>
      </c>
      <c r="N158" s="35"/>
    </row>
    <row r="159" spans="1:14" s="36" customFormat="1" ht="15.75" customHeight="1" x14ac:dyDescent="0.25">
      <c r="A159" s="61">
        <f>A158+1</f>
        <v>3</v>
      </c>
      <c r="B159" s="61"/>
      <c r="C159" s="41" t="s">
        <v>191</v>
      </c>
      <c r="D159" s="52">
        <f t="shared" si="10"/>
        <v>413.98343999999997</v>
      </c>
      <c r="E159" s="41">
        <v>0</v>
      </c>
      <c r="F159" s="41">
        <f>D159*(($F$140)+1)+(IF(E159&lt;101,E159,IF(E159&lt;201,E159/2,IF(E159&lt;=301,E159/3,E159/4))))</f>
        <v>600.27598799999998</v>
      </c>
      <c r="G159" s="66"/>
      <c r="H159" s="67"/>
      <c r="I159" s="35"/>
      <c r="N159" s="35"/>
    </row>
    <row r="160" spans="1:14" s="36" customFormat="1" ht="15.75" customHeight="1" x14ac:dyDescent="0.25">
      <c r="A160" s="61">
        <f>A159+1</f>
        <v>4</v>
      </c>
      <c r="B160" s="61"/>
      <c r="C160" s="41" t="s">
        <v>191</v>
      </c>
      <c r="D160" s="52">
        <f t="shared" si="10"/>
        <v>413.98343999999997</v>
      </c>
      <c r="E160" s="41">
        <v>0</v>
      </c>
      <c r="F160" s="41">
        <f>D160*(($F$140)+1)+(IF(E160&lt;101,E160,IF(E160&lt;201,E160/2,IF(E160&lt;=301,E160/3,E160/4))))</f>
        <v>600.27598799999998</v>
      </c>
      <c r="G160" s="68"/>
      <c r="H160" s="69"/>
      <c r="I160" s="35"/>
      <c r="L160" s="36">
        <f>1700000/F160</f>
        <v>2832.0306558722455</v>
      </c>
      <c r="N160" s="35"/>
    </row>
    <row r="161" spans="1:14" s="36" customFormat="1" x14ac:dyDescent="0.25">
      <c r="A161" s="78" t="s">
        <v>194</v>
      </c>
      <c r="B161" s="79"/>
      <c r="C161" s="79"/>
      <c r="D161" s="79"/>
      <c r="E161" s="79"/>
      <c r="F161" s="79"/>
      <c r="G161" s="79"/>
      <c r="H161" s="80"/>
      <c r="J161" s="35"/>
      <c r="K161" s="52">
        <v>10.763999999999999</v>
      </c>
    </row>
    <row r="162" spans="1:14" s="36" customFormat="1" x14ac:dyDescent="0.25">
      <c r="A162" s="78" t="s">
        <v>189</v>
      </c>
      <c r="B162" s="79"/>
      <c r="C162" s="79"/>
      <c r="D162" s="79"/>
      <c r="E162" s="79"/>
      <c r="F162" s="79"/>
      <c r="G162" s="79"/>
      <c r="H162" s="80"/>
      <c r="J162" s="35"/>
    </row>
    <row r="163" spans="1:14" s="36" customFormat="1" ht="15.75" customHeight="1" x14ac:dyDescent="0.25">
      <c r="A163" s="74">
        <v>1</v>
      </c>
      <c r="B163" s="75"/>
      <c r="C163" s="41" t="s">
        <v>191</v>
      </c>
      <c r="D163" s="52">
        <f>(30.49)*10.764</f>
        <v>328.19435999999996</v>
      </c>
      <c r="E163" s="41">
        <v>0</v>
      </c>
      <c r="F163" s="41">
        <f>D163*(($F$140)+1)+(IF(E163&lt;101,E163,IF(E163&lt;201,E163/2,IF(E163&lt;=301,E163/3,E163/4))))</f>
        <v>475.88182199999994</v>
      </c>
      <c r="G163" s="64" t="str">
        <f>A162</f>
        <v>Ground Floor For Residential &amp; Parking</v>
      </c>
      <c r="H163" s="65"/>
      <c r="I163" s="35"/>
      <c r="L163" s="63"/>
      <c r="M163" s="63"/>
      <c r="N163" s="35"/>
    </row>
    <row r="164" spans="1:14" s="36" customFormat="1" ht="15.75" customHeight="1" x14ac:dyDescent="0.25">
      <c r="A164" s="74">
        <v>2</v>
      </c>
      <c r="B164" s="75"/>
      <c r="C164" s="41" t="s">
        <v>190</v>
      </c>
      <c r="D164" s="52">
        <f>(22.64)*10.764</f>
        <v>243.69695999999999</v>
      </c>
      <c r="E164" s="41">
        <v>0</v>
      </c>
      <c r="F164" s="41">
        <f>D164*(($F$140)+1)+(IF(E164&lt;101,E164,IF(E164&lt;201,E164/2,IF(E164&lt;=301,E164/3,E164/4))))</f>
        <v>353.360592</v>
      </c>
      <c r="G164" s="66"/>
      <c r="H164" s="67"/>
      <c r="I164" s="35"/>
      <c r="L164" s="63"/>
      <c r="M164" s="63"/>
      <c r="N164" s="35"/>
    </row>
    <row r="165" spans="1:14" s="36" customFormat="1" ht="15.75" customHeight="1" x14ac:dyDescent="0.25">
      <c r="A165" s="74">
        <v>3</v>
      </c>
      <c r="B165" s="75"/>
      <c r="C165" s="41" t="s">
        <v>190</v>
      </c>
      <c r="D165" s="52">
        <f>(21.54)*10.764</f>
        <v>231.85655999999997</v>
      </c>
      <c r="E165" s="41">
        <v>0</v>
      </c>
      <c r="F165" s="41">
        <f>D165*(($F$140)+1)+(IF(E165&lt;101,E165,IF(E165&lt;201,E165/2,IF(E165&lt;=301,E165/3,E165/4))))</f>
        <v>336.19201199999998</v>
      </c>
      <c r="G165" s="66"/>
      <c r="H165" s="67"/>
      <c r="I165" s="35"/>
      <c r="L165" s="63"/>
      <c r="M165" s="63"/>
      <c r="N165" s="35"/>
    </row>
    <row r="166" spans="1:14" s="36" customFormat="1" ht="15.75" customHeight="1" x14ac:dyDescent="0.25">
      <c r="A166" s="74">
        <v>4</v>
      </c>
      <c r="B166" s="75"/>
      <c r="C166" s="41" t="s">
        <v>190</v>
      </c>
      <c r="D166" s="52">
        <f>(21.54)*10.764</f>
        <v>231.85655999999997</v>
      </c>
      <c r="E166" s="41">
        <v>0</v>
      </c>
      <c r="F166" s="41">
        <f>D166*(($F$140)+1)+(IF(E166&lt;101,E166,IF(E166&lt;201,E166/2,IF(E166&lt;=301,E166/3,E166/4))))</f>
        <v>336.19201199999998</v>
      </c>
      <c r="G166" s="66"/>
      <c r="H166" s="67"/>
      <c r="I166" s="35"/>
      <c r="L166" s="63"/>
      <c r="M166" s="63"/>
      <c r="N166" s="35"/>
    </row>
    <row r="167" spans="1:14" s="36" customFormat="1" ht="15.75" customHeight="1" x14ac:dyDescent="0.25">
      <c r="A167" s="74">
        <v>5</v>
      </c>
      <c r="B167" s="75"/>
      <c r="C167" s="41" t="s">
        <v>191</v>
      </c>
      <c r="D167" s="52">
        <f>(31.91)*10.764</f>
        <v>343.47924</v>
      </c>
      <c r="E167" s="41">
        <v>0</v>
      </c>
      <c r="F167" s="41">
        <f>D167*(($F$140)+1)+(IF(E167&lt;101,E167,IF(E167&lt;201,E167/2,IF(E167&lt;=301,E167/3,E167/4))))</f>
        <v>498.04489799999999</v>
      </c>
      <c r="G167" s="66"/>
      <c r="H167" s="67"/>
      <c r="I167" s="35"/>
      <c r="L167" s="63"/>
      <c r="M167" s="63"/>
      <c r="N167" s="35"/>
    </row>
    <row r="168" spans="1:14" s="36" customFormat="1" ht="15.75" customHeight="1" x14ac:dyDescent="0.25">
      <c r="A168" s="61">
        <v>6</v>
      </c>
      <c r="B168" s="61"/>
      <c r="C168" s="64" t="s">
        <v>208</v>
      </c>
      <c r="D168" s="76"/>
      <c r="E168" s="76"/>
      <c r="F168" s="65"/>
      <c r="G168" s="66"/>
      <c r="H168" s="67"/>
      <c r="I168" s="35"/>
      <c r="N168" s="35"/>
    </row>
    <row r="169" spans="1:14" s="36" customFormat="1" ht="15.75" customHeight="1" x14ac:dyDescent="0.25">
      <c r="A169" s="61">
        <v>7</v>
      </c>
      <c r="B169" s="61"/>
      <c r="C169" s="68"/>
      <c r="D169" s="77"/>
      <c r="E169" s="77"/>
      <c r="F169" s="69"/>
      <c r="G169" s="66"/>
      <c r="H169" s="67"/>
      <c r="I169" s="35"/>
      <c r="J169"/>
      <c r="N169" s="35"/>
    </row>
    <row r="170" spans="1:14" s="36" customFormat="1" ht="15.75" customHeight="1" x14ac:dyDescent="0.25">
      <c r="A170" s="74">
        <v>8</v>
      </c>
      <c r="B170" s="75"/>
      <c r="C170" s="41" t="s">
        <v>191</v>
      </c>
      <c r="D170" s="52">
        <f>(31.91)*10.764</f>
        <v>343.47924</v>
      </c>
      <c r="E170" s="41">
        <v>0</v>
      </c>
      <c r="F170" s="41">
        <f>D170*(($F$140)+1)+(IF(E170&lt;101,E170,IF(E170&lt;201,E170/2,IF(E170&lt;=301,E170/3,E170/4))))</f>
        <v>498.04489799999999</v>
      </c>
      <c r="G170" s="68"/>
      <c r="H170" s="69"/>
      <c r="I170" s="35"/>
      <c r="L170" s="63"/>
      <c r="M170" s="63"/>
      <c r="N170" s="35"/>
    </row>
    <row r="171" spans="1:14" s="36" customFormat="1" x14ac:dyDescent="0.25">
      <c r="A171" s="62" t="s">
        <v>195</v>
      </c>
      <c r="B171" s="62"/>
      <c r="C171" s="62"/>
      <c r="D171" s="62"/>
      <c r="E171" s="62"/>
      <c r="F171" s="62"/>
      <c r="G171" s="62"/>
      <c r="H171" s="62"/>
      <c r="I171" s="35"/>
      <c r="K171" s="36">
        <f>3400*F172</f>
        <v>1916497.3697999998</v>
      </c>
      <c r="L171" s="63"/>
      <c r="M171" s="63"/>
    </row>
    <row r="172" spans="1:14" s="36" customFormat="1" ht="15.75" customHeight="1" x14ac:dyDescent="0.25">
      <c r="A172" s="61">
        <v>1</v>
      </c>
      <c r="B172" s="61"/>
      <c r="C172" s="41" t="s">
        <v>191</v>
      </c>
      <c r="D172" s="52">
        <f>(30.49+0.75*(2.75+2+2.75))*10.764</f>
        <v>388.74185999999992</v>
      </c>
      <c r="E172" s="41">
        <v>0</v>
      </c>
      <c r="F172" s="41">
        <f t="shared" ref="F172:F173" si="11">D172*(($F$140)+1)+(IF(E172&lt;101,E172,IF(E172&lt;201,E172/2,IF(E172&lt;=301,E172/3,E172/4))))</f>
        <v>563.6756969999999</v>
      </c>
      <c r="G172" s="64" t="str">
        <f>A171</f>
        <v>1st to 3rd Floor For Residential</v>
      </c>
      <c r="H172" s="65"/>
      <c r="I172" s="35"/>
      <c r="K172" s="36">
        <f t="shared" ref="K172:K178" si="12">3400*F173</f>
        <v>1414355.4242999998</v>
      </c>
      <c r="N172" s="35"/>
    </row>
    <row r="173" spans="1:14" s="36" customFormat="1" ht="15.75" customHeight="1" x14ac:dyDescent="0.25">
      <c r="A173" s="61">
        <v>2</v>
      </c>
      <c r="B173" s="61"/>
      <c r="C173" s="41" t="s">
        <v>190</v>
      </c>
      <c r="D173" s="52">
        <f>(22.64+0.75*(2.75+2.6))*10.764</f>
        <v>286.88750999999996</v>
      </c>
      <c r="E173" s="41">
        <v>0</v>
      </c>
      <c r="F173" s="41">
        <f t="shared" si="11"/>
        <v>415.98688949999996</v>
      </c>
      <c r="G173" s="66"/>
      <c r="H173" s="67"/>
      <c r="I173" s="35"/>
      <c r="K173" s="36">
        <f t="shared" si="12"/>
        <v>1355982.2522999998</v>
      </c>
      <c r="N173" s="35"/>
    </row>
    <row r="174" spans="1:14" s="36" customFormat="1" ht="15.75" customHeight="1" x14ac:dyDescent="0.25">
      <c r="A174" s="61">
        <v>3</v>
      </c>
      <c r="B174" s="61"/>
      <c r="C174" s="41" t="s">
        <v>190</v>
      </c>
      <c r="D174" s="52">
        <f>(21.54+0.75*(2.75+2.6))*10.764</f>
        <v>275.04710999999998</v>
      </c>
      <c r="E174" s="41">
        <v>0</v>
      </c>
      <c r="F174" s="41">
        <f>D174*(($F$140)+1)+(IF(E174&lt;101,E174,IF(E174&lt;201,E174/2,IF(E174&lt;=301,E174/3,E174/4))))</f>
        <v>398.81830949999994</v>
      </c>
      <c r="G174" s="66"/>
      <c r="H174" s="67"/>
      <c r="I174" s="35"/>
      <c r="K174" s="36">
        <f t="shared" si="12"/>
        <v>1355982.2522999998</v>
      </c>
      <c r="N174" s="35"/>
    </row>
    <row r="175" spans="1:14" s="36" customFormat="1" ht="15.75" customHeight="1" x14ac:dyDescent="0.25">
      <c r="A175" s="61">
        <v>4</v>
      </c>
      <c r="B175" s="61"/>
      <c r="C175" s="41" t="s">
        <v>190</v>
      </c>
      <c r="D175" s="52">
        <f>(21.54+0.75*(2.75+2.6))*10.764</f>
        <v>275.04710999999998</v>
      </c>
      <c r="E175" s="41">
        <v>0</v>
      </c>
      <c r="F175" s="41">
        <f>D175*(($F$140)+1)+(IF(E175&lt;101,E175,IF(E175&lt;201,E175/2,IF(E175&lt;=301,E175/3,E175/4))))</f>
        <v>398.81830949999994</v>
      </c>
      <c r="G175" s="66"/>
      <c r="H175" s="67"/>
      <c r="I175" s="35"/>
      <c r="K175" s="36">
        <f t="shared" si="12"/>
        <v>2003791.7951999998</v>
      </c>
      <c r="N175" s="35"/>
    </row>
    <row r="176" spans="1:14" s="36" customFormat="1" ht="15.75" customHeight="1" x14ac:dyDescent="0.25">
      <c r="A176" s="61">
        <v>5</v>
      </c>
      <c r="B176" s="61"/>
      <c r="C176" s="41" t="s">
        <v>191</v>
      </c>
      <c r="D176" s="52">
        <f>(31.91+0.75*(2.75+2.15+2.9))*10.764</f>
        <v>406.44863999999995</v>
      </c>
      <c r="E176" s="41">
        <v>0</v>
      </c>
      <c r="F176" s="41">
        <f t="shared" ref="F176:F177" si="13">D176*(($F$140)+1)+(IF(E176&lt;101,E176,IF(E176&lt;201,E176/2,IF(E176&lt;=301,E176/3,E176/4))))</f>
        <v>589.35052799999994</v>
      </c>
      <c r="G176" s="66"/>
      <c r="H176" s="67"/>
      <c r="I176" s="35"/>
      <c r="K176" s="36">
        <f t="shared" si="12"/>
        <v>2003791.7951999998</v>
      </c>
      <c r="N176" s="35"/>
    </row>
    <row r="177" spans="1:15" s="36" customFormat="1" ht="15.75" customHeight="1" x14ac:dyDescent="0.25">
      <c r="A177" s="61">
        <v>6</v>
      </c>
      <c r="B177" s="61"/>
      <c r="C177" s="41" t="s">
        <v>191</v>
      </c>
      <c r="D177" s="52">
        <f>(31.91+0.75*(2.75+2.15+2.9))*10.764</f>
        <v>406.44863999999995</v>
      </c>
      <c r="E177" s="41">
        <v>0</v>
      </c>
      <c r="F177" s="41">
        <f t="shared" si="13"/>
        <v>589.35052799999994</v>
      </c>
      <c r="G177" s="66"/>
      <c r="H177" s="67"/>
      <c r="I177" s="35"/>
      <c r="K177" s="36">
        <f t="shared" si="12"/>
        <v>2444243.9112</v>
      </c>
      <c r="N177" s="35"/>
    </row>
    <row r="178" spans="1:15" s="36" customFormat="1" ht="15.75" customHeight="1" x14ac:dyDescent="0.25">
      <c r="A178" s="61">
        <v>7</v>
      </c>
      <c r="B178" s="61"/>
      <c r="C178" s="41" t="s">
        <v>207</v>
      </c>
      <c r="D178" s="52">
        <f>(40.21+0.75*(2.75+2.15+2.9))*10.764</f>
        <v>495.78983999999997</v>
      </c>
      <c r="E178" s="41">
        <v>0</v>
      </c>
      <c r="F178" s="41">
        <f>D178*(($F$140)+1)+(IF(E178&lt;101,E178,IF(E178&lt;201,E178/2,IF(E178&lt;=301,E178/3,E178/4))))</f>
        <v>718.89526799999999</v>
      </c>
      <c r="G178" s="66"/>
      <c r="H178" s="67"/>
      <c r="I178" s="35"/>
      <c r="J178"/>
      <c r="K178" s="36">
        <f t="shared" si="12"/>
        <v>2003791.7951999998</v>
      </c>
      <c r="N178" s="35"/>
    </row>
    <row r="179" spans="1:15" s="36" customFormat="1" ht="15.75" customHeight="1" x14ac:dyDescent="0.25">
      <c r="A179" s="61">
        <v>8</v>
      </c>
      <c r="B179" s="61"/>
      <c r="C179" s="41" t="s">
        <v>191</v>
      </c>
      <c r="D179" s="52">
        <f>(31.91+0.75*(2.75+2.15+2.9))*10.764</f>
        <v>406.44863999999995</v>
      </c>
      <c r="E179" s="41">
        <v>0</v>
      </c>
      <c r="F179" s="41">
        <f>D179*(($F$140)+1)+(IF(E179&lt;101,E179,IF(E179&lt;201,E179/2,IF(E179&lt;=301,E179/3,E179/4))))</f>
        <v>589.35052799999994</v>
      </c>
      <c r="G179" s="68"/>
      <c r="H179" s="69"/>
      <c r="I179" s="35"/>
      <c r="N179" s="35"/>
    </row>
    <row r="180" spans="1:15" s="34" customFormat="1" x14ac:dyDescent="0.25">
      <c r="A180" s="73" t="s">
        <v>72</v>
      </c>
      <c r="B180" s="73"/>
      <c r="C180" s="73"/>
      <c r="D180" s="73"/>
      <c r="E180" s="73"/>
      <c r="F180" s="73"/>
      <c r="G180" s="73"/>
      <c r="H180" s="73"/>
    </row>
    <row r="181" spans="1:15" s="34" customFormat="1" x14ac:dyDescent="0.25">
      <c r="A181" s="46" t="s">
        <v>153</v>
      </c>
      <c r="B181" s="169" t="s">
        <v>220</v>
      </c>
      <c r="C181" s="170"/>
      <c r="D181" s="170"/>
      <c r="E181" s="170"/>
      <c r="F181" s="170"/>
      <c r="G181" s="170"/>
      <c r="H181" s="171"/>
      <c r="I181" s="169" t="s">
        <v>217</v>
      </c>
      <c r="J181" s="170"/>
      <c r="K181" s="170"/>
      <c r="L181" s="170"/>
      <c r="M181" s="170"/>
      <c r="N181" s="170"/>
      <c r="O181" s="171"/>
    </row>
    <row r="182" spans="1:15" s="34" customFormat="1" x14ac:dyDescent="0.25">
      <c r="A182" s="46" t="s">
        <v>153</v>
      </c>
      <c r="B182" s="169" t="str">
        <f>(IF(F139="Saleable area Loading :","We have considered Saleable area of Flats as per our Calculation.","We considered Saleable area of Flat as per Builder area Sheet."))</f>
        <v>We have considered Saleable area of Flats as per our Calculation.</v>
      </c>
      <c r="C182" s="170"/>
      <c r="D182" s="170"/>
      <c r="E182" s="170"/>
      <c r="F182" s="170"/>
      <c r="G182" s="170"/>
      <c r="H182" s="171"/>
    </row>
    <row r="183" spans="1:15" s="34" customFormat="1" x14ac:dyDescent="0.25">
      <c r="A183" s="46" t="s">
        <v>153</v>
      </c>
      <c r="B183" s="169" t="str">
        <f>(IF(F127="Saleable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3" s="170"/>
      <c r="D183" s="170"/>
      <c r="E183" s="170"/>
      <c r="F183" s="170"/>
      <c r="G183" s="170"/>
      <c r="H183" s="171"/>
    </row>
    <row r="184" spans="1:15" s="34" customFormat="1" x14ac:dyDescent="0.25">
      <c r="A184" s="46" t="s">
        <v>153</v>
      </c>
      <c r="B184" s="70" t="s">
        <v>124</v>
      </c>
      <c r="C184" s="71"/>
      <c r="D184" s="71"/>
      <c r="E184" s="71"/>
      <c r="F184" s="71"/>
      <c r="G184" s="71"/>
      <c r="H184" s="72"/>
    </row>
    <row r="185" spans="1:15" s="34" customFormat="1" x14ac:dyDescent="0.25">
      <c r="A185" s="46" t="s">
        <v>153</v>
      </c>
      <c r="B185" s="70" t="s">
        <v>196</v>
      </c>
      <c r="C185" s="71"/>
      <c r="D185" s="71"/>
      <c r="E185" s="71"/>
      <c r="F185" s="71"/>
      <c r="G185" s="71"/>
      <c r="H185" s="72"/>
    </row>
    <row r="186" spans="1:15" s="34" customFormat="1" x14ac:dyDescent="0.25">
      <c r="A186" s="46" t="s">
        <v>153</v>
      </c>
      <c r="B186" s="70" t="s">
        <v>152</v>
      </c>
      <c r="C186" s="71"/>
      <c r="D186" s="71"/>
      <c r="E186" s="71"/>
      <c r="F186" s="71"/>
      <c r="G186" s="71"/>
      <c r="H186" s="72"/>
    </row>
    <row r="187" spans="1:15" s="34" customFormat="1" x14ac:dyDescent="0.25">
      <c r="A187" s="46" t="s">
        <v>153</v>
      </c>
      <c r="B187" s="70" t="s">
        <v>125</v>
      </c>
      <c r="C187" s="71"/>
      <c r="D187" s="71"/>
      <c r="E187" s="71"/>
      <c r="F187" s="71"/>
      <c r="G187" s="71"/>
      <c r="H187" s="72"/>
    </row>
    <row r="188" spans="1:15" s="34" customFormat="1" ht="34.5" customHeight="1" x14ac:dyDescent="0.25">
      <c r="A188" s="46" t="s">
        <v>153</v>
      </c>
      <c r="B188" s="70" t="s">
        <v>154</v>
      </c>
      <c r="C188" s="71"/>
      <c r="D188" s="71"/>
      <c r="E188" s="71"/>
      <c r="F188" s="71"/>
      <c r="G188" s="71"/>
      <c r="H188" s="72"/>
    </row>
    <row r="189" spans="1:15" s="34" customFormat="1" x14ac:dyDescent="0.25">
      <c r="A189" s="46" t="s">
        <v>153</v>
      </c>
      <c r="B189" s="70" t="s">
        <v>209</v>
      </c>
      <c r="C189" s="71"/>
      <c r="D189" s="71"/>
      <c r="E189" s="71"/>
      <c r="F189" s="71"/>
      <c r="G189" s="71"/>
      <c r="H189" s="72"/>
    </row>
    <row r="190" spans="1:15" s="56" customFormat="1" ht="18.75" customHeight="1" x14ac:dyDescent="0.25">
      <c r="A190" s="53" t="s">
        <v>153</v>
      </c>
      <c r="B190" s="58" t="s">
        <v>211</v>
      </c>
      <c r="C190" s="59"/>
      <c r="D190" s="59"/>
      <c r="E190" s="59"/>
      <c r="F190" s="59"/>
      <c r="G190" s="59"/>
      <c r="H190" s="60"/>
    </row>
    <row r="191" spans="1:15" s="56" customFormat="1" ht="34.5" customHeight="1" x14ac:dyDescent="0.25">
      <c r="A191" s="53" t="s">
        <v>153</v>
      </c>
      <c r="B191" s="58" t="s">
        <v>212</v>
      </c>
      <c r="C191" s="59"/>
      <c r="D191" s="59"/>
      <c r="E191" s="59"/>
      <c r="F191" s="59"/>
      <c r="G191" s="59"/>
      <c r="H191" s="60"/>
    </row>
    <row r="192" spans="1:15" s="56" customFormat="1" x14ac:dyDescent="0.25">
      <c r="A192" s="57" t="s">
        <v>153</v>
      </c>
      <c r="B192" s="58" t="s">
        <v>216</v>
      </c>
      <c r="C192" s="59"/>
      <c r="D192" s="59"/>
      <c r="E192" s="59"/>
      <c r="F192" s="59"/>
      <c r="G192" s="59"/>
      <c r="H192" s="60"/>
    </row>
    <row r="193" spans="1:8" x14ac:dyDescent="0.25">
      <c r="A193" s="165" t="s">
        <v>65</v>
      </c>
      <c r="B193" s="165"/>
      <c r="C193" s="165"/>
      <c r="D193" s="165"/>
      <c r="E193" s="165"/>
      <c r="F193" s="165"/>
      <c r="G193" s="165"/>
      <c r="H193" s="165"/>
    </row>
    <row r="194" spans="1:8" x14ac:dyDescent="0.25">
      <c r="A194" s="98" t="s">
        <v>66</v>
      </c>
      <c r="B194" s="98"/>
      <c r="C194" s="98"/>
      <c r="D194" s="98"/>
      <c r="E194" s="98"/>
      <c r="F194" s="98"/>
      <c r="G194" s="98"/>
      <c r="H194" s="98"/>
    </row>
    <row r="195" spans="1:8" ht="15.75" customHeight="1" x14ac:dyDescent="0.25">
      <c r="A195" s="182" t="s">
        <v>67</v>
      </c>
      <c r="B195" s="182"/>
      <c r="C195" s="182"/>
      <c r="D195" s="182"/>
      <c r="E195" s="182"/>
      <c r="F195" s="182"/>
      <c r="G195" s="182"/>
      <c r="H195" s="182"/>
    </row>
    <row r="196" spans="1:8" x14ac:dyDescent="0.25">
      <c r="A196" s="98" t="s">
        <v>68</v>
      </c>
      <c r="B196" s="98"/>
      <c r="C196" s="98"/>
      <c r="D196" s="98"/>
      <c r="E196" s="98"/>
      <c r="F196" s="98"/>
      <c r="G196" s="98"/>
      <c r="H196" s="98"/>
    </row>
    <row r="197" spans="1:8" x14ac:dyDescent="0.25">
      <c r="A197" s="98" t="s">
        <v>69</v>
      </c>
      <c r="B197" s="98"/>
      <c r="C197" s="98"/>
      <c r="D197" s="98"/>
      <c r="E197" s="98"/>
      <c r="F197" s="98"/>
      <c r="G197" s="98"/>
      <c r="H197" s="98"/>
    </row>
    <row r="198" spans="1:8" x14ac:dyDescent="0.25">
      <c r="A198" s="98" t="s">
        <v>126</v>
      </c>
      <c r="B198" s="98"/>
      <c r="C198" s="98"/>
      <c r="D198" s="98"/>
      <c r="E198" s="98"/>
      <c r="F198" s="98"/>
      <c r="G198" s="98"/>
      <c r="H198" s="98"/>
    </row>
    <row r="199" spans="1:8" x14ac:dyDescent="0.25">
      <c r="A199" s="121" t="s">
        <v>127</v>
      </c>
      <c r="B199" s="121"/>
      <c r="C199" s="121"/>
      <c r="D199" s="121"/>
      <c r="E199" s="121"/>
      <c r="F199" s="121"/>
      <c r="G199" s="121"/>
      <c r="H199" s="121"/>
    </row>
    <row r="200" spans="1:8" x14ac:dyDescent="0.25">
      <c r="A200" s="164" t="s">
        <v>82</v>
      </c>
      <c r="B200" s="164"/>
      <c r="C200" s="164" t="s">
        <v>219</v>
      </c>
      <c r="D200" s="164"/>
      <c r="E200" s="164" t="s">
        <v>106</v>
      </c>
      <c r="F200" s="164"/>
      <c r="G200" s="164" t="s">
        <v>218</v>
      </c>
      <c r="H200" s="164"/>
    </row>
    <row r="201" spans="1:8" x14ac:dyDescent="0.25">
      <c r="A201" s="163" t="s">
        <v>84</v>
      </c>
      <c r="B201" s="163"/>
      <c r="C201" s="163"/>
      <c r="D201" s="163"/>
      <c r="E201" s="163"/>
      <c r="F201" s="163"/>
      <c r="G201" s="163"/>
      <c r="H201" s="163"/>
    </row>
    <row r="202" spans="1:8" x14ac:dyDescent="0.25">
      <c r="A202" s="163"/>
      <c r="B202" s="163"/>
      <c r="C202" s="163"/>
      <c r="D202" s="163"/>
      <c r="E202" s="163"/>
      <c r="F202" s="163"/>
      <c r="G202" s="163"/>
      <c r="H202" s="163"/>
    </row>
    <row r="203" spans="1:8" x14ac:dyDescent="0.25">
      <c r="A203" s="163"/>
      <c r="B203" s="163"/>
      <c r="C203" s="163"/>
      <c r="D203" s="163"/>
      <c r="E203" s="163"/>
      <c r="F203" s="163"/>
      <c r="G203" s="163"/>
      <c r="H203" s="163"/>
    </row>
    <row r="204" spans="1:8" x14ac:dyDescent="0.25">
      <c r="A204" s="163"/>
      <c r="B204" s="163"/>
      <c r="C204" s="163"/>
      <c r="D204" s="163"/>
      <c r="E204" s="163"/>
      <c r="F204" s="163"/>
      <c r="G204" s="163"/>
      <c r="H204" s="163"/>
    </row>
    <row r="205" spans="1:8" x14ac:dyDescent="0.25">
      <c r="A205" s="37" t="s">
        <v>70</v>
      </c>
      <c r="B205" s="38"/>
      <c r="C205" s="38"/>
      <c r="D205" s="37" t="str">
        <f>E8</f>
        <v>Veer 11</v>
      </c>
      <c r="F205" s="38"/>
      <c r="G205" s="38"/>
      <c r="H205" s="38"/>
    </row>
    <row r="206" spans="1:8" x14ac:dyDescent="0.25">
      <c r="A206" s="38"/>
      <c r="B206" s="38"/>
      <c r="C206" s="38"/>
      <c r="D206" s="38"/>
      <c r="E206" s="38"/>
      <c r="F206" s="38"/>
      <c r="G206" s="38"/>
      <c r="H206" s="38"/>
    </row>
    <row r="207" spans="1:8" x14ac:dyDescent="0.25">
      <c r="A207" s="38"/>
      <c r="B207" s="38"/>
      <c r="C207" s="38"/>
      <c r="D207" s="38"/>
      <c r="E207" s="38"/>
      <c r="F207" s="38"/>
      <c r="G207" s="38"/>
      <c r="H207" s="38"/>
    </row>
    <row r="208" spans="1:8" ht="15" customHeight="1" x14ac:dyDescent="0.25"/>
    <row r="244" spans="1:1" x14ac:dyDescent="0.25">
      <c r="A244" s="40" t="s">
        <v>165</v>
      </c>
    </row>
    <row r="287" spans="1:1" x14ac:dyDescent="0.25">
      <c r="A287" s="40" t="s">
        <v>71</v>
      </c>
    </row>
  </sheetData>
  <mergeCells count="363">
    <mergeCell ref="I10:L10"/>
    <mergeCell ref="B192:H192"/>
    <mergeCell ref="A198:H198"/>
    <mergeCell ref="A195:H195"/>
    <mergeCell ref="A146:B146"/>
    <mergeCell ref="A120:B120"/>
    <mergeCell ref="D139:D140"/>
    <mergeCell ref="E139:E140"/>
    <mergeCell ref="G139:H140"/>
    <mergeCell ref="A89:B89"/>
    <mergeCell ref="A90:B90"/>
    <mergeCell ref="A91:B91"/>
    <mergeCell ref="A105:B105"/>
    <mergeCell ref="F110:H110"/>
    <mergeCell ref="G116:H116"/>
    <mergeCell ref="A108:B108"/>
    <mergeCell ref="A122:B122"/>
    <mergeCell ref="A194:H194"/>
    <mergeCell ref="E120:F120"/>
    <mergeCell ref="B189:H189"/>
    <mergeCell ref="B187:H187"/>
    <mergeCell ref="B183:H183"/>
    <mergeCell ref="A125:H125"/>
    <mergeCell ref="B181:H181"/>
    <mergeCell ref="D59:H59"/>
    <mergeCell ref="C51:H51"/>
    <mergeCell ref="C115:D115"/>
    <mergeCell ref="A64:C64"/>
    <mergeCell ref="D64:H64"/>
    <mergeCell ref="A65:C65"/>
    <mergeCell ref="D65:H65"/>
    <mergeCell ref="A55:C55"/>
    <mergeCell ref="D55:H55"/>
    <mergeCell ref="G52:H52"/>
    <mergeCell ref="A95:B95"/>
    <mergeCell ref="C95:H95"/>
    <mergeCell ref="A61:C61"/>
    <mergeCell ref="D60:H60"/>
    <mergeCell ref="E71:F80"/>
    <mergeCell ref="G71:H80"/>
    <mergeCell ref="A79:B79"/>
    <mergeCell ref="A80:B80"/>
    <mergeCell ref="D61:H61"/>
    <mergeCell ref="B191:H191"/>
    <mergeCell ref="A16:B16"/>
    <mergeCell ref="C16:H16"/>
    <mergeCell ref="E41:H41"/>
    <mergeCell ref="A41:D41"/>
    <mergeCell ref="A81:B81"/>
    <mergeCell ref="C81:H81"/>
    <mergeCell ref="A76:B76"/>
    <mergeCell ref="A48:B48"/>
    <mergeCell ref="C48:E48"/>
    <mergeCell ref="E118:F118"/>
    <mergeCell ref="A123:B123"/>
    <mergeCell ref="C123:D123"/>
    <mergeCell ref="E123:F123"/>
    <mergeCell ref="G123:H123"/>
    <mergeCell ref="C120:D120"/>
    <mergeCell ref="G120:H120"/>
    <mergeCell ref="D58:H58"/>
    <mergeCell ref="C49:E49"/>
    <mergeCell ref="A52:B52"/>
    <mergeCell ref="C52:E52"/>
    <mergeCell ref="A49:B49"/>
    <mergeCell ref="A53:H53"/>
    <mergeCell ref="A54:C54"/>
    <mergeCell ref="A201:H204"/>
    <mergeCell ref="A200:B200"/>
    <mergeCell ref="E200:F200"/>
    <mergeCell ref="C200:D200"/>
    <mergeCell ref="G200:H200"/>
    <mergeCell ref="A114:H114"/>
    <mergeCell ref="A112:E112"/>
    <mergeCell ref="F112:H112"/>
    <mergeCell ref="A113:E113"/>
    <mergeCell ref="F113:H113"/>
    <mergeCell ref="A145:H145"/>
    <mergeCell ref="A121:B121"/>
    <mergeCell ref="A116:B116"/>
    <mergeCell ref="A196:H196"/>
    <mergeCell ref="A119:H119"/>
    <mergeCell ref="A199:H199"/>
    <mergeCell ref="A197:H197"/>
    <mergeCell ref="A193:H193"/>
    <mergeCell ref="A135:B135"/>
    <mergeCell ref="A152:H152"/>
    <mergeCell ref="A153:H153"/>
    <mergeCell ref="A127:A128"/>
    <mergeCell ref="C139:C140"/>
    <mergeCell ref="A142:H14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60:C60"/>
    <mergeCell ref="F35:H35"/>
    <mergeCell ref="A37:B37"/>
    <mergeCell ref="E37:F37"/>
    <mergeCell ref="C37:D37"/>
    <mergeCell ref="G37:H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G48:H48"/>
    <mergeCell ref="G50:H50"/>
    <mergeCell ref="D54:H54"/>
    <mergeCell ref="C50:E50"/>
    <mergeCell ref="A57:C59"/>
    <mergeCell ref="D57:H57"/>
    <mergeCell ref="A42:D42"/>
    <mergeCell ref="E42:H42"/>
    <mergeCell ref="E43:H43"/>
    <mergeCell ref="E44:H44"/>
    <mergeCell ref="E45:H45"/>
    <mergeCell ref="A43:D43"/>
    <mergeCell ref="A78:B78"/>
    <mergeCell ref="A36:H36"/>
    <mergeCell ref="A35:B35"/>
    <mergeCell ref="C35:E35"/>
    <mergeCell ref="A40:D40"/>
    <mergeCell ref="E40:H40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A72:B72"/>
    <mergeCell ref="A74:B74"/>
    <mergeCell ref="E70:F70"/>
    <mergeCell ref="A63:C63"/>
    <mergeCell ref="D63:H63"/>
    <mergeCell ref="A66:C66"/>
    <mergeCell ref="D66:H66"/>
    <mergeCell ref="A71:B71"/>
    <mergeCell ref="G70:H70"/>
    <mergeCell ref="G99:H108"/>
    <mergeCell ref="C127:C128"/>
    <mergeCell ref="A85:B85"/>
    <mergeCell ref="E85:F94"/>
    <mergeCell ref="A92:B92"/>
    <mergeCell ref="A93:B93"/>
    <mergeCell ref="A94:B94"/>
    <mergeCell ref="A99:B99"/>
    <mergeCell ref="E99:F108"/>
    <mergeCell ref="F109:H109"/>
    <mergeCell ref="A97:B97"/>
    <mergeCell ref="C97:H97"/>
    <mergeCell ref="B127:B128"/>
    <mergeCell ref="E127:E128"/>
    <mergeCell ref="G127:H128"/>
    <mergeCell ref="A107:B107"/>
    <mergeCell ref="A109:E109"/>
    <mergeCell ref="G98:H98"/>
    <mergeCell ref="A98:B98"/>
    <mergeCell ref="E98:F98"/>
    <mergeCell ref="C121:D121"/>
    <mergeCell ref="E121:F121"/>
    <mergeCell ref="G121:H121"/>
    <mergeCell ref="A102:B102"/>
    <mergeCell ref="A103:B103"/>
    <mergeCell ref="A104:B104"/>
    <mergeCell ref="A106:B106"/>
    <mergeCell ref="A110:E110"/>
    <mergeCell ref="L132:M132"/>
    <mergeCell ref="L131:M131"/>
    <mergeCell ref="C124:D124"/>
    <mergeCell ref="E115:F115"/>
    <mergeCell ref="A115:B115"/>
    <mergeCell ref="A117:B117"/>
    <mergeCell ref="C122:D122"/>
    <mergeCell ref="E122:F122"/>
    <mergeCell ref="G122:H122"/>
    <mergeCell ref="G124:H124"/>
    <mergeCell ref="C117:D117"/>
    <mergeCell ref="E117:F117"/>
    <mergeCell ref="G117:H117"/>
    <mergeCell ref="A118:B118"/>
    <mergeCell ref="C118:D118"/>
    <mergeCell ref="A124:B124"/>
    <mergeCell ref="E124:F124"/>
    <mergeCell ref="A129:H129"/>
    <mergeCell ref="G118:H118"/>
    <mergeCell ref="A126:H126"/>
    <mergeCell ref="G115:H115"/>
    <mergeCell ref="C116:D116"/>
    <mergeCell ref="E116:F116"/>
    <mergeCell ref="A130:H130"/>
    <mergeCell ref="A47:B47"/>
    <mergeCell ref="C47:H47"/>
    <mergeCell ref="B186:H186"/>
    <mergeCell ref="A100:B100"/>
    <mergeCell ref="A101:B101"/>
    <mergeCell ref="G85:H94"/>
    <mergeCell ref="A86:B86"/>
    <mergeCell ref="A87:B87"/>
    <mergeCell ref="A88:B88"/>
    <mergeCell ref="F111:H111"/>
    <mergeCell ref="A111:E111"/>
    <mergeCell ref="D127:D128"/>
    <mergeCell ref="A131:B131"/>
    <mergeCell ref="A132:B132"/>
    <mergeCell ref="A133:B133"/>
    <mergeCell ref="A134:B134"/>
    <mergeCell ref="A162:H162"/>
    <mergeCell ref="A170:B170"/>
    <mergeCell ref="A176:B176"/>
    <mergeCell ref="A83:B83"/>
    <mergeCell ref="C83:H83"/>
    <mergeCell ref="A84:B84"/>
    <mergeCell ref="E84:F84"/>
    <mergeCell ref="G84:H84"/>
    <mergeCell ref="L135:M135"/>
    <mergeCell ref="A136:B136"/>
    <mergeCell ref="L136:M136"/>
    <mergeCell ref="A137:B137"/>
    <mergeCell ref="L137:M137"/>
    <mergeCell ref="A141:H141"/>
    <mergeCell ref="A151:B151"/>
    <mergeCell ref="L145:M145"/>
    <mergeCell ref="L143:M143"/>
    <mergeCell ref="L144:M144"/>
    <mergeCell ref="A148:B148"/>
    <mergeCell ref="A149:B149"/>
    <mergeCell ref="A144:B144"/>
    <mergeCell ref="G131:H137"/>
    <mergeCell ref="G143:H144"/>
    <mergeCell ref="G146:H151"/>
    <mergeCell ref="B139:B140"/>
    <mergeCell ref="A143:B143"/>
    <mergeCell ref="A138:H138"/>
    <mergeCell ref="A139:A140"/>
    <mergeCell ref="A150:B150"/>
    <mergeCell ref="A147:B147"/>
    <mergeCell ref="L134:M134"/>
    <mergeCell ref="L133:M133"/>
    <mergeCell ref="L154:M154"/>
    <mergeCell ref="A155:B155"/>
    <mergeCell ref="L155:M155"/>
    <mergeCell ref="A156:H156"/>
    <mergeCell ref="L156:M156"/>
    <mergeCell ref="A157:B157"/>
    <mergeCell ref="A158:B158"/>
    <mergeCell ref="A160:B160"/>
    <mergeCell ref="A161:H161"/>
    <mergeCell ref="G154:H155"/>
    <mergeCell ref="G157:H160"/>
    <mergeCell ref="A154:B154"/>
    <mergeCell ref="A159:B159"/>
    <mergeCell ref="L170:M170"/>
    <mergeCell ref="A163:B163"/>
    <mergeCell ref="L163:M163"/>
    <mergeCell ref="A164:B164"/>
    <mergeCell ref="L164:M164"/>
    <mergeCell ref="A165:B165"/>
    <mergeCell ref="L165:M165"/>
    <mergeCell ref="A166:B166"/>
    <mergeCell ref="L166:M166"/>
    <mergeCell ref="G163:H170"/>
    <mergeCell ref="A168:B168"/>
    <mergeCell ref="A169:B169"/>
    <mergeCell ref="C168:F169"/>
    <mergeCell ref="L167:M167"/>
    <mergeCell ref="A167:B167"/>
    <mergeCell ref="B190:H190"/>
    <mergeCell ref="A177:B177"/>
    <mergeCell ref="A178:B178"/>
    <mergeCell ref="A171:H171"/>
    <mergeCell ref="L171:M171"/>
    <mergeCell ref="A172:B172"/>
    <mergeCell ref="G172:H179"/>
    <mergeCell ref="A179:B179"/>
    <mergeCell ref="A173:B173"/>
    <mergeCell ref="A174:B174"/>
    <mergeCell ref="A175:B175"/>
    <mergeCell ref="B188:H188"/>
    <mergeCell ref="B184:H184"/>
    <mergeCell ref="B185:H185"/>
    <mergeCell ref="A180:H180"/>
    <mergeCell ref="B182:H182"/>
    <mergeCell ref="I181:O181"/>
  </mergeCells>
  <phoneticPr fontId="26" type="noConversion"/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6" max="16383" man="1"/>
    <brk id="192" max="16383" man="1"/>
    <brk id="204" max="16383" man="1"/>
    <brk id="243" max="16383" man="1"/>
    <brk id="28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25" zoomScale="85" zoomScaleNormal="85" workbookViewId="0">
      <selection activeCell="B15" sqref="B15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3" t="s">
        <v>107</v>
      </c>
      <c r="C3" s="183"/>
      <c r="D3" s="183"/>
      <c r="E3" s="183"/>
      <c r="F3" s="183"/>
      <c r="G3" s="183"/>
      <c r="H3" s="183"/>
    </row>
    <row r="4" spans="1:9" x14ac:dyDescent="0.25">
      <c r="A4" s="2"/>
      <c r="B4" s="3" t="s">
        <v>108</v>
      </c>
      <c r="C4" s="3" t="s">
        <v>109</v>
      </c>
      <c r="D4" s="3" t="s">
        <v>73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2025-09-11T11:29:52Z</cp:lastPrinted>
  <dcterms:created xsi:type="dcterms:W3CDTF">2019-07-16T09:29:46Z</dcterms:created>
  <dcterms:modified xsi:type="dcterms:W3CDTF">2025-09-11T11:31:32Z</dcterms:modified>
</cp:coreProperties>
</file>