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K135" i="1" l="1"/>
  <c r="D127" i="1" l="1"/>
  <c r="F127" i="1" s="1"/>
  <c r="D126" i="1"/>
  <c r="F126" i="1" s="1"/>
  <c r="D125" i="1"/>
  <c r="D124" i="1"/>
  <c r="F124" i="1" s="1"/>
  <c r="D123" i="1"/>
  <c r="F123" i="1" s="1"/>
  <c r="D122" i="1"/>
  <c r="F122" i="1" s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D109" i="1"/>
  <c r="D108" i="1"/>
  <c r="D107" i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4" i="1"/>
  <c r="D153" i="1"/>
  <c r="F153" i="1" s="1"/>
  <c r="D152" i="1"/>
  <c r="D151" i="1"/>
  <c r="D150" i="1"/>
  <c r="D149" i="1"/>
  <c r="D148" i="1"/>
  <c r="E145" i="1"/>
  <c r="E144" i="1"/>
  <c r="D146" i="1"/>
  <c r="F146" i="1" s="1"/>
  <c r="D145" i="1"/>
  <c r="D144" i="1"/>
  <c r="D143" i="1"/>
  <c r="D142" i="1"/>
  <c r="D141" i="1"/>
  <c r="D140" i="1"/>
  <c r="E137" i="1"/>
  <c r="E136" i="1"/>
  <c r="E135" i="1"/>
  <c r="D137" i="1"/>
  <c r="D136" i="1"/>
  <c r="D135" i="1"/>
  <c r="A157" i="1"/>
  <c r="A158" i="1" s="1"/>
  <c r="A159" i="1" s="1"/>
  <c r="A160" i="1" s="1"/>
  <c r="A161" i="1" s="1"/>
  <c r="A162" i="1" s="1"/>
  <c r="G156" i="1"/>
  <c r="F154" i="1"/>
  <c r="A149" i="1"/>
  <c r="A150" i="1" s="1"/>
  <c r="A151" i="1" s="1"/>
  <c r="A152" i="1" s="1"/>
  <c r="A153" i="1" s="1"/>
  <c r="A154" i="1" s="1"/>
  <c r="M145" i="1"/>
  <c r="J145" i="1"/>
  <c r="A141" i="1"/>
  <c r="A142" i="1" s="1"/>
  <c r="A143" i="1" s="1"/>
  <c r="A144" i="1" s="1"/>
  <c r="A145" i="1" s="1"/>
  <c r="A146" i="1" s="1"/>
  <c r="K141" i="1"/>
  <c r="J143" i="1"/>
  <c r="M143" i="1"/>
  <c r="M139" i="1"/>
  <c r="J137" i="1"/>
  <c r="J135" i="1"/>
  <c r="I127" i="1"/>
  <c r="I126" i="1"/>
  <c r="I107" i="1"/>
  <c r="F125" i="1"/>
  <c r="F145" i="1" l="1"/>
  <c r="C96" i="1"/>
  <c r="C97" i="1" s="1"/>
  <c r="E96" i="1"/>
  <c r="E97" i="1" s="1"/>
  <c r="C100" i="1"/>
  <c r="C101" i="1" s="1"/>
  <c r="E100" i="1"/>
  <c r="E101" i="1" s="1"/>
  <c r="E43" i="1"/>
  <c r="E44" i="1" s="1"/>
  <c r="C15" i="1" l="1"/>
  <c r="E30" i="1" l="1"/>
  <c r="F93" i="1" l="1"/>
  <c r="F108" i="1" l="1"/>
  <c r="F109" i="1"/>
  <c r="F110" i="1"/>
  <c r="F107" i="1"/>
  <c r="G96" i="1" l="1"/>
  <c r="G97" i="1" s="1"/>
  <c r="B165" i="1"/>
  <c r="F152" i="1" l="1"/>
  <c r="F151" i="1"/>
  <c r="F150" i="1"/>
  <c r="F149" i="1"/>
  <c r="F148" i="1"/>
  <c r="F144" i="1"/>
  <c r="F143" i="1"/>
  <c r="I143" i="1" s="1"/>
  <c r="F142" i="1"/>
  <c r="F141" i="1"/>
  <c r="F140" i="1"/>
  <c r="I140" i="1" s="1"/>
  <c r="F138" i="1"/>
  <c r="F137" i="1"/>
  <c r="F135" i="1"/>
  <c r="F136" i="1"/>
  <c r="G100" i="1" l="1"/>
  <c r="G101" i="1" s="1"/>
  <c r="B16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5" i="1"/>
  <c r="G148" i="1"/>
  <c r="G140" i="1"/>
  <c r="G134" i="1"/>
  <c r="A135" i="1"/>
  <c r="A136" i="1" s="1"/>
  <c r="A137" i="1" s="1"/>
  <c r="A138" i="1" s="1"/>
  <c r="A108" i="1"/>
  <c r="G107" i="1"/>
  <c r="J77" i="1"/>
  <c r="J76" i="1"/>
  <c r="J75" i="1"/>
  <c r="J74" i="1"/>
  <c r="C66" i="1"/>
  <c r="D55" i="1"/>
  <c r="G50" i="1"/>
  <c r="G51" i="1" s="1"/>
  <c r="C50" i="1"/>
  <c r="E27" i="1"/>
  <c r="E25" i="1"/>
  <c r="E7" i="1"/>
  <c r="H67" i="1"/>
  <c r="A109" i="1" l="1"/>
  <c r="A110" i="1" s="1"/>
  <c r="A111" i="1" s="1"/>
  <c r="A112" i="1" s="1"/>
  <c r="A113" i="1" s="1"/>
  <c r="A114" i="1" s="1"/>
  <c r="D60" i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A115" i="1" l="1"/>
  <c r="A116" i="1" s="1"/>
  <c r="A117" i="1" s="1"/>
  <c r="A118" i="1" s="1"/>
  <c r="D72" i="1"/>
  <c r="J68" i="1"/>
  <c r="E70" i="1"/>
  <c r="D71" i="1"/>
  <c r="G70" i="1"/>
  <c r="D64" i="1" s="1"/>
  <c r="D65" i="1" s="1"/>
  <c r="D70" i="1"/>
  <c r="A119" i="1" l="1"/>
  <c r="A120" i="1" s="1"/>
  <c r="A121" i="1" s="1"/>
  <c r="A122" i="1" s="1"/>
  <c r="I67" i="1"/>
  <c r="J67" i="1"/>
  <c r="F65" i="1"/>
  <c r="A123" i="1" l="1"/>
  <c r="A124" i="1" s="1"/>
  <c r="A125" i="1" s="1"/>
  <c r="A126" i="1" s="1"/>
  <c r="I68" i="1"/>
  <c r="I66" i="1" s="1"/>
  <c r="C68" i="1" s="1"/>
  <c r="A127" i="1" l="1"/>
</calcChain>
</file>

<file path=xl/sharedStrings.xml><?xml version="1.0" encoding="utf-8"?>
<sst xmlns="http://schemas.openxmlformats.org/spreadsheetml/2006/main" count="310" uniqueCount="223">
  <si>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</si>
  <si>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</si>
  <si>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</si>
  <si>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</si>
  <si>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</si>
  <si>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</si>
  <si>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</si>
  <si>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</si>
  <si>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</si>
  <si>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</si>
  <si>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</si>
  <si>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</si>
  <si>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</si>
  <si>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</si>
  <si>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</si>
  <si>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</si>
  <si>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</si>
  <si>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</si>
  <si>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</si>
  <si>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</si>
  <si>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</si>
  <si>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</si>
  <si>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</si>
  <si>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</si>
  <si>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</si>
  <si>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</si>
  <si>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</si>
  <si>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</si>
  <si>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</si>
  <si>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</si>
  <si>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</si>
  <si>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</si>
  <si>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</si>
  <si>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</si>
  <si>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</si>
  <si>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</si>
  <si>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</si>
  <si>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</si>
  <si>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</si>
  <si>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</si>
  <si>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</si>
  <si>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</si>
  <si>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</si>
  <si>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</si>
  <si>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</si>
  <si>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</si>
  <si>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</si>
  <si>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</si>
  <si>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</si>
  <si>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</si>
  <si>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</si>
  <si>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</si>
  <si>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</si>
  <si>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</si>
  <si>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</si>
  <si>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</si>
  <si>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</si>
  <si>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</si>
  <si>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</si>
  <si>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</si>
  <si>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</si>
  <si>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</si>
  <si>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</si>
  <si>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</si>
  <si>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</si>
  <si>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</si>
  <si>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</si>
  <si>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</si>
  <si>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</si>
  <si>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</si>
  <si>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</si>
  <si>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</si>
  <si>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</si>
  <si>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</si>
  <si>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</si>
  <si>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</si>
  <si>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</si>
  <si>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</si>
  <si>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</si>
  <si>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</si>
  <si>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</si>
  <si>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</si>
  <si>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</si>
  <si>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</si>
  <si>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</si>
  <si>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</si>
  <si>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</si>
  <si>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</si>
  <si>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</si>
  <si>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</si>
  <si>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</si>
  <si>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</si>
  <si>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</si>
  <si>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</si>
  <si>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</si>
  <si>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</si>
  <si>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</si>
  <si>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</si>
  <si>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</si>
  <si>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</si>
  <si>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</si>
  <si>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</si>
  <si>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</si>
  <si>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</si>
  <si>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</si>
  <si>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</si>
  <si>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</si>
  <si>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</si>
  <si>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</si>
  <si>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</si>
  <si>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</si>
  <si>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</si>
  <si>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</si>
  <si>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</si>
  <si>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</si>
  <si>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</si>
  <si>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</si>
  <si>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</si>
  <si>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</si>
  <si>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</si>
  <si>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</si>
  <si>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</si>
  <si>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</si>
  <si>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</si>
  <si>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</si>
  <si>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</si>
  <si>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</si>
  <si>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</si>
  <si>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</si>
  <si>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</si>
  <si>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</si>
  <si>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</si>
  <si>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</si>
  <si>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</si>
  <si>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</si>
  <si>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</si>
  <si>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</si>
  <si>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</si>
  <si>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</si>
  <si>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</si>
  <si>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</si>
  <si>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</si>
  <si>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</si>
  <si>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</si>
  <si>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</si>
  <si>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</si>
  <si>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</si>
  <si>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</si>
  <si>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</si>
  <si>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</si>
  <si>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</si>
  <si>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</si>
  <si>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</si>
  <si>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</si>
  <si>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</si>
  <si>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</si>
  <si>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</si>
  <si>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</si>
  <si>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</si>
  <si>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</si>
  <si>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</si>
  <si>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</si>
  <si>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</si>
  <si>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</si>
  <si>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</si>
  <si>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</si>
  <si>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</si>
  <si>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</si>
  <si>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</si>
  <si>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</si>
  <si>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</si>
  <si>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</si>
  <si>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</si>
  <si>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</si>
  <si>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Latitude, Longitude</t>
  </si>
  <si>
    <t>Axis Sanpada</t>
  </si>
  <si>
    <t>P51700034413</t>
  </si>
  <si>
    <t>Tricity Montview</t>
  </si>
  <si>
    <t>Thane</t>
  </si>
  <si>
    <t>Name of the Project (As per Builder)</t>
  </si>
  <si>
    <t>Name of the Project (As per Rera)</t>
  </si>
  <si>
    <t>Tricity Eros</t>
  </si>
  <si>
    <t>Approved Plans, CC, Cost Sheet</t>
  </si>
  <si>
    <t>Plot No</t>
  </si>
  <si>
    <t>22+23, Sector - 08</t>
  </si>
  <si>
    <t>Sanpada</t>
  </si>
  <si>
    <t>Navi Mumbai Municipal Corporation (NMMC)</t>
  </si>
  <si>
    <t>NRV/A/4098</t>
  </si>
  <si>
    <t>NMMC/TPO/BP/4098/2022</t>
  </si>
  <si>
    <t>G + 1st to 25th Floor</t>
  </si>
  <si>
    <t>As per RERA - 31/12/2026</t>
  </si>
  <si>
    <t>Shop</t>
  </si>
  <si>
    <t>Ground Floor For Security Cabin, Fire Tank, Meter Room, Entrance Lobby, Commericial &amp; Parking</t>
  </si>
  <si>
    <t>1st Podium Floor For Meter Room &amp; Parking</t>
  </si>
  <si>
    <t>2nd &amp; 3rd Podium Floor For Parking</t>
  </si>
  <si>
    <t>4th Podium Floor For Fitness Center, Socity Office, Drivers Room, Kids Pool, Pool, Garden &amp; Residential</t>
  </si>
  <si>
    <t>Creche, Socity Office &amp; Drivers Room</t>
  </si>
  <si>
    <t>Fitness Center</t>
  </si>
  <si>
    <t>2BHK</t>
  </si>
  <si>
    <t>3BHK</t>
  </si>
  <si>
    <t>5th Floor</t>
  </si>
  <si>
    <t>7th to 10th, 12th to 15th, 17th to 20th, 22nd to 25th  Floor</t>
  </si>
  <si>
    <t>6th, 11th, 16th &amp; 21st Floor (Part Refuge Area)</t>
  </si>
  <si>
    <t>1BHK</t>
  </si>
  <si>
    <t>Flats</t>
  </si>
  <si>
    <t>Flats - 150, Shops - 21</t>
  </si>
  <si>
    <t>We considered Gross carpet area = Net carpet + A.P Area + C.B Area.</t>
  </si>
  <si>
    <t>Chemist Bhavan Road</t>
  </si>
  <si>
    <t>Internal Road</t>
  </si>
  <si>
    <t>Sanpada Road</t>
  </si>
  <si>
    <t>950M from Sanpada Railway Station</t>
  </si>
  <si>
    <t>https://goo.gl/maps/15yK3NZPsDJyj2to6</t>
  </si>
  <si>
    <t>Suyog Samuh CHS</t>
  </si>
  <si>
    <t>Fitness Center, Kids Pool, Pool, Garden</t>
  </si>
  <si>
    <t>G + 4P + 5th to 25th Floor</t>
  </si>
  <si>
    <t>Tricity Realty LLP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</si>
  <si>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</si>
  <si>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19.061150,73.008807</t>
  </si>
  <si>
    <t>Miss.Shweta 9004339585</t>
  </si>
  <si>
    <t>Mr. Rajesh Nair 7498693362</t>
  </si>
  <si>
    <t>Pranita Mhatre</t>
  </si>
  <si>
    <t>Mayur Ranvare</t>
  </si>
  <si>
    <t>Finishing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</si>
</sst>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346363</xdr:colOff>
      <xdr:row>267</xdr:row>
      <xdr:rowOff>118187</xdr:rowOff>
    </xdr:from>
    <xdr:to>
      <xdr:col>6</xdr:col>
      <xdr:colOff>595603</xdr:colOff>
      <xdr:row>282</xdr:row>
      <xdr:rowOff>10801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8363" y="61034892"/>
          <a:ext cx="439694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346363</xdr:colOff>
      <xdr:row>252</xdr:row>
      <xdr:rowOff>17319</xdr:rowOff>
    </xdr:from>
    <xdr:to>
      <xdr:col>6</xdr:col>
      <xdr:colOff>573202</xdr:colOff>
      <xdr:row>266</xdr:row>
      <xdr:rowOff>109093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8363" y="57946637"/>
          <a:ext cx="437454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69273</xdr:colOff>
      <xdr:row>228</xdr:row>
      <xdr:rowOff>8659</xdr:rowOff>
    </xdr:from>
    <xdr:to>
      <xdr:col>5</xdr:col>
      <xdr:colOff>228951</xdr:colOff>
      <xdr:row>246</xdr:row>
      <xdr:rowOff>23795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27909" y="49174977"/>
          <a:ext cx="2731428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625848</xdr:colOff>
      <xdr:row>183</xdr:row>
      <xdr:rowOff>57150</xdr:rowOff>
    </xdr:from>
    <xdr:to>
      <xdr:col>16</xdr:col>
      <xdr:colOff>57328</xdr:colOff>
      <xdr:row>219</xdr:row>
      <xdr:rowOff>147233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4FBE9067-B485-44F3-B757-5C5D2201C659}"/>
            </a:ext>
          </a:extLst>
        </xdr:cNvPr>
        <xdr:cNvGrpSpPr/>
      </xdr:nvGrpSpPr>
      <xdr:grpSpPr>
        <a:xfrm>
          <a:off x="7150473" y="37585650"/>
          <a:ext cx="5832280" cy="7281458"/>
          <a:chOff x="399169" y="573741"/>
          <a:chExt cx="5844607" cy="7281458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AEC117B5-4FE5-44A7-AA7A-25EA8B0FB3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9169" y="573741"/>
            <a:ext cx="2802837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BABCB93C-AE28-4B3F-A497-DA7CE8C2C6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5213" y="573741"/>
            <a:ext cx="2802837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66DE14DB-8FBA-4803-B882-06EA50D330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9169" y="394447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2F81960C-1FCC-44AC-A123-C0651E44B9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2695" y="394447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DABBB897-949D-48F7-A7C8-AFA72BF307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6221" y="3944470"/>
            <a:ext cx="263755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AB866E23-E120-482D-A137-A97C197E1F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5449" y="6055199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11457A67-F9FA-49B5-B04E-AE7599429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5213" y="6055199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168088</xdr:colOff>
      <xdr:row>185</xdr:row>
      <xdr:rowOff>78443</xdr:rowOff>
    </xdr:from>
    <xdr:to>
      <xdr:col>7</xdr:col>
      <xdr:colOff>672354</xdr:colOff>
      <xdr:row>224</xdr:row>
      <xdr:rowOff>67236</xdr:rowOff>
    </xdr:to>
    <xdr:grpSp>
      <xdr:nvGrpSpPr>
        <xdr:cNvPr id="20" name="Group 19"/>
        <xdr:cNvGrpSpPr/>
      </xdr:nvGrpSpPr>
      <xdr:grpSpPr>
        <a:xfrm>
          <a:off x="168088" y="38006993"/>
          <a:ext cx="6200216" cy="7780243"/>
          <a:chOff x="-128056" y="144124"/>
          <a:chExt cx="6891563" cy="8267275"/>
        </a:xfrm>
      </xdr:grpSpPr>
      <xdr:pic>
        <xdr:nvPicPr>
          <xdr:cNvPr id="21" name="Picture 20" descr="https://vsjcllp.vsjadon.com/upload/insp-24688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78591" y="6251399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6880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78591" y="153150"/>
            <a:ext cx="2697022" cy="3584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6880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78591" y="3914687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6880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85516" y="6241375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880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28056" y="3899550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880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8444" y="3902876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6880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7451" y="3914687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6880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2312" y="144124"/>
            <a:ext cx="2697022" cy="3584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5yK3NZPsDJyj2to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51"/>
  <sheetViews>
    <sheetView tabSelected="1" view="pageBreakPreview" zoomScaleNormal="100" zoomScaleSheetLayoutView="100" workbookViewId="0">
      <selection activeCell="J15" sqref="J1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10" t="s">
        <v>216</v>
      </c>
      <c r="B1" s="110"/>
      <c r="C1" s="110"/>
      <c r="D1" s="110"/>
      <c r="E1" s="110"/>
      <c r="F1" s="110"/>
      <c r="G1" s="110"/>
      <c r="H1" s="110"/>
    </row>
    <row r="2" spans="1:12" ht="16.5" customHeight="1" x14ac:dyDescent="0.25">
      <c r="A2" s="111" t="s">
        <v>0</v>
      </c>
      <c r="B2" s="111"/>
      <c r="C2" s="111"/>
      <c r="D2" s="111"/>
      <c r="E2" s="111"/>
      <c r="F2" s="111"/>
      <c r="G2" s="111"/>
      <c r="H2" s="111"/>
    </row>
    <row r="3" spans="1:12" x14ac:dyDescent="0.25">
      <c r="A3" s="55" t="s">
        <v>1</v>
      </c>
      <c r="B3" s="55"/>
      <c r="C3" s="55"/>
      <c r="D3" s="55"/>
      <c r="E3" s="55" t="str">
        <f ca="1">TEXT(TODAY(),"DD/MM/YYYY")</f>
        <v>17/09/2025</v>
      </c>
      <c r="F3" s="55"/>
      <c r="G3" s="55"/>
      <c r="H3" s="55"/>
    </row>
    <row r="4" spans="1:12" x14ac:dyDescent="0.25">
      <c r="A4" s="55" t="s">
        <v>2</v>
      </c>
      <c r="B4" s="55"/>
      <c r="C4" s="55"/>
      <c r="D4" s="55"/>
      <c r="E4" s="55" t="s">
        <v>175</v>
      </c>
      <c r="F4" s="55"/>
      <c r="G4" s="55"/>
      <c r="H4" s="55"/>
    </row>
    <row r="5" spans="1:12" x14ac:dyDescent="0.25">
      <c r="A5" s="55" t="s">
        <v>3</v>
      </c>
      <c r="B5" s="55"/>
      <c r="C5" s="55"/>
      <c r="D5" s="55"/>
      <c r="E5" s="112">
        <v>45909</v>
      </c>
      <c r="F5" s="55"/>
      <c r="G5" s="55"/>
      <c r="H5" s="55"/>
    </row>
    <row r="6" spans="1:12" ht="16.5" customHeight="1" x14ac:dyDescent="0.25">
      <c r="A6" s="55" t="s">
        <v>4</v>
      </c>
      <c r="B6" s="55"/>
      <c r="C6" s="55"/>
      <c r="D6" s="55"/>
      <c r="E6" s="55" t="s">
        <v>215</v>
      </c>
      <c r="F6" s="55"/>
      <c r="G6" s="55"/>
      <c r="H6" s="55"/>
    </row>
    <row r="7" spans="1:12" x14ac:dyDescent="0.25">
      <c r="A7" s="55" t="s">
        <v>5</v>
      </c>
      <c r="B7" s="55"/>
      <c r="C7" s="55"/>
      <c r="D7" s="55"/>
      <c r="E7" s="55" t="str">
        <f>E6</f>
        <v>Tricity Realty LLP</v>
      </c>
      <c r="F7" s="55"/>
      <c r="G7" s="55"/>
      <c r="H7" s="55"/>
    </row>
    <row r="8" spans="1:12" x14ac:dyDescent="0.25">
      <c r="A8" s="55" t="s">
        <v>179</v>
      </c>
      <c r="B8" s="55"/>
      <c r="C8" s="55"/>
      <c r="D8" s="55"/>
      <c r="E8" s="72" t="s">
        <v>181</v>
      </c>
      <c r="F8" s="72"/>
      <c r="G8" s="72"/>
      <c r="H8" s="72"/>
    </row>
    <row r="9" spans="1:12" x14ac:dyDescent="0.25">
      <c r="A9" s="55" t="s">
        <v>180</v>
      </c>
      <c r="B9" s="55"/>
      <c r="C9" s="55"/>
      <c r="D9" s="55"/>
      <c r="E9" s="72" t="s">
        <v>177</v>
      </c>
      <c r="F9" s="72"/>
      <c r="G9" s="72"/>
      <c r="H9" s="72"/>
    </row>
    <row r="10" spans="1:12" x14ac:dyDescent="0.25">
      <c r="A10" s="55" t="s">
        <v>171</v>
      </c>
      <c r="B10" s="55"/>
      <c r="C10" s="55"/>
      <c r="D10" s="55"/>
      <c r="E10" s="55" t="s">
        <v>219</v>
      </c>
      <c r="F10" s="55"/>
      <c r="G10" s="55"/>
      <c r="H10" s="55"/>
      <c r="I10" s="55" t="s">
        <v>218</v>
      </c>
      <c r="J10" s="55"/>
      <c r="K10" s="55"/>
      <c r="L10" s="55"/>
    </row>
    <row r="11" spans="1:12" hidden="1" x14ac:dyDescent="0.25">
      <c r="A11" s="55" t="s">
        <v>172</v>
      </c>
      <c r="B11" s="55"/>
      <c r="C11" s="55"/>
      <c r="D11" s="55"/>
      <c r="E11" s="55">
        <v>9920090032</v>
      </c>
      <c r="F11" s="55"/>
      <c r="G11" s="55"/>
      <c r="H11" s="55"/>
    </row>
    <row r="12" spans="1:12" x14ac:dyDescent="0.25">
      <c r="A12" s="55" t="s">
        <v>6</v>
      </c>
      <c r="B12" s="55"/>
      <c r="C12" s="55"/>
      <c r="D12" s="55"/>
      <c r="E12" s="55" t="s">
        <v>126</v>
      </c>
      <c r="F12" s="55"/>
      <c r="G12" s="55"/>
      <c r="H12" s="55"/>
    </row>
    <row r="13" spans="1:12" x14ac:dyDescent="0.25">
      <c r="A13" s="59" t="s">
        <v>7</v>
      </c>
      <c r="B13" s="59"/>
      <c r="C13" s="59"/>
      <c r="D13" s="59"/>
      <c r="E13" s="87" t="s">
        <v>182</v>
      </c>
      <c r="F13" s="87"/>
      <c r="G13" s="87"/>
      <c r="H13" s="87"/>
    </row>
    <row r="14" spans="1:12" x14ac:dyDescent="0.25">
      <c r="A14" s="59" t="s">
        <v>8</v>
      </c>
      <c r="B14" s="59"/>
      <c r="C14" s="59"/>
      <c r="D14" s="59"/>
      <c r="E14" s="87" t="s">
        <v>176</v>
      </c>
      <c r="F14" s="55"/>
      <c r="G14" s="55"/>
      <c r="H14" s="55"/>
    </row>
    <row r="15" spans="1:12" ht="31.5" customHeight="1" x14ac:dyDescent="0.25">
      <c r="A15" s="87" t="s">
        <v>9</v>
      </c>
      <c r="B15" s="87"/>
      <c r="C15" s="87" t="str">
        <f>CONCATENATE((IF(OR(E9="",E9="NA"),"",E9)),",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Tricity Montview, Plot No.22+23, Sector - 08, near Suyog Samuh CHS, Chemist Bhavan Road, , Sanpada, Sanpada, Thane, Thane - 400705.</v>
      </c>
      <c r="D15" s="87"/>
      <c r="E15" s="87"/>
      <c r="F15" s="87"/>
      <c r="G15" s="87"/>
      <c r="H15" s="87"/>
    </row>
    <row r="16" spans="1:12" x14ac:dyDescent="0.25">
      <c r="A16" s="87" t="s">
        <v>183</v>
      </c>
      <c r="B16" s="87"/>
      <c r="C16" s="87" t="s">
        <v>184</v>
      </c>
      <c r="D16" s="87"/>
      <c r="E16" s="87"/>
      <c r="F16" s="87"/>
      <c r="G16" s="87"/>
      <c r="H16" s="87"/>
    </row>
    <row r="17" spans="1:8" ht="15.75" hidden="1" customHeight="1" x14ac:dyDescent="0.25">
      <c r="A17" s="87" t="s">
        <v>170</v>
      </c>
      <c r="B17" s="87"/>
      <c r="C17" s="87" t="s">
        <v>29</v>
      </c>
      <c r="D17" s="87"/>
      <c r="E17" s="87"/>
      <c r="F17" s="87"/>
      <c r="G17" s="87"/>
      <c r="H17" s="87"/>
    </row>
    <row r="18" spans="1:8" ht="15.75" customHeight="1" x14ac:dyDescent="0.25">
      <c r="A18" s="87" t="s">
        <v>10</v>
      </c>
      <c r="B18" s="87"/>
      <c r="C18" s="55" t="s">
        <v>207</v>
      </c>
      <c r="D18" s="55"/>
      <c r="E18" s="87" t="s">
        <v>74</v>
      </c>
      <c r="F18" s="87"/>
      <c r="G18" s="87" t="s">
        <v>185</v>
      </c>
      <c r="H18" s="87"/>
    </row>
    <row r="19" spans="1:8" x14ac:dyDescent="0.25">
      <c r="A19" s="55" t="s">
        <v>12</v>
      </c>
      <c r="B19" s="55"/>
      <c r="C19" s="87" t="s">
        <v>185</v>
      </c>
      <c r="D19" s="87"/>
      <c r="E19" s="87" t="s">
        <v>11</v>
      </c>
      <c r="F19" s="87"/>
      <c r="G19" s="113" t="s">
        <v>178</v>
      </c>
      <c r="H19" s="113"/>
    </row>
    <row r="20" spans="1:8" x14ac:dyDescent="0.25">
      <c r="A20" s="55" t="s">
        <v>75</v>
      </c>
      <c r="B20" s="55"/>
      <c r="C20" s="87" t="s">
        <v>178</v>
      </c>
      <c r="D20" s="87"/>
      <c r="E20" s="87" t="s">
        <v>13</v>
      </c>
      <c r="F20" s="87"/>
      <c r="G20" s="87">
        <v>400705</v>
      </c>
      <c r="H20" s="87"/>
    </row>
    <row r="21" spans="1:8" ht="32.25" customHeight="1" x14ac:dyDescent="0.25">
      <c r="A21" s="55" t="s">
        <v>127</v>
      </c>
      <c r="B21" s="55"/>
      <c r="C21" s="87" t="s">
        <v>212</v>
      </c>
      <c r="D21" s="87"/>
      <c r="E21" s="87" t="s">
        <v>14</v>
      </c>
      <c r="F21" s="87"/>
      <c r="G21" s="87" t="s">
        <v>210</v>
      </c>
      <c r="H21" s="87"/>
    </row>
    <row r="22" spans="1:8" ht="15" customHeight="1" x14ac:dyDescent="0.25">
      <c r="A22" s="78" t="s">
        <v>78</v>
      </c>
      <c r="B22" s="78"/>
      <c r="C22" s="78"/>
      <c r="D22" s="78"/>
      <c r="E22" s="55" t="s">
        <v>15</v>
      </c>
      <c r="F22" s="55"/>
      <c r="G22" s="55"/>
      <c r="H22" s="55"/>
    </row>
    <row r="23" spans="1:8" ht="18.75" customHeight="1" x14ac:dyDescent="0.25">
      <c r="A23" s="78"/>
      <c r="B23" s="78"/>
      <c r="C23" s="78"/>
      <c r="D23" s="78"/>
      <c r="E23" s="55"/>
      <c r="F23" s="55"/>
      <c r="G23" s="55"/>
      <c r="H23" s="55"/>
    </row>
    <row r="24" spans="1:8" ht="15" customHeight="1" x14ac:dyDescent="0.25">
      <c r="A24" s="78" t="s">
        <v>16</v>
      </c>
      <c r="B24" s="78"/>
      <c r="C24" s="78"/>
      <c r="D24" s="78"/>
      <c r="E24" s="87" t="s">
        <v>17</v>
      </c>
      <c r="F24" s="87"/>
      <c r="G24" s="87"/>
      <c r="H24" s="87"/>
    </row>
    <row r="25" spans="1:8" ht="15" customHeight="1" x14ac:dyDescent="0.25">
      <c r="A25" s="59" t="s">
        <v>18</v>
      </c>
      <c r="B25" s="59"/>
      <c r="C25" s="59"/>
      <c r="D25" s="59"/>
      <c r="E25" s="87" t="str">
        <f>IF(AND(G19="Mumbai"),"Upper Class","Middle Class")</f>
        <v>Middle Class</v>
      </c>
      <c r="F25" s="87"/>
      <c r="G25" s="87"/>
      <c r="H25" s="87"/>
    </row>
    <row r="26" spans="1:8" x14ac:dyDescent="0.25">
      <c r="A26" s="59" t="s">
        <v>19</v>
      </c>
      <c r="B26" s="59"/>
      <c r="C26" s="59"/>
      <c r="D26" s="59"/>
      <c r="E26" s="87" t="s">
        <v>20</v>
      </c>
      <c r="F26" s="87"/>
      <c r="G26" s="87"/>
      <c r="H26" s="87"/>
    </row>
    <row r="27" spans="1:8" ht="15.75" customHeight="1" x14ac:dyDescent="0.25">
      <c r="A27" s="59" t="s">
        <v>21</v>
      </c>
      <c r="B27" s="59"/>
      <c r="C27" s="59"/>
      <c r="D27" s="59"/>
      <c r="E27" s="87" t="str">
        <f>IF(AND(G19="Mumbai"),"Developed","Developing")</f>
        <v>Developing</v>
      </c>
      <c r="F27" s="87"/>
      <c r="G27" s="87"/>
      <c r="H27" s="87"/>
    </row>
    <row r="28" spans="1:8" x14ac:dyDescent="0.25">
      <c r="A28" s="59" t="s">
        <v>22</v>
      </c>
      <c r="B28" s="59"/>
      <c r="C28" s="59"/>
      <c r="D28" s="59"/>
      <c r="E28" s="87" t="s">
        <v>23</v>
      </c>
      <c r="F28" s="87"/>
      <c r="G28" s="87"/>
      <c r="H28" s="87"/>
    </row>
    <row r="29" spans="1:8" ht="15.75" customHeight="1" x14ac:dyDescent="0.25">
      <c r="A29" s="59" t="s">
        <v>83</v>
      </c>
      <c r="B29" s="59"/>
      <c r="C29" s="59"/>
      <c r="D29" s="59"/>
      <c r="E29" s="87" t="s">
        <v>84</v>
      </c>
      <c r="F29" s="87"/>
      <c r="G29" s="87"/>
      <c r="H29" s="87"/>
    </row>
    <row r="30" spans="1:8" ht="15" customHeight="1" x14ac:dyDescent="0.25">
      <c r="A30" s="59" t="s">
        <v>32</v>
      </c>
      <c r="B30" s="59"/>
      <c r="C30" s="59"/>
      <c r="D30" s="59"/>
      <c r="E30" s="8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87"/>
      <c r="G30" s="87"/>
      <c r="H30" s="87"/>
    </row>
    <row r="31" spans="1:8" ht="15.75" customHeight="1" x14ac:dyDescent="0.25">
      <c r="A31" s="59" t="s">
        <v>95</v>
      </c>
      <c r="B31" s="59"/>
      <c r="C31" s="59"/>
      <c r="D31" s="59"/>
      <c r="E31" s="87" t="s">
        <v>33</v>
      </c>
      <c r="F31" s="87"/>
      <c r="G31" s="87"/>
      <c r="H31" s="87"/>
    </row>
    <row r="32" spans="1:8" s="22" customFormat="1" x14ac:dyDescent="0.25">
      <c r="A32" s="108" t="s">
        <v>96</v>
      </c>
      <c r="B32" s="108"/>
      <c r="C32" s="107" t="s">
        <v>28</v>
      </c>
      <c r="D32" s="107"/>
      <c r="E32" s="107"/>
      <c r="F32" s="107" t="s">
        <v>30</v>
      </c>
      <c r="G32" s="107"/>
      <c r="H32" s="107"/>
    </row>
    <row r="33" spans="1:8" s="22" customFormat="1" x14ac:dyDescent="0.25">
      <c r="A33" s="66" t="s">
        <v>24</v>
      </c>
      <c r="B33" s="66" t="s">
        <v>29</v>
      </c>
      <c r="C33" s="67" t="s">
        <v>29</v>
      </c>
      <c r="D33" s="67"/>
      <c r="E33" s="67"/>
      <c r="F33" s="67" t="s">
        <v>207</v>
      </c>
      <c r="G33" s="67"/>
      <c r="H33" s="67"/>
    </row>
    <row r="34" spans="1:8" x14ac:dyDescent="0.25">
      <c r="A34" s="66" t="s">
        <v>25</v>
      </c>
      <c r="B34" s="66" t="s">
        <v>29</v>
      </c>
      <c r="C34" s="67" t="s">
        <v>29</v>
      </c>
      <c r="D34" s="67"/>
      <c r="E34" s="67"/>
      <c r="F34" s="67" t="s">
        <v>208</v>
      </c>
      <c r="G34" s="67"/>
      <c r="H34" s="67"/>
    </row>
    <row r="35" spans="1:8" s="22" customFormat="1" x14ac:dyDescent="0.25">
      <c r="A35" s="66" t="s">
        <v>27</v>
      </c>
      <c r="B35" s="66" t="s">
        <v>29</v>
      </c>
      <c r="C35" s="67" t="s">
        <v>29</v>
      </c>
      <c r="D35" s="67"/>
      <c r="E35" s="67"/>
      <c r="F35" s="67" t="s">
        <v>207</v>
      </c>
      <c r="G35" s="67"/>
      <c r="H35" s="67"/>
    </row>
    <row r="36" spans="1:8" x14ac:dyDescent="0.25">
      <c r="A36" s="66" t="s">
        <v>26</v>
      </c>
      <c r="B36" s="66" t="s">
        <v>29</v>
      </c>
      <c r="C36" s="67" t="s">
        <v>29</v>
      </c>
      <c r="D36" s="67"/>
      <c r="E36" s="67"/>
      <c r="F36" s="67" t="s">
        <v>209</v>
      </c>
      <c r="G36" s="67"/>
      <c r="H36" s="67"/>
    </row>
    <row r="37" spans="1:8" x14ac:dyDescent="0.25">
      <c r="A37" s="59" t="s">
        <v>31</v>
      </c>
      <c r="B37" s="59"/>
      <c r="C37" s="59"/>
      <c r="D37" s="59"/>
      <c r="E37" s="59"/>
      <c r="F37" s="59"/>
      <c r="G37" s="59"/>
      <c r="H37" s="59"/>
    </row>
    <row r="38" spans="1:8" ht="15.75" customHeight="1" x14ac:dyDescent="0.25">
      <c r="A38" s="59" t="s">
        <v>174</v>
      </c>
      <c r="B38" s="59"/>
      <c r="C38" s="84" t="s">
        <v>217</v>
      </c>
      <c r="D38" s="84"/>
      <c r="E38" s="84"/>
      <c r="F38" s="84"/>
      <c r="G38" s="84"/>
      <c r="H38" s="85"/>
    </row>
    <row r="39" spans="1:8" x14ac:dyDescent="0.25">
      <c r="A39" s="59" t="s">
        <v>169</v>
      </c>
      <c r="B39" s="59"/>
      <c r="C39" s="86" t="s">
        <v>211</v>
      </c>
      <c r="D39" s="87"/>
      <c r="E39" s="87"/>
      <c r="F39" s="87"/>
      <c r="G39" s="87"/>
      <c r="H39" s="87"/>
    </row>
    <row r="40" spans="1:8" x14ac:dyDescent="0.25">
      <c r="A40" s="109" t="s">
        <v>34</v>
      </c>
      <c r="B40" s="109"/>
      <c r="C40" s="109"/>
      <c r="D40" s="109"/>
      <c r="E40" s="109"/>
      <c r="F40" s="109"/>
      <c r="G40" s="109"/>
      <c r="H40" s="109"/>
    </row>
    <row r="41" spans="1:8" x14ac:dyDescent="0.25">
      <c r="A41" s="59" t="s">
        <v>35</v>
      </c>
      <c r="B41" s="59"/>
      <c r="C41" s="59"/>
      <c r="D41" s="59"/>
      <c r="E41" s="68">
        <v>3000.28</v>
      </c>
      <c r="F41" s="68"/>
      <c r="G41" s="68"/>
      <c r="H41" s="68"/>
    </row>
    <row r="42" spans="1:8" x14ac:dyDescent="0.25">
      <c r="A42" s="59" t="s">
        <v>36</v>
      </c>
      <c r="B42" s="59"/>
      <c r="C42" s="59"/>
      <c r="D42" s="59"/>
      <c r="E42" s="82">
        <v>1.1000000000000001</v>
      </c>
      <c r="F42" s="82"/>
      <c r="G42" s="82"/>
      <c r="H42" s="82"/>
    </row>
    <row r="43" spans="1:8" x14ac:dyDescent="0.25">
      <c r="A43" s="59" t="s">
        <v>37</v>
      </c>
      <c r="B43" s="59"/>
      <c r="C43" s="59"/>
      <c r="D43" s="59"/>
      <c r="E43" s="82">
        <f>E45/E41-E42</f>
        <v>3.7284860079725886</v>
      </c>
      <c r="F43" s="82"/>
      <c r="G43" s="82"/>
      <c r="H43" s="82"/>
    </row>
    <row r="44" spans="1:8" x14ac:dyDescent="0.25">
      <c r="A44" s="59" t="s">
        <v>38</v>
      </c>
      <c r="B44" s="59"/>
      <c r="C44" s="59"/>
      <c r="D44" s="59"/>
      <c r="E44" s="82">
        <f>E42+E43</f>
        <v>4.8284860079725886</v>
      </c>
      <c r="F44" s="82"/>
      <c r="G44" s="82"/>
      <c r="H44" s="82"/>
    </row>
    <row r="45" spans="1:8" x14ac:dyDescent="0.25">
      <c r="A45" s="55" t="s">
        <v>94</v>
      </c>
      <c r="B45" s="55"/>
      <c r="C45" s="55"/>
      <c r="D45" s="55"/>
      <c r="E45" s="83">
        <v>14486.81</v>
      </c>
      <c r="F45" s="83"/>
      <c r="G45" s="83"/>
      <c r="H45" s="83"/>
    </row>
    <row r="46" spans="1:8" x14ac:dyDescent="0.25">
      <c r="A46" s="55" t="s">
        <v>39</v>
      </c>
      <c r="B46" s="55"/>
      <c r="C46" s="55"/>
      <c r="D46" s="55"/>
      <c r="E46" s="55" t="s">
        <v>126</v>
      </c>
      <c r="F46" s="55"/>
      <c r="G46" s="55"/>
      <c r="H46" s="55"/>
    </row>
    <row r="47" spans="1:8" x14ac:dyDescent="0.25">
      <c r="A47" s="72" t="s">
        <v>40</v>
      </c>
      <c r="B47" s="72"/>
      <c r="C47" s="72"/>
      <c r="D47" s="72"/>
      <c r="E47" s="72"/>
      <c r="F47" s="72"/>
      <c r="G47" s="72"/>
      <c r="H47" s="72"/>
    </row>
    <row r="48" spans="1:8" ht="33.75" customHeight="1" x14ac:dyDescent="0.25">
      <c r="A48" s="88" t="s">
        <v>156</v>
      </c>
      <c r="B48" s="89"/>
      <c r="C48" s="90" t="s">
        <v>186</v>
      </c>
      <c r="D48" s="91"/>
      <c r="E48" s="91"/>
      <c r="F48" s="91"/>
      <c r="G48" s="91"/>
      <c r="H48" s="92"/>
    </row>
    <row r="49" spans="1:14" ht="15.75" customHeight="1" x14ac:dyDescent="0.25">
      <c r="A49" s="104" t="s">
        <v>41</v>
      </c>
      <c r="B49" s="105"/>
      <c r="C49" s="104" t="s">
        <v>187</v>
      </c>
      <c r="D49" s="106"/>
      <c r="E49" s="105"/>
      <c r="F49" s="18" t="s">
        <v>42</v>
      </c>
      <c r="G49" s="98">
        <v>44918</v>
      </c>
      <c r="H49" s="105"/>
    </row>
    <row r="50" spans="1:14" x14ac:dyDescent="0.25">
      <c r="A50" s="104" t="s">
        <v>43</v>
      </c>
      <c r="B50" s="105"/>
      <c r="C50" s="104" t="str">
        <f>C49</f>
        <v>NRV/A/4098</v>
      </c>
      <c r="D50" s="106"/>
      <c r="E50" s="105"/>
      <c r="F50" s="18" t="s">
        <v>42</v>
      </c>
      <c r="G50" s="98">
        <f>G49</f>
        <v>44918</v>
      </c>
      <c r="H50" s="99"/>
    </row>
    <row r="51" spans="1:14" s="23" customFormat="1" ht="15.75" customHeight="1" x14ac:dyDescent="0.25">
      <c r="A51" s="100" t="s">
        <v>160</v>
      </c>
      <c r="B51" s="101"/>
      <c r="C51" s="104" t="s">
        <v>188</v>
      </c>
      <c r="D51" s="106"/>
      <c r="E51" s="105"/>
      <c r="F51" s="18" t="s">
        <v>42</v>
      </c>
      <c r="G51" s="98">
        <f>G50</f>
        <v>44918</v>
      </c>
      <c r="H51" s="99"/>
    </row>
    <row r="52" spans="1:14" s="23" customFormat="1" x14ac:dyDescent="0.25">
      <c r="A52" s="102"/>
      <c r="B52" s="103"/>
      <c r="C52" s="104" t="s">
        <v>189</v>
      </c>
      <c r="D52" s="106"/>
      <c r="E52" s="106"/>
      <c r="F52" s="106"/>
      <c r="G52" s="106"/>
      <c r="H52" s="105"/>
    </row>
    <row r="53" spans="1:14" x14ac:dyDescent="0.25">
      <c r="A53" s="169" t="s">
        <v>44</v>
      </c>
      <c r="B53" s="170"/>
      <c r="C53" s="169" t="s">
        <v>108</v>
      </c>
      <c r="D53" s="171"/>
      <c r="E53" s="170"/>
      <c r="F53" s="46" t="s">
        <v>42</v>
      </c>
      <c r="G53" s="172" t="s">
        <v>29</v>
      </c>
      <c r="H53" s="85"/>
    </row>
    <row r="54" spans="1:14" x14ac:dyDescent="0.25">
      <c r="A54" s="123" t="s">
        <v>46</v>
      </c>
      <c r="B54" s="123"/>
      <c r="C54" s="123"/>
      <c r="D54" s="123"/>
      <c r="E54" s="123"/>
      <c r="F54" s="123"/>
      <c r="G54" s="123"/>
      <c r="H54" s="123"/>
    </row>
    <row r="55" spans="1:14" x14ac:dyDescent="0.25">
      <c r="A55" s="78" t="s">
        <v>93</v>
      </c>
      <c r="B55" s="78"/>
      <c r="C55" s="78"/>
      <c r="D55" s="59">
        <f>E45</f>
        <v>14486.81</v>
      </c>
      <c r="E55" s="59"/>
      <c r="F55" s="59"/>
      <c r="G55" s="59"/>
      <c r="H55" s="59"/>
    </row>
    <row r="56" spans="1:14" x14ac:dyDescent="0.25">
      <c r="A56" s="87" t="s">
        <v>47</v>
      </c>
      <c r="B56" s="55"/>
      <c r="C56" s="55"/>
      <c r="D56" s="55" t="s">
        <v>205</v>
      </c>
      <c r="E56" s="55"/>
      <c r="F56" s="55"/>
      <c r="G56" s="55"/>
      <c r="H56" s="55"/>
      <c r="I56" s="24"/>
    </row>
    <row r="57" spans="1:14" x14ac:dyDescent="0.25">
      <c r="A57" s="95" t="s">
        <v>48</v>
      </c>
      <c r="B57" s="96"/>
      <c r="C57" s="97"/>
      <c r="D57" s="93" t="s">
        <v>214</v>
      </c>
      <c r="E57" s="94"/>
      <c r="F57" s="94"/>
      <c r="G57" s="94"/>
      <c r="H57" s="94"/>
    </row>
    <row r="58" spans="1:14" ht="15.75" customHeight="1" x14ac:dyDescent="0.25">
      <c r="A58" s="95" t="s">
        <v>91</v>
      </c>
      <c r="B58" s="96"/>
      <c r="C58" s="96"/>
      <c r="D58" s="87" t="s">
        <v>214</v>
      </c>
      <c r="E58" s="55"/>
      <c r="F58" s="55"/>
      <c r="G58" s="55"/>
      <c r="H58" s="55"/>
    </row>
    <row r="59" spans="1:14" ht="15.75" customHeight="1" x14ac:dyDescent="0.25">
      <c r="A59" s="59" t="s">
        <v>45</v>
      </c>
      <c r="B59" s="59"/>
      <c r="C59" s="59"/>
      <c r="D59" s="81" t="s">
        <v>190</v>
      </c>
      <c r="E59" s="81"/>
      <c r="F59" s="81"/>
      <c r="G59" s="81"/>
      <c r="H59" s="81"/>
      <c r="J59" s="25"/>
      <c r="K59" s="24"/>
      <c r="N59" s="24"/>
    </row>
    <row r="60" spans="1:14" ht="15.75" customHeight="1" x14ac:dyDescent="0.25">
      <c r="A60" s="59" t="s">
        <v>89</v>
      </c>
      <c r="B60" s="59"/>
      <c r="C60" s="59"/>
      <c r="D60" s="164" t="str">
        <f>(IF(G53="NA","60 Years After Completion",IF(G53&lt;&gt;"NA",""&amp;60-ROUNDDOWN((E3-G53)/360,0)&amp;" Years"," ")))</f>
        <v>60 Years After Completion</v>
      </c>
      <c r="E60" s="164"/>
      <c r="F60" s="164"/>
      <c r="G60" s="164"/>
      <c r="H60" s="164"/>
      <c r="N60" s="24"/>
    </row>
    <row r="61" spans="1:14" ht="15.75" customHeight="1" x14ac:dyDescent="0.25">
      <c r="A61" s="59" t="s">
        <v>90</v>
      </c>
      <c r="B61" s="59"/>
      <c r="C61" s="59"/>
      <c r="D61" s="78" t="s">
        <v>23</v>
      </c>
      <c r="E61" s="78"/>
      <c r="F61" s="78"/>
      <c r="G61" s="78"/>
      <c r="H61" s="78"/>
      <c r="J61" s="26"/>
      <c r="K61" s="26"/>
    </row>
    <row r="62" spans="1:14" x14ac:dyDescent="0.25">
      <c r="A62" s="59" t="s">
        <v>76</v>
      </c>
      <c r="B62" s="59"/>
      <c r="C62" s="59"/>
      <c r="D62" s="87" t="s">
        <v>213</v>
      </c>
      <c r="E62" s="87"/>
      <c r="F62" s="87"/>
      <c r="G62" s="87"/>
      <c r="H62" s="87"/>
    </row>
    <row r="63" spans="1:14" x14ac:dyDescent="0.25">
      <c r="A63" s="78" t="s">
        <v>153</v>
      </c>
      <c r="B63" s="78"/>
      <c r="C63" s="78"/>
      <c r="D63" s="78" t="s">
        <v>29</v>
      </c>
      <c r="E63" s="78"/>
      <c r="F63" s="78"/>
      <c r="G63" s="78"/>
      <c r="H63" s="78"/>
      <c r="I63" s="27"/>
      <c r="J63" s="27"/>
      <c r="K63" s="27"/>
      <c r="L63" s="27"/>
      <c r="M63" s="27"/>
      <c r="N63" s="27"/>
    </row>
    <row r="64" spans="1:14" ht="15.75" customHeight="1" x14ac:dyDescent="0.25">
      <c r="A64" s="173" t="s">
        <v>88</v>
      </c>
      <c r="B64" s="173"/>
      <c r="C64" s="173"/>
      <c r="D64" s="93" t="str">
        <f ca="1">(IF(G70&gt;95%,"Nothing",IF(G70&gt;0%,"Cement, Aggregate, Steel, etc",IF(G70=0%,"Work not yet Started"))))</f>
        <v>Cement, Aggregate, Steel, etc</v>
      </c>
      <c r="E64" s="93"/>
      <c r="F64" s="93"/>
      <c r="G64" s="93"/>
      <c r="H64" s="93"/>
      <c r="J64" s="26"/>
    </row>
    <row r="65" spans="1:10" ht="33.75" customHeight="1" thickBot="1" x14ac:dyDescent="0.3">
      <c r="A65" s="165" t="s">
        <v>121</v>
      </c>
      <c r="B65" s="165"/>
      <c r="C65" s="165"/>
      <c r="D65" s="93" t="str">
        <f ca="1">(IF(D64="Nothing","Yes",IF(D64="Cement, Aggregate, Steel, etc","Under Construction",IF(D64="Work not yet Started","Work not yet Started"))))</f>
        <v>Under Construction</v>
      </c>
      <c r="E65" s="93"/>
      <c r="F65" s="93" t="str">
        <f ca="1">(IF(D64="Nothing","Yes",IF(D64="Cement, Aggregate, Steel, etc","Under Construction",IF(D64="Work not yet Started","Work not yet Started"))))</f>
        <v>Under Construction</v>
      </c>
      <c r="G65" s="93"/>
      <c r="H65" s="93"/>
    </row>
    <row r="66" spans="1:10" ht="15.75" customHeight="1" x14ac:dyDescent="0.25">
      <c r="A66" s="73" t="s">
        <v>145</v>
      </c>
      <c r="B66" s="74"/>
      <c r="C66" s="75" t="str">
        <f>D58</f>
        <v>G + 4P + 5th to 25th Floor</v>
      </c>
      <c r="D66" s="76"/>
      <c r="E66" s="76"/>
      <c r="F66" s="76"/>
      <c r="G66" s="76"/>
      <c r="H66" s="77"/>
      <c r="I66" s="48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23 Floor, Finishing upto 18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23 Floor, Finishing upto 18 Floor</v>
      </c>
    </row>
    <row r="67" spans="1:10" x14ac:dyDescent="0.25">
      <c r="A67" s="16" t="s">
        <v>147</v>
      </c>
      <c r="B67" s="52">
        <v>0</v>
      </c>
      <c r="C67" s="52" t="s">
        <v>73</v>
      </c>
      <c r="D67" s="52">
        <v>1</v>
      </c>
      <c r="E67" s="52" t="s">
        <v>72</v>
      </c>
      <c r="F67" s="52">
        <v>0</v>
      </c>
      <c r="G67" s="52" t="s">
        <v>82</v>
      </c>
      <c r="H67" s="17">
        <f ca="1">--TRIM(RIGHT(SUBSTITUTE(LEFT(C66,_xlfn.AGGREGATE(16,6,FIND({0,1,2,3,4,5,6,7,8,9},C66,ROW(INDIRECT("1:"&amp;LEN(C66)))),1))," ",REPT(" ",LEN(C66))),LEN(C66)))</f>
        <v>25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7.25" customHeight="1" x14ac:dyDescent="0.25">
      <c r="A68" s="71" t="s">
        <v>92</v>
      </c>
      <c r="B68" s="72"/>
      <c r="C68" s="79" t="str">
        <f ca="1">I66</f>
        <v>Excavation, Plinth, RCC Slab, Brickwork, Internal Plaster, External Plaster, Flooring Completed, Painting upto 23 Floor, Finishing upto 18 Floor Completed</v>
      </c>
      <c r="D68" s="79"/>
      <c r="E68" s="79"/>
      <c r="F68" s="79"/>
      <c r="G68" s="79"/>
      <c r="H68" s="80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25">
      <c r="A69" s="69" t="s">
        <v>49</v>
      </c>
      <c r="B69" s="70"/>
      <c r="C69" s="44" t="s">
        <v>144</v>
      </c>
      <c r="D69" s="44" t="s">
        <v>85</v>
      </c>
      <c r="E69" s="70" t="s">
        <v>87</v>
      </c>
      <c r="F69" s="70"/>
      <c r="G69" s="70" t="s">
        <v>86</v>
      </c>
      <c r="H69" s="166"/>
      <c r="I69" s="14" t="s">
        <v>146</v>
      </c>
      <c r="J69" s="28">
        <f ca="1">H67*25%</f>
        <v>6.25</v>
      </c>
    </row>
    <row r="70" spans="1:10" x14ac:dyDescent="0.25">
      <c r="A70" s="69" t="s">
        <v>133</v>
      </c>
      <c r="B70" s="70"/>
      <c r="C70" s="44">
        <f ca="1">J71</f>
        <v>25</v>
      </c>
      <c r="D70" s="19">
        <f ca="1">((100/H67)*C70)/100</f>
        <v>1</v>
      </c>
      <c r="E70" s="153">
        <f ca="1">(((C71/H67*10)+(40/(D67+F67+H67)*C72)+(7.5/(H67)*C73)+(7.5/(H67)*C74)+(10/H67*C75)+(10/H67*C76)+(5/H67*C77)+(5/H67*C78)+(5/H67*C79))/100)</f>
        <v>0.93199999999999994</v>
      </c>
      <c r="F70" s="154"/>
      <c r="G70" s="153">
        <f ca="1">((((C70/H67)*20)+((C71/H67)*25)+(30/(H67+F67+D67)*C72)+(5/H67*C73)+(5/H67*C74)+(5/H67*C75)+(5/H67*C76)+(0/H67*C77)+(0/H67*C78)+(5/H67*C79))/100)</f>
        <v>0.95</v>
      </c>
      <c r="H70" s="159"/>
      <c r="I70" s="14" t="s">
        <v>103</v>
      </c>
      <c r="J70" s="29">
        <f ca="1">H67*50%</f>
        <v>12.5</v>
      </c>
    </row>
    <row r="71" spans="1:10" x14ac:dyDescent="0.25">
      <c r="A71" s="69" t="s">
        <v>50</v>
      </c>
      <c r="B71" s="70"/>
      <c r="C71" s="44">
        <f ca="1">J79</f>
        <v>25</v>
      </c>
      <c r="D71" s="19">
        <f ca="1">((100/H67)*C71)/100</f>
        <v>1</v>
      </c>
      <c r="E71" s="155"/>
      <c r="F71" s="156"/>
      <c r="G71" s="155"/>
      <c r="H71" s="160"/>
      <c r="I71" s="14" t="s">
        <v>104</v>
      </c>
      <c r="J71" s="29">
        <f ca="1">H67</f>
        <v>25</v>
      </c>
    </row>
    <row r="72" spans="1:10" ht="15.75" customHeight="1" x14ac:dyDescent="0.25">
      <c r="A72" s="69" t="s">
        <v>134</v>
      </c>
      <c r="B72" s="70"/>
      <c r="C72" s="44">
        <v>26</v>
      </c>
      <c r="D72" s="19">
        <f ca="1">((100/(D67+F67+H67))*C72)/100</f>
        <v>1</v>
      </c>
      <c r="E72" s="155"/>
      <c r="F72" s="156"/>
      <c r="G72" s="155"/>
      <c r="H72" s="160"/>
      <c r="I72" s="14" t="s">
        <v>105</v>
      </c>
      <c r="J72" s="30">
        <f ca="1">(IF(B67&gt;1,(H67/(B67+2)),H67/4))</f>
        <v>6.25</v>
      </c>
    </row>
    <row r="73" spans="1:10" ht="15.75" customHeight="1" x14ac:dyDescent="0.25">
      <c r="A73" s="69" t="s">
        <v>141</v>
      </c>
      <c r="B73" s="70" t="s">
        <v>135</v>
      </c>
      <c r="C73" s="44">
        <v>25</v>
      </c>
      <c r="D73" s="19">
        <f ca="1">((100/H67)*C73)/100</f>
        <v>1</v>
      </c>
      <c r="E73" s="155"/>
      <c r="F73" s="156"/>
      <c r="G73" s="155"/>
      <c r="H73" s="160"/>
      <c r="I73" s="14" t="s">
        <v>106</v>
      </c>
      <c r="J73" s="30">
        <f ca="1">(IF(B67&gt;1,(H67/(B67+2)+J72),H67/4+J72))</f>
        <v>12.5</v>
      </c>
    </row>
    <row r="74" spans="1:10" ht="15.75" customHeight="1" x14ac:dyDescent="0.25">
      <c r="A74" s="69" t="s">
        <v>142</v>
      </c>
      <c r="B74" s="70" t="s">
        <v>135</v>
      </c>
      <c r="C74" s="44">
        <v>25</v>
      </c>
      <c r="D74" s="19">
        <f ca="1">((100/H67)*C74)/100</f>
        <v>1</v>
      </c>
      <c r="E74" s="155"/>
      <c r="F74" s="156"/>
      <c r="G74" s="155"/>
      <c r="H74" s="160"/>
      <c r="I74" s="14" t="s">
        <v>151</v>
      </c>
      <c r="J74" s="30">
        <f>(IF(B67&gt;1,(H67/(B67+2)+J73),0))</f>
        <v>0</v>
      </c>
    </row>
    <row r="75" spans="1:10" ht="15" customHeight="1" x14ac:dyDescent="0.25">
      <c r="A75" s="69" t="s">
        <v>140</v>
      </c>
      <c r="B75" s="70" t="s">
        <v>137</v>
      </c>
      <c r="C75" s="44">
        <v>25</v>
      </c>
      <c r="D75" s="19">
        <f ca="1">((100/(H67))*C75)/100</f>
        <v>1</v>
      </c>
      <c r="E75" s="155"/>
      <c r="F75" s="156"/>
      <c r="G75" s="155"/>
      <c r="H75" s="160"/>
      <c r="I75" s="14" t="s">
        <v>148</v>
      </c>
      <c r="J75" s="30">
        <f>(IF(B67&gt;2,(H67/(B67+2)+J74),0))</f>
        <v>0</v>
      </c>
    </row>
    <row r="76" spans="1:10" ht="15.75" customHeight="1" x14ac:dyDescent="0.25">
      <c r="A76" s="69" t="s">
        <v>136</v>
      </c>
      <c r="B76" s="70" t="s">
        <v>136</v>
      </c>
      <c r="C76" s="44">
        <v>25</v>
      </c>
      <c r="D76" s="19">
        <f ca="1">((100/H67)*C76)/100</f>
        <v>1</v>
      </c>
      <c r="E76" s="155"/>
      <c r="F76" s="156"/>
      <c r="G76" s="155"/>
      <c r="H76" s="160"/>
      <c r="I76" s="14" t="s">
        <v>149</v>
      </c>
      <c r="J76" s="31">
        <f>(IF(B67&gt;3,(H67/(B67+2)+J75),0))</f>
        <v>0</v>
      </c>
    </row>
    <row r="77" spans="1:10" ht="15.75" customHeight="1" x14ac:dyDescent="0.25">
      <c r="A77" s="69" t="s">
        <v>143</v>
      </c>
      <c r="B77" s="70"/>
      <c r="C77" s="44">
        <v>23</v>
      </c>
      <c r="D77" s="19">
        <f ca="1">((100/H67)*C77)/100</f>
        <v>0.92</v>
      </c>
      <c r="E77" s="155"/>
      <c r="F77" s="156"/>
      <c r="G77" s="155"/>
      <c r="H77" s="160"/>
      <c r="I77" s="14" t="s">
        <v>150</v>
      </c>
      <c r="J77" s="30">
        <f>(IF(B67&gt;4,(H67/(B67+2)+J76),0))</f>
        <v>0</v>
      </c>
    </row>
    <row r="78" spans="1:10" ht="15.75" customHeight="1" x14ac:dyDescent="0.25">
      <c r="A78" s="69" t="s">
        <v>138</v>
      </c>
      <c r="B78" s="70" t="s">
        <v>138</v>
      </c>
      <c r="C78" s="44">
        <v>18</v>
      </c>
      <c r="D78" s="19">
        <f ca="1">((100/(H67))*C78)/100</f>
        <v>0.72</v>
      </c>
      <c r="E78" s="155"/>
      <c r="F78" s="156"/>
      <c r="G78" s="155"/>
      <c r="H78" s="160"/>
      <c r="I78" s="14" t="s">
        <v>152</v>
      </c>
      <c r="J78" s="30">
        <f ca="1">(IF(B67=1,(H67/(B67+3)+J73),IF(B67=0,(H67/4+J73),IF(B67&gt;1,0))))</f>
        <v>18.75</v>
      </c>
    </row>
    <row r="79" spans="1:10" ht="16.5" thickBot="1" x14ac:dyDescent="0.3">
      <c r="A79" s="162" t="s">
        <v>139</v>
      </c>
      <c r="B79" s="163"/>
      <c r="C79" s="45">
        <v>0</v>
      </c>
      <c r="D79" s="20">
        <f ca="1">((100/(H67))*C79)/100</f>
        <v>0</v>
      </c>
      <c r="E79" s="157"/>
      <c r="F79" s="158"/>
      <c r="G79" s="157"/>
      <c r="H79" s="161"/>
      <c r="I79" s="15" t="s">
        <v>107</v>
      </c>
      <c r="J79" s="32">
        <f ca="1">(IF(B67&gt;1.5,(H67/(B67+2)+J73+MAX(0,J74-J73)+MAX(0,J75-J74)+MAX(0,J76-J75)+MAX(0,J77-J76)+MAX(0,J78-J77)),IF(B67=1,(H67/(B67+3)+J78),IF(B67=0,H67/4+J78))))</f>
        <v>25</v>
      </c>
    </row>
    <row r="80" spans="1:10" x14ac:dyDescent="0.25">
      <c r="A80" s="152" t="s">
        <v>162</v>
      </c>
      <c r="B80" s="152"/>
      <c r="C80" s="152"/>
      <c r="D80" s="152"/>
      <c r="E80" s="152"/>
      <c r="F80" s="168" t="s">
        <v>167</v>
      </c>
      <c r="G80" s="168"/>
      <c r="H80" s="168"/>
    </row>
    <row r="81" spans="1:8" x14ac:dyDescent="0.25">
      <c r="A81" s="59" t="s">
        <v>165</v>
      </c>
      <c r="B81" s="59"/>
      <c r="C81" s="59"/>
      <c r="D81" s="59"/>
      <c r="E81" s="59"/>
      <c r="F81" s="116">
        <v>14000</v>
      </c>
      <c r="G81" s="116"/>
      <c r="H81" s="116"/>
    </row>
    <row r="82" spans="1:8" x14ac:dyDescent="0.25">
      <c r="A82" s="59" t="s">
        <v>164</v>
      </c>
      <c r="B82" s="59"/>
      <c r="C82" s="59"/>
      <c r="D82" s="59"/>
      <c r="E82" s="59"/>
      <c r="F82" s="116">
        <v>25000</v>
      </c>
      <c r="G82" s="116"/>
      <c r="H82" s="116"/>
    </row>
    <row r="83" spans="1:8" hidden="1" x14ac:dyDescent="0.25">
      <c r="A83" s="59" t="s">
        <v>166</v>
      </c>
      <c r="B83" s="59"/>
      <c r="C83" s="59"/>
      <c r="D83" s="59"/>
      <c r="E83" s="59"/>
      <c r="F83" s="116"/>
      <c r="G83" s="116"/>
      <c r="H83" s="116"/>
    </row>
    <row r="84" spans="1:8" s="33" customFormat="1" hidden="1" x14ac:dyDescent="0.25">
      <c r="A84" s="59" t="s">
        <v>163</v>
      </c>
      <c r="B84" s="59"/>
      <c r="C84" s="59"/>
      <c r="D84" s="59"/>
      <c r="E84" s="59"/>
      <c r="F84" s="116"/>
      <c r="G84" s="116"/>
      <c r="H84" s="116"/>
    </row>
    <row r="85" spans="1:8" s="33" customFormat="1" hidden="1" x14ac:dyDescent="0.25">
      <c r="A85" s="59" t="s">
        <v>97</v>
      </c>
      <c r="B85" s="59"/>
      <c r="C85" s="59"/>
      <c r="D85" s="59"/>
      <c r="E85" s="59"/>
      <c r="F85" s="116"/>
      <c r="G85" s="116"/>
      <c r="H85" s="116"/>
    </row>
    <row r="86" spans="1:8" s="33" customFormat="1" hidden="1" x14ac:dyDescent="0.25">
      <c r="A86" s="59" t="s">
        <v>98</v>
      </c>
      <c r="B86" s="59"/>
      <c r="C86" s="59"/>
      <c r="D86" s="59"/>
      <c r="E86" s="59"/>
      <c r="F86" s="116"/>
      <c r="G86" s="116"/>
      <c r="H86" s="116"/>
    </row>
    <row r="87" spans="1:8" s="33" customFormat="1" hidden="1" x14ac:dyDescent="0.25">
      <c r="A87" s="59" t="s">
        <v>168</v>
      </c>
      <c r="B87" s="59"/>
      <c r="C87" s="59"/>
      <c r="D87" s="59"/>
      <c r="E87" s="59"/>
      <c r="F87" s="116"/>
      <c r="G87" s="116"/>
      <c r="H87" s="116"/>
    </row>
    <row r="88" spans="1:8" s="33" customFormat="1" hidden="1" x14ac:dyDescent="0.25">
      <c r="A88" s="59" t="s">
        <v>99</v>
      </c>
      <c r="B88" s="59"/>
      <c r="C88" s="59"/>
      <c r="D88" s="59"/>
      <c r="E88" s="59"/>
      <c r="F88" s="116"/>
      <c r="G88" s="116"/>
      <c r="H88" s="116"/>
    </row>
    <row r="89" spans="1:8" s="33" customFormat="1" hidden="1" x14ac:dyDescent="0.25">
      <c r="A89" s="59" t="s">
        <v>100</v>
      </c>
      <c r="B89" s="59"/>
      <c r="C89" s="59"/>
      <c r="D89" s="59"/>
      <c r="E89" s="59"/>
      <c r="F89" s="116"/>
      <c r="G89" s="116"/>
      <c r="H89" s="116"/>
    </row>
    <row r="90" spans="1:8" s="33" customFormat="1" hidden="1" x14ac:dyDescent="0.25">
      <c r="A90" s="59" t="s">
        <v>101</v>
      </c>
      <c r="B90" s="59"/>
      <c r="C90" s="59"/>
      <c r="D90" s="59"/>
      <c r="E90" s="59"/>
      <c r="F90" s="116"/>
      <c r="G90" s="116"/>
      <c r="H90" s="116"/>
    </row>
    <row r="91" spans="1:8" s="33" customFormat="1" hidden="1" x14ac:dyDescent="0.25">
      <c r="A91" s="59" t="s">
        <v>102</v>
      </c>
      <c r="B91" s="59"/>
      <c r="C91" s="59"/>
      <c r="D91" s="59"/>
      <c r="E91" s="59"/>
      <c r="F91" s="116"/>
      <c r="G91" s="116"/>
      <c r="H91" s="116"/>
    </row>
    <row r="92" spans="1:8" x14ac:dyDescent="0.25">
      <c r="A92" s="59" t="s">
        <v>51</v>
      </c>
      <c r="B92" s="59"/>
      <c r="C92" s="59"/>
      <c r="D92" s="59"/>
      <c r="E92" s="59"/>
      <c r="F92" s="116">
        <v>600000</v>
      </c>
      <c r="G92" s="116"/>
      <c r="H92" s="116"/>
    </row>
    <row r="93" spans="1:8" s="34" customFormat="1" x14ac:dyDescent="0.25">
      <c r="A93" s="109" t="s">
        <v>52</v>
      </c>
      <c r="B93" s="109"/>
      <c r="C93" s="109"/>
      <c r="D93" s="109"/>
      <c r="E93" s="109"/>
      <c r="F93" s="116">
        <f>F81*0.8</f>
        <v>11200</v>
      </c>
      <c r="G93" s="116"/>
      <c r="H93" s="116"/>
    </row>
    <row r="94" spans="1:8" s="35" customFormat="1" ht="15.75" customHeight="1" x14ac:dyDescent="0.25">
      <c r="A94" s="62" t="s">
        <v>77</v>
      </c>
      <c r="B94" s="62"/>
      <c r="C94" s="62"/>
      <c r="D94" s="62"/>
      <c r="E94" s="62"/>
      <c r="F94" s="62"/>
      <c r="G94" s="62"/>
      <c r="H94" s="62"/>
    </row>
    <row r="95" spans="1:8" s="35" customFormat="1" ht="15.75" customHeight="1" x14ac:dyDescent="0.25">
      <c r="A95" s="63" t="s">
        <v>53</v>
      </c>
      <c r="B95" s="63"/>
      <c r="C95" s="61" t="s">
        <v>80</v>
      </c>
      <c r="D95" s="61"/>
      <c r="E95" s="127" t="s">
        <v>54</v>
      </c>
      <c r="F95" s="127"/>
      <c r="G95" s="63" t="s">
        <v>55</v>
      </c>
      <c r="H95" s="63"/>
    </row>
    <row r="96" spans="1:8" s="35" customFormat="1" x14ac:dyDescent="0.25">
      <c r="A96" s="118" t="s">
        <v>191</v>
      </c>
      <c r="B96" s="118"/>
      <c r="C96" s="135">
        <f>COUNT(D107:D127)</f>
        <v>21</v>
      </c>
      <c r="D96" s="136"/>
      <c r="E96" s="64">
        <f>SUM(D107:D127)</f>
        <v>8235.5364000000009</v>
      </c>
      <c r="F96" s="65"/>
      <c r="G96" s="64">
        <f>SUM(F107:F127)</f>
        <v>13176.85824</v>
      </c>
      <c r="H96" s="65"/>
    </row>
    <row r="97" spans="1:14" s="35" customFormat="1" x14ac:dyDescent="0.25">
      <c r="A97" s="62" t="s">
        <v>155</v>
      </c>
      <c r="B97" s="62"/>
      <c r="C97" s="60">
        <f>SUM(C96)</f>
        <v>21</v>
      </c>
      <c r="D97" s="61"/>
      <c r="E97" s="60">
        <f t="shared" ref="E97" si="0">SUM(E96)</f>
        <v>8235.5364000000009</v>
      </c>
      <c r="F97" s="61"/>
      <c r="G97" s="60">
        <f t="shared" ref="G97" si="1">SUM(G96)</f>
        <v>13176.85824</v>
      </c>
      <c r="H97" s="61"/>
    </row>
    <row r="98" spans="1:14" s="35" customFormat="1" x14ac:dyDescent="0.25">
      <c r="A98" s="62" t="s">
        <v>71</v>
      </c>
      <c r="B98" s="62"/>
      <c r="C98" s="62"/>
      <c r="D98" s="62"/>
      <c r="E98" s="62"/>
      <c r="F98" s="62"/>
      <c r="G98" s="62"/>
      <c r="H98" s="62"/>
    </row>
    <row r="99" spans="1:14" s="35" customFormat="1" ht="15.75" customHeight="1" x14ac:dyDescent="0.25">
      <c r="A99" s="63" t="s">
        <v>53</v>
      </c>
      <c r="B99" s="63"/>
      <c r="C99" s="61" t="s">
        <v>80</v>
      </c>
      <c r="D99" s="61"/>
      <c r="E99" s="127" t="s">
        <v>54</v>
      </c>
      <c r="F99" s="127"/>
      <c r="G99" s="63" t="s">
        <v>55</v>
      </c>
      <c r="H99" s="63"/>
    </row>
    <row r="100" spans="1:14" s="35" customFormat="1" x14ac:dyDescent="0.25">
      <c r="A100" s="118" t="s">
        <v>204</v>
      </c>
      <c r="B100" s="118"/>
      <c r="C100" s="135">
        <f>COUNT(D135:D137)+COUNT(D140:D146)+COUNT(D148:D154)*16+COUNT(D156:D162)*4</f>
        <v>150</v>
      </c>
      <c r="D100" s="135"/>
      <c r="E100" s="64">
        <f>SUM(D135:D137)+SUM(D140:D146)+SUM(D148:D154)*16+SUM(D156:D162)*4</f>
        <v>121969.80642599998</v>
      </c>
      <c r="F100" s="64"/>
      <c r="G100" s="64">
        <f>SUM(F135:F137)+SUM(F140:F146)+SUM(F148:F154)*16+SUM(F156:F162)*4</f>
        <v>189468.94779930002</v>
      </c>
      <c r="H100" s="64"/>
    </row>
    <row r="101" spans="1:14" s="35" customFormat="1" x14ac:dyDescent="0.25">
      <c r="A101" s="62" t="s">
        <v>155</v>
      </c>
      <c r="B101" s="62"/>
      <c r="C101" s="60">
        <f>SUM(C100)</f>
        <v>150</v>
      </c>
      <c r="D101" s="61"/>
      <c r="E101" s="60">
        <f t="shared" ref="E101" si="2">SUM(E100)</f>
        <v>121969.80642599998</v>
      </c>
      <c r="F101" s="61"/>
      <c r="G101" s="60">
        <f t="shared" ref="G101" si="3">SUM(G100)</f>
        <v>189468.94779930002</v>
      </c>
      <c r="H101" s="61"/>
    </row>
    <row r="102" spans="1:14" s="34" customFormat="1" x14ac:dyDescent="0.25">
      <c r="A102" s="111" t="s">
        <v>56</v>
      </c>
      <c r="B102" s="111"/>
      <c r="C102" s="111"/>
      <c r="D102" s="111"/>
      <c r="E102" s="111"/>
      <c r="F102" s="111"/>
      <c r="G102" s="111"/>
      <c r="H102" s="111"/>
    </row>
    <row r="103" spans="1:14" x14ac:dyDescent="0.25">
      <c r="A103" s="111" t="s">
        <v>57</v>
      </c>
      <c r="B103" s="111"/>
      <c r="C103" s="111"/>
      <c r="D103" s="111"/>
      <c r="E103" s="111"/>
      <c r="F103" s="111"/>
      <c r="G103" s="111"/>
      <c r="H103" s="111"/>
    </row>
    <row r="104" spans="1:14" ht="47.25" customHeight="1" x14ac:dyDescent="0.25">
      <c r="A104" s="57" t="s">
        <v>123</v>
      </c>
      <c r="B104" s="57" t="s">
        <v>122</v>
      </c>
      <c r="C104" s="57" t="s">
        <v>58</v>
      </c>
      <c r="D104" s="57" t="s">
        <v>59</v>
      </c>
      <c r="E104" s="142" t="s">
        <v>161</v>
      </c>
      <c r="F104" s="43" t="s">
        <v>154</v>
      </c>
      <c r="G104" s="121" t="s">
        <v>61</v>
      </c>
      <c r="H104" s="144"/>
    </row>
    <row r="105" spans="1:14" s="37" customFormat="1" x14ac:dyDescent="0.25">
      <c r="A105" s="58"/>
      <c r="B105" s="58"/>
      <c r="C105" s="58"/>
      <c r="D105" s="58"/>
      <c r="E105" s="143"/>
      <c r="F105" s="13">
        <v>0.6</v>
      </c>
      <c r="G105" s="122"/>
      <c r="H105" s="145"/>
    </row>
    <row r="106" spans="1:14" s="37" customFormat="1" ht="31.5" customHeight="1" x14ac:dyDescent="0.25">
      <c r="A106" s="139" t="s">
        <v>192</v>
      </c>
      <c r="B106" s="140"/>
      <c r="C106" s="140"/>
      <c r="D106" s="140"/>
      <c r="E106" s="140"/>
      <c r="F106" s="140"/>
      <c r="G106" s="140"/>
      <c r="H106" s="141"/>
      <c r="J106" s="36"/>
    </row>
    <row r="107" spans="1:14" s="37" customFormat="1" ht="15.75" customHeight="1" x14ac:dyDescent="0.25">
      <c r="A107" s="119">
        <v>1</v>
      </c>
      <c r="B107" s="120"/>
      <c r="C107" s="42" t="s">
        <v>191</v>
      </c>
      <c r="D107" s="54">
        <f>(51.87)*(10.764)</f>
        <v>558.32867999999996</v>
      </c>
      <c r="E107" s="42">
        <v>0</v>
      </c>
      <c r="F107" s="42">
        <f>(D107+E107)*(($F$105)+1)</f>
        <v>893.32588799999996</v>
      </c>
      <c r="G107" s="146" t="str">
        <f>A106</f>
        <v>Ground Floor For Security Cabin, Fire Tank, Meter Room, Entrance Lobby, Commericial &amp; Parking</v>
      </c>
      <c r="H107" s="147"/>
      <c r="I107" s="36">
        <f>11.99*4.33</f>
        <v>51.916699999999999</v>
      </c>
      <c r="L107" s="56"/>
      <c r="M107" s="56"/>
      <c r="N107" s="36"/>
    </row>
    <row r="108" spans="1:14" s="37" customFormat="1" ht="15.75" customHeight="1" x14ac:dyDescent="0.25">
      <c r="A108" s="119">
        <f t="shared" ref="A108:A127" si="4">A107+1</f>
        <v>2</v>
      </c>
      <c r="B108" s="120"/>
      <c r="C108" s="42" t="s">
        <v>191</v>
      </c>
      <c r="D108" s="54">
        <f>(36.68)*(10.764)</f>
        <v>394.82351999999997</v>
      </c>
      <c r="E108" s="42">
        <v>0</v>
      </c>
      <c r="F108" s="42">
        <f t="shared" ref="F108:F110" si="5">(D108+E108)*(($F$105)+1)</f>
        <v>631.71763199999998</v>
      </c>
      <c r="G108" s="148"/>
      <c r="H108" s="149"/>
      <c r="I108" s="36"/>
      <c r="L108" s="56"/>
      <c r="M108" s="56"/>
      <c r="N108" s="36"/>
    </row>
    <row r="109" spans="1:14" s="37" customFormat="1" ht="15.75" customHeight="1" x14ac:dyDescent="0.25">
      <c r="A109" s="119">
        <f t="shared" si="4"/>
        <v>3</v>
      </c>
      <c r="B109" s="120"/>
      <c r="C109" s="42" t="s">
        <v>191</v>
      </c>
      <c r="D109" s="54">
        <f>(40.77)*(10.764)</f>
        <v>438.84827999999999</v>
      </c>
      <c r="E109" s="42">
        <v>0</v>
      </c>
      <c r="F109" s="42">
        <f t="shared" si="5"/>
        <v>702.15724799999998</v>
      </c>
      <c r="G109" s="148"/>
      <c r="H109" s="149"/>
      <c r="I109" s="36"/>
      <c r="L109" s="56"/>
      <c r="M109" s="56"/>
      <c r="N109" s="36"/>
    </row>
    <row r="110" spans="1:14" s="37" customFormat="1" ht="15.75" customHeight="1" x14ac:dyDescent="0.25">
      <c r="A110" s="119">
        <f t="shared" si="4"/>
        <v>4</v>
      </c>
      <c r="B110" s="120"/>
      <c r="C110" s="42" t="s">
        <v>191</v>
      </c>
      <c r="D110" s="54">
        <f>(40.25)*(10.764)</f>
        <v>433.25099999999998</v>
      </c>
      <c r="E110" s="42">
        <v>0</v>
      </c>
      <c r="F110" s="42">
        <f t="shared" si="5"/>
        <v>693.20159999999998</v>
      </c>
      <c r="G110" s="148"/>
      <c r="H110" s="149"/>
      <c r="I110" s="36"/>
      <c r="L110" s="56"/>
      <c r="M110" s="56"/>
      <c r="N110" s="36"/>
    </row>
    <row r="111" spans="1:14" s="37" customFormat="1" x14ac:dyDescent="0.25">
      <c r="A111" s="119">
        <f t="shared" si="4"/>
        <v>5</v>
      </c>
      <c r="B111" s="120"/>
      <c r="C111" s="42" t="s">
        <v>191</v>
      </c>
      <c r="D111" s="54">
        <f>(39.77)*(10.764)</f>
        <v>428.08428000000004</v>
      </c>
      <c r="E111" s="42">
        <v>0</v>
      </c>
      <c r="F111" s="42">
        <f>(D111+E111)*(($F$105)+1)</f>
        <v>684.9348480000001</v>
      </c>
      <c r="G111" s="148"/>
      <c r="H111" s="149"/>
      <c r="I111" s="36"/>
      <c r="L111" s="56"/>
      <c r="M111" s="56"/>
      <c r="N111" s="36"/>
    </row>
    <row r="112" spans="1:14" s="37" customFormat="1" x14ac:dyDescent="0.25">
      <c r="A112" s="119">
        <f t="shared" si="4"/>
        <v>6</v>
      </c>
      <c r="B112" s="120"/>
      <c r="C112" s="42" t="s">
        <v>191</v>
      </c>
      <c r="D112" s="54">
        <f>(36.96)*(10.764)</f>
        <v>397.83743999999996</v>
      </c>
      <c r="E112" s="42">
        <v>0</v>
      </c>
      <c r="F112" s="42">
        <f t="shared" ref="F112:F114" si="6">(D112+E112)*(($F$105)+1)</f>
        <v>636.53990399999998</v>
      </c>
      <c r="G112" s="148"/>
      <c r="H112" s="149"/>
      <c r="I112" s="36"/>
      <c r="L112" s="56"/>
      <c r="M112" s="56"/>
      <c r="N112" s="36"/>
    </row>
    <row r="113" spans="1:14" s="37" customFormat="1" x14ac:dyDescent="0.25">
      <c r="A113" s="119">
        <f t="shared" si="4"/>
        <v>7</v>
      </c>
      <c r="B113" s="120"/>
      <c r="C113" s="42" t="s">
        <v>191</v>
      </c>
      <c r="D113" s="54">
        <f>(43.16)*(10.764)</f>
        <v>464.57423999999992</v>
      </c>
      <c r="E113" s="42">
        <v>0</v>
      </c>
      <c r="F113" s="42">
        <f t="shared" si="6"/>
        <v>743.31878399999994</v>
      </c>
      <c r="G113" s="148"/>
      <c r="H113" s="149"/>
      <c r="I113" s="36"/>
      <c r="L113" s="56"/>
      <c r="M113" s="56"/>
      <c r="N113" s="36"/>
    </row>
    <row r="114" spans="1:14" s="37" customFormat="1" x14ac:dyDescent="0.25">
      <c r="A114" s="119">
        <f t="shared" si="4"/>
        <v>8</v>
      </c>
      <c r="B114" s="120"/>
      <c r="C114" s="42" t="s">
        <v>191</v>
      </c>
      <c r="D114" s="54">
        <f>(40.82)*(10.764)</f>
        <v>439.38647999999995</v>
      </c>
      <c r="E114" s="42">
        <v>0</v>
      </c>
      <c r="F114" s="42">
        <f t="shared" si="6"/>
        <v>703.01836800000001</v>
      </c>
      <c r="G114" s="148"/>
      <c r="H114" s="149"/>
      <c r="I114" s="36"/>
      <c r="L114" s="56"/>
      <c r="M114" s="56"/>
      <c r="N114" s="36"/>
    </row>
    <row r="115" spans="1:14" s="37" customFormat="1" x14ac:dyDescent="0.25">
      <c r="A115" s="119">
        <f t="shared" si="4"/>
        <v>9</v>
      </c>
      <c r="B115" s="120"/>
      <c r="C115" s="42" t="s">
        <v>191</v>
      </c>
      <c r="D115" s="54">
        <f>(36.25)*(10.764)</f>
        <v>390.19499999999999</v>
      </c>
      <c r="E115" s="42">
        <v>0</v>
      </c>
      <c r="F115" s="42">
        <f>(D115+E115)*(($F$105)+1)</f>
        <v>624.31200000000001</v>
      </c>
      <c r="G115" s="148"/>
      <c r="H115" s="149"/>
      <c r="I115" s="36"/>
      <c r="L115" s="56"/>
      <c r="M115" s="56"/>
      <c r="N115" s="36"/>
    </row>
    <row r="116" spans="1:14" s="37" customFormat="1" x14ac:dyDescent="0.25">
      <c r="A116" s="119">
        <f t="shared" si="4"/>
        <v>10</v>
      </c>
      <c r="B116" s="120"/>
      <c r="C116" s="42" t="s">
        <v>191</v>
      </c>
      <c r="D116" s="54">
        <f>(28.79)*(10.764)</f>
        <v>309.89555999999999</v>
      </c>
      <c r="E116" s="42">
        <v>0</v>
      </c>
      <c r="F116" s="42">
        <f t="shared" ref="F116:F118" si="7">(D116+E116)*(($F$105)+1)</f>
        <v>495.83289600000001</v>
      </c>
      <c r="G116" s="148"/>
      <c r="H116" s="149"/>
      <c r="I116" s="36"/>
      <c r="L116" s="56"/>
      <c r="M116" s="56"/>
      <c r="N116" s="36"/>
    </row>
    <row r="117" spans="1:14" s="37" customFormat="1" x14ac:dyDescent="0.25">
      <c r="A117" s="119">
        <f t="shared" si="4"/>
        <v>11</v>
      </c>
      <c r="B117" s="120"/>
      <c r="C117" s="42" t="s">
        <v>191</v>
      </c>
      <c r="D117" s="54">
        <f>(27.4)*(10.764)</f>
        <v>294.93359999999996</v>
      </c>
      <c r="E117" s="42">
        <v>0</v>
      </c>
      <c r="F117" s="42">
        <f t="shared" si="7"/>
        <v>471.89375999999993</v>
      </c>
      <c r="G117" s="148"/>
      <c r="H117" s="149"/>
      <c r="I117" s="36"/>
      <c r="L117" s="56"/>
      <c r="M117" s="56"/>
      <c r="N117" s="36"/>
    </row>
    <row r="118" spans="1:14" s="37" customFormat="1" x14ac:dyDescent="0.25">
      <c r="A118" s="119">
        <f t="shared" si="4"/>
        <v>12</v>
      </c>
      <c r="B118" s="120"/>
      <c r="C118" s="42" t="s">
        <v>191</v>
      </c>
      <c r="D118" s="54">
        <f>(33.23)*(10.764)</f>
        <v>357.68771999999996</v>
      </c>
      <c r="E118" s="42">
        <v>0</v>
      </c>
      <c r="F118" s="42">
        <f t="shared" si="7"/>
        <v>572.30035199999998</v>
      </c>
      <c r="G118" s="148"/>
      <c r="H118" s="149"/>
      <c r="I118" s="36"/>
      <c r="L118" s="56"/>
      <c r="M118" s="56"/>
      <c r="N118" s="36"/>
    </row>
    <row r="119" spans="1:14" s="37" customFormat="1" x14ac:dyDescent="0.25">
      <c r="A119" s="119">
        <f t="shared" si="4"/>
        <v>13</v>
      </c>
      <c r="B119" s="120"/>
      <c r="C119" s="42" t="s">
        <v>191</v>
      </c>
      <c r="D119" s="54">
        <f>(27.87)*(10.764)</f>
        <v>299.99268000000001</v>
      </c>
      <c r="E119" s="42">
        <v>0</v>
      </c>
      <c r="F119" s="42">
        <f>(D119+E119)*(($F$105)+1)</f>
        <v>479.98828800000001</v>
      </c>
      <c r="G119" s="148"/>
      <c r="H119" s="149"/>
      <c r="I119" s="36"/>
      <c r="L119" s="56"/>
      <c r="M119" s="56"/>
      <c r="N119" s="36"/>
    </row>
    <row r="120" spans="1:14" s="37" customFormat="1" x14ac:dyDescent="0.25">
      <c r="A120" s="119">
        <f t="shared" si="4"/>
        <v>14</v>
      </c>
      <c r="B120" s="120"/>
      <c r="C120" s="42" t="s">
        <v>191</v>
      </c>
      <c r="D120" s="54">
        <f>(33.25)*(10.764)</f>
        <v>357.90299999999996</v>
      </c>
      <c r="E120" s="42">
        <v>0</v>
      </c>
      <c r="F120" s="42">
        <f t="shared" ref="F120:F122" si="8">(D120+E120)*(($F$105)+1)</f>
        <v>572.64479999999992</v>
      </c>
      <c r="G120" s="148"/>
      <c r="H120" s="149"/>
      <c r="I120" s="36"/>
      <c r="L120" s="56"/>
      <c r="M120" s="56"/>
      <c r="N120" s="36"/>
    </row>
    <row r="121" spans="1:14" s="37" customFormat="1" x14ac:dyDescent="0.25">
      <c r="A121" s="119">
        <f t="shared" si="4"/>
        <v>15</v>
      </c>
      <c r="B121" s="120"/>
      <c r="C121" s="42" t="s">
        <v>191</v>
      </c>
      <c r="D121" s="54">
        <f>(31.17)*(10.764)</f>
        <v>335.51387999999997</v>
      </c>
      <c r="E121" s="42">
        <v>0</v>
      </c>
      <c r="F121" s="42">
        <f t="shared" si="8"/>
        <v>536.82220799999993</v>
      </c>
      <c r="G121" s="148"/>
      <c r="H121" s="149"/>
      <c r="I121" s="36"/>
      <c r="L121" s="56"/>
      <c r="M121" s="56"/>
      <c r="N121" s="36"/>
    </row>
    <row r="122" spans="1:14" s="37" customFormat="1" x14ac:dyDescent="0.25">
      <c r="A122" s="119">
        <f t="shared" si="4"/>
        <v>16</v>
      </c>
      <c r="B122" s="120"/>
      <c r="C122" s="42" t="s">
        <v>191</v>
      </c>
      <c r="D122" s="54">
        <f>(31.17)*(10.764)</f>
        <v>335.51387999999997</v>
      </c>
      <c r="E122" s="42">
        <v>0</v>
      </c>
      <c r="F122" s="42">
        <f t="shared" si="8"/>
        <v>536.82220799999993</v>
      </c>
      <c r="G122" s="148"/>
      <c r="H122" s="149"/>
      <c r="I122" s="36"/>
      <c r="L122" s="56"/>
      <c r="M122" s="56"/>
      <c r="N122" s="36"/>
    </row>
    <row r="123" spans="1:14" s="37" customFormat="1" x14ac:dyDescent="0.25">
      <c r="A123" s="119">
        <f t="shared" si="4"/>
        <v>17</v>
      </c>
      <c r="B123" s="120"/>
      <c r="C123" s="42" t="s">
        <v>191</v>
      </c>
      <c r="D123" s="54">
        <f>(31.17)*(10.764)</f>
        <v>335.51387999999997</v>
      </c>
      <c r="E123" s="42">
        <v>0</v>
      </c>
      <c r="F123" s="42">
        <f>(D123+E123)*(($F$105)+1)</f>
        <v>536.82220799999993</v>
      </c>
      <c r="G123" s="148"/>
      <c r="H123" s="149"/>
      <c r="I123" s="36"/>
      <c r="L123" s="56"/>
      <c r="M123" s="56"/>
      <c r="N123" s="36"/>
    </row>
    <row r="124" spans="1:14" s="37" customFormat="1" x14ac:dyDescent="0.25">
      <c r="A124" s="119">
        <f t="shared" si="4"/>
        <v>18</v>
      </c>
      <c r="B124" s="120"/>
      <c r="C124" s="42" t="s">
        <v>191</v>
      </c>
      <c r="D124" s="54">
        <f>(41.14)*(10.764)</f>
        <v>442.83096</v>
      </c>
      <c r="E124" s="42">
        <v>0</v>
      </c>
      <c r="F124" s="42">
        <f t="shared" ref="F124:F126" si="9">(D124+E124)*(($F$105)+1)</f>
        <v>708.52953600000001</v>
      </c>
      <c r="G124" s="148"/>
      <c r="H124" s="149"/>
      <c r="I124" s="36"/>
      <c r="L124" s="56"/>
      <c r="M124" s="56"/>
      <c r="N124" s="36"/>
    </row>
    <row r="125" spans="1:14" s="37" customFormat="1" x14ac:dyDescent="0.25">
      <c r="A125" s="119">
        <f t="shared" si="4"/>
        <v>19</v>
      </c>
      <c r="B125" s="120"/>
      <c r="C125" s="42" t="s">
        <v>191</v>
      </c>
      <c r="D125" s="54">
        <f>(34.73)*(10.764)</f>
        <v>373.83371999999997</v>
      </c>
      <c r="E125" s="42">
        <v>0</v>
      </c>
      <c r="F125" s="42">
        <f t="shared" si="9"/>
        <v>598.13395200000002</v>
      </c>
      <c r="G125" s="148"/>
      <c r="H125" s="149"/>
      <c r="I125" s="36"/>
      <c r="L125" s="56"/>
      <c r="M125" s="56"/>
      <c r="N125" s="36"/>
    </row>
    <row r="126" spans="1:14" s="37" customFormat="1" x14ac:dyDescent="0.25">
      <c r="A126" s="119">
        <f t="shared" si="4"/>
        <v>20</v>
      </c>
      <c r="B126" s="120"/>
      <c r="C126" s="42" t="s">
        <v>191</v>
      </c>
      <c r="D126" s="54">
        <f>(38.6)*(10.764)</f>
        <v>415.49039999999997</v>
      </c>
      <c r="E126" s="42">
        <v>0</v>
      </c>
      <c r="F126" s="42">
        <f t="shared" si="9"/>
        <v>664.78463999999997</v>
      </c>
      <c r="G126" s="148"/>
      <c r="H126" s="149"/>
      <c r="I126" s="36">
        <f>3.41*11.46</f>
        <v>39.078600000000002</v>
      </c>
      <c r="L126" s="56"/>
      <c r="M126" s="56"/>
      <c r="N126" s="36"/>
    </row>
    <row r="127" spans="1:14" s="37" customFormat="1" x14ac:dyDescent="0.25">
      <c r="A127" s="119">
        <f t="shared" si="4"/>
        <v>21</v>
      </c>
      <c r="B127" s="120"/>
      <c r="C127" s="42" t="s">
        <v>191</v>
      </c>
      <c r="D127" s="54">
        <f>(40.05)*(10.764)</f>
        <v>431.09819999999996</v>
      </c>
      <c r="E127" s="42">
        <v>0</v>
      </c>
      <c r="F127" s="42">
        <f>(D127+E127)*(($F$105)+1)</f>
        <v>689.75711999999999</v>
      </c>
      <c r="G127" s="150"/>
      <c r="H127" s="151"/>
      <c r="I127" s="36">
        <f>3.5*11.46</f>
        <v>40.11</v>
      </c>
      <c r="L127" s="56"/>
      <c r="M127" s="56"/>
      <c r="N127" s="36"/>
    </row>
    <row r="128" spans="1:14" s="37" customFormat="1" x14ac:dyDescent="0.25">
      <c r="A128" s="119"/>
      <c r="B128" s="137"/>
      <c r="C128" s="137"/>
      <c r="D128" s="137"/>
      <c r="E128" s="137"/>
      <c r="F128" s="137"/>
      <c r="G128" s="137"/>
      <c r="H128" s="120"/>
      <c r="I128" s="36"/>
      <c r="N128" s="36"/>
    </row>
    <row r="129" spans="1:14" ht="47.25" customHeight="1" x14ac:dyDescent="0.25">
      <c r="A129" s="121" t="s">
        <v>124</v>
      </c>
      <c r="B129" s="121" t="s">
        <v>125</v>
      </c>
      <c r="C129" s="57" t="s">
        <v>58</v>
      </c>
      <c r="D129" s="57" t="s">
        <v>59</v>
      </c>
      <c r="E129" s="142" t="s">
        <v>60</v>
      </c>
      <c r="F129" s="43" t="s">
        <v>154</v>
      </c>
      <c r="G129" s="121" t="s">
        <v>61</v>
      </c>
      <c r="H129" s="144"/>
      <c r="I129" s="36"/>
    </row>
    <row r="130" spans="1:14" s="37" customFormat="1" x14ac:dyDescent="0.25">
      <c r="A130" s="122"/>
      <c r="B130" s="122"/>
      <c r="C130" s="58"/>
      <c r="D130" s="58"/>
      <c r="E130" s="143"/>
      <c r="F130" s="13">
        <v>0.55000000000000004</v>
      </c>
      <c r="G130" s="122"/>
      <c r="H130" s="145"/>
      <c r="I130" s="36"/>
    </row>
    <row r="131" spans="1:14" s="37" customFormat="1" x14ac:dyDescent="0.25">
      <c r="A131" s="132" t="s">
        <v>193</v>
      </c>
      <c r="B131" s="133"/>
      <c r="C131" s="133"/>
      <c r="D131" s="133"/>
      <c r="E131" s="133"/>
      <c r="F131" s="133"/>
      <c r="G131" s="133"/>
      <c r="H131" s="134"/>
      <c r="J131" s="36"/>
    </row>
    <row r="132" spans="1:14" s="37" customFormat="1" x14ac:dyDescent="0.25">
      <c r="A132" s="132" t="s">
        <v>194</v>
      </c>
      <c r="B132" s="133"/>
      <c r="C132" s="133"/>
      <c r="D132" s="133"/>
      <c r="E132" s="133"/>
      <c r="F132" s="133"/>
      <c r="G132" s="133"/>
      <c r="H132" s="134"/>
      <c r="J132" s="36"/>
    </row>
    <row r="133" spans="1:14" s="37" customFormat="1" ht="32.25" customHeight="1" x14ac:dyDescent="0.25">
      <c r="A133" s="117" t="s">
        <v>195</v>
      </c>
      <c r="B133" s="117"/>
      <c r="C133" s="117"/>
      <c r="D133" s="117"/>
      <c r="E133" s="117"/>
      <c r="F133" s="117"/>
      <c r="G133" s="117"/>
      <c r="H133" s="117"/>
      <c r="I133" s="36"/>
      <c r="L133" s="56"/>
      <c r="M133" s="56"/>
    </row>
    <row r="134" spans="1:14" s="37" customFormat="1" ht="15.75" customHeight="1" x14ac:dyDescent="0.25">
      <c r="A134" s="138">
        <v>1</v>
      </c>
      <c r="B134" s="138"/>
      <c r="C134" s="119" t="s">
        <v>196</v>
      </c>
      <c r="D134" s="137"/>
      <c r="E134" s="137"/>
      <c r="F134" s="120"/>
      <c r="G134" s="146" t="str">
        <f>A133</f>
        <v>4th Podium Floor For Fitness Center, Socity Office, Drivers Room, Kids Pool, Pool, Garden &amp; Residential</v>
      </c>
      <c r="H134" s="147"/>
      <c r="I134" s="36"/>
      <c r="N134" s="36"/>
    </row>
    <row r="135" spans="1:14" s="37" customFormat="1" ht="15.75" customHeight="1" x14ac:dyDescent="0.25">
      <c r="A135" s="138">
        <f>A134+1</f>
        <v>2</v>
      </c>
      <c r="B135" s="138"/>
      <c r="C135" s="42" t="s">
        <v>198</v>
      </c>
      <c r="D135" s="54">
        <f>(59.69+4.33*0.6)*(10.764)</f>
        <v>670.46803199999988</v>
      </c>
      <c r="E135" s="54">
        <f>(4.41*2.8+6.02*0.6+1.63*3.25)*(10.764)</f>
        <v>228.81573</v>
      </c>
      <c r="F135" s="42">
        <f t="shared" ref="F135" si="10">D135*(($F$130)+1)+(IF(E135&lt;101,E135,IF(E135&lt;201,E135/2,IF(E135&lt;=301,E135/3,E135/4))))</f>
        <v>1115.4973595999998</v>
      </c>
      <c r="G135" s="148"/>
      <c r="H135" s="149"/>
      <c r="I135" s="36"/>
      <c r="J135" s="37">
        <f>2.78*4.4+3.25*1.63+6.02*0.6+4.33*0.6</f>
        <v>23.739499999999996</v>
      </c>
      <c r="K135" s="54">
        <f>24.57*10.764</f>
        <v>264.47147999999999</v>
      </c>
      <c r="N135" s="36"/>
    </row>
    <row r="136" spans="1:14" s="37" customFormat="1" ht="15.75" customHeight="1" x14ac:dyDescent="0.25">
      <c r="A136" s="138">
        <f>A135+1</f>
        <v>3</v>
      </c>
      <c r="B136" s="138"/>
      <c r="C136" s="42" t="s">
        <v>198</v>
      </c>
      <c r="D136" s="54">
        <f>(59.16+2.98*0.6)*(10.764)</f>
        <v>656.04427199999986</v>
      </c>
      <c r="E136" s="54">
        <f>(4.41*2.8+6.02*0.6+1.66*3.25)*(10.764)</f>
        <v>229.86521999999997</v>
      </c>
      <c r="F136" s="42">
        <f>D136*(($F$130)+1)+(IF(E136&lt;101,E136,IF(E136&lt;201,E136/2,IF(E136&lt;=301,E136/3,E136/4))))</f>
        <v>1093.4903615999999</v>
      </c>
      <c r="G136" s="148"/>
      <c r="H136" s="149"/>
      <c r="I136" s="53"/>
      <c r="N136" s="36"/>
    </row>
    <row r="137" spans="1:14" s="37" customFormat="1" ht="15.75" customHeight="1" x14ac:dyDescent="0.25">
      <c r="A137" s="138">
        <f>A136+1</f>
        <v>4</v>
      </c>
      <c r="B137" s="138"/>
      <c r="C137" s="42" t="s">
        <v>199</v>
      </c>
      <c r="D137" s="54">
        <f>(84.76)*(10.764)</f>
        <v>912.35663999999997</v>
      </c>
      <c r="E137" s="54">
        <f>(3.37*4.4+5.7*0.6+3.05*0.9+5.74*2.6+0.5*(3*4.3))*(10.764)</f>
        <v>456.038388</v>
      </c>
      <c r="F137" s="42">
        <f>D137*(($F$130)+1)+(IF(E137&lt;101,E137,IF(E137&lt;201,E137/2,IF(E137&lt;=301,E137/3,E137/4))))</f>
        <v>1528.1623890000001</v>
      </c>
      <c r="G137" s="148"/>
      <c r="H137" s="149"/>
      <c r="I137" s="36"/>
      <c r="J137" s="37">
        <f>3.37*4.48+5.74*2.6+0.5*(3*4.3)+0.9*3.05+0.67*3.05+0.67*2.44</f>
        <v>42.8949</v>
      </c>
      <c r="N137" s="36"/>
    </row>
    <row r="138" spans="1:14" s="37" customFormat="1" ht="15.75" customHeight="1" x14ac:dyDescent="0.25">
      <c r="A138" s="138">
        <f>A137+1</f>
        <v>5</v>
      </c>
      <c r="B138" s="138"/>
      <c r="C138" s="119" t="s">
        <v>197</v>
      </c>
      <c r="D138" s="137"/>
      <c r="E138" s="137">
        <v>0</v>
      </c>
      <c r="F138" s="120">
        <f>D138*(($F$130)+1)+(IF(E138&lt;101,E138,IF(E138&lt;201,E138/2,IF(E138&lt;=301,E138/3,E138/4))))</f>
        <v>0</v>
      </c>
      <c r="G138" s="150"/>
      <c r="H138" s="151"/>
      <c r="I138" s="36"/>
      <c r="N138" s="36"/>
    </row>
    <row r="139" spans="1:14" s="37" customFormat="1" ht="15.75" customHeight="1" x14ac:dyDescent="0.25">
      <c r="A139" s="132" t="s">
        <v>200</v>
      </c>
      <c r="B139" s="133"/>
      <c r="C139" s="133"/>
      <c r="D139" s="133"/>
      <c r="E139" s="133"/>
      <c r="F139" s="133"/>
      <c r="G139" s="133"/>
      <c r="H139" s="134"/>
      <c r="I139" s="36"/>
      <c r="M139" s="37">
        <f>3.66/2.4</f>
        <v>1.5250000000000001</v>
      </c>
    </row>
    <row r="140" spans="1:14" s="37" customFormat="1" x14ac:dyDescent="0.25">
      <c r="A140" s="119">
        <v>1</v>
      </c>
      <c r="B140" s="120"/>
      <c r="C140" s="42" t="s">
        <v>198</v>
      </c>
      <c r="D140" s="54">
        <f>(56.26+0.75*(2.5+3.5+2.1+3.05))*(10.764)</f>
        <v>695.59658999999999</v>
      </c>
      <c r="E140" s="42">
        <v>0</v>
      </c>
      <c r="F140" s="42">
        <f t="shared" ref="F140:F146" si="11">D140*(($F$130)+1)+(IF(E140&lt;101,E140,IF(E140&lt;201,E140/2,IF(E140&lt;=301,E140/3,E140/4))))</f>
        <v>1078.1747144999999</v>
      </c>
      <c r="G140" s="146" t="str">
        <f>A139</f>
        <v>5th Floor</v>
      </c>
      <c r="H140" s="147"/>
      <c r="I140" s="36">
        <f>15000000/F140</f>
        <v>13912.40194958217</v>
      </c>
    </row>
    <row r="141" spans="1:14" s="37" customFormat="1" x14ac:dyDescent="0.25">
      <c r="A141" s="119">
        <f>A140+1</f>
        <v>2</v>
      </c>
      <c r="B141" s="120"/>
      <c r="C141" s="42" t="s">
        <v>198</v>
      </c>
      <c r="D141" s="54">
        <f>(59.69+4.33*0.6+0.75*(2.2+2.44+3.05+3.05))*(10.764)</f>
        <v>757.17205199999989</v>
      </c>
      <c r="E141" s="42">
        <v>0</v>
      </c>
      <c r="F141" s="42">
        <f t="shared" si="11"/>
        <v>1173.6166805999999</v>
      </c>
      <c r="G141" s="148"/>
      <c r="H141" s="149"/>
      <c r="I141" s="36"/>
      <c r="K141" s="37">
        <f>60-1.7</f>
        <v>58.3</v>
      </c>
    </row>
    <row r="142" spans="1:14" s="37" customFormat="1" ht="15.75" customHeight="1" x14ac:dyDescent="0.25">
      <c r="A142" s="119">
        <f t="shared" ref="A142:A144" si="12">A141+1</f>
        <v>3</v>
      </c>
      <c r="B142" s="120"/>
      <c r="C142" s="42" t="s">
        <v>198</v>
      </c>
      <c r="D142" s="54">
        <f>(59.92+2.98*0.6+0.75*(2.2+2.44+3.05+3.05))*(10.764)</f>
        <v>750.92893200000003</v>
      </c>
      <c r="E142" s="42">
        <v>0</v>
      </c>
      <c r="F142" s="42">
        <f t="shared" si="11"/>
        <v>1163.9398446</v>
      </c>
      <c r="G142" s="148"/>
      <c r="H142" s="149"/>
      <c r="I142" s="36"/>
    </row>
    <row r="143" spans="1:14" s="37" customFormat="1" ht="15.75" customHeight="1" x14ac:dyDescent="0.25">
      <c r="A143" s="119">
        <f t="shared" si="12"/>
        <v>4</v>
      </c>
      <c r="B143" s="120"/>
      <c r="C143" s="42" t="s">
        <v>199</v>
      </c>
      <c r="D143" s="54">
        <f>(84.76+0.75*(3.37+2.44+3.05+3.05+2.5))*(10.764)</f>
        <v>1028.68857</v>
      </c>
      <c r="E143" s="42">
        <v>0</v>
      </c>
      <c r="F143" s="42">
        <f t="shared" si="11"/>
        <v>1594.4672835000001</v>
      </c>
      <c r="G143" s="148"/>
      <c r="H143" s="149"/>
      <c r="I143" s="36">
        <f>20200000/F143</f>
        <v>12668.808077177457</v>
      </c>
      <c r="J143" s="37">
        <f>2.98*0.6</f>
        <v>1.788</v>
      </c>
      <c r="M143" s="37">
        <f>2.2*1.5</f>
        <v>3.3000000000000003</v>
      </c>
    </row>
    <row r="144" spans="1:14" s="37" customFormat="1" ht="15.75" customHeight="1" x14ac:dyDescent="0.25">
      <c r="A144" s="119">
        <f t="shared" si="12"/>
        <v>5</v>
      </c>
      <c r="B144" s="120"/>
      <c r="C144" s="42" t="s">
        <v>198</v>
      </c>
      <c r="D144" s="54">
        <f>(59.26+2.36*0.6+0.75*(2.44+3.05))*(10.764)</f>
        <v>697.43723399999988</v>
      </c>
      <c r="E144" s="54">
        <f>(2.89*3.7+2.7*1.5)*(10.764)</f>
        <v>158.69365200000001</v>
      </c>
      <c r="F144" s="42">
        <f t="shared" si="11"/>
        <v>1160.3745386999999</v>
      </c>
      <c r="G144" s="148"/>
      <c r="H144" s="149"/>
      <c r="I144" s="36"/>
    </row>
    <row r="145" spans="1:13" s="37" customFormat="1" ht="15.75" customHeight="1" x14ac:dyDescent="0.25">
      <c r="A145" s="119">
        <f t="shared" ref="A145:A146" si="13">A144+1</f>
        <v>6</v>
      </c>
      <c r="B145" s="120"/>
      <c r="C145" s="42" t="s">
        <v>199</v>
      </c>
      <c r="D145" s="54">
        <f>(83.86+0.75*(2.44+3.05+3.05+3.05))*(10.764)</f>
        <v>996.23510999999985</v>
      </c>
      <c r="E145" s="54">
        <f>(3.49*3.7)*(10.764)</f>
        <v>138.99553200000003</v>
      </c>
      <c r="F145" s="42">
        <f t="shared" si="11"/>
        <v>1613.6621864999997</v>
      </c>
      <c r="G145" s="148"/>
      <c r="H145" s="149"/>
      <c r="I145" s="36"/>
      <c r="J145" s="37">
        <f>2.98*0.6</f>
        <v>1.788</v>
      </c>
      <c r="M145" s="37">
        <f>2.2*1.5</f>
        <v>3.3000000000000003</v>
      </c>
    </row>
    <row r="146" spans="1:13" s="37" customFormat="1" ht="15.75" customHeight="1" x14ac:dyDescent="0.25">
      <c r="A146" s="119">
        <f t="shared" si="13"/>
        <v>7</v>
      </c>
      <c r="B146" s="120"/>
      <c r="C146" s="42" t="s">
        <v>198</v>
      </c>
      <c r="D146" s="54">
        <f>(59.83+0.75*(3.14+2.1+3.05+3.2))*(10.764)</f>
        <v>736.76888999999983</v>
      </c>
      <c r="E146" s="42">
        <v>0</v>
      </c>
      <c r="F146" s="42">
        <f t="shared" si="11"/>
        <v>1141.9917794999997</v>
      </c>
      <c r="G146" s="150"/>
      <c r="H146" s="151"/>
      <c r="I146" s="36"/>
    </row>
    <row r="147" spans="1:13" s="37" customFormat="1" x14ac:dyDescent="0.25">
      <c r="A147" s="132" t="s">
        <v>201</v>
      </c>
      <c r="B147" s="133"/>
      <c r="C147" s="133"/>
      <c r="D147" s="133"/>
      <c r="E147" s="133"/>
      <c r="F147" s="133"/>
      <c r="G147" s="133"/>
      <c r="H147" s="134"/>
      <c r="I147" s="36"/>
    </row>
    <row r="148" spans="1:13" s="37" customFormat="1" ht="15.75" customHeight="1" x14ac:dyDescent="0.25">
      <c r="A148" s="119">
        <v>1</v>
      </c>
      <c r="B148" s="120"/>
      <c r="C148" s="42" t="s">
        <v>198</v>
      </c>
      <c r="D148" s="54">
        <f>(56.26+0.75*(2.5+3.5+2.1+3.05))*(10.764)</f>
        <v>695.59658999999999</v>
      </c>
      <c r="E148" s="42">
        <v>0</v>
      </c>
      <c r="F148" s="42">
        <f t="shared" ref="F148:F154" si="14">D148*(($F$130)+1)+(IF(E148&lt;101,E148,IF(E148&lt;201,E148/2,IF(E148&lt;=301,E148/3,E148/4))))</f>
        <v>1078.1747144999999</v>
      </c>
      <c r="G148" s="146" t="str">
        <f>A147</f>
        <v>7th to 10th, 12th to 15th, 17th to 20th, 22nd to 25th  Floor</v>
      </c>
      <c r="H148" s="147"/>
      <c r="I148" s="36"/>
    </row>
    <row r="149" spans="1:13" s="37" customFormat="1" ht="15.75" customHeight="1" x14ac:dyDescent="0.25">
      <c r="A149" s="119">
        <f>A148+1</f>
        <v>2</v>
      </c>
      <c r="B149" s="120"/>
      <c r="C149" s="42" t="s">
        <v>198</v>
      </c>
      <c r="D149" s="54">
        <f>(59.69+4.33*0.6+0.75*(2.2+2.44+3.05+3.05))*(10.764)</f>
        <v>757.17205199999989</v>
      </c>
      <c r="E149" s="42">
        <v>0</v>
      </c>
      <c r="F149" s="42">
        <f t="shared" si="14"/>
        <v>1173.6166805999999</v>
      </c>
      <c r="G149" s="148"/>
      <c r="H149" s="149"/>
      <c r="I149" s="36"/>
    </row>
    <row r="150" spans="1:13" s="37" customFormat="1" ht="15.75" customHeight="1" x14ac:dyDescent="0.25">
      <c r="A150" s="119">
        <f t="shared" ref="A150:A152" si="15">A149+1</f>
        <v>3</v>
      </c>
      <c r="B150" s="120"/>
      <c r="C150" s="42" t="s">
        <v>198</v>
      </c>
      <c r="D150" s="54">
        <f>(59.92+2.98*0.6+0.75*(2.2+2.44+3.05+3.05))*(10.764)</f>
        <v>750.92893200000003</v>
      </c>
      <c r="E150" s="42">
        <v>0</v>
      </c>
      <c r="F150" s="42">
        <f t="shared" si="14"/>
        <v>1163.9398446</v>
      </c>
      <c r="G150" s="148"/>
      <c r="H150" s="149"/>
      <c r="I150" s="36"/>
    </row>
    <row r="151" spans="1:13" s="37" customFormat="1" ht="15.75" customHeight="1" x14ac:dyDescent="0.25">
      <c r="A151" s="119">
        <f t="shared" si="15"/>
        <v>4</v>
      </c>
      <c r="B151" s="120"/>
      <c r="C151" s="42" t="s">
        <v>199</v>
      </c>
      <c r="D151" s="54">
        <f>(84.76+0.75*(3.37+2.44+3.05+3.05+2.5))*(10.764)</f>
        <v>1028.68857</v>
      </c>
      <c r="E151" s="42">
        <v>0</v>
      </c>
      <c r="F151" s="42">
        <f t="shared" si="14"/>
        <v>1594.4672835000001</v>
      </c>
      <c r="G151" s="148"/>
      <c r="H151" s="149"/>
      <c r="I151" s="36"/>
    </row>
    <row r="152" spans="1:13" s="37" customFormat="1" ht="15.75" customHeight="1" x14ac:dyDescent="0.25">
      <c r="A152" s="119">
        <f t="shared" si="15"/>
        <v>5</v>
      </c>
      <c r="B152" s="120"/>
      <c r="C152" s="42" t="s">
        <v>198</v>
      </c>
      <c r="D152" s="54">
        <f>(59.26+2.36*0.6+0.75*(2.4+2.44+3.05+3.05))*(10.764)</f>
        <v>741.43508399999996</v>
      </c>
      <c r="E152" s="42">
        <v>0</v>
      </c>
      <c r="F152" s="42">
        <f t="shared" si="14"/>
        <v>1149.2243802</v>
      </c>
      <c r="G152" s="148"/>
      <c r="H152" s="149"/>
      <c r="I152" s="36"/>
    </row>
    <row r="153" spans="1:13" s="37" customFormat="1" ht="15.75" customHeight="1" x14ac:dyDescent="0.25">
      <c r="A153" s="119">
        <f t="shared" ref="A153:A154" si="16">A152+1</f>
        <v>6</v>
      </c>
      <c r="B153" s="120"/>
      <c r="C153" s="42" t="s">
        <v>199</v>
      </c>
      <c r="D153" s="54">
        <f>(83.86+0.75*(2.5+2.44+3.05+3.05+3.05))*(10.764)</f>
        <v>1016.4176099999999</v>
      </c>
      <c r="E153" s="42">
        <v>0</v>
      </c>
      <c r="F153" s="42">
        <f t="shared" si="14"/>
        <v>1575.4472954999999</v>
      </c>
      <c r="G153" s="148"/>
      <c r="H153" s="149"/>
      <c r="I153" s="36"/>
    </row>
    <row r="154" spans="1:13" s="37" customFormat="1" ht="15.75" customHeight="1" x14ac:dyDescent="0.25">
      <c r="A154" s="119">
        <f t="shared" si="16"/>
        <v>7</v>
      </c>
      <c r="B154" s="120"/>
      <c r="C154" s="42" t="s">
        <v>198</v>
      </c>
      <c r="D154" s="54">
        <f>(59.83+0.75*(3.14+2.1+3.05+3.2))*(10.764)</f>
        <v>736.76888999999983</v>
      </c>
      <c r="E154" s="42">
        <v>0</v>
      </c>
      <c r="F154" s="42">
        <f t="shared" si="14"/>
        <v>1141.9917794999997</v>
      </c>
      <c r="G154" s="150"/>
      <c r="H154" s="151"/>
      <c r="I154" s="36"/>
    </row>
    <row r="155" spans="1:13" s="37" customFormat="1" x14ac:dyDescent="0.25">
      <c r="A155" s="132" t="s">
        <v>202</v>
      </c>
      <c r="B155" s="133"/>
      <c r="C155" s="133"/>
      <c r="D155" s="133"/>
      <c r="E155" s="133"/>
      <c r="F155" s="133"/>
      <c r="G155" s="133"/>
      <c r="H155" s="134"/>
      <c r="I155" s="36"/>
    </row>
    <row r="156" spans="1:13" s="37" customFormat="1" ht="15.75" customHeight="1" x14ac:dyDescent="0.25">
      <c r="A156" s="119">
        <v>1</v>
      </c>
      <c r="B156" s="120"/>
      <c r="C156" s="42" t="s">
        <v>198</v>
      </c>
      <c r="D156" s="54">
        <f>(56.26+0.75*(2.5+3.5+2.1+3.05))*(10.764)</f>
        <v>695.59658999999999</v>
      </c>
      <c r="E156" s="42">
        <v>0</v>
      </c>
      <c r="F156" s="42">
        <f t="shared" ref="F156:F162" si="17">D156*(($F$130)+1)+(IF(E156&lt;101,E156,IF(E156&lt;201,E156/2,IF(E156&lt;=301,E156/3,E156/4))))</f>
        <v>1078.1747144999999</v>
      </c>
      <c r="G156" s="146" t="str">
        <f>A155</f>
        <v>6th, 11th, 16th &amp; 21st Floor (Part Refuge Area)</v>
      </c>
      <c r="H156" s="147"/>
      <c r="I156" s="36"/>
    </row>
    <row r="157" spans="1:13" s="37" customFormat="1" ht="15.75" customHeight="1" x14ac:dyDescent="0.25">
      <c r="A157" s="119">
        <f>A156+1</f>
        <v>2</v>
      </c>
      <c r="B157" s="120"/>
      <c r="C157" s="42" t="s">
        <v>198</v>
      </c>
      <c r="D157" s="54">
        <f>(59.69+4.33*0.6+0.75*(2.2+2.44+3.05+3.05))*(10.764)</f>
        <v>757.17205199999989</v>
      </c>
      <c r="E157" s="42">
        <v>0</v>
      </c>
      <c r="F157" s="42">
        <f t="shared" si="17"/>
        <v>1173.6166805999999</v>
      </c>
      <c r="G157" s="148"/>
      <c r="H157" s="149"/>
      <c r="I157" s="36"/>
    </row>
    <row r="158" spans="1:13" s="37" customFormat="1" ht="15.75" customHeight="1" x14ac:dyDescent="0.25">
      <c r="A158" s="119">
        <f t="shared" ref="A158:A162" si="18">A157+1</f>
        <v>3</v>
      </c>
      <c r="B158" s="120"/>
      <c r="C158" s="42" t="s">
        <v>198</v>
      </c>
      <c r="D158" s="54">
        <f>(59.92+2.98*0.6+0.75*(2.2+2.44+3.05+3.05))*(10.764)</f>
        <v>750.92893200000003</v>
      </c>
      <c r="E158" s="42">
        <v>0</v>
      </c>
      <c r="F158" s="42">
        <f t="shared" si="17"/>
        <v>1163.9398446</v>
      </c>
      <c r="G158" s="148"/>
      <c r="H158" s="149"/>
      <c r="I158" s="36"/>
    </row>
    <row r="159" spans="1:13" s="37" customFormat="1" ht="15.75" customHeight="1" x14ac:dyDescent="0.25">
      <c r="A159" s="119">
        <f t="shared" si="18"/>
        <v>4</v>
      </c>
      <c r="B159" s="120"/>
      <c r="C159" s="42" t="s">
        <v>199</v>
      </c>
      <c r="D159" s="54">
        <f>(84.76+0.75*(3.37+2.44+3.05+3.05+2.5))*(10.764)</f>
        <v>1028.68857</v>
      </c>
      <c r="E159" s="42">
        <v>0</v>
      </c>
      <c r="F159" s="42">
        <f t="shared" si="17"/>
        <v>1594.4672835000001</v>
      </c>
      <c r="G159" s="148"/>
      <c r="H159" s="149"/>
      <c r="I159" s="36"/>
    </row>
    <row r="160" spans="1:13" s="37" customFormat="1" ht="15.75" customHeight="1" x14ac:dyDescent="0.25">
      <c r="A160" s="119">
        <f t="shared" si="18"/>
        <v>5</v>
      </c>
      <c r="B160" s="120"/>
      <c r="C160" s="42" t="s">
        <v>203</v>
      </c>
      <c r="D160" s="54">
        <f>(52+0.75*(2.4+2.44+3.05))*(10.764)</f>
        <v>623.42396999999994</v>
      </c>
      <c r="E160" s="42">
        <v>0</v>
      </c>
      <c r="F160" s="42">
        <f t="shared" si="17"/>
        <v>966.30715349999991</v>
      </c>
      <c r="G160" s="148"/>
      <c r="H160" s="149"/>
      <c r="I160" s="36"/>
    </row>
    <row r="161" spans="1:9" s="37" customFormat="1" ht="15.75" customHeight="1" x14ac:dyDescent="0.25">
      <c r="A161" s="119">
        <f t="shared" si="18"/>
        <v>6</v>
      </c>
      <c r="B161" s="120"/>
      <c r="C161" s="42" t="s">
        <v>199</v>
      </c>
      <c r="D161" s="54">
        <f>(83.86+0.75*(2.5+2.44+3.05+3.05+3.05))*(10.764)</f>
        <v>1016.4176099999999</v>
      </c>
      <c r="E161" s="42">
        <v>0</v>
      </c>
      <c r="F161" s="42">
        <f t="shared" si="17"/>
        <v>1575.4472954999999</v>
      </c>
      <c r="G161" s="148"/>
      <c r="H161" s="149"/>
      <c r="I161" s="36"/>
    </row>
    <row r="162" spans="1:9" s="37" customFormat="1" ht="15.75" customHeight="1" x14ac:dyDescent="0.25">
      <c r="A162" s="119">
        <f t="shared" si="18"/>
        <v>7</v>
      </c>
      <c r="B162" s="120"/>
      <c r="C162" s="42" t="s">
        <v>198</v>
      </c>
      <c r="D162" s="54">
        <f>(59.83+0.75*(3.14+2.1+3.05+3.2))*(10.764)</f>
        <v>736.76888999999983</v>
      </c>
      <c r="E162" s="42">
        <v>0</v>
      </c>
      <c r="F162" s="42">
        <f t="shared" si="17"/>
        <v>1141.9917794999997</v>
      </c>
      <c r="G162" s="150"/>
      <c r="H162" s="151"/>
      <c r="I162" s="36"/>
    </row>
    <row r="163" spans="1:9" s="35" customFormat="1" x14ac:dyDescent="0.25">
      <c r="A163" s="131" t="s">
        <v>69</v>
      </c>
      <c r="B163" s="131"/>
      <c r="C163" s="131"/>
      <c r="D163" s="131"/>
      <c r="E163" s="131"/>
      <c r="F163" s="131"/>
      <c r="G163" s="131"/>
      <c r="H163" s="131"/>
    </row>
    <row r="164" spans="1:9" s="35" customFormat="1" x14ac:dyDescent="0.25">
      <c r="A164" s="47" t="s">
        <v>158</v>
      </c>
      <c r="B164" s="128" t="s">
        <v>222</v>
      </c>
      <c r="C164" s="129"/>
      <c r="D164" s="129"/>
      <c r="E164" s="129"/>
      <c r="F164" s="129"/>
      <c r="G164" s="129"/>
      <c r="H164" s="130"/>
    </row>
    <row r="165" spans="1:9" s="35" customFormat="1" x14ac:dyDescent="0.25">
      <c r="A165" s="47" t="s">
        <v>158</v>
      </c>
      <c r="B165" s="128" t="str">
        <f>(IF(F129="Saleable area Loading :","We have considered Saleable area of Flats as per our Calculation.","We considered Saleable area of Flat as per Builder area Sheet."))</f>
        <v>We have considered Saleable area of Flats as per our Calculation.</v>
      </c>
      <c r="C165" s="129"/>
      <c r="D165" s="129"/>
      <c r="E165" s="129"/>
      <c r="F165" s="129"/>
      <c r="G165" s="129"/>
      <c r="H165" s="130"/>
    </row>
    <row r="166" spans="1:9" s="35" customFormat="1" x14ac:dyDescent="0.25">
      <c r="A166" s="47" t="s">
        <v>158</v>
      </c>
      <c r="B166" s="128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6" s="129"/>
      <c r="D166" s="129"/>
      <c r="E166" s="129"/>
      <c r="F166" s="129"/>
      <c r="G166" s="129"/>
      <c r="H166" s="130"/>
    </row>
    <row r="167" spans="1:9" s="35" customFormat="1" x14ac:dyDescent="0.25">
      <c r="A167" s="47" t="s">
        <v>158</v>
      </c>
      <c r="B167" s="124" t="s">
        <v>128</v>
      </c>
      <c r="C167" s="125"/>
      <c r="D167" s="125"/>
      <c r="E167" s="125"/>
      <c r="F167" s="125"/>
      <c r="G167" s="125"/>
      <c r="H167" s="126"/>
    </row>
    <row r="168" spans="1:9" s="35" customFormat="1" x14ac:dyDescent="0.25">
      <c r="A168" s="47" t="s">
        <v>158</v>
      </c>
      <c r="B168" s="124" t="s">
        <v>206</v>
      </c>
      <c r="C168" s="125"/>
      <c r="D168" s="125"/>
      <c r="E168" s="125"/>
      <c r="F168" s="125"/>
      <c r="G168" s="125"/>
      <c r="H168" s="126"/>
    </row>
    <row r="169" spans="1:9" s="35" customFormat="1" x14ac:dyDescent="0.25">
      <c r="A169" s="47" t="s">
        <v>158</v>
      </c>
      <c r="B169" s="124" t="s">
        <v>157</v>
      </c>
      <c r="C169" s="125"/>
      <c r="D169" s="125"/>
      <c r="E169" s="125"/>
      <c r="F169" s="125"/>
      <c r="G169" s="125"/>
      <c r="H169" s="126"/>
    </row>
    <row r="170" spans="1:9" s="35" customFormat="1" x14ac:dyDescent="0.25">
      <c r="A170" s="47" t="s">
        <v>158</v>
      </c>
      <c r="B170" s="124" t="s">
        <v>129</v>
      </c>
      <c r="C170" s="125"/>
      <c r="D170" s="125"/>
      <c r="E170" s="125"/>
      <c r="F170" s="125"/>
      <c r="G170" s="125"/>
      <c r="H170" s="126"/>
    </row>
    <row r="171" spans="1:9" s="35" customFormat="1" ht="34.5" customHeight="1" x14ac:dyDescent="0.25">
      <c r="A171" s="47" t="s">
        <v>158</v>
      </c>
      <c r="B171" s="124" t="s">
        <v>159</v>
      </c>
      <c r="C171" s="125"/>
      <c r="D171" s="125"/>
      <c r="E171" s="125"/>
      <c r="F171" s="125"/>
      <c r="G171" s="125"/>
      <c r="H171" s="126"/>
    </row>
    <row r="172" spans="1:9" s="35" customFormat="1" x14ac:dyDescent="0.25">
      <c r="A172" s="47" t="s">
        <v>158</v>
      </c>
      <c r="B172" s="124" t="s">
        <v>130</v>
      </c>
      <c r="C172" s="125"/>
      <c r="D172" s="125"/>
      <c r="E172" s="125"/>
      <c r="F172" s="125"/>
      <c r="G172" s="125"/>
      <c r="H172" s="126"/>
    </row>
    <row r="173" spans="1:9" x14ac:dyDescent="0.25">
      <c r="A173" s="123" t="s">
        <v>62</v>
      </c>
      <c r="B173" s="123"/>
      <c r="C173" s="123"/>
      <c r="D173" s="123"/>
      <c r="E173" s="123"/>
      <c r="F173" s="123"/>
      <c r="G173" s="123"/>
      <c r="H173" s="123"/>
    </row>
    <row r="174" spans="1:9" x14ac:dyDescent="0.25">
      <c r="A174" s="59" t="s">
        <v>63</v>
      </c>
      <c r="B174" s="59"/>
      <c r="C174" s="59"/>
      <c r="D174" s="59"/>
      <c r="E174" s="59"/>
      <c r="F174" s="59"/>
      <c r="G174" s="59"/>
      <c r="H174" s="59"/>
    </row>
    <row r="175" spans="1:9" ht="15.75" customHeight="1" x14ac:dyDescent="0.25">
      <c r="A175" s="167" t="s">
        <v>64</v>
      </c>
      <c r="B175" s="167"/>
      <c r="C175" s="167"/>
      <c r="D175" s="167"/>
      <c r="E175" s="167"/>
      <c r="F175" s="167"/>
      <c r="G175" s="167"/>
      <c r="H175" s="167"/>
    </row>
    <row r="176" spans="1:9" x14ac:dyDescent="0.25">
      <c r="A176" s="59" t="s">
        <v>65</v>
      </c>
      <c r="B176" s="59"/>
      <c r="C176" s="59"/>
      <c r="D176" s="59"/>
      <c r="E176" s="59"/>
      <c r="F176" s="59"/>
      <c r="G176" s="59"/>
      <c r="H176" s="59"/>
    </row>
    <row r="177" spans="1:8" x14ac:dyDescent="0.25">
      <c r="A177" s="59" t="s">
        <v>66</v>
      </c>
      <c r="B177" s="59"/>
      <c r="C177" s="59"/>
      <c r="D177" s="59"/>
      <c r="E177" s="59"/>
      <c r="F177" s="59"/>
      <c r="G177" s="59"/>
      <c r="H177" s="59"/>
    </row>
    <row r="178" spans="1:8" x14ac:dyDescent="0.25">
      <c r="A178" s="59" t="s">
        <v>131</v>
      </c>
      <c r="B178" s="59"/>
      <c r="C178" s="59"/>
      <c r="D178" s="59"/>
      <c r="E178" s="59"/>
      <c r="F178" s="59"/>
      <c r="G178" s="59"/>
      <c r="H178" s="59"/>
    </row>
    <row r="179" spans="1:8" x14ac:dyDescent="0.25">
      <c r="A179" s="78" t="s">
        <v>132</v>
      </c>
      <c r="B179" s="78"/>
      <c r="C179" s="78"/>
      <c r="D179" s="78"/>
      <c r="E179" s="78"/>
      <c r="F179" s="78"/>
      <c r="G179" s="78"/>
      <c r="H179" s="78"/>
    </row>
    <row r="180" spans="1:8" x14ac:dyDescent="0.25">
      <c r="A180" s="115" t="s">
        <v>79</v>
      </c>
      <c r="B180" s="115"/>
      <c r="C180" s="115" t="s">
        <v>221</v>
      </c>
      <c r="D180" s="115"/>
      <c r="E180" s="115" t="s">
        <v>109</v>
      </c>
      <c r="F180" s="115"/>
      <c r="G180" s="115" t="s">
        <v>220</v>
      </c>
      <c r="H180" s="115"/>
    </row>
    <row r="181" spans="1:8" x14ac:dyDescent="0.25">
      <c r="A181" s="114" t="s">
        <v>81</v>
      </c>
      <c r="B181" s="114"/>
      <c r="C181" s="114"/>
      <c r="D181" s="114"/>
      <c r="E181" s="114"/>
      <c r="F181" s="114"/>
      <c r="G181" s="114"/>
      <c r="H181" s="114"/>
    </row>
    <row r="182" spans="1:8" x14ac:dyDescent="0.25">
      <c r="A182" s="114"/>
      <c r="B182" s="114"/>
      <c r="C182" s="114"/>
      <c r="D182" s="114"/>
      <c r="E182" s="114"/>
      <c r="F182" s="114"/>
      <c r="G182" s="114"/>
      <c r="H182" s="114"/>
    </row>
    <row r="183" spans="1:8" x14ac:dyDescent="0.25">
      <c r="A183" s="114"/>
      <c r="B183" s="114"/>
      <c r="C183" s="114"/>
      <c r="D183" s="114"/>
      <c r="E183" s="114"/>
      <c r="F183" s="114"/>
      <c r="G183" s="114"/>
      <c r="H183" s="114"/>
    </row>
    <row r="184" spans="1:8" x14ac:dyDescent="0.25">
      <c r="A184" s="114"/>
      <c r="B184" s="114"/>
      <c r="C184" s="114"/>
      <c r="D184" s="114"/>
      <c r="E184" s="114"/>
      <c r="F184" s="114"/>
      <c r="G184" s="114"/>
      <c r="H184" s="114"/>
    </row>
    <row r="185" spans="1:8" x14ac:dyDescent="0.25">
      <c r="A185" s="38" t="s">
        <v>67</v>
      </c>
      <c r="B185" s="39"/>
      <c r="C185" s="39"/>
      <c r="D185" s="38" t="str">
        <f>E9</f>
        <v>Tricity Montview</v>
      </c>
      <c r="F185" s="39"/>
      <c r="G185" s="39"/>
      <c r="H185" s="39"/>
    </row>
    <row r="186" spans="1:8" x14ac:dyDescent="0.25">
      <c r="A186" s="39"/>
      <c r="B186" s="39"/>
      <c r="C186" s="39"/>
      <c r="D186" s="39"/>
      <c r="E186" s="39"/>
      <c r="F186" s="39"/>
      <c r="G186" s="39"/>
      <c r="H186" s="39"/>
    </row>
    <row r="187" spans="1:8" x14ac:dyDescent="0.25">
      <c r="A187" s="39"/>
      <c r="B187" s="39"/>
      <c r="C187" s="39"/>
      <c r="D187" s="39"/>
      <c r="E187" s="39"/>
      <c r="F187" s="39"/>
      <c r="G187" s="39"/>
      <c r="H187" s="39"/>
    </row>
    <row r="188" spans="1:8" ht="15" customHeight="1" x14ac:dyDescent="0.25"/>
    <row r="227" spans="1:1" x14ac:dyDescent="0.25">
      <c r="A227" s="41" t="s">
        <v>173</v>
      </c>
    </row>
    <row r="251" spans="1:1" x14ac:dyDescent="0.25">
      <c r="A251" s="41" t="s">
        <v>68</v>
      </c>
    </row>
  </sheetData>
  <mergeCells count="332">
    <mergeCell ref="L126:M126"/>
    <mergeCell ref="A127:B127"/>
    <mergeCell ref="L127:M127"/>
    <mergeCell ref="G107:H127"/>
    <mergeCell ref="A123:B123"/>
    <mergeCell ref="L123:M123"/>
    <mergeCell ref="A124:B124"/>
    <mergeCell ref="L124:M124"/>
    <mergeCell ref="A125:B125"/>
    <mergeCell ref="L125:M125"/>
    <mergeCell ref="A120:B120"/>
    <mergeCell ref="L120:M120"/>
    <mergeCell ref="A121:B121"/>
    <mergeCell ref="L121:M121"/>
    <mergeCell ref="A122:B122"/>
    <mergeCell ref="L122:M122"/>
    <mergeCell ref="A117:B117"/>
    <mergeCell ref="L117:M117"/>
    <mergeCell ref="L118:M118"/>
    <mergeCell ref="L119:M119"/>
    <mergeCell ref="A114:B114"/>
    <mergeCell ref="L114:M114"/>
    <mergeCell ref="L115:M115"/>
    <mergeCell ref="A116:B116"/>
    <mergeCell ref="L116:M116"/>
    <mergeCell ref="G148:H154"/>
    <mergeCell ref="L111:M111"/>
    <mergeCell ref="A112:B112"/>
    <mergeCell ref="L112:M112"/>
    <mergeCell ref="A113:B113"/>
    <mergeCell ref="L113:M113"/>
    <mergeCell ref="A145:B145"/>
    <mergeCell ref="A146:B146"/>
    <mergeCell ref="G140:H146"/>
    <mergeCell ref="A153:B153"/>
    <mergeCell ref="A154:B154"/>
    <mergeCell ref="C129:C130"/>
    <mergeCell ref="A111:B111"/>
    <mergeCell ref="A118:B118"/>
    <mergeCell ref="A126:B126"/>
    <mergeCell ref="A131:H131"/>
    <mergeCell ref="A143:B143"/>
    <mergeCell ref="A141:B141"/>
    <mergeCell ref="A140:B140"/>
    <mergeCell ref="L133:M133"/>
    <mergeCell ref="A135:B135"/>
    <mergeCell ref="A136:B136"/>
    <mergeCell ref="A137:B137"/>
    <mergeCell ref="A161:B161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C52:H52"/>
    <mergeCell ref="A54:H54"/>
    <mergeCell ref="A55:C55"/>
    <mergeCell ref="A56:C56"/>
    <mergeCell ref="D56:H56"/>
    <mergeCell ref="G53:H53"/>
    <mergeCell ref="D63:H63"/>
    <mergeCell ref="F90:H90"/>
    <mergeCell ref="E95:F95"/>
    <mergeCell ref="A64:C64"/>
    <mergeCell ref="A178:H178"/>
    <mergeCell ref="A175:H175"/>
    <mergeCell ref="A134:B134"/>
    <mergeCell ref="A99:B99"/>
    <mergeCell ref="D129:D130"/>
    <mergeCell ref="E129:E130"/>
    <mergeCell ref="G129:H130"/>
    <mergeCell ref="A75:B75"/>
    <mergeCell ref="F81:H81"/>
    <mergeCell ref="G96:H96"/>
    <mergeCell ref="A156:B156"/>
    <mergeCell ref="G156:H162"/>
    <mergeCell ref="A157:B157"/>
    <mergeCell ref="A158:B158"/>
    <mergeCell ref="A162:B162"/>
    <mergeCell ref="A132:H132"/>
    <mergeCell ref="C134:F134"/>
    <mergeCell ref="F80:H80"/>
    <mergeCell ref="F85:H85"/>
    <mergeCell ref="A86:E86"/>
    <mergeCell ref="A85:E85"/>
    <mergeCell ref="A155:H155"/>
    <mergeCell ref="A159:B159"/>
    <mergeCell ref="A160:B160"/>
    <mergeCell ref="A79:B79"/>
    <mergeCell ref="D60:H60"/>
    <mergeCell ref="A77:B77"/>
    <mergeCell ref="C100:D100"/>
    <mergeCell ref="E100:F100"/>
    <mergeCell ref="G100:H100"/>
    <mergeCell ref="F87:H87"/>
    <mergeCell ref="A81:E81"/>
    <mergeCell ref="E69:F69"/>
    <mergeCell ref="A62:C62"/>
    <mergeCell ref="D62:H62"/>
    <mergeCell ref="A65:C65"/>
    <mergeCell ref="D65:H65"/>
    <mergeCell ref="A63:C63"/>
    <mergeCell ref="A90:E90"/>
    <mergeCell ref="F86:H86"/>
    <mergeCell ref="A87:E87"/>
    <mergeCell ref="F88:H88"/>
    <mergeCell ref="C95:D95"/>
    <mergeCell ref="F91:H91"/>
    <mergeCell ref="D64:H64"/>
    <mergeCell ref="A70:B70"/>
    <mergeCell ref="G69:H69"/>
    <mergeCell ref="F82:H82"/>
    <mergeCell ref="A82:E82"/>
    <mergeCell ref="A89:E89"/>
    <mergeCell ref="F83:H83"/>
    <mergeCell ref="A88:E88"/>
    <mergeCell ref="A83:E83"/>
    <mergeCell ref="A80:E80"/>
    <mergeCell ref="F84:H84"/>
    <mergeCell ref="A84:E84"/>
    <mergeCell ref="F89:H89"/>
    <mergeCell ref="A128:H128"/>
    <mergeCell ref="A129:A130"/>
    <mergeCell ref="A138:B138"/>
    <mergeCell ref="A107:B107"/>
    <mergeCell ref="A108:B108"/>
    <mergeCell ref="A115:B115"/>
    <mergeCell ref="A106:H106"/>
    <mergeCell ref="E104:E105"/>
    <mergeCell ref="G104:H105"/>
    <mergeCell ref="C138:F138"/>
    <mergeCell ref="G134:H138"/>
    <mergeCell ref="A119:B119"/>
    <mergeCell ref="A144:B144"/>
    <mergeCell ref="B167:H167"/>
    <mergeCell ref="B168:H168"/>
    <mergeCell ref="A95:B95"/>
    <mergeCell ref="A174:H174"/>
    <mergeCell ref="E99:F99"/>
    <mergeCell ref="B172:H172"/>
    <mergeCell ref="B170:H170"/>
    <mergeCell ref="B166:H166"/>
    <mergeCell ref="A102:H102"/>
    <mergeCell ref="B164:H164"/>
    <mergeCell ref="B165:H165"/>
    <mergeCell ref="A148:B148"/>
    <mergeCell ref="A163:H163"/>
    <mergeCell ref="A151:B151"/>
    <mergeCell ref="A152:B152"/>
    <mergeCell ref="A147:H147"/>
    <mergeCell ref="A139:H139"/>
    <mergeCell ref="A149:B149"/>
    <mergeCell ref="A150:B150"/>
    <mergeCell ref="B171:H171"/>
    <mergeCell ref="B169:H169"/>
    <mergeCell ref="A103:H103"/>
    <mergeCell ref="C96:D96"/>
    <mergeCell ref="A181:H184"/>
    <mergeCell ref="A180:B180"/>
    <mergeCell ref="E180:F180"/>
    <mergeCell ref="C180:D180"/>
    <mergeCell ref="G180:H180"/>
    <mergeCell ref="A94:H94"/>
    <mergeCell ref="A92:E92"/>
    <mergeCell ref="F92:H92"/>
    <mergeCell ref="A93:E93"/>
    <mergeCell ref="F93:H93"/>
    <mergeCell ref="A133:H133"/>
    <mergeCell ref="A100:B100"/>
    <mergeCell ref="A142:B142"/>
    <mergeCell ref="A96:B96"/>
    <mergeCell ref="A176:H176"/>
    <mergeCell ref="A98:H98"/>
    <mergeCell ref="A179:H179"/>
    <mergeCell ref="B129:B130"/>
    <mergeCell ref="A110:B110"/>
    <mergeCell ref="A109:B109"/>
    <mergeCell ref="A101:B101"/>
    <mergeCell ref="D104:D105"/>
    <mergeCell ref="A177:H177"/>
    <mergeCell ref="A173:H173"/>
    <mergeCell ref="E8:H8"/>
    <mergeCell ref="A46:D46"/>
    <mergeCell ref="E42:H42"/>
    <mergeCell ref="A42:D42"/>
    <mergeCell ref="E14:H14"/>
    <mergeCell ref="A15:B15"/>
    <mergeCell ref="C15:H15"/>
    <mergeCell ref="C16:H16"/>
    <mergeCell ref="A17:B17"/>
    <mergeCell ref="C17:H17"/>
    <mergeCell ref="A16:B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1:H1"/>
    <mergeCell ref="A2:H2"/>
    <mergeCell ref="A3:D3"/>
    <mergeCell ref="E3:H3"/>
    <mergeCell ref="A4:D4"/>
    <mergeCell ref="A9:D9"/>
    <mergeCell ref="E9:H9"/>
    <mergeCell ref="E13:H13"/>
    <mergeCell ref="A14:D14"/>
    <mergeCell ref="A11:D11"/>
    <mergeCell ref="E11:H11"/>
    <mergeCell ref="A13:D13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8:D8"/>
    <mergeCell ref="G20:H20"/>
    <mergeCell ref="A21:B21"/>
    <mergeCell ref="C21:D21"/>
    <mergeCell ref="E21:F21"/>
    <mergeCell ref="G21:H21"/>
    <mergeCell ref="A22:D23"/>
    <mergeCell ref="E22:H23"/>
    <mergeCell ref="E26:H26"/>
    <mergeCell ref="A28:D28"/>
    <mergeCell ref="E28:H28"/>
    <mergeCell ref="A25:D25"/>
    <mergeCell ref="E25:H25"/>
    <mergeCell ref="A29:D29"/>
    <mergeCell ref="E29:H29"/>
    <mergeCell ref="A26:D26"/>
    <mergeCell ref="A44:D44"/>
    <mergeCell ref="F36:H3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40:H40"/>
    <mergeCell ref="A38:B38"/>
    <mergeCell ref="C38:H38"/>
    <mergeCell ref="A45:D45"/>
    <mergeCell ref="A39:B39"/>
    <mergeCell ref="C39:H39"/>
    <mergeCell ref="A48:B48"/>
    <mergeCell ref="C48:H48"/>
    <mergeCell ref="A47:H47"/>
    <mergeCell ref="D57:H57"/>
    <mergeCell ref="A57:C57"/>
    <mergeCell ref="G50:H50"/>
    <mergeCell ref="A51:B52"/>
    <mergeCell ref="A49:B49"/>
    <mergeCell ref="C49:E49"/>
    <mergeCell ref="E41:H41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A59:C59"/>
    <mergeCell ref="D59:H59"/>
    <mergeCell ref="A43:D43"/>
    <mergeCell ref="E43:H43"/>
    <mergeCell ref="E44:H44"/>
    <mergeCell ref="E45:H45"/>
    <mergeCell ref="E46:H46"/>
    <mergeCell ref="A60:C60"/>
    <mergeCell ref="E70:F79"/>
    <mergeCell ref="G70:H79"/>
    <mergeCell ref="A78:B78"/>
    <mergeCell ref="I10:L10"/>
    <mergeCell ref="L110:M110"/>
    <mergeCell ref="L109:M109"/>
    <mergeCell ref="L108:M108"/>
    <mergeCell ref="A104:A105"/>
    <mergeCell ref="A91:E91"/>
    <mergeCell ref="G101:H101"/>
    <mergeCell ref="E97:F97"/>
    <mergeCell ref="G97:H97"/>
    <mergeCell ref="A97:B97"/>
    <mergeCell ref="C97:D97"/>
    <mergeCell ref="E101:F101"/>
    <mergeCell ref="C104:C105"/>
    <mergeCell ref="G95:H95"/>
    <mergeCell ref="L107:M107"/>
    <mergeCell ref="B104:B105"/>
    <mergeCell ref="C99:D99"/>
    <mergeCell ref="G99:H99"/>
    <mergeCell ref="C101:D101"/>
    <mergeCell ref="E96:F96"/>
    <mergeCell ref="A37:H37"/>
    <mergeCell ref="A36:B36"/>
    <mergeCell ref="C36:E36"/>
    <mergeCell ref="A41:D41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62" max="7" man="1"/>
    <brk id="184" max="16383" man="1"/>
    <brk id="226" max="16383" man="1"/>
    <brk id="25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4" t="s">
        <v>110</v>
      </c>
      <c r="C3" s="174"/>
      <c r="D3" s="174"/>
      <c r="E3" s="174"/>
      <c r="F3" s="174"/>
      <c r="G3" s="174"/>
      <c r="H3" s="174"/>
    </row>
    <row r="4" spans="1:9" x14ac:dyDescent="0.2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2025-09-17T10:42:13Z</cp:lastPrinted>
  <dcterms:created xsi:type="dcterms:W3CDTF">2019-07-16T09:29:46Z</dcterms:created>
  <dcterms:modified xsi:type="dcterms:W3CDTF">2025-09-17T10:47:18Z</dcterms:modified>
</cp:coreProperties>
</file>