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APF\25-26\Sep 2025\AXIS\Update\20528 - Green Terraces\"/>
    </mc:Choice>
  </mc:AlternateContent>
  <xr:revisionPtr revIDLastSave="0" documentId="13_ncr:1_{84E8ABFD-B17F-46AA-B42E-62129F53C979}"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 i="1" l="1"/>
  <c r="E143" i="1"/>
  <c r="G143" i="1"/>
  <c r="G142" i="1"/>
  <c r="E142" i="1"/>
  <c r="C142" i="1"/>
  <c r="C135" i="1"/>
  <c r="E135" i="1"/>
  <c r="G135" i="1"/>
  <c r="D186" i="1"/>
  <c r="F186" i="1" s="1"/>
  <c r="H186" i="1" s="1"/>
  <c r="D185" i="1"/>
  <c r="D184" i="1"/>
  <c r="D183" i="1"/>
  <c r="D182" i="1"/>
  <c r="F182" i="1" s="1"/>
  <c r="H182" i="1" s="1"/>
  <c r="D181" i="1"/>
  <c r="F181" i="1" s="1"/>
  <c r="H181" i="1" s="1"/>
  <c r="D180" i="1"/>
  <c r="D179" i="1"/>
  <c r="D178" i="1"/>
  <c r="F178" i="1" s="1"/>
  <c r="H178" i="1" s="1"/>
  <c r="D177" i="1"/>
  <c r="F177" i="1" s="1"/>
  <c r="H177" i="1" s="1"/>
  <c r="D176" i="1"/>
  <c r="F176" i="1" s="1"/>
  <c r="H176" i="1" s="1"/>
  <c r="D175" i="1"/>
  <c r="F175" i="1" s="1"/>
  <c r="H175" i="1" s="1"/>
  <c r="D174" i="1"/>
  <c r="D173" i="1"/>
  <c r="D172" i="1"/>
  <c r="D171" i="1"/>
  <c r="D170" i="1"/>
  <c r="F170" i="1" s="1"/>
  <c r="H170" i="1" s="1"/>
  <c r="D169" i="1"/>
  <c r="F169" i="1" s="1"/>
  <c r="H169" i="1" s="1"/>
  <c r="D168" i="1"/>
  <c r="F168" i="1" s="1"/>
  <c r="H168" i="1" s="1"/>
  <c r="D167" i="1"/>
  <c r="F167" i="1" s="1"/>
  <c r="H167" i="1" s="1"/>
  <c r="D165" i="1"/>
  <c r="F165" i="1" s="1"/>
  <c r="H165" i="1" s="1"/>
  <c r="D164" i="1"/>
  <c r="D163" i="1"/>
  <c r="F163" i="1" s="1"/>
  <c r="H163" i="1" s="1"/>
  <c r="D162" i="1"/>
  <c r="D161" i="1"/>
  <c r="D160" i="1"/>
  <c r="D159" i="1"/>
  <c r="F159" i="1" s="1"/>
  <c r="H159" i="1" s="1"/>
  <c r="D158" i="1"/>
  <c r="D157" i="1"/>
  <c r="F157" i="1" s="1"/>
  <c r="H157" i="1" s="1"/>
  <c r="D156" i="1"/>
  <c r="F156" i="1" s="1"/>
  <c r="H156" i="1" s="1"/>
  <c r="D155" i="1"/>
  <c r="F155" i="1" s="1"/>
  <c r="H155" i="1" s="1"/>
  <c r="D154" i="1"/>
  <c r="D153" i="1"/>
  <c r="D152" i="1"/>
  <c r="D151" i="1"/>
  <c r="C134" i="1" s="1"/>
  <c r="J150" i="1"/>
  <c r="E289" i="1"/>
  <c r="D289" i="1"/>
  <c r="E288" i="1"/>
  <c r="D288" i="1"/>
  <c r="E287" i="1"/>
  <c r="D287" i="1"/>
  <c r="F287" i="1" s="1"/>
  <c r="H287" i="1" s="1"/>
  <c r="E286" i="1"/>
  <c r="D286" i="1"/>
  <c r="F286" i="1" s="1"/>
  <c r="H286" i="1" s="1"/>
  <c r="E285" i="1"/>
  <c r="D285" i="1"/>
  <c r="E284" i="1"/>
  <c r="D284" i="1"/>
  <c r="F284" i="1" s="1"/>
  <c r="H284" i="1" s="1"/>
  <c r="E282" i="1"/>
  <c r="D282" i="1"/>
  <c r="E280" i="1"/>
  <c r="E279" i="1"/>
  <c r="E278" i="1"/>
  <c r="E277" i="1"/>
  <c r="E276" i="1"/>
  <c r="F276" i="1" s="1"/>
  <c r="H276" i="1" s="1"/>
  <c r="E275" i="1"/>
  <c r="D280" i="1"/>
  <c r="D279" i="1"/>
  <c r="D278" i="1"/>
  <c r="D277" i="1"/>
  <c r="D276" i="1"/>
  <c r="D275" i="1"/>
  <c r="F184" i="1"/>
  <c r="H184" i="1" s="1"/>
  <c r="F183" i="1"/>
  <c r="H183" i="1" s="1"/>
  <c r="F180" i="1"/>
  <c r="H180" i="1" s="1"/>
  <c r="F179" i="1"/>
  <c r="H179" i="1" s="1"/>
  <c r="F172" i="1"/>
  <c r="H172" i="1" s="1"/>
  <c r="F174" i="1"/>
  <c r="H174" i="1" s="1"/>
  <c r="F185" i="1"/>
  <c r="H185" i="1" s="1"/>
  <c r="F173" i="1"/>
  <c r="H173" i="1" s="1"/>
  <c r="F171" i="1"/>
  <c r="H171" i="1" s="1"/>
  <c r="A168" i="1"/>
  <c r="A169" i="1" s="1"/>
  <c r="A170" i="1" s="1"/>
  <c r="A171" i="1" s="1"/>
  <c r="A172" i="1" s="1"/>
  <c r="A173" i="1" s="1"/>
  <c r="A174" i="1" s="1"/>
  <c r="A175" i="1" s="1"/>
  <c r="A176" i="1" s="1"/>
  <c r="A177" i="1" s="1"/>
  <c r="A178" i="1" s="1"/>
  <c r="A179" i="1" s="1"/>
  <c r="A180" i="1" s="1"/>
  <c r="A181" i="1" s="1"/>
  <c r="A182" i="1" s="1"/>
  <c r="A183" i="1" s="1"/>
  <c r="A184" i="1" s="1"/>
  <c r="A185" i="1" s="1"/>
  <c r="A186" i="1" s="1"/>
  <c r="F164" i="1"/>
  <c r="H164" i="1" s="1"/>
  <c r="F162" i="1"/>
  <c r="H162" i="1" s="1"/>
  <c r="F161" i="1"/>
  <c r="H161" i="1" s="1"/>
  <c r="F160" i="1"/>
  <c r="H160" i="1" s="1"/>
  <c r="F158" i="1"/>
  <c r="H158" i="1" s="1"/>
  <c r="A283" i="1"/>
  <c r="A284" i="1" s="1"/>
  <c r="A285" i="1" s="1"/>
  <c r="A286" i="1" s="1"/>
  <c r="A287" i="1" s="1"/>
  <c r="A288" i="1" s="1"/>
  <c r="A289" i="1" s="1"/>
  <c r="E274" i="1"/>
  <c r="D274" i="1"/>
  <c r="A274" i="1"/>
  <c r="A275" i="1" s="1"/>
  <c r="A276" i="1" s="1"/>
  <c r="A277" i="1" s="1"/>
  <c r="A278" i="1" s="1"/>
  <c r="A279" i="1" s="1"/>
  <c r="A280" i="1" s="1"/>
  <c r="E273" i="1"/>
  <c r="D273" i="1"/>
  <c r="I17" i="1"/>
  <c r="J58" i="1"/>
  <c r="F288" i="1" l="1"/>
  <c r="H288" i="1" s="1"/>
  <c r="F275" i="1"/>
  <c r="H275" i="1" s="1"/>
  <c r="F282" i="1"/>
  <c r="H282" i="1" s="1"/>
  <c r="F289" i="1"/>
  <c r="H289" i="1" s="1"/>
  <c r="F285" i="1"/>
  <c r="H285" i="1" s="1"/>
  <c r="F277" i="1"/>
  <c r="H277" i="1" s="1"/>
  <c r="F278" i="1"/>
  <c r="H278" i="1" s="1"/>
  <c r="F279" i="1"/>
  <c r="H279" i="1" s="1"/>
  <c r="F274" i="1"/>
  <c r="H274" i="1" s="1"/>
  <c r="F280" i="1"/>
  <c r="H280" i="1" s="1"/>
  <c r="F273" i="1"/>
  <c r="H273" i="1" s="1"/>
  <c r="I273" i="1" s="1"/>
  <c r="M90" i="1"/>
  <c r="L90" i="1"/>
  <c r="I193" i="1" l="1"/>
  <c r="J193" i="1"/>
  <c r="D64" i="1"/>
  <c r="E45" i="1"/>
  <c r="J138" i="1" l="1"/>
  <c r="E269" i="1"/>
  <c r="D269" i="1"/>
  <c r="E268" i="1"/>
  <c r="D268" i="1"/>
  <c r="E267" i="1"/>
  <c r="D267" i="1"/>
  <c r="E265" i="1"/>
  <c r="D265" i="1"/>
  <c r="E264" i="1"/>
  <c r="D264" i="1"/>
  <c r="E263" i="1"/>
  <c r="D263" i="1"/>
  <c r="E262" i="1"/>
  <c r="D262" i="1"/>
  <c r="E260" i="1"/>
  <c r="D260" i="1"/>
  <c r="E259" i="1"/>
  <c r="D259" i="1"/>
  <c r="E258" i="1"/>
  <c r="D258" i="1"/>
  <c r="E257" i="1"/>
  <c r="D257" i="1"/>
  <c r="E256" i="1"/>
  <c r="D256" i="1"/>
  <c r="E255" i="1"/>
  <c r="D255" i="1"/>
  <c r="E254" i="1"/>
  <c r="D254" i="1"/>
  <c r="E253" i="1"/>
  <c r="D253" i="1"/>
  <c r="A254" i="1"/>
  <c r="A255" i="1" s="1"/>
  <c r="A256" i="1" s="1"/>
  <c r="A257" i="1" s="1"/>
  <c r="A258" i="1" s="1"/>
  <c r="A259" i="1" s="1"/>
  <c r="A260" i="1" s="1"/>
  <c r="E249" i="1"/>
  <c r="D249" i="1"/>
  <c r="E248" i="1"/>
  <c r="D248" i="1"/>
  <c r="E247" i="1"/>
  <c r="D247" i="1"/>
  <c r="E246" i="1"/>
  <c r="D246" i="1"/>
  <c r="E245" i="1"/>
  <c r="D245" i="1"/>
  <c r="E244" i="1"/>
  <c r="D244" i="1"/>
  <c r="E242" i="1"/>
  <c r="D242" i="1"/>
  <c r="E240" i="1"/>
  <c r="D240" i="1"/>
  <c r="E239" i="1"/>
  <c r="D239" i="1"/>
  <c r="E238" i="1"/>
  <c r="D238" i="1"/>
  <c r="E237" i="1"/>
  <c r="D237" i="1"/>
  <c r="E236" i="1"/>
  <c r="D236" i="1"/>
  <c r="E235" i="1"/>
  <c r="D235" i="1"/>
  <c r="E234" i="1"/>
  <c r="D234" i="1"/>
  <c r="E233" i="1"/>
  <c r="D233" i="1"/>
  <c r="A234" i="1"/>
  <c r="A235" i="1" s="1"/>
  <c r="A236" i="1" s="1"/>
  <c r="A237" i="1" s="1"/>
  <c r="A238" i="1" s="1"/>
  <c r="A239" i="1" s="1"/>
  <c r="A240" i="1" s="1"/>
  <c r="A243" i="1"/>
  <c r="A244" i="1" s="1"/>
  <c r="A245" i="1" s="1"/>
  <c r="A246" i="1" s="1"/>
  <c r="A247" i="1" s="1"/>
  <c r="A248" i="1" s="1"/>
  <c r="A249" i="1" s="1"/>
  <c r="E229" i="1"/>
  <c r="D229" i="1"/>
  <c r="E228" i="1"/>
  <c r="D228" i="1"/>
  <c r="E227" i="1"/>
  <c r="D227" i="1"/>
  <c r="E226" i="1"/>
  <c r="D226" i="1"/>
  <c r="E225" i="1"/>
  <c r="D225" i="1"/>
  <c r="E224" i="1"/>
  <c r="D224" i="1"/>
  <c r="E222" i="1"/>
  <c r="D222" i="1"/>
  <c r="E220" i="1"/>
  <c r="D220" i="1"/>
  <c r="E219" i="1"/>
  <c r="D219" i="1"/>
  <c r="E218" i="1"/>
  <c r="D218" i="1"/>
  <c r="E217" i="1"/>
  <c r="D217" i="1"/>
  <c r="E216" i="1"/>
  <c r="D216" i="1"/>
  <c r="E215" i="1"/>
  <c r="D215" i="1"/>
  <c r="E214" i="1"/>
  <c r="D214" i="1"/>
  <c r="E213" i="1"/>
  <c r="D213" i="1"/>
  <c r="A214" i="1"/>
  <c r="A215" i="1" s="1"/>
  <c r="A216" i="1" s="1"/>
  <c r="A217" i="1" s="1"/>
  <c r="A218" i="1" s="1"/>
  <c r="A219" i="1" s="1"/>
  <c r="A220" i="1" s="1"/>
  <c r="A223" i="1"/>
  <c r="A224" i="1" s="1"/>
  <c r="A225" i="1" s="1"/>
  <c r="A226" i="1" s="1"/>
  <c r="A227" i="1" s="1"/>
  <c r="A228" i="1" s="1"/>
  <c r="A229" i="1" s="1"/>
  <c r="E209" i="1"/>
  <c r="D209" i="1"/>
  <c r="E208" i="1"/>
  <c r="D208" i="1"/>
  <c r="E207" i="1"/>
  <c r="D207" i="1"/>
  <c r="E205" i="1"/>
  <c r="D205" i="1"/>
  <c r="E204" i="1"/>
  <c r="D204" i="1"/>
  <c r="E203" i="1"/>
  <c r="D203" i="1"/>
  <c r="E202" i="1"/>
  <c r="D202" i="1"/>
  <c r="E200" i="1"/>
  <c r="D200" i="1"/>
  <c r="E199" i="1"/>
  <c r="D199" i="1"/>
  <c r="E198" i="1"/>
  <c r="D198" i="1"/>
  <c r="E197" i="1"/>
  <c r="D197" i="1"/>
  <c r="E196" i="1"/>
  <c r="D196" i="1"/>
  <c r="E195" i="1"/>
  <c r="D195" i="1"/>
  <c r="E194" i="1"/>
  <c r="D194" i="1"/>
  <c r="E193" i="1"/>
  <c r="D193" i="1"/>
  <c r="A194" i="1"/>
  <c r="A195" i="1" s="1"/>
  <c r="A196" i="1" s="1"/>
  <c r="A197" i="1" s="1"/>
  <c r="A198" i="1" s="1"/>
  <c r="A199" i="1" s="1"/>
  <c r="A200" i="1" s="1"/>
  <c r="A203" i="1"/>
  <c r="A204" i="1" s="1"/>
  <c r="A205" i="1" s="1"/>
  <c r="A206" i="1" s="1"/>
  <c r="A207" i="1" s="1"/>
  <c r="A208" i="1" s="1"/>
  <c r="A209" i="1" s="1"/>
  <c r="A263" i="1"/>
  <c r="F255" i="1" l="1"/>
  <c r="H255" i="1" s="1"/>
  <c r="F262" i="1"/>
  <c r="H262" i="1" s="1"/>
  <c r="F269" i="1"/>
  <c r="H269" i="1" s="1"/>
  <c r="F253" i="1"/>
  <c r="H253" i="1" s="1"/>
  <c r="I253" i="1" s="1"/>
  <c r="F257" i="1"/>
  <c r="H257" i="1" s="1"/>
  <c r="F259" i="1"/>
  <c r="H259" i="1" s="1"/>
  <c r="F267" i="1"/>
  <c r="H267" i="1" s="1"/>
  <c r="F254" i="1"/>
  <c r="F258" i="1"/>
  <c r="H258" i="1" s="1"/>
  <c r="F263" i="1"/>
  <c r="H263" i="1" s="1"/>
  <c r="F268" i="1"/>
  <c r="H268" i="1" s="1"/>
  <c r="C138" i="1"/>
  <c r="C139" i="1"/>
  <c r="C140" i="1"/>
  <c r="F256" i="1"/>
  <c r="H256" i="1" s="1"/>
  <c r="F260" i="1"/>
  <c r="H260" i="1" s="1"/>
  <c r="C141" i="1"/>
  <c r="F226" i="1"/>
  <c r="H226" i="1" s="1"/>
  <c r="F214" i="1"/>
  <c r="H214" i="1" s="1"/>
  <c r="F216" i="1"/>
  <c r="H216" i="1" s="1"/>
  <c r="F218" i="1"/>
  <c r="H218" i="1" s="1"/>
  <c r="F220" i="1"/>
  <c r="H220" i="1" s="1"/>
  <c r="F234" i="1"/>
  <c r="H234" i="1" s="1"/>
  <c r="F236" i="1"/>
  <c r="H236" i="1" s="1"/>
  <c r="F238" i="1"/>
  <c r="H238" i="1" s="1"/>
  <c r="F240" i="1"/>
  <c r="H240" i="1" s="1"/>
  <c r="F244" i="1"/>
  <c r="H244" i="1" s="1"/>
  <c r="F246" i="1"/>
  <c r="H246" i="1" s="1"/>
  <c r="F248" i="1"/>
  <c r="H248" i="1" s="1"/>
  <c r="F235" i="1"/>
  <c r="H235" i="1" s="1"/>
  <c r="F242" i="1"/>
  <c r="H242" i="1" s="1"/>
  <c r="F247" i="1"/>
  <c r="H247" i="1" s="1"/>
  <c r="F225" i="1"/>
  <c r="H225" i="1" s="1"/>
  <c r="F233" i="1"/>
  <c r="F237" i="1"/>
  <c r="H237" i="1" s="1"/>
  <c r="F239" i="1"/>
  <c r="H239" i="1" s="1"/>
  <c r="F245" i="1"/>
  <c r="H245" i="1" s="1"/>
  <c r="F249" i="1"/>
  <c r="H249" i="1" s="1"/>
  <c r="F215" i="1"/>
  <c r="H215" i="1" s="1"/>
  <c r="I215" i="1" s="1"/>
  <c r="F222" i="1"/>
  <c r="H222" i="1" s="1"/>
  <c r="F227" i="1"/>
  <c r="H227" i="1" s="1"/>
  <c r="F229" i="1"/>
  <c r="H229" i="1" s="1"/>
  <c r="F224" i="1"/>
  <c r="H224" i="1" s="1"/>
  <c r="I224" i="1" s="1"/>
  <c r="F228" i="1"/>
  <c r="H228" i="1" s="1"/>
  <c r="F209" i="1"/>
  <c r="H209" i="1" s="1"/>
  <c r="F213" i="1"/>
  <c r="F217" i="1"/>
  <c r="H217" i="1" s="1"/>
  <c r="F219" i="1"/>
  <c r="H219" i="1" s="1"/>
  <c r="I219" i="1" s="1"/>
  <c r="F204" i="1"/>
  <c r="H204" i="1" s="1"/>
  <c r="F207" i="1"/>
  <c r="H207" i="1" s="1"/>
  <c r="F194" i="1"/>
  <c r="H194" i="1" s="1"/>
  <c r="F196" i="1"/>
  <c r="H196" i="1" s="1"/>
  <c r="F198" i="1"/>
  <c r="H198" i="1" s="1"/>
  <c r="F200" i="1"/>
  <c r="H200" i="1" s="1"/>
  <c r="F203" i="1"/>
  <c r="H203" i="1" s="1"/>
  <c r="F205" i="1"/>
  <c r="H205" i="1" s="1"/>
  <c r="F208" i="1"/>
  <c r="H208" i="1" s="1"/>
  <c r="F193" i="1"/>
  <c r="F195" i="1"/>
  <c r="H195" i="1" s="1"/>
  <c r="F197" i="1"/>
  <c r="H197" i="1" s="1"/>
  <c r="F199" i="1"/>
  <c r="H199" i="1" s="1"/>
  <c r="F202" i="1"/>
  <c r="H202" i="1" s="1"/>
  <c r="H254" i="1" l="1"/>
  <c r="H193" i="1"/>
  <c r="G138" i="1" s="1"/>
  <c r="E138" i="1"/>
  <c r="H213" i="1"/>
  <c r="E139" i="1"/>
  <c r="H233" i="1"/>
  <c r="G140" i="1" s="1"/>
  <c r="E140" i="1"/>
  <c r="F151" i="1"/>
  <c r="H151" i="1" l="1"/>
  <c r="E134" i="1"/>
  <c r="G139" i="1"/>
  <c r="I213" i="1"/>
  <c r="I225"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17" i="1"/>
  <c r="B293" i="1"/>
  <c r="B292" i="1"/>
  <c r="F265" i="1"/>
  <c r="H265" i="1" s="1"/>
  <c r="F264" i="1"/>
  <c r="A264" i="1"/>
  <c r="A265" i="1" s="1"/>
  <c r="A266" i="1" s="1"/>
  <c r="A267" i="1" s="1"/>
  <c r="A268" i="1" s="1"/>
  <c r="A269" i="1" s="1"/>
  <c r="F154" i="1"/>
  <c r="H154" i="1" s="1"/>
  <c r="F153" i="1"/>
  <c r="H153" i="1" s="1"/>
  <c r="F152" i="1"/>
  <c r="H152" i="1" s="1"/>
  <c r="A152" i="1"/>
  <c r="A153" i="1" s="1"/>
  <c r="A154" i="1" s="1"/>
  <c r="A155" i="1" s="1"/>
  <c r="A156" i="1" s="1"/>
  <c r="A157" i="1" s="1"/>
  <c r="A158" i="1" s="1"/>
  <c r="A159" i="1" s="1"/>
  <c r="A160" i="1" s="1"/>
  <c r="A161" i="1" s="1"/>
  <c r="A162" i="1" s="1"/>
  <c r="A163" i="1" s="1"/>
  <c r="A164" i="1" s="1"/>
  <c r="A165" i="1" s="1"/>
  <c r="C144" i="1"/>
  <c r="F131" i="1"/>
  <c r="C105" i="1"/>
  <c r="C91" i="1"/>
  <c r="C77" i="1"/>
  <c r="B78" i="1" s="1"/>
  <c r="D71" i="1"/>
  <c r="G53" i="1"/>
  <c r="G54" i="1" s="1"/>
  <c r="K56" i="1" s="1"/>
  <c r="C53" i="1"/>
  <c r="C54" i="1" s="1"/>
  <c r="E46" i="1"/>
  <c r="E47" i="1" s="1"/>
  <c r="S35" i="1"/>
  <c r="E33" i="1"/>
  <c r="E30" i="1"/>
  <c r="E28" i="1"/>
  <c r="C18" i="1"/>
  <c r="I16" i="1"/>
  <c r="Z13" i="1"/>
  <c r="E8" i="1"/>
  <c r="E3" i="1"/>
  <c r="H106" i="1"/>
  <c r="H92" i="1"/>
  <c r="H78" i="1"/>
  <c r="G134" i="1" l="1"/>
  <c r="E42" i="7"/>
  <c r="D42" i="7" s="1"/>
  <c r="H264" i="1"/>
  <c r="E141" i="1"/>
  <c r="E144" i="1" s="1"/>
  <c r="J85" i="1"/>
  <c r="J86" i="1"/>
  <c r="L42" i="7"/>
  <c r="K42" i="7" s="1"/>
  <c r="B106" i="1"/>
  <c r="J114" i="1" s="1"/>
  <c r="I42" i="7"/>
  <c r="H42" i="7" s="1"/>
  <c r="J91" i="1"/>
  <c r="J93" i="1" s="1"/>
  <c r="D100" i="1"/>
  <c r="D99" i="1"/>
  <c r="D104" i="1"/>
  <c r="D98" i="1"/>
  <c r="J94" i="1"/>
  <c r="D103" i="1"/>
  <c r="J96" i="1"/>
  <c r="D97" i="1"/>
  <c r="D102" i="1"/>
  <c r="J95" i="1"/>
  <c r="D101" i="1"/>
  <c r="D86" i="1"/>
  <c r="J80" i="1"/>
  <c r="D85" i="1"/>
  <c r="D90" i="1"/>
  <c r="D84" i="1"/>
  <c r="D89" i="1"/>
  <c r="D83" i="1"/>
  <c r="J82" i="1"/>
  <c r="D88" i="1"/>
  <c r="D87" i="1"/>
  <c r="J81" i="1"/>
  <c r="J77" i="1"/>
  <c r="J79" i="1" s="1"/>
  <c r="D115" i="1"/>
  <c r="J109" i="1"/>
  <c r="J105" i="1"/>
  <c r="J107" i="1" s="1"/>
  <c r="J108" i="1"/>
  <c r="D113" i="1"/>
  <c r="D118" i="1"/>
  <c r="D112" i="1"/>
  <c r="D117" i="1"/>
  <c r="D111" i="1"/>
  <c r="D114" i="1"/>
  <c r="J110" i="1"/>
  <c r="C109" i="1" s="1"/>
  <c r="D109" i="1" s="1"/>
  <c r="D116" i="1"/>
  <c r="L56" i="1"/>
  <c r="B92" i="1"/>
  <c r="J87" i="1"/>
  <c r="J88" i="1"/>
  <c r="I54" i="1"/>
  <c r="J83" i="1"/>
  <c r="J84" i="1" s="1"/>
  <c r="J89" i="1" s="1"/>
  <c r="J90" i="1" s="1"/>
  <c r="G141" i="1" l="1"/>
  <c r="G144" i="1" s="1"/>
  <c r="J113" i="1"/>
  <c r="J111" i="1"/>
  <c r="J112" i="1" s="1"/>
  <c r="J117" i="1" s="1"/>
  <c r="J118" i="1" s="1"/>
  <c r="C110" i="1" s="1"/>
  <c r="E109" i="1" s="1"/>
  <c r="J115" i="1"/>
  <c r="J116" i="1"/>
  <c r="D44" i="7"/>
  <c r="E44" i="7"/>
  <c r="E81" i="1"/>
  <c r="D82" i="1"/>
  <c r="G81" i="1"/>
  <c r="D75" i="1" s="1"/>
  <c r="D81" i="1"/>
  <c r="D95" i="1"/>
  <c r="J100" i="1"/>
  <c r="J97" i="1"/>
  <c r="J98" i="1" s="1"/>
  <c r="J103" i="1" s="1"/>
  <c r="J104" i="1" s="1"/>
  <c r="J102" i="1"/>
  <c r="J99" i="1"/>
  <c r="J101" i="1"/>
  <c r="G109" i="1" l="1"/>
  <c r="D110" i="1"/>
  <c r="I106" i="1" s="1"/>
  <c r="I107" i="1" s="1"/>
  <c r="J106" i="1"/>
  <c r="I78" i="1"/>
  <c r="I79" i="1" s="1"/>
  <c r="J78" i="1"/>
  <c r="E95" i="1"/>
  <c r="D96" i="1"/>
  <c r="I92" i="1" s="1"/>
  <c r="J92" i="1"/>
  <c r="G95" i="1"/>
  <c r="D76" i="1"/>
  <c r="F76" i="1"/>
  <c r="I105" i="1" l="1"/>
  <c r="C107" i="1" s="1"/>
  <c r="I77" i="1"/>
  <c r="C79" i="1" s="1"/>
  <c r="I93" i="1"/>
  <c r="I91" i="1" s="1"/>
  <c r="C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C61"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Q128"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9"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<sst xmlns="http://schemas.openxmlformats.org/spreadsheetml/2006/main" count="839" uniqueCount="426">
  <si>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</si>
  <si>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</si>
  <si>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</si>
  <si>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</si>
  <si>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</si>
  <si>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</si>
  <si>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</si>
  <si>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</si>
  <si>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</si>
  <si>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</si>
  <si>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</si>
  <si>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</si>
  <si>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</si>
  <si>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</si>
  <si>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</si>
  <si>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</si>
  <si>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</si>
  <si>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</si>
  <si>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</si>
  <si>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</si>
  <si>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</si>
  <si>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</si>
  <si>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</si>
  <si>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</si>
  <si>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</si>
  <si>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</si>
  <si>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</si>
  <si>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</si>
  <si>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</si>
  <si>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</si>
  <si>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</si>
  <si>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</si>
  <si>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</si>
  <si>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</si>
  <si>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</si>
  <si>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</si>
  <si>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</si>
  <si>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</si>
  <si>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</si>
  <si>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</si>
  <si>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</si>
  <si>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</si>
  <si>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</si>
  <si>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</si>
  <si>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</si>
  <si>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</si>
  <si>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</si>
  <si>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</si>
  <si>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</si>
  <si>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</si>
  <si>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</si>
  <si>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</si>
  <si>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</si>
  <si>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</si>
  <si>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</si>
  <si>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</si>
  <si>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</si>
  <si>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</si>
  <si>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</si>
  <si>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</si>
  <si>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</si>
  <si>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</si>
  <si>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</si>
  <si>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</si>
  <si>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</si>
  <si>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</si>
  <si>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</si>
  <si>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</si>
  <si>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</si>
  <si>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</si>
  <si>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</si>
  <si>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</si>
  <si>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</si>
  <si>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</si>
  <si>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</si>
  <si>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</si>
  <si>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</si>
  <si>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</si>
  <si>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</si>
  <si>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</si>
  <si>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</si>
  <si>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</si>
  <si>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</si>
  <si>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</si>
  <si>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</si>
  <si>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</si>
  <si>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</si>
  <si>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</si>
  <si>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Gas Connection Charges</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</si>
  <si>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</si>
  <si>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</si>
  <si>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</si>
  <si>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</si>
  <si>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</si>
  <si>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</si>
  <si>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</si>
  <si>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</si>
  <si>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</si>
  <si>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</si>
  <si>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</si>
  <si>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</si>
  <si>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</si>
  <si>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</si>
  <si>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</si>
  <si>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</si>
  <si>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</si>
  <si>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</si>
  <si>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</si>
  <si>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</si>
  <si>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</si>
  <si>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</si>
  <si>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</si>
  <si>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</si>
  <si>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</si>
  <si>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</si>
  <si>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</si>
  <si>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</si>
  <si>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</si>
  <si>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</si>
  <si>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</si>
  <si>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</si>
  <si>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</si>
  <si>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</si>
  <si>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</si>
  <si>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</si>
  <si>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</si>
  <si>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</si>
  <si>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</si>
  <si>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</si>
  <si>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</si>
  <si>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</si>
  <si>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</si>
  <si>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</si>
  <si>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</si>
  <si>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</si>
  <si>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</si>
  <si>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</si>
  <si>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</si>
  <si>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</si>
  <si>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</si>
  <si>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</si>
  <si>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</si>
  <si>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</si>
  <si>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</si>
  <si>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</si>
  <si>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</si>
  <si>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</si>
  <si>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</si>
  <si>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</si>
  <si>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</si>
  <si>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</si>
  <si>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</si>
  <si>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</si>
  <si>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</si>
  <si>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</si>
  <si>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</si>
  <si>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</si>
  <si>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</si>
  <si>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</si>
  <si>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</si>
  <si>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</si>
  <si>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</si>
  <si>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</si>
  <si>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</si>
  <si>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</si>
  <si>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</si>
  <si>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</si>
  <si>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</si>
  <si>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</si>
  <si>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</si>
  <si>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</si>
  <si>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</si>
  <si>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</si>
  <si>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</si>
  <si>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</si>
  <si>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</si>
  <si>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</si>
  <si>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</si>
  <si>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</si>
  <si>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</si>
  <si>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</si>
  <si>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</si>
  <si>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</si>
  <si>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</si>
  <si>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</si>
  <si>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</si>
  <si>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</si>
  <si>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</si>
  <si>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</si>
  <si>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</si>
  <si>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</si>
  <si>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</si>
  <si>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</si>
  <si>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</si>
  <si>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</si>
  <si>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</si>
  <si>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</si>
  <si>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</si>
  <si>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</si>
  <si>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</si>
  <si>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</si>
  <si>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</si>
  <si>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</si>
  <si>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</si>
  <si>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</si>
  <si>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</si>
  <si>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</si>
  <si>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</si>
  <si>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</si>
  <si>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</si>
  <si>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</si>
  <si>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</si>
  <si>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</si>
  <si>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</si>
  <si>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</si>
  <si>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</si>
  <si>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</si>
  <si>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</si>
  <si>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</si>
  <si>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</si>
  <si>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</si>
  <si>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</si>
  <si>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</si>
  <si>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</si>
  <si>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</si>
  <si>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</si>
  <si>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</si>
  <si>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</si>
  <si>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</si>
  <si>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</si>
  <si>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</si>
  <si>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</si>
  <si>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</si>
  <si>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</si>
  <si>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</si>
  <si>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</si>
  <si>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</si>
  <si>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</si>
  <si>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</si>
  <si>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</si>
  <si>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</si>
  <si>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</si>
  <si>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</si>
  <si>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</si>
  <si>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</si>
  <si>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</si>
  <si>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</si>
  <si>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</si>
  <si>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</si>
  <si>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</si>
  <si>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</si>
  <si>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</si>
  <si>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</si>
  <si>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</si>
  <si>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</si>
  <si>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</si>
  <si>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</si>
  <si>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</si>
  <si>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</si>
  <si>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</si>
  <si>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</si>
  <si>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</si>
  <si>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</si>
  <si>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</si>
  <si>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</si>
  <si>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</si>
  <si>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</si>
  <si>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</si>
  <si>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</si>
  <si>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</si>
  <si>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</si>
  <si>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</si>
  <si>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</si>
  <si>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</si>
  <si>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</si>
  <si>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</si>
  <si>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</si>
  <si>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</si>
  <si>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</si>
  <si>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</si>
  <si>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</si>
  <si>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</si>
  <si>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</si>
  <si>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</si>
  <si>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</si>
  <si>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</si>
  <si>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</si>
  <si>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</si>
  <si>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</si>
  <si>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</si>
  <si>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</si>
  <si>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</si>
  <si>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</si>
  <si>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</si>
  <si>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</si>
  <si>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</si>
  <si>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</si>
  <si>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</si>
  <si>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</si>
  <si>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</si>
  <si>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</si>
  <si>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</si>
  <si>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</si>
  <si>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</si>
  <si>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</si>
  <si>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</si>
  <si>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</si>
  <si>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</si>
  <si>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</si>
  <si>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</si>
  <si>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</si>
  <si>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</si>
  <si>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</si>
  <si>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</si>
  <si>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</si>
  <si>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</si>
  <si>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</si>
  <si>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</si>
  <si>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</si>
  <si>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</si>
  <si>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</si>
  <si>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</si>
  <si>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</si>
  <si>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</si>
  <si>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</si>
  <si>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</si>
  <si>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</si>
  <si>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</si>
  <si>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</si>
  <si>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</si>
  <si>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</si>
  <si>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</si>
  <si>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</si>
  <si>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</si>
  <si>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</si>
  <si>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</si>
  <si>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</si>
  <si>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</si>
  <si>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</si>
  <si>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</si>
  <si>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</si>
  <si>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</si>
  <si>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</si>
  <si>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</si>
  <si>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Survey No</t>
  </si>
  <si>
    <t>18.932001,73.183341</t>
  </si>
  <si>
    <t>https://maps.app.goo.gl/6uA7L3XU8n68NQM27</t>
  </si>
  <si>
    <t>MSRDC/SPA/ITP-3/RZ-3/CC/2024/1801</t>
  </si>
  <si>
    <t>SEIAA-EC-0000002285</t>
  </si>
  <si>
    <t>Net Plot Area = 534652 Sq.mt
Total BUA = 1263710 Sq.mt</t>
  </si>
  <si>
    <t>https://godrejhomz.com/godrej-green-terraces/?source=google&amp;medium=ppc&amp;keyword=godrej%20green%20terraces&amp;matchtype=p&amp;device=c&amp;&amp;location=&amp;gad_source=1&amp;gclid=Cj0KCQiAgJa6BhCOARIsAMiL7V8kZjkijBp9UfFp4MOSjmzd6o1LKRnu2QA3QlhBHRDC7G6hFpZbrA8aAhoDEALw_wcB#amenities</t>
  </si>
  <si>
    <t>RERA Carpet area</t>
  </si>
  <si>
    <t>Balcony Area</t>
  </si>
  <si>
    <t>Tower 1</t>
  </si>
  <si>
    <t>Ground Floor For Entrance Lobby, Electrical Room, BMS Room &amp; Parking</t>
  </si>
  <si>
    <t>1st to 6th, 8th to 11th, 13th to 16th, 18th to 21st, 23rd to 26th, 28th to 31st, 33rd to 36th, 38th to 42nd Floor For Residential</t>
  </si>
  <si>
    <t>2BHK</t>
  </si>
  <si>
    <t>3BHK</t>
  </si>
  <si>
    <t>7th, 12th, 17th, 22nd, 27th, 32nd, 37th Floor For Part Refuge Area</t>
  </si>
  <si>
    <t>Refuge Area</t>
  </si>
  <si>
    <t>Tower 2</t>
  </si>
  <si>
    <t>Tower 3</t>
  </si>
  <si>
    <t>Ground Floor For Entrance Lobby, Electrical Room, Society Office &amp; Parking</t>
  </si>
  <si>
    <t>1BHK</t>
  </si>
  <si>
    <t>Tower 4</t>
  </si>
  <si>
    <t>We have referred Environmental Clearance Certificate from PARIVESH Portal.</t>
  </si>
  <si>
    <t xml:space="preserve">Airport NOC expired </t>
  </si>
  <si>
    <t>18M Wide Road</t>
  </si>
  <si>
    <t>Other Plot</t>
  </si>
  <si>
    <t>Open Plot</t>
  </si>
  <si>
    <t>Nilesh Patil</t>
  </si>
  <si>
    <t>Internal Road</t>
  </si>
  <si>
    <t>Woods, Godrej City</t>
  </si>
  <si>
    <t>Mohope</t>
  </si>
  <si>
    <t>5.1KM from Mohope Railway Station</t>
  </si>
  <si>
    <t>M/s. Caroa Properties LLP</t>
  </si>
  <si>
    <t>Mr.Arunima Sen 9819558028</t>
  </si>
  <si>
    <t>Khanavale</t>
  </si>
  <si>
    <t>RERA Name &amp; No.</t>
  </si>
  <si>
    <t>P52000077924</t>
  </si>
  <si>
    <t xml:space="preserve">Tower 4 Green Terraces </t>
  </si>
  <si>
    <t>Green Terraces 
(Tower 1, 2 &amp; 3)</t>
  </si>
  <si>
    <t xml:space="preserve">P52000077918 </t>
  </si>
  <si>
    <t>Approved Builtup Area of Tower 1 to 4 (Sq.Mt)</t>
  </si>
  <si>
    <r>
      <t xml:space="preserve">Proposed Amenities :                                                                                                                                                                                                                         </t>
    </r>
    <r>
      <rPr>
        <b/>
        <sz val="12"/>
        <rFont val="Times New Roman"/>
        <family val="1"/>
      </rPr>
      <t xml:space="preserve">                                               </t>
    </r>
  </si>
  <si>
    <t>Building Details Floor Wise</t>
  </si>
  <si>
    <t>Indoor Kids Play Area, Gym, Kids Pool, Flower Garden, Badminton Court, Spa, Gaming Arcade, Lawnside Multipurpose Hall, Parking, Lifts, jacuzzi, Jogging Track, Meditation Zone, Seating Area, Club House etc.</t>
  </si>
  <si>
    <t>7th, 12th, 17th, 22nd, 27th, 32nd &amp; 37th Floor For Part Refuge Area</t>
  </si>
  <si>
    <t>We considered Gross carpet area = Net carpet + Balcony Area</t>
  </si>
  <si>
    <t>Proposed Residential Building on Plot RZ-3 of ITP3 Layout on Survey No.38/0, 74/0, 36/1, 73/0, 30/1, 75/0, 42/4, 42/1, 42/3, 32/2, 39/0, 43/0, 44/4, 70/1, 70/2, 72/0, 76/1, 76/2, 68/0, 81/2A, 81/2B, 40/0, 47/2, 50/12, 50/13, 69/0, 41/1, 41/2, 44/3, 47/1, 71/0, 36/2, 37/1, 37/2, 78/0, 27/1, 29/2, 29/3, 29/5, 30/2, 31/0, 33/1 (Partly), 33/2, 34/1A (Partly), 42/2, 44/1, 44/2, 45/0, 46/0, 50/4, 50/5, 50/6B, (Partly), 64/0, 81/3, 82/2A (Partly), 82/4 and 82/5 of Village Khanavale, Taluka - Panvel, Dist -  Raigad and Survey No.6/1, 6/5, 7/1, 6/6, 7/2, 7/3A, 7/4, 5/2A, 5/2B, 9/2, 4/1, 4/2, 4/3, 4/5, 4/6, 7/3B, 7/B1, 7/B2, 7/B3, 7/B4, 7/B5, 7/B6, 7/B7, 7C1, 7/C2, 7/C3, 7/C4, 7/C5, 7/C6, 7/C7, 7/C8, 7/C9, 7/C10, 8/3A1, 8/3A2, 8/3A3, 8/3A4, 8/3A5, 8/3A6, 8/3A7, 8/3A8, 8/3A9, 8/3A10, 8/D1 to 8/D8, 8/B1 to B6, 8/C1, 8/C2, 8/1A1 to 8/1A6, 9/B1 to 9/B8, 9/D1 to 9/D8, 9/C1 to 9/C9, Survey No.6/2, 7/3/B/8, 7/3/B/9, 7/C/11, 7/C/12, 8/1/A/7, 8/3/A/11, 8/3/A/12, 8/B/7, 8/D/10, 8/D/9, 9/1, 9/B/9, 9/B/10, 9/C/10, 9/C/11, 9/D/9, 9/D/10 Of village - Talegaon, Taluka - Khalapur, Dist - Raigad.</t>
  </si>
  <si>
    <t>We have referred Environmental Clearance Certificate from PARIVESH Portal on 04/12/2024</t>
  </si>
  <si>
    <t>Approved Plans, CC &amp; Fire Noc</t>
  </si>
  <si>
    <t>We have updated Fire Noc on 18/12/2024</t>
  </si>
  <si>
    <t>MSRDC/FIRE/PFA/04124/6432</t>
  </si>
  <si>
    <t>9500 Rate Revised from cost sheet Smith on 30/12/2024</t>
  </si>
  <si>
    <t>Water &amp; Electricity Charges</t>
  </si>
  <si>
    <t>Township Maintenance Charges</t>
  </si>
  <si>
    <t>Corpus Fund</t>
  </si>
  <si>
    <t>Advance Society Maintenance Charges</t>
  </si>
  <si>
    <t>9550 rate revised on 27/2/25</t>
  </si>
  <si>
    <t>Rate 9700 OC total should be 500000 by smith for staff case Tower 2 Flat 1602   on 26/03/2025</t>
  </si>
  <si>
    <t>Recommended Rates &amp; Other Charges of the Property have been revised on 30/12/2024 &amp; 27/02/2025 &amp; 26/03/2025.</t>
  </si>
  <si>
    <t>Pranita Mhatre</t>
  </si>
  <si>
    <t>Green Terraces</t>
  </si>
  <si>
    <t>PM1272022500305</t>
  </si>
  <si>
    <t xml:space="preserve">Tower 5 Green Terraces &amp; MLCP Commercial  </t>
  </si>
  <si>
    <t>Tower 1 to 5 &amp; Commercial = Work not yet Started.</t>
  </si>
  <si>
    <t xml:space="preserve">Tower 1 to 5 = Gr + 1st to 42nd Floor
</t>
  </si>
  <si>
    <t xml:space="preserve">Tower 1 to 5 &amp; MLCP Commercial </t>
  </si>
  <si>
    <t>Tower 1 to 5 = Gr + 1st to 42nd Floor
MLCP Commercial = Gr. + 1st Floor</t>
  </si>
  <si>
    <t>Tower 1 to 5 = Gr + 1st to 42nd Floor
MLCP Commercial = Gr. + 1st Floor
Total BUA = 1,68,862.95 Sq.mt</t>
  </si>
  <si>
    <t>Tower 1 to 5 = Gr + 1st to 42nd Floor (Height = 128.30 Mtrs)
MLCP Commercial = Gr. + 1st Floor</t>
  </si>
  <si>
    <t>Expected Completion (As per RERA )</t>
  </si>
  <si>
    <t>Green Terraces - 31/12/2032
Tower 4 Green Terraces - 30/04/2033
Tower 5 Green Terraces &amp; MLCP Commercial - 31/05/2033</t>
  </si>
  <si>
    <t>MLCP Commercial = Gr. + 1st Floor</t>
  </si>
  <si>
    <t>Tower 5</t>
  </si>
  <si>
    <r>
      <t xml:space="preserve">Shop No.
</t>
    </r>
    <r>
      <rPr>
        <b/>
        <sz val="11"/>
        <rFont val="Times New Roman"/>
        <family val="1"/>
      </rPr>
      <t>(Approved Plan)</t>
    </r>
  </si>
  <si>
    <t>MLCP Commercial</t>
  </si>
  <si>
    <t>Ground Floor for Commercial</t>
  </si>
  <si>
    <t>Shop</t>
  </si>
  <si>
    <t>1st Floor for Commercial</t>
  </si>
  <si>
    <t>Recommended rate of the Ground Floor Shop Per Sq. Ft.</t>
  </si>
  <si>
    <t>Recommended rate of the 1st Floor Shop Per Sq. Ft.</t>
  </si>
  <si>
    <t>We have added Approved Floor Plan, CC and Fire Noc of Tower 5 and MLCP Commercial Tower on 18/09/2025.</t>
  </si>
  <si>
    <t>Flats - 1645, Shop - 35</t>
  </si>
  <si>
    <t>06 Towers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</si>
</sst>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8"/>
      <name val="Calibri"/>
      <family val="2"/>
    </font>
    <font>
      <b/>
      <sz val="1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17" fillId="0" borderId="0" xfId="1" applyFont="1"/>
    <xf numFmtId="0" fontId="27" fillId="0" borderId="0" xfId="10"/>
    <xf numFmtId="0" fontId="7" fillId="0" borderId="1" xfId="1" applyFont="1" applyBorder="1" applyAlignment="1" applyProtection="1">
      <alignment horizontal="center" vertical="top"/>
      <protection locked="0"/>
    </xf>
    <xf numFmtId="0" fontId="7" fillId="0" borderId="0" xfId="1" applyFont="1" applyAlignment="1">
      <alignment horizontal="left" vertical="center"/>
    </xf>
    <xf numFmtId="9" fontId="10" fillId="0" borderId="16" xfId="8" applyFont="1" applyFill="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1" fontId="13" fillId="0" borderId="0" xfId="0" applyNumberFormat="1" applyFont="1" applyAlignment="1" applyProtection="1">
      <alignment vertical="top" wrapText="1"/>
      <protection locked="0"/>
    </xf>
    <xf numFmtId="0" fontId="25" fillId="2" borderId="15" xfId="0" applyFont="1" applyFill="1" applyBorder="1"/>
    <xf numFmtId="0" fontId="26" fillId="0" borderId="9" xfId="0" applyFont="1" applyBorder="1"/>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17" fillId="0" borderId="1"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5" borderId="8" xfId="1" applyNumberFormat="1" applyFont="1" applyFill="1" applyBorder="1" applyAlignment="1" applyProtection="1">
      <alignment horizontal="center" vertical="center" wrapText="1"/>
      <protection locked="0"/>
    </xf>
    <xf numFmtId="1" fontId="8" fillId="5" borderId="21" xfId="1" applyNumberFormat="1" applyFont="1" applyFill="1" applyBorder="1" applyAlignment="1" applyProtection="1">
      <alignment horizontal="center" vertical="center" wrapText="1"/>
      <protection locked="0"/>
    </xf>
    <xf numFmtId="1" fontId="8" fillId="5" borderId="9"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4" fontId="12" fillId="6" borderId="1" xfId="1" applyNumberFormat="1" applyFont="1" applyFill="1" applyBorder="1" applyAlignment="1" applyProtection="1">
      <alignment horizontal="left" vertical="top"/>
      <protection locked="0"/>
    </xf>
    <xf numFmtId="0" fontId="12" fillId="6" borderId="1" xfId="1" applyFont="1" applyFill="1" applyBorder="1" applyAlignment="1" applyProtection="1">
      <alignment horizontal="left" vertical="top"/>
      <protection locked="0"/>
    </xf>
    <xf numFmtId="0" fontId="7"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32"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7" fillId="0" borderId="8"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7" fillId="0" borderId="8"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17" fillId="0" borderId="25" xfId="0" applyFont="1" applyBorder="1" applyAlignment="1">
      <alignment horizontal="center" vertical="center"/>
    </xf>
    <xf numFmtId="0" fontId="17" fillId="0" borderId="0" xfId="0" applyFont="1" applyAlignment="1">
      <alignment horizontal="center" vertical="center"/>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6" fillId="0" borderId="25" xfId="1" applyFont="1" applyBorder="1" applyAlignment="1" applyProtection="1">
      <alignment horizontal="left" vertical="top"/>
      <protection locked="0"/>
    </xf>
    <xf numFmtId="0" fontId="6" fillId="0" borderId="0" xfId="1" applyFont="1" applyBorder="1" applyAlignment="1" applyProtection="1">
      <alignment horizontal="left" vertical="top"/>
      <protection locked="0"/>
    </xf>
    <xf numFmtId="0" fontId="6" fillId="0" borderId="26" xfId="1" applyFont="1" applyBorder="1" applyAlignment="1" applyProtection="1">
      <alignment horizontal="left" vertical="top"/>
      <protection locked="0"/>
    </xf>
    <xf numFmtId="1" fontId="6" fillId="5" borderId="1" xfId="0" applyNumberFormat="1" applyFont="1" applyFill="1" applyBorder="1" applyAlignment="1" applyProtection="1">
      <alignment horizontal="center" vertical="center" wrapText="1"/>
      <protection locked="0"/>
    </xf>
    <xf numFmtId="1" fontId="13" fillId="5" borderId="8" xfId="0" applyNumberFormat="1" applyFont="1" applyFill="1" applyBorder="1" applyAlignment="1" applyProtection="1">
      <alignment vertical="top" wrapText="1"/>
      <protection locked="0"/>
    </xf>
    <xf numFmtId="1" fontId="13" fillId="5" borderId="21" xfId="0" applyNumberFormat="1" applyFont="1" applyFill="1" applyBorder="1" applyAlignment="1" applyProtection="1">
      <alignment vertical="top" wrapText="1"/>
      <protection locked="0"/>
    </xf>
    <xf numFmtId="1" fontId="13" fillId="5" borderId="9" xfId="0" applyNumberFormat="1" applyFont="1" applyFill="1" applyBorder="1" applyAlignment="1" applyProtection="1">
      <alignment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7"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25" fillId="0" borderId="0" xfId="0" applyFont="1"/>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emf"/><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jpeg"/><Relationship Id="rId4" Type="http://schemas.openxmlformats.org/officeDocument/2006/relationships/image" Target="../media/image3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11</xdr:col>
      <xdr:colOff>396167</xdr:colOff>
      <xdr:row>185</xdr:row>
      <xdr:rowOff>185057</xdr:rowOff>
    </xdr:from>
    <xdr:to>
      <xdr:col>15</xdr:col>
      <xdr:colOff>669916</xdr:colOff>
      <xdr:row>211</xdr:row>
      <xdr:rowOff>118363</xdr:rowOff>
    </xdr:to>
    <xdr:pic>
      <xdr:nvPicPr>
        <xdr:cNvPr id="2" name="Picture 1">
          <a:extLst>
            <a:ext uri="{FF2B5EF4-FFF2-40B4-BE49-F238E27FC236}">
              <a16:creationId xmlns:a16="http://schemas.microsoft.com/office/drawing/2014/main" id="{B15E1EC8-84BA-4363-8ACF-EB1EC6B4402E}"/>
            </a:ext>
          </a:extLst>
        </xdr:cNvPr>
        <xdr:cNvPicPr>
          <a:picLocks noChangeAspect="1"/>
        </xdr:cNvPicPr>
      </xdr:nvPicPr>
      <xdr:blipFill>
        <a:blip xmlns:r="http://schemas.openxmlformats.org/officeDocument/2006/relationships" r:embed="rId1"/>
        <a:stretch>
          <a:fillRect/>
        </a:stretch>
      </xdr:blipFill>
      <xdr:spPr>
        <a:xfrm>
          <a:off x="9387767" y="42056957"/>
          <a:ext cx="3636074" cy="5743556"/>
        </a:xfrm>
        <a:prstGeom prst="rect">
          <a:avLst/>
        </a:prstGeom>
        <a:ln>
          <a:solidFill>
            <a:schemeClr val="tx1"/>
          </a:solidFill>
        </a:ln>
      </xdr:spPr>
    </xdr:pic>
    <xdr:clientData/>
  </xdr:twoCellAnchor>
  <xdr:twoCellAnchor editAs="oneCell">
    <xdr:from>
      <xdr:col>12</xdr:col>
      <xdr:colOff>224765</xdr:colOff>
      <xdr:row>144</xdr:row>
      <xdr:rowOff>134063</xdr:rowOff>
    </xdr:from>
    <xdr:to>
      <xdr:col>18</xdr:col>
      <xdr:colOff>63440</xdr:colOff>
      <xdr:row>158</xdr:row>
      <xdr:rowOff>67812</xdr:rowOff>
    </xdr:to>
    <xdr:pic>
      <xdr:nvPicPr>
        <xdr:cNvPr id="3" name="Picture 2">
          <a:extLst>
            <a:ext uri="{FF2B5EF4-FFF2-40B4-BE49-F238E27FC236}">
              <a16:creationId xmlns:a16="http://schemas.microsoft.com/office/drawing/2014/main" id="{4B96EE26-B7F0-4FC1-B772-BCD6CE266148}"/>
            </a:ext>
          </a:extLst>
        </xdr:cNvPr>
        <xdr:cNvPicPr>
          <a:picLocks noChangeAspect="1"/>
        </xdr:cNvPicPr>
      </xdr:nvPicPr>
      <xdr:blipFill>
        <a:blip xmlns:r="http://schemas.openxmlformats.org/officeDocument/2006/relationships" r:embed="rId2"/>
        <a:stretch>
          <a:fillRect/>
        </a:stretch>
      </xdr:blipFill>
      <xdr:spPr>
        <a:xfrm>
          <a:off x="10168865" y="24746663"/>
          <a:ext cx="4296375" cy="3048425"/>
        </a:xfrm>
        <a:prstGeom prst="rect">
          <a:avLst/>
        </a:prstGeom>
        <a:ln>
          <a:solidFill>
            <a:schemeClr val="tx1"/>
          </a:solidFill>
        </a:ln>
      </xdr:spPr>
    </xdr:pic>
    <xdr:clientData/>
  </xdr:twoCellAnchor>
  <xdr:twoCellAnchor editAs="oneCell">
    <xdr:from>
      <xdr:col>9</xdr:col>
      <xdr:colOff>596442</xdr:colOff>
      <xdr:row>213</xdr:row>
      <xdr:rowOff>56844</xdr:rowOff>
    </xdr:from>
    <xdr:to>
      <xdr:col>14</xdr:col>
      <xdr:colOff>117493</xdr:colOff>
      <xdr:row>240</xdr:row>
      <xdr:rowOff>168548</xdr:rowOff>
    </xdr:to>
    <xdr:pic>
      <xdr:nvPicPr>
        <xdr:cNvPr id="4" name="Picture 3">
          <a:extLst>
            <a:ext uri="{FF2B5EF4-FFF2-40B4-BE49-F238E27FC236}">
              <a16:creationId xmlns:a16="http://schemas.microsoft.com/office/drawing/2014/main" id="{A0E7B218-5233-4EE6-8FC3-9EFC5B675342}"/>
            </a:ext>
          </a:extLst>
        </xdr:cNvPr>
        <xdr:cNvPicPr>
          <a:picLocks noChangeAspect="1"/>
        </xdr:cNvPicPr>
      </xdr:nvPicPr>
      <xdr:blipFill>
        <a:blip xmlns:r="http://schemas.openxmlformats.org/officeDocument/2006/relationships" r:embed="rId3"/>
        <a:stretch>
          <a:fillRect/>
        </a:stretch>
      </xdr:blipFill>
      <xdr:spPr>
        <a:xfrm>
          <a:off x="8073567" y="33946794"/>
          <a:ext cx="3588226" cy="5740978"/>
        </a:xfrm>
        <a:prstGeom prst="rect">
          <a:avLst/>
        </a:prstGeom>
        <a:ln>
          <a:solidFill>
            <a:schemeClr val="tx1"/>
          </a:solidFill>
        </a:ln>
      </xdr:spPr>
    </xdr:pic>
    <xdr:clientData/>
  </xdr:twoCellAnchor>
  <xdr:twoCellAnchor editAs="oneCell">
    <xdr:from>
      <xdr:col>12</xdr:col>
      <xdr:colOff>428303</xdr:colOff>
      <xdr:row>211</xdr:row>
      <xdr:rowOff>370607</xdr:rowOff>
    </xdr:from>
    <xdr:to>
      <xdr:col>17</xdr:col>
      <xdr:colOff>114471</xdr:colOff>
      <xdr:row>224</xdr:row>
      <xdr:rowOff>177044</xdr:rowOff>
    </xdr:to>
    <xdr:pic>
      <xdr:nvPicPr>
        <xdr:cNvPr id="5" name="Picture 4">
          <a:extLst>
            <a:ext uri="{FF2B5EF4-FFF2-40B4-BE49-F238E27FC236}">
              <a16:creationId xmlns:a16="http://schemas.microsoft.com/office/drawing/2014/main" id="{6B9AA924-E8B1-4D39-B23D-4D4D805CDC44}"/>
            </a:ext>
          </a:extLst>
        </xdr:cNvPr>
        <xdr:cNvPicPr>
          <a:picLocks noChangeAspect="1"/>
        </xdr:cNvPicPr>
      </xdr:nvPicPr>
      <xdr:blipFill>
        <a:blip xmlns:r="http://schemas.openxmlformats.org/officeDocument/2006/relationships" r:embed="rId4"/>
        <a:stretch>
          <a:fillRect/>
        </a:stretch>
      </xdr:blipFill>
      <xdr:spPr>
        <a:xfrm>
          <a:off x="10372403" y="30583907"/>
          <a:ext cx="3534268" cy="2511537"/>
        </a:xfrm>
        <a:prstGeom prst="rect">
          <a:avLst/>
        </a:prstGeom>
        <a:ln>
          <a:solidFill>
            <a:schemeClr val="tx1"/>
          </a:solidFill>
        </a:ln>
      </xdr:spPr>
    </xdr:pic>
    <xdr:clientData/>
  </xdr:twoCellAnchor>
  <xdr:twoCellAnchor editAs="oneCell">
    <xdr:from>
      <xdr:col>12</xdr:col>
      <xdr:colOff>730659</xdr:colOff>
      <xdr:row>240</xdr:row>
      <xdr:rowOff>159529</xdr:rowOff>
    </xdr:from>
    <xdr:to>
      <xdr:col>19</xdr:col>
      <xdr:colOff>252887</xdr:colOff>
      <xdr:row>257</xdr:row>
      <xdr:rowOff>202</xdr:rowOff>
    </xdr:to>
    <xdr:pic>
      <xdr:nvPicPr>
        <xdr:cNvPr id="6" name="Picture 5">
          <a:extLst>
            <a:ext uri="{FF2B5EF4-FFF2-40B4-BE49-F238E27FC236}">
              <a16:creationId xmlns:a16="http://schemas.microsoft.com/office/drawing/2014/main" id="{0C899469-8589-403C-829C-D28BFC2E4FC5}"/>
            </a:ext>
          </a:extLst>
        </xdr:cNvPr>
        <xdr:cNvPicPr>
          <a:picLocks noChangeAspect="1"/>
        </xdr:cNvPicPr>
      </xdr:nvPicPr>
      <xdr:blipFill>
        <a:blip xmlns:r="http://schemas.openxmlformats.org/officeDocument/2006/relationships" r:embed="rId5"/>
        <a:stretch>
          <a:fillRect/>
        </a:stretch>
      </xdr:blipFill>
      <xdr:spPr>
        <a:xfrm>
          <a:off x="10674759" y="36354529"/>
          <a:ext cx="4703828" cy="3307774"/>
        </a:xfrm>
        <a:prstGeom prst="rect">
          <a:avLst/>
        </a:prstGeom>
        <a:ln>
          <a:solidFill>
            <a:schemeClr val="tx1"/>
          </a:solidFill>
        </a:ln>
      </xdr:spPr>
    </xdr:pic>
    <xdr:clientData/>
  </xdr:twoCellAnchor>
  <xdr:twoCellAnchor editAs="oneCell">
    <xdr:from>
      <xdr:col>10</xdr:col>
      <xdr:colOff>266700</xdr:colOff>
      <xdr:row>239</xdr:row>
      <xdr:rowOff>155023</xdr:rowOff>
    </xdr:from>
    <xdr:to>
      <xdr:col>14</xdr:col>
      <xdr:colOff>716819</xdr:colOff>
      <xdr:row>268</xdr:row>
      <xdr:rowOff>66168</xdr:rowOff>
    </xdr:to>
    <xdr:pic>
      <xdr:nvPicPr>
        <xdr:cNvPr id="7" name="Picture 6">
          <a:extLst>
            <a:ext uri="{FF2B5EF4-FFF2-40B4-BE49-F238E27FC236}">
              <a16:creationId xmlns:a16="http://schemas.microsoft.com/office/drawing/2014/main" id="{9C2765D9-482F-4C8B-8447-B8FC6B68D99E}"/>
            </a:ext>
          </a:extLst>
        </xdr:cNvPr>
        <xdr:cNvPicPr>
          <a:picLocks noChangeAspect="1"/>
        </xdr:cNvPicPr>
      </xdr:nvPicPr>
      <xdr:blipFill>
        <a:blip xmlns:r="http://schemas.openxmlformats.org/officeDocument/2006/relationships" r:embed="rId6"/>
        <a:stretch>
          <a:fillRect/>
        </a:stretch>
      </xdr:blipFill>
      <xdr:spPr>
        <a:xfrm>
          <a:off x="8505825" y="39474223"/>
          <a:ext cx="3755294" cy="5911896"/>
        </a:xfrm>
        <a:prstGeom prst="rect">
          <a:avLst/>
        </a:prstGeom>
        <a:ln>
          <a:solidFill>
            <a:schemeClr val="tx1"/>
          </a:solidFill>
        </a:ln>
      </xdr:spPr>
    </xdr:pic>
    <xdr:clientData/>
  </xdr:twoCellAnchor>
  <xdr:twoCellAnchor editAs="oneCell">
    <xdr:from>
      <xdr:col>8</xdr:col>
      <xdr:colOff>918374</xdr:colOff>
      <xdr:row>41</xdr:row>
      <xdr:rowOff>57150</xdr:rowOff>
    </xdr:from>
    <xdr:to>
      <xdr:col>12</xdr:col>
      <xdr:colOff>757947</xdr:colOff>
      <xdr:row>52</xdr:row>
      <xdr:rowOff>148319</xdr:rowOff>
    </xdr:to>
    <xdr:pic>
      <xdr:nvPicPr>
        <xdr:cNvPr id="10" name="Picture 9">
          <a:extLst>
            <a:ext uri="{FF2B5EF4-FFF2-40B4-BE49-F238E27FC236}">
              <a16:creationId xmlns:a16="http://schemas.microsoft.com/office/drawing/2014/main" id="{1C6DEA52-D33B-4999-AB12-B6D186A5B70C}"/>
            </a:ext>
          </a:extLst>
        </xdr:cNvPr>
        <xdr:cNvPicPr>
          <a:picLocks noChangeAspect="1"/>
        </xdr:cNvPicPr>
      </xdr:nvPicPr>
      <xdr:blipFill>
        <a:blip xmlns:r="http://schemas.openxmlformats.org/officeDocument/2006/relationships" r:embed="rId7"/>
        <a:stretch>
          <a:fillRect/>
        </a:stretch>
      </xdr:blipFill>
      <xdr:spPr>
        <a:xfrm>
          <a:off x="7233449" y="14697075"/>
          <a:ext cx="3440023" cy="2520044"/>
        </a:xfrm>
        <a:prstGeom prst="rect">
          <a:avLst/>
        </a:prstGeom>
        <a:ln>
          <a:solidFill>
            <a:schemeClr val="tx1"/>
          </a:solidFill>
        </a:ln>
      </xdr:spPr>
    </xdr:pic>
    <xdr:clientData/>
  </xdr:twoCellAnchor>
  <xdr:twoCellAnchor editAs="oneCell">
    <xdr:from>
      <xdr:col>8</xdr:col>
      <xdr:colOff>333375</xdr:colOff>
      <xdr:row>58</xdr:row>
      <xdr:rowOff>82718</xdr:rowOff>
    </xdr:from>
    <xdr:to>
      <xdr:col>13</xdr:col>
      <xdr:colOff>442350</xdr:colOff>
      <xdr:row>65</xdr:row>
      <xdr:rowOff>212875</xdr:rowOff>
    </xdr:to>
    <xdr:pic>
      <xdr:nvPicPr>
        <xdr:cNvPr id="11" name="Picture 10">
          <a:extLst>
            <a:ext uri="{FF2B5EF4-FFF2-40B4-BE49-F238E27FC236}">
              <a16:creationId xmlns:a16="http://schemas.microsoft.com/office/drawing/2014/main" id="{EC153F20-AA96-45FB-AD3F-CC77D1E6ACC4}"/>
            </a:ext>
          </a:extLst>
        </xdr:cNvPr>
        <xdr:cNvPicPr>
          <a:picLocks noChangeAspect="1"/>
        </xdr:cNvPicPr>
      </xdr:nvPicPr>
      <xdr:blipFill>
        <a:blip xmlns:r="http://schemas.openxmlformats.org/officeDocument/2006/relationships" r:embed="rId8"/>
        <a:stretch>
          <a:fillRect/>
        </a:stretch>
      </xdr:blipFill>
      <xdr:spPr>
        <a:xfrm>
          <a:off x="6648450" y="18237368"/>
          <a:ext cx="4500000" cy="1377931"/>
        </a:xfrm>
        <a:prstGeom prst="rect">
          <a:avLst/>
        </a:prstGeom>
        <a:ln>
          <a:solidFill>
            <a:schemeClr val="tx1"/>
          </a:solidFill>
        </a:ln>
      </xdr:spPr>
    </xdr:pic>
    <xdr:clientData/>
  </xdr:twoCellAnchor>
  <xdr:twoCellAnchor editAs="oneCell">
    <xdr:from>
      <xdr:col>13</xdr:col>
      <xdr:colOff>245919</xdr:colOff>
      <xdr:row>51</xdr:row>
      <xdr:rowOff>381456</xdr:rowOff>
    </xdr:from>
    <xdr:to>
      <xdr:col>19</xdr:col>
      <xdr:colOff>373944</xdr:colOff>
      <xdr:row>58</xdr:row>
      <xdr:rowOff>252707</xdr:rowOff>
    </xdr:to>
    <xdr:pic>
      <xdr:nvPicPr>
        <xdr:cNvPr id="12" name="Picture 11">
          <a:extLst>
            <a:ext uri="{FF2B5EF4-FFF2-40B4-BE49-F238E27FC236}">
              <a16:creationId xmlns:a16="http://schemas.microsoft.com/office/drawing/2014/main" id="{26606F8B-6757-4C10-A39B-444EEE4F8647}"/>
            </a:ext>
          </a:extLst>
        </xdr:cNvPr>
        <xdr:cNvPicPr>
          <a:picLocks noChangeAspect="1"/>
        </xdr:cNvPicPr>
      </xdr:nvPicPr>
      <xdr:blipFill>
        <a:blip xmlns:r="http://schemas.openxmlformats.org/officeDocument/2006/relationships" r:embed="rId9"/>
        <a:stretch>
          <a:fillRect/>
        </a:stretch>
      </xdr:blipFill>
      <xdr:spPr>
        <a:xfrm>
          <a:off x="10952019" y="11830506"/>
          <a:ext cx="4500000" cy="2157252"/>
        </a:xfrm>
        <a:prstGeom prst="rect">
          <a:avLst/>
        </a:prstGeom>
        <a:ln>
          <a:solidFill>
            <a:schemeClr val="tx1"/>
          </a:solidFill>
        </a:ln>
      </xdr:spPr>
    </xdr:pic>
    <xdr:clientData/>
  </xdr:twoCellAnchor>
  <xdr:twoCellAnchor editAs="oneCell">
    <xdr:from>
      <xdr:col>13</xdr:col>
      <xdr:colOff>258908</xdr:colOff>
      <xdr:row>61</xdr:row>
      <xdr:rowOff>99171</xdr:rowOff>
    </xdr:from>
    <xdr:to>
      <xdr:col>19</xdr:col>
      <xdr:colOff>386933</xdr:colOff>
      <xdr:row>66</xdr:row>
      <xdr:rowOff>128992</xdr:rowOff>
    </xdr:to>
    <xdr:pic>
      <xdr:nvPicPr>
        <xdr:cNvPr id="13" name="Picture 12">
          <a:extLst>
            <a:ext uri="{FF2B5EF4-FFF2-40B4-BE49-F238E27FC236}">
              <a16:creationId xmlns:a16="http://schemas.microsoft.com/office/drawing/2014/main" id="{42320218-F4DA-453B-9713-5C0E1149AC65}"/>
            </a:ext>
          </a:extLst>
        </xdr:cNvPr>
        <xdr:cNvPicPr>
          <a:picLocks noChangeAspect="1"/>
        </xdr:cNvPicPr>
      </xdr:nvPicPr>
      <xdr:blipFill>
        <a:blip xmlns:r="http://schemas.openxmlformats.org/officeDocument/2006/relationships" r:embed="rId10"/>
        <a:stretch>
          <a:fillRect/>
        </a:stretch>
      </xdr:blipFill>
      <xdr:spPr>
        <a:xfrm>
          <a:off x="10965008" y="14062821"/>
          <a:ext cx="4500000" cy="1239496"/>
        </a:xfrm>
        <a:prstGeom prst="rect">
          <a:avLst/>
        </a:prstGeom>
        <a:ln>
          <a:solidFill>
            <a:schemeClr val="tx1"/>
          </a:solidFill>
        </a:ln>
      </xdr:spPr>
    </xdr:pic>
    <xdr:clientData/>
  </xdr:twoCellAnchor>
  <xdr:twoCellAnchor editAs="oneCell">
    <xdr:from>
      <xdr:col>8</xdr:col>
      <xdr:colOff>305667</xdr:colOff>
      <xdr:row>66</xdr:row>
      <xdr:rowOff>74924</xdr:rowOff>
    </xdr:from>
    <xdr:to>
      <xdr:col>12</xdr:col>
      <xdr:colOff>10853</xdr:colOff>
      <xdr:row>69</xdr:row>
      <xdr:rowOff>265507</xdr:rowOff>
    </xdr:to>
    <xdr:pic>
      <xdr:nvPicPr>
        <xdr:cNvPr id="14" name="Picture 13">
          <a:extLst>
            <a:ext uri="{FF2B5EF4-FFF2-40B4-BE49-F238E27FC236}">
              <a16:creationId xmlns:a16="http://schemas.microsoft.com/office/drawing/2014/main" id="{4413B32F-D512-476A-B889-177075505F76}"/>
            </a:ext>
          </a:extLst>
        </xdr:cNvPr>
        <xdr:cNvPicPr>
          <a:picLocks noChangeAspect="1"/>
        </xdr:cNvPicPr>
      </xdr:nvPicPr>
      <xdr:blipFill>
        <a:blip xmlns:r="http://schemas.openxmlformats.org/officeDocument/2006/relationships" r:embed="rId11"/>
        <a:stretch>
          <a:fillRect/>
        </a:stretch>
      </xdr:blipFill>
      <xdr:spPr>
        <a:xfrm>
          <a:off x="6620742" y="19677374"/>
          <a:ext cx="3305636" cy="590633"/>
        </a:xfrm>
        <a:prstGeom prst="rect">
          <a:avLst/>
        </a:prstGeom>
        <a:ln>
          <a:solidFill>
            <a:schemeClr val="tx1"/>
          </a:solidFill>
        </a:ln>
      </xdr:spPr>
    </xdr:pic>
    <xdr:clientData/>
  </xdr:twoCellAnchor>
  <xdr:twoCellAnchor editAs="oneCell">
    <xdr:from>
      <xdr:col>2</xdr:col>
      <xdr:colOff>378248</xdr:colOff>
      <xdr:row>382</xdr:row>
      <xdr:rowOff>105907</xdr:rowOff>
    </xdr:from>
    <xdr:to>
      <xdr:col>5</xdr:col>
      <xdr:colOff>247650</xdr:colOff>
      <xdr:row>399</xdr:row>
      <xdr:rowOff>31750</xdr:rowOff>
    </xdr:to>
    <xdr:pic>
      <xdr:nvPicPr>
        <xdr:cNvPr id="27" name="Picture 26">
          <a:extLst>
            <a:ext uri="{FF2B5EF4-FFF2-40B4-BE49-F238E27FC236}">
              <a16:creationId xmlns:a16="http://schemas.microsoft.com/office/drawing/2014/main" id="{867A4549-F376-4EEA-B35E-00AD78383558}"/>
            </a:ext>
          </a:extLst>
        </xdr:cNvPr>
        <xdr:cNvPicPr>
          <a:picLocks noChangeAspect="1"/>
        </xdr:cNvPicPr>
      </xdr:nvPicPr>
      <xdr:blipFill>
        <a:blip xmlns:r="http://schemas.openxmlformats.org/officeDocument/2006/relationships" r:embed="rId12"/>
        <a:stretch>
          <a:fillRect/>
        </a:stretch>
      </xdr:blipFill>
      <xdr:spPr>
        <a:xfrm>
          <a:off x="2016548" y="64571107"/>
          <a:ext cx="2536402" cy="3272293"/>
        </a:xfrm>
        <a:prstGeom prst="rect">
          <a:avLst/>
        </a:prstGeom>
        <a:ln>
          <a:solidFill>
            <a:schemeClr val="tx1"/>
          </a:solidFill>
        </a:ln>
      </xdr:spPr>
    </xdr:pic>
    <xdr:clientData/>
  </xdr:twoCellAnchor>
  <xdr:twoCellAnchor editAs="oneCell">
    <xdr:from>
      <xdr:col>1</xdr:col>
      <xdr:colOff>357596</xdr:colOff>
      <xdr:row>401</xdr:row>
      <xdr:rowOff>19050</xdr:rowOff>
    </xdr:from>
    <xdr:to>
      <xdr:col>6</xdr:col>
      <xdr:colOff>207817</xdr:colOff>
      <xdr:row>416</xdr:row>
      <xdr:rowOff>121485</xdr:rowOff>
    </xdr:to>
    <xdr:pic>
      <xdr:nvPicPr>
        <xdr:cNvPr id="28" name="Picture 27">
          <a:extLst>
            <a:ext uri="{FF2B5EF4-FFF2-40B4-BE49-F238E27FC236}">
              <a16:creationId xmlns:a16="http://schemas.microsoft.com/office/drawing/2014/main" id="{23EC1868-16FC-4C68-B1A8-56066763A579}"/>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119596" y="65484375"/>
          <a:ext cx="3936446" cy="3102812"/>
        </a:xfrm>
        <a:prstGeom prst="rect">
          <a:avLst/>
        </a:prstGeom>
        <a:ln>
          <a:solidFill>
            <a:schemeClr val="tx1"/>
          </a:solidFill>
        </a:ln>
      </xdr:spPr>
    </xdr:pic>
    <xdr:clientData/>
  </xdr:twoCellAnchor>
  <xdr:twoCellAnchor>
    <xdr:from>
      <xdr:col>0</xdr:col>
      <xdr:colOff>485775</xdr:colOff>
      <xdr:row>417</xdr:row>
      <xdr:rowOff>87332</xdr:rowOff>
    </xdr:from>
    <xdr:to>
      <xdr:col>7</xdr:col>
      <xdr:colOff>116897</xdr:colOff>
      <xdr:row>438</xdr:row>
      <xdr:rowOff>12988</xdr:rowOff>
    </xdr:to>
    <xdr:grpSp>
      <xdr:nvGrpSpPr>
        <xdr:cNvPr id="29" name="Group 28">
          <a:extLst>
            <a:ext uri="{FF2B5EF4-FFF2-40B4-BE49-F238E27FC236}">
              <a16:creationId xmlns:a16="http://schemas.microsoft.com/office/drawing/2014/main" id="{58A8785E-77DC-4139-A45B-739DC35DCB07}"/>
            </a:ext>
          </a:extLst>
        </xdr:cNvPr>
        <xdr:cNvGrpSpPr/>
      </xdr:nvGrpSpPr>
      <xdr:grpSpPr>
        <a:xfrm>
          <a:off x="485775" y="91555907"/>
          <a:ext cx="5212772" cy="4126181"/>
          <a:chOff x="1443044" y="3533468"/>
          <a:chExt cx="4117015" cy="3490300"/>
        </a:xfrm>
      </xdr:grpSpPr>
      <xdr:pic>
        <xdr:nvPicPr>
          <xdr:cNvPr id="30" name="Picture 29">
            <a:extLst>
              <a:ext uri="{FF2B5EF4-FFF2-40B4-BE49-F238E27FC236}">
                <a16:creationId xmlns:a16="http://schemas.microsoft.com/office/drawing/2014/main" id="{E2F295AB-E9DE-448E-93CD-5B28A5E7592B}"/>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443044" y="3533468"/>
            <a:ext cx="4117015" cy="3490300"/>
          </a:xfrm>
          <a:prstGeom prst="rect">
            <a:avLst/>
          </a:prstGeom>
          <a:ln>
            <a:solidFill>
              <a:schemeClr val="tx1"/>
            </a:solidFill>
          </a:ln>
        </xdr:spPr>
      </xdr:pic>
      <xdr:sp macro="" textlink="">
        <xdr:nvSpPr>
          <xdr:cNvPr id="31" name="Freeform: Shape 30">
            <a:extLst>
              <a:ext uri="{FF2B5EF4-FFF2-40B4-BE49-F238E27FC236}">
                <a16:creationId xmlns:a16="http://schemas.microsoft.com/office/drawing/2014/main" id="{9722CA91-57E7-4250-96D9-4E1DCDBFB907}"/>
              </a:ext>
            </a:extLst>
          </xdr:cNvPr>
          <xdr:cNvSpPr/>
        </xdr:nvSpPr>
        <xdr:spPr>
          <a:xfrm>
            <a:off x="3111500" y="4832350"/>
            <a:ext cx="889000" cy="1276350"/>
          </a:xfrm>
          <a:custGeom>
            <a:avLst/>
            <a:gdLst>
              <a:gd name="connsiteX0" fmla="*/ 0 w 889000"/>
              <a:gd name="connsiteY0" fmla="*/ 0 h 1276350"/>
              <a:gd name="connsiteX1" fmla="*/ 247650 w 889000"/>
              <a:gd name="connsiteY1" fmla="*/ 107950 h 1276350"/>
              <a:gd name="connsiteX2" fmla="*/ 590550 w 889000"/>
              <a:gd name="connsiteY2" fmla="*/ 31750 h 1276350"/>
              <a:gd name="connsiteX3" fmla="*/ 889000 w 889000"/>
              <a:gd name="connsiteY3" fmla="*/ 965200 h 1276350"/>
              <a:gd name="connsiteX4" fmla="*/ 711200 w 889000"/>
              <a:gd name="connsiteY4" fmla="*/ 965200 h 1276350"/>
              <a:gd name="connsiteX5" fmla="*/ 596900 w 889000"/>
              <a:gd name="connsiteY5" fmla="*/ 1276350 h 1276350"/>
              <a:gd name="connsiteX6" fmla="*/ 311150 w 889000"/>
              <a:gd name="connsiteY6" fmla="*/ 984250 h 1276350"/>
              <a:gd name="connsiteX7" fmla="*/ 323850 w 889000"/>
              <a:gd name="connsiteY7" fmla="*/ 698500 h 1276350"/>
              <a:gd name="connsiteX8" fmla="*/ 0 w 889000"/>
              <a:gd name="connsiteY8" fmla="*/ 0 h 1276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89000" h="1276350">
                <a:moveTo>
                  <a:pt x="0" y="0"/>
                </a:moveTo>
                <a:lnTo>
                  <a:pt x="247650" y="107950"/>
                </a:lnTo>
                <a:lnTo>
                  <a:pt x="590550" y="31750"/>
                </a:lnTo>
                <a:lnTo>
                  <a:pt x="889000" y="965200"/>
                </a:lnTo>
                <a:lnTo>
                  <a:pt x="711200" y="965200"/>
                </a:lnTo>
                <a:lnTo>
                  <a:pt x="596900" y="1276350"/>
                </a:lnTo>
                <a:lnTo>
                  <a:pt x="311150" y="984250"/>
                </a:lnTo>
                <a:lnTo>
                  <a:pt x="323850" y="698500"/>
                </a:lnTo>
                <a:lnTo>
                  <a:pt x="0" y="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TextBox 106">
            <a:extLst>
              <a:ext uri="{FF2B5EF4-FFF2-40B4-BE49-F238E27FC236}">
                <a16:creationId xmlns:a16="http://schemas.microsoft.com/office/drawing/2014/main" id="{FB19CF1E-773B-4102-95AC-7DA6CEFB57E6}"/>
              </a:ext>
            </a:extLst>
          </xdr:cNvPr>
          <xdr:cNvSpPr txBox="1"/>
        </xdr:nvSpPr>
        <xdr:spPr>
          <a:xfrm>
            <a:off x="4215334" y="3533468"/>
            <a:ext cx="1288494" cy="307777"/>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Green Terraces</a:t>
            </a:r>
            <a:endParaRPr lang="en-IN" sz="1400" b="1"/>
          </a:p>
        </xdr:txBody>
      </xdr:sp>
      <xdr:cxnSp macro="">
        <xdr:nvCxnSpPr>
          <xdr:cNvPr id="33" name="Straight Arrow Connector 32">
            <a:extLst>
              <a:ext uri="{FF2B5EF4-FFF2-40B4-BE49-F238E27FC236}">
                <a16:creationId xmlns:a16="http://schemas.microsoft.com/office/drawing/2014/main" id="{CFE91B57-3945-4EB1-9893-79BC2760E89C}"/>
              </a:ext>
            </a:extLst>
          </xdr:cNvPr>
          <xdr:cNvCxnSpPr>
            <a:stCxn id="32" idx="2"/>
          </xdr:cNvCxnSpPr>
        </xdr:nvCxnSpPr>
        <xdr:spPr>
          <a:xfrm flipH="1">
            <a:off x="3663951" y="3841245"/>
            <a:ext cx="1195630" cy="1035204"/>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587086</xdr:colOff>
      <xdr:row>15</xdr:row>
      <xdr:rowOff>181841</xdr:rowOff>
    </xdr:from>
    <xdr:to>
      <xdr:col>13</xdr:col>
      <xdr:colOff>533878</xdr:colOff>
      <xdr:row>17</xdr:row>
      <xdr:rowOff>2296052</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a:stretch>
          <a:fillRect/>
        </a:stretch>
      </xdr:blipFill>
      <xdr:spPr>
        <a:xfrm>
          <a:off x="6902161" y="3782291"/>
          <a:ext cx="4337817" cy="2714286"/>
        </a:xfrm>
        <a:prstGeom prst="rect">
          <a:avLst/>
        </a:prstGeom>
        <a:ln>
          <a:solidFill>
            <a:schemeClr val="tx1"/>
          </a:solidFill>
        </a:ln>
      </xdr:spPr>
    </xdr:pic>
    <xdr:clientData/>
  </xdr:twoCellAnchor>
  <xdr:twoCellAnchor editAs="oneCell">
    <xdr:from>
      <xdr:col>10</xdr:col>
      <xdr:colOff>352425</xdr:colOff>
      <xdr:row>50</xdr:row>
      <xdr:rowOff>66675</xdr:rowOff>
    </xdr:from>
    <xdr:to>
      <xdr:col>21</xdr:col>
      <xdr:colOff>410722</xdr:colOff>
      <xdr:row>64</xdr:row>
      <xdr:rowOff>191017</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6"/>
        <a:stretch>
          <a:fillRect/>
        </a:stretch>
      </xdr:blipFill>
      <xdr:spPr>
        <a:xfrm>
          <a:off x="8591550" y="16630650"/>
          <a:ext cx="8221222" cy="3705742"/>
        </a:xfrm>
        <a:prstGeom prst="rect">
          <a:avLst/>
        </a:prstGeom>
      </xdr:spPr>
    </xdr:pic>
    <xdr:clientData/>
  </xdr:twoCellAnchor>
  <xdr:twoCellAnchor editAs="oneCell">
    <xdr:from>
      <xdr:col>8</xdr:col>
      <xdr:colOff>485775</xdr:colOff>
      <xdr:row>54</xdr:row>
      <xdr:rowOff>0</xdr:rowOff>
    </xdr:from>
    <xdr:to>
      <xdr:col>14</xdr:col>
      <xdr:colOff>219768</xdr:colOff>
      <xdr:row>58</xdr:row>
      <xdr:rowOff>9736</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7"/>
        <a:stretch>
          <a:fillRect/>
        </a:stretch>
      </xdr:blipFill>
      <xdr:spPr>
        <a:xfrm>
          <a:off x="6800850" y="17592675"/>
          <a:ext cx="4963218" cy="1514686"/>
        </a:xfrm>
        <a:prstGeom prst="rect">
          <a:avLst/>
        </a:prstGeom>
      </xdr:spPr>
    </xdr:pic>
    <xdr:clientData/>
  </xdr:twoCellAnchor>
  <xdr:twoCellAnchor>
    <xdr:from>
      <xdr:col>9</xdr:col>
      <xdr:colOff>413384</xdr:colOff>
      <xdr:row>316</xdr:row>
      <xdr:rowOff>196215</xdr:rowOff>
    </xdr:from>
    <xdr:to>
      <xdr:col>17</xdr:col>
      <xdr:colOff>68579</xdr:colOff>
      <xdr:row>356</xdr:row>
      <xdr:rowOff>64770</xdr:rowOff>
    </xdr:to>
    <xdr:grpSp>
      <xdr:nvGrpSpPr>
        <xdr:cNvPr id="49" name="Group 48">
          <a:extLst>
            <a:ext uri="{FF2B5EF4-FFF2-40B4-BE49-F238E27FC236}">
              <a16:creationId xmlns:a16="http://schemas.microsoft.com/office/drawing/2014/main" id="{00000000-0008-0000-0000-000031000000}"/>
            </a:ext>
          </a:extLst>
        </xdr:cNvPr>
        <xdr:cNvGrpSpPr/>
      </xdr:nvGrpSpPr>
      <xdr:grpSpPr>
        <a:xfrm>
          <a:off x="7890509" y="71471790"/>
          <a:ext cx="5922645" cy="7860030"/>
          <a:chOff x="760443" y="581099"/>
          <a:chExt cx="5857807" cy="7803116"/>
        </a:xfrm>
      </xdr:grpSpPr>
      <xdr:pic>
        <xdr:nvPicPr>
          <xdr:cNvPr id="50" name="Picture 49" descr="https://vsjcllp.vsjadon.com/upload/insp-236682-1525.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762376" y="622421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682-843.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18362" y="581099"/>
            <a:ext cx="4375558" cy="32862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6682-844.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60443" y="396104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6682-874.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34630" y="622421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6682-883.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42251" y="396104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289561</xdr:colOff>
      <xdr:row>318</xdr:row>
      <xdr:rowOff>76201</xdr:rowOff>
    </xdr:from>
    <xdr:to>
      <xdr:col>7</xdr:col>
      <xdr:colOff>15241</xdr:colOff>
      <xdr:row>356</xdr:row>
      <xdr:rowOff>175261</xdr:rowOff>
    </xdr:to>
    <xdr:grpSp>
      <xdr:nvGrpSpPr>
        <xdr:cNvPr id="34" name="Group 33">
          <a:extLst>
            <a:ext uri="{FF2B5EF4-FFF2-40B4-BE49-F238E27FC236}">
              <a16:creationId xmlns:a16="http://schemas.microsoft.com/office/drawing/2014/main" id="{E236049B-CCB5-4A85-2981-C918A4D92CCC}"/>
            </a:ext>
          </a:extLst>
        </xdr:cNvPr>
        <xdr:cNvGrpSpPr/>
      </xdr:nvGrpSpPr>
      <xdr:grpSpPr>
        <a:xfrm>
          <a:off x="289561" y="71751826"/>
          <a:ext cx="5307330" cy="7690485"/>
          <a:chOff x="354715" y="201299"/>
          <a:chExt cx="5900857" cy="8234161"/>
        </a:xfrm>
      </xdr:grpSpPr>
      <xdr:pic>
        <xdr:nvPicPr>
          <xdr:cNvPr id="35" name="Picture 34">
            <a:extLst>
              <a:ext uri="{FF2B5EF4-FFF2-40B4-BE49-F238E27FC236}">
                <a16:creationId xmlns:a16="http://schemas.microsoft.com/office/drawing/2014/main" id="{BDFB37B3-FA4E-14CF-16A6-BFE65E58325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28999" y="627546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a:extLst>
              <a:ext uri="{FF2B5EF4-FFF2-40B4-BE49-F238E27FC236}">
                <a16:creationId xmlns:a16="http://schemas.microsoft.com/office/drawing/2014/main" id="{C351FB53-398C-17A4-03D5-6E138797C58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4715" y="3964353"/>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a:extLst>
              <a:ext uri="{FF2B5EF4-FFF2-40B4-BE49-F238E27FC236}">
                <a16:creationId xmlns:a16="http://schemas.microsoft.com/office/drawing/2014/main" id="{7B043F98-9DD3-3222-AC43-1808FED44F85}"/>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53165" y="627546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a:extLst>
              <a:ext uri="{FF2B5EF4-FFF2-40B4-BE49-F238E27FC236}">
                <a16:creationId xmlns:a16="http://schemas.microsoft.com/office/drawing/2014/main" id="{22B1F5E2-15BA-CC58-0473-9E8AB3CB69E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379572" y="3964353"/>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a:extLst>
              <a:ext uri="{FF2B5EF4-FFF2-40B4-BE49-F238E27FC236}">
                <a16:creationId xmlns:a16="http://schemas.microsoft.com/office/drawing/2014/main" id="{F243D0A9-EA19-95AB-5618-1187C7515AEE}"/>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024379" y="201299"/>
            <a:ext cx="4809241" cy="36119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714375</xdr:colOff>
      <xdr:row>146</xdr:row>
      <xdr:rowOff>95250</xdr:rowOff>
    </xdr:from>
    <xdr:to>
      <xdr:col>13</xdr:col>
      <xdr:colOff>235698</xdr:colOff>
      <xdr:row>162</xdr:row>
      <xdr:rowOff>94800</xdr:rowOff>
    </xdr:to>
    <xdr:pic>
      <xdr:nvPicPr>
        <xdr:cNvPr id="43" name="Picture 42">
          <a:extLst>
            <a:ext uri="{FF2B5EF4-FFF2-40B4-BE49-F238E27FC236}">
              <a16:creationId xmlns:a16="http://schemas.microsoft.com/office/drawing/2014/main" id="{70856D6C-7961-7E24-6524-DE7608A88FD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953500" y="33766125"/>
          <a:ext cx="1988298"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723900</xdr:colOff>
      <xdr:row>269</xdr:row>
      <xdr:rowOff>57150</xdr:rowOff>
    </xdr:from>
    <xdr:to>
      <xdr:col>14</xdr:col>
      <xdr:colOff>746180</xdr:colOff>
      <xdr:row>310</xdr:row>
      <xdr:rowOff>132225</xdr:rowOff>
    </xdr:to>
    <xdr:pic>
      <xdr:nvPicPr>
        <xdr:cNvPr id="44" name="Picture 43">
          <a:extLst>
            <a:ext uri="{FF2B5EF4-FFF2-40B4-BE49-F238E27FC236}">
              <a16:creationId xmlns:a16="http://schemas.microsoft.com/office/drawing/2014/main" id="{BD5E9799-AC65-DCEC-F9C0-FC8A623BC5CC}"/>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8201025" y="59978925"/>
          <a:ext cx="4089455" cy="90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104775</xdr:colOff>
      <xdr:row>359</xdr:row>
      <xdr:rowOff>57150</xdr:rowOff>
    </xdr:from>
    <xdr:to>
      <xdr:col>7</xdr:col>
      <xdr:colOff>579395</xdr:colOff>
      <xdr:row>381</xdr:row>
      <xdr:rowOff>198038</xdr:rowOff>
    </xdr:to>
    <xdr:grpSp>
      <xdr:nvGrpSpPr>
        <xdr:cNvPr id="64" name="Group 63">
          <a:extLst>
            <a:ext uri="{FF2B5EF4-FFF2-40B4-BE49-F238E27FC236}">
              <a16:creationId xmlns:a16="http://schemas.microsoft.com/office/drawing/2014/main" id="{3C4AA06F-A83F-3C86-FBB0-F38DC57703A3}"/>
            </a:ext>
          </a:extLst>
        </xdr:cNvPr>
        <xdr:cNvGrpSpPr/>
      </xdr:nvGrpSpPr>
      <xdr:grpSpPr>
        <a:xfrm>
          <a:off x="104775" y="79924275"/>
          <a:ext cx="6056270" cy="4541438"/>
          <a:chOff x="104775" y="79924275"/>
          <a:chExt cx="6056270" cy="4541438"/>
        </a:xfrm>
      </xdr:grpSpPr>
      <xdr:pic>
        <xdr:nvPicPr>
          <xdr:cNvPr id="16" name="Picture 15">
            <a:extLst>
              <a:ext uri="{FF2B5EF4-FFF2-40B4-BE49-F238E27FC236}">
                <a16:creationId xmlns:a16="http://schemas.microsoft.com/office/drawing/2014/main" id="{BCC9F3A0-C9D1-4F1A-861D-83815DD5E238}"/>
              </a:ext>
            </a:extLst>
          </xdr:cNvPr>
          <xdr:cNvPicPr>
            <a:picLocks noChangeAspect="1"/>
          </xdr:cNvPicPr>
        </xdr:nvPicPr>
        <xdr:blipFill>
          <a:blip xmlns:r="http://schemas.openxmlformats.org/officeDocument/2006/relationships" r:embed="rId30"/>
          <a:stretch>
            <a:fillRect/>
          </a:stretch>
        </xdr:blipFill>
        <xdr:spPr>
          <a:xfrm>
            <a:off x="104775" y="79924275"/>
            <a:ext cx="6056270" cy="4534304"/>
          </a:xfrm>
          <a:prstGeom prst="rect">
            <a:avLst/>
          </a:prstGeom>
          <a:ln>
            <a:solidFill>
              <a:schemeClr val="tx1"/>
            </a:solidFill>
          </a:ln>
        </xdr:spPr>
      </xdr:pic>
      <xdr:grpSp>
        <xdr:nvGrpSpPr>
          <xdr:cNvPr id="56" name="Group 55">
            <a:extLst>
              <a:ext uri="{FF2B5EF4-FFF2-40B4-BE49-F238E27FC236}">
                <a16:creationId xmlns:a16="http://schemas.microsoft.com/office/drawing/2014/main" id="{60C7A150-D729-E519-2F39-6FF91A64F632}"/>
              </a:ext>
            </a:extLst>
          </xdr:cNvPr>
          <xdr:cNvGrpSpPr/>
        </xdr:nvGrpSpPr>
        <xdr:grpSpPr>
          <a:xfrm>
            <a:off x="4629458" y="80076964"/>
            <a:ext cx="946875" cy="1239762"/>
            <a:chOff x="4629458" y="80076964"/>
            <a:chExt cx="946875" cy="1239762"/>
          </a:xfrm>
        </xdr:grpSpPr>
        <xdr:sp macro="" textlink="">
          <xdr:nvSpPr>
            <xdr:cNvPr id="17" name="Rectangle 16">
              <a:extLst>
                <a:ext uri="{FF2B5EF4-FFF2-40B4-BE49-F238E27FC236}">
                  <a16:creationId xmlns:a16="http://schemas.microsoft.com/office/drawing/2014/main" id="{DD336ADA-A65F-49E8-92C2-86BE5B1FCFD5}"/>
                </a:ext>
              </a:extLst>
            </xdr:cNvPr>
            <xdr:cNvSpPr/>
          </xdr:nvSpPr>
          <xdr:spPr>
            <a:xfrm rot="21189995">
              <a:off x="4648894" y="80428202"/>
              <a:ext cx="927439" cy="88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37">
              <a:extLst>
                <a:ext uri="{FF2B5EF4-FFF2-40B4-BE49-F238E27FC236}">
                  <a16:creationId xmlns:a16="http://schemas.microsoft.com/office/drawing/2014/main" id="{84F26431-72B1-467A-ADDE-C500B55F05C1}"/>
                </a:ext>
              </a:extLst>
            </xdr:cNvPr>
            <xdr:cNvSpPr txBox="1"/>
          </xdr:nvSpPr>
          <xdr:spPr>
            <a:xfrm rot="21309042">
              <a:off x="4629458" y="80076964"/>
              <a:ext cx="906691"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1</a:t>
              </a:r>
              <a:endParaRPr lang="en-IN" sz="1400" b="1">
                <a:solidFill>
                  <a:srgbClr val="FF0000"/>
                </a:solidFill>
              </a:endParaRPr>
            </a:p>
          </xdr:txBody>
        </xdr:sp>
      </xdr:grpSp>
      <xdr:grpSp>
        <xdr:nvGrpSpPr>
          <xdr:cNvPr id="58" name="Group 57">
            <a:extLst>
              <a:ext uri="{FF2B5EF4-FFF2-40B4-BE49-F238E27FC236}">
                <a16:creationId xmlns:a16="http://schemas.microsoft.com/office/drawing/2014/main" id="{84FE5E0D-020D-1AD0-8769-CDD02578AA17}"/>
              </a:ext>
            </a:extLst>
          </xdr:cNvPr>
          <xdr:cNvGrpSpPr/>
        </xdr:nvGrpSpPr>
        <xdr:grpSpPr>
          <a:xfrm>
            <a:off x="3479167" y="80158160"/>
            <a:ext cx="976758" cy="1277922"/>
            <a:chOff x="3479167" y="80158160"/>
            <a:chExt cx="976758" cy="1277922"/>
          </a:xfrm>
        </xdr:grpSpPr>
        <xdr:sp macro="" textlink="">
          <xdr:nvSpPr>
            <xdr:cNvPr id="18" name="Rectangle 17">
              <a:extLst>
                <a:ext uri="{FF2B5EF4-FFF2-40B4-BE49-F238E27FC236}">
                  <a16:creationId xmlns:a16="http://schemas.microsoft.com/office/drawing/2014/main" id="{D4D34A40-FD8A-47A1-BC1A-8F93CE033886}"/>
                </a:ext>
              </a:extLst>
            </xdr:cNvPr>
            <xdr:cNvSpPr/>
          </xdr:nvSpPr>
          <xdr:spPr>
            <a:xfrm rot="21189995">
              <a:off x="3479167" y="80547558"/>
              <a:ext cx="976758" cy="88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88">
              <a:extLst>
                <a:ext uri="{FF2B5EF4-FFF2-40B4-BE49-F238E27FC236}">
                  <a16:creationId xmlns:a16="http://schemas.microsoft.com/office/drawing/2014/main" id="{4C78E7B3-0B84-4E5B-B3B0-2FCFDB51A39D}"/>
                </a:ext>
              </a:extLst>
            </xdr:cNvPr>
            <xdr:cNvSpPr txBox="1"/>
          </xdr:nvSpPr>
          <xdr:spPr>
            <a:xfrm rot="21304535">
              <a:off x="3505909" y="80158160"/>
              <a:ext cx="906691"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2</a:t>
              </a:r>
              <a:endParaRPr lang="en-IN" sz="1400" b="1">
                <a:solidFill>
                  <a:srgbClr val="FF0000"/>
                </a:solidFill>
              </a:endParaRPr>
            </a:p>
          </xdr:txBody>
        </xdr:sp>
      </xdr:grpSp>
      <xdr:grpSp>
        <xdr:nvGrpSpPr>
          <xdr:cNvPr id="59" name="Group 58">
            <a:extLst>
              <a:ext uri="{FF2B5EF4-FFF2-40B4-BE49-F238E27FC236}">
                <a16:creationId xmlns:a16="http://schemas.microsoft.com/office/drawing/2014/main" id="{F59944D3-CFC9-A045-E635-4FADFB88F690}"/>
              </a:ext>
            </a:extLst>
          </xdr:cNvPr>
          <xdr:cNvGrpSpPr/>
        </xdr:nvGrpSpPr>
        <xdr:grpSpPr>
          <a:xfrm>
            <a:off x="2197361" y="80557154"/>
            <a:ext cx="1179174" cy="1261132"/>
            <a:chOff x="2197361" y="80557154"/>
            <a:chExt cx="1179174" cy="1261132"/>
          </a:xfrm>
        </xdr:grpSpPr>
        <xdr:sp macro="" textlink="">
          <xdr:nvSpPr>
            <xdr:cNvPr id="19" name="Rectangle 18">
              <a:extLst>
                <a:ext uri="{FF2B5EF4-FFF2-40B4-BE49-F238E27FC236}">
                  <a16:creationId xmlns:a16="http://schemas.microsoft.com/office/drawing/2014/main" id="{BBE5E146-22FC-4661-ADC7-40748C87A2BA}"/>
                </a:ext>
              </a:extLst>
            </xdr:cNvPr>
            <xdr:cNvSpPr/>
          </xdr:nvSpPr>
          <xdr:spPr>
            <a:xfrm rot="20374275">
              <a:off x="2449096" y="80929762"/>
              <a:ext cx="927439" cy="88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89">
              <a:extLst>
                <a:ext uri="{FF2B5EF4-FFF2-40B4-BE49-F238E27FC236}">
                  <a16:creationId xmlns:a16="http://schemas.microsoft.com/office/drawing/2014/main" id="{A4FD19EE-79A7-4687-A7BD-9D7411975A6C}"/>
                </a:ext>
              </a:extLst>
            </xdr:cNvPr>
            <xdr:cNvSpPr txBox="1"/>
          </xdr:nvSpPr>
          <xdr:spPr>
            <a:xfrm>
              <a:off x="2197361" y="80557154"/>
              <a:ext cx="906691"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3</a:t>
              </a:r>
              <a:endParaRPr lang="en-IN" sz="1400" b="1">
                <a:solidFill>
                  <a:srgbClr val="FF0000"/>
                </a:solidFill>
              </a:endParaRPr>
            </a:p>
          </xdr:txBody>
        </xdr:sp>
      </xdr:grpSp>
      <xdr:grpSp>
        <xdr:nvGrpSpPr>
          <xdr:cNvPr id="60" name="Group 59">
            <a:extLst>
              <a:ext uri="{FF2B5EF4-FFF2-40B4-BE49-F238E27FC236}">
                <a16:creationId xmlns:a16="http://schemas.microsoft.com/office/drawing/2014/main" id="{4FB5D620-D885-D06D-355D-CA5DBA5920E3}"/>
              </a:ext>
            </a:extLst>
          </xdr:cNvPr>
          <xdr:cNvGrpSpPr/>
        </xdr:nvGrpSpPr>
        <xdr:grpSpPr>
          <a:xfrm>
            <a:off x="1014591" y="81268250"/>
            <a:ext cx="1424310" cy="1219035"/>
            <a:chOff x="1014591" y="81268250"/>
            <a:chExt cx="1424310" cy="1219035"/>
          </a:xfrm>
        </xdr:grpSpPr>
        <xdr:sp macro="" textlink="">
          <xdr:nvSpPr>
            <xdr:cNvPr id="20" name="Rectangle 19">
              <a:extLst>
                <a:ext uri="{FF2B5EF4-FFF2-40B4-BE49-F238E27FC236}">
                  <a16:creationId xmlns:a16="http://schemas.microsoft.com/office/drawing/2014/main" id="{2FFD50D9-B9E4-4F6E-B39C-EAECC7E3E9C2}"/>
                </a:ext>
              </a:extLst>
            </xdr:cNvPr>
            <xdr:cNvSpPr/>
          </xdr:nvSpPr>
          <xdr:spPr>
            <a:xfrm rot="19521701">
              <a:off x="1511462" y="81598761"/>
              <a:ext cx="927439" cy="88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90">
              <a:extLst>
                <a:ext uri="{FF2B5EF4-FFF2-40B4-BE49-F238E27FC236}">
                  <a16:creationId xmlns:a16="http://schemas.microsoft.com/office/drawing/2014/main" id="{B483A624-4A0C-4E1B-98FC-2233C8DFCC9F}"/>
                </a:ext>
              </a:extLst>
            </xdr:cNvPr>
            <xdr:cNvSpPr txBox="1"/>
          </xdr:nvSpPr>
          <xdr:spPr>
            <a:xfrm rot="21304535">
              <a:off x="1014591" y="81268250"/>
              <a:ext cx="906691"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4</a:t>
              </a:r>
              <a:endParaRPr lang="en-IN" sz="1400" b="1">
                <a:solidFill>
                  <a:srgbClr val="FF0000"/>
                </a:solidFill>
              </a:endParaRPr>
            </a:p>
          </xdr:txBody>
        </xdr:sp>
      </xdr:grpSp>
      <xdr:grpSp>
        <xdr:nvGrpSpPr>
          <xdr:cNvPr id="63" name="Group 62">
            <a:extLst>
              <a:ext uri="{FF2B5EF4-FFF2-40B4-BE49-F238E27FC236}">
                <a16:creationId xmlns:a16="http://schemas.microsoft.com/office/drawing/2014/main" id="{C0BB4E8C-8AD8-50D1-298F-B1FFA8A58F7B}"/>
              </a:ext>
            </a:extLst>
          </xdr:cNvPr>
          <xdr:cNvGrpSpPr/>
        </xdr:nvGrpSpPr>
        <xdr:grpSpPr>
          <a:xfrm>
            <a:off x="1571191" y="83989309"/>
            <a:ext cx="747304" cy="476404"/>
            <a:chOff x="1571191" y="83989309"/>
            <a:chExt cx="747304" cy="476404"/>
          </a:xfrm>
        </xdr:grpSpPr>
        <xdr:sp macro="" textlink="">
          <xdr:nvSpPr>
            <xdr:cNvPr id="25" name="Arrow: Right 24">
              <a:extLst>
                <a:ext uri="{FF2B5EF4-FFF2-40B4-BE49-F238E27FC236}">
                  <a16:creationId xmlns:a16="http://schemas.microsoft.com/office/drawing/2014/main" id="{069BB434-9742-478E-9F38-19A8F6E75C56}"/>
                </a:ext>
              </a:extLst>
            </xdr:cNvPr>
            <xdr:cNvSpPr/>
          </xdr:nvSpPr>
          <xdr:spPr>
            <a:xfrm rot="21039040">
              <a:off x="1918240" y="84059201"/>
              <a:ext cx="400255" cy="24573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TextBox 39">
              <a:extLst>
                <a:ext uri="{FF2B5EF4-FFF2-40B4-BE49-F238E27FC236}">
                  <a16:creationId xmlns:a16="http://schemas.microsoft.com/office/drawing/2014/main" id="{C8506C2D-076F-44EF-9193-AB34EE3A163B}"/>
                </a:ext>
              </a:extLst>
            </xdr:cNvPr>
            <xdr:cNvSpPr txBox="1"/>
          </xdr:nvSpPr>
          <xdr:spPr>
            <a:xfrm>
              <a:off x="1571191" y="83989309"/>
              <a:ext cx="392918" cy="4764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grpSp>
        <xdr:nvGrpSpPr>
          <xdr:cNvPr id="61" name="Group 60">
            <a:extLst>
              <a:ext uri="{FF2B5EF4-FFF2-40B4-BE49-F238E27FC236}">
                <a16:creationId xmlns:a16="http://schemas.microsoft.com/office/drawing/2014/main" id="{166B2A4C-D5F5-2233-455E-2553CD747E1E}"/>
              </a:ext>
            </a:extLst>
          </xdr:cNvPr>
          <xdr:cNvGrpSpPr/>
        </xdr:nvGrpSpPr>
        <xdr:grpSpPr>
          <a:xfrm>
            <a:off x="190500" y="81981676"/>
            <a:ext cx="1457438" cy="1310826"/>
            <a:chOff x="190500" y="81981676"/>
            <a:chExt cx="1457438" cy="1310826"/>
          </a:xfrm>
        </xdr:grpSpPr>
        <xdr:sp macro="" textlink="">
          <xdr:nvSpPr>
            <xdr:cNvPr id="45" name="Rectangle 44">
              <a:extLst>
                <a:ext uri="{FF2B5EF4-FFF2-40B4-BE49-F238E27FC236}">
                  <a16:creationId xmlns:a16="http://schemas.microsoft.com/office/drawing/2014/main" id="{540E2370-3458-494A-AF25-CD7DE00BC7E9}"/>
                </a:ext>
              </a:extLst>
            </xdr:cNvPr>
            <xdr:cNvSpPr/>
          </xdr:nvSpPr>
          <xdr:spPr>
            <a:xfrm rot="19218637">
              <a:off x="633551" y="82331610"/>
              <a:ext cx="1014387" cy="96089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90">
              <a:extLst>
                <a:ext uri="{FF2B5EF4-FFF2-40B4-BE49-F238E27FC236}">
                  <a16:creationId xmlns:a16="http://schemas.microsoft.com/office/drawing/2014/main" id="{71FDEB93-E2C3-402A-92B1-67AD24F894CF}"/>
                </a:ext>
              </a:extLst>
            </xdr:cNvPr>
            <xdr:cNvSpPr txBox="1"/>
          </xdr:nvSpPr>
          <xdr:spPr>
            <a:xfrm rot="21304535">
              <a:off x="190500" y="81981676"/>
              <a:ext cx="906691"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5</a:t>
              </a:r>
              <a:endParaRPr lang="en-IN" sz="1400" b="1">
                <a:solidFill>
                  <a:srgbClr val="FF0000"/>
                </a:solidFill>
              </a:endParaRPr>
            </a:p>
          </xdr:txBody>
        </xdr:sp>
      </xdr:grpSp>
      <xdr:grpSp>
        <xdr:nvGrpSpPr>
          <xdr:cNvPr id="62" name="Group 61">
            <a:extLst>
              <a:ext uri="{FF2B5EF4-FFF2-40B4-BE49-F238E27FC236}">
                <a16:creationId xmlns:a16="http://schemas.microsoft.com/office/drawing/2014/main" id="{BB8A89C3-2108-CA05-9FA8-DBF74A56B539}"/>
              </a:ext>
            </a:extLst>
          </xdr:cNvPr>
          <xdr:cNvGrpSpPr/>
        </xdr:nvGrpSpPr>
        <xdr:grpSpPr>
          <a:xfrm>
            <a:off x="1743075" y="81791175"/>
            <a:ext cx="3448050" cy="2406495"/>
            <a:chOff x="1743075" y="81791175"/>
            <a:chExt cx="3448050" cy="2406495"/>
          </a:xfrm>
        </xdr:grpSpPr>
        <xdr:sp macro="" textlink="">
          <xdr:nvSpPr>
            <xdr:cNvPr id="48" name="Freeform: Shape 47">
              <a:extLst>
                <a:ext uri="{FF2B5EF4-FFF2-40B4-BE49-F238E27FC236}">
                  <a16:creationId xmlns:a16="http://schemas.microsoft.com/office/drawing/2014/main" id="{F97DF905-9F9F-0A58-05F0-59E3BDEFD466}"/>
                </a:ext>
              </a:extLst>
            </xdr:cNvPr>
            <xdr:cNvSpPr/>
          </xdr:nvSpPr>
          <xdr:spPr>
            <a:xfrm>
              <a:off x="1743075" y="81791175"/>
              <a:ext cx="3448050" cy="2133600"/>
            </a:xfrm>
            <a:custGeom>
              <a:avLst/>
              <a:gdLst>
                <a:gd name="connsiteX0" fmla="*/ 200025 w 3448050"/>
                <a:gd name="connsiteY0" fmla="*/ 952500 h 2133600"/>
                <a:gd name="connsiteX1" fmla="*/ 2352675 w 3448050"/>
                <a:gd name="connsiteY1" fmla="*/ 1343025 h 2133600"/>
                <a:gd name="connsiteX2" fmla="*/ 2571750 w 3448050"/>
                <a:gd name="connsiteY2" fmla="*/ 0 h 2133600"/>
                <a:gd name="connsiteX3" fmla="*/ 3448050 w 3448050"/>
                <a:gd name="connsiteY3" fmla="*/ 228600 h 2133600"/>
                <a:gd name="connsiteX4" fmla="*/ 2886075 w 3448050"/>
                <a:gd name="connsiteY4" fmla="*/ 2133600 h 2133600"/>
                <a:gd name="connsiteX5" fmla="*/ 0 w 3448050"/>
                <a:gd name="connsiteY5" fmla="*/ 1762125 h 2133600"/>
                <a:gd name="connsiteX6" fmla="*/ 200025 w 3448050"/>
                <a:gd name="connsiteY6" fmla="*/ 952500 h 2133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48050" h="2133600">
                  <a:moveTo>
                    <a:pt x="200025" y="952500"/>
                  </a:moveTo>
                  <a:lnTo>
                    <a:pt x="2352675" y="1343025"/>
                  </a:lnTo>
                  <a:lnTo>
                    <a:pt x="2571750" y="0"/>
                  </a:lnTo>
                  <a:lnTo>
                    <a:pt x="3448050" y="228600"/>
                  </a:lnTo>
                  <a:lnTo>
                    <a:pt x="2886075" y="2133600"/>
                  </a:lnTo>
                  <a:lnTo>
                    <a:pt x="0" y="1762125"/>
                  </a:lnTo>
                  <a:lnTo>
                    <a:pt x="200025" y="952500"/>
                  </a:ln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5" name="TextBox 90">
              <a:extLst>
                <a:ext uri="{FF2B5EF4-FFF2-40B4-BE49-F238E27FC236}">
                  <a16:creationId xmlns:a16="http://schemas.microsoft.com/office/drawing/2014/main" id="{5F3D6278-8728-451F-A7F4-0997759946CB}"/>
                </a:ext>
              </a:extLst>
            </xdr:cNvPr>
            <xdr:cNvSpPr txBox="1"/>
          </xdr:nvSpPr>
          <xdr:spPr>
            <a:xfrm rot="452236">
              <a:off x="2511721" y="83800666"/>
              <a:ext cx="2466770" cy="3970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MLCP Commercial </a:t>
              </a:r>
              <a:endParaRPr lang="en-IN" sz="1400" b="1">
                <a:solidFill>
                  <a:srgbClr val="FF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179293</xdr:colOff>
      <xdr:row>5</xdr:row>
      <xdr:rowOff>22413</xdr:rowOff>
    </xdr:from>
    <xdr:to>
      <xdr:col>6</xdr:col>
      <xdr:colOff>809565</xdr:colOff>
      <xdr:row>36</xdr:row>
      <xdr:rowOff>185185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79293" y="986119"/>
          <a:ext cx="7611537" cy="6068272"/>
        </a:xfrm>
        <a:prstGeom prst="rect">
          <a:avLst/>
        </a:prstGeom>
      </xdr:spPr>
    </xdr:pic>
    <xdr:clientData/>
  </xdr:twoCellAnchor>
  <xdr:twoCellAnchor editAs="oneCell">
    <xdr:from>
      <xdr:col>7</xdr:col>
      <xdr:colOff>1075764</xdr:colOff>
      <xdr:row>15</xdr:row>
      <xdr:rowOff>22412</xdr:rowOff>
    </xdr:from>
    <xdr:to>
      <xdr:col>23</xdr:col>
      <xdr:colOff>229855</xdr:colOff>
      <xdr:row>38</xdr:row>
      <xdr:rowOff>89708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9390529" y="2891118"/>
          <a:ext cx="8992855" cy="4448796"/>
        </a:xfrm>
        <a:prstGeom prst="rect">
          <a:avLst/>
        </a:prstGeom>
      </xdr:spPr>
    </xdr:pic>
    <xdr:clientData/>
  </xdr:twoCellAnchor>
  <xdr:twoCellAnchor editAs="oneCell">
    <xdr:from>
      <xdr:col>5</xdr:col>
      <xdr:colOff>885263</xdr:colOff>
      <xdr:row>3</xdr:row>
      <xdr:rowOff>179296</xdr:rowOff>
    </xdr:from>
    <xdr:to>
      <xdr:col>18</xdr:col>
      <xdr:colOff>174872</xdr:colOff>
      <xdr:row>34</xdr:row>
      <xdr:rowOff>65804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936439" y="762002"/>
          <a:ext cx="8478433" cy="5792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drejhomz.com/godrej-green-terraces/?source=google&amp;medium=ppc&amp;keyword=godrej%20green%20terraces&amp;matchtype=p&amp;device=c&amp;&amp;location=&amp;gad_source=1&amp;gclid=Cj0KCQiAgJa6BhCOARIsAMiL7V8kZjkijBp9UfFp4MOSjmzd6o1LKRnu2QA3QlhBHRDC7G6hFpZbrA8aAhoDEALw_wcB"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01"/>
  <sheetViews>
    <sheetView tabSelected="1" showWhiteSpace="0" view="pageBreakPreview" zoomScaleNormal="100" zoomScaleSheetLayoutView="100" zoomScalePageLayoutView="85" workbookViewId="0">
      <selection activeCell="E9" sqref="E9:H9"/>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71" t="s">
        <v>151</v>
      </c>
      <c r="B1" s="171"/>
      <c r="C1" s="171"/>
      <c r="D1" s="171"/>
      <c r="E1" s="171"/>
      <c r="F1" s="171"/>
      <c r="G1" s="171"/>
      <c r="H1" s="171"/>
    </row>
    <row r="2" spans="1:26" ht="16.5" customHeight="1" x14ac:dyDescent="0.25">
      <c r="A2" s="150" t="s">
        <v>0</v>
      </c>
      <c r="B2" s="150"/>
      <c r="C2" s="150"/>
      <c r="D2" s="150"/>
      <c r="E2" s="150"/>
      <c r="F2" s="150"/>
      <c r="G2" s="150"/>
      <c r="H2" s="150"/>
    </row>
    <row r="3" spans="1:26" x14ac:dyDescent="0.25">
      <c r="A3" s="124" t="s">
        <v>1</v>
      </c>
      <c r="B3" s="124"/>
      <c r="C3" s="124"/>
      <c r="D3" s="124"/>
      <c r="E3" s="124" t="str">
        <f ca="1">TEXT(TODAY(),"DD/MM/YYYY")</f>
        <v>18/09/2025</v>
      </c>
      <c r="F3" s="124"/>
      <c r="G3" s="124"/>
      <c r="H3" s="124"/>
      <c r="K3" s="55" t="s">
        <v>224</v>
      </c>
      <c r="L3" s="54" t="s">
        <v>222</v>
      </c>
      <c r="M3" s="54" t="s">
        <v>227</v>
      </c>
      <c r="N3" s="54" t="s">
        <v>225</v>
      </c>
      <c r="O3" s="54" t="s">
        <v>329</v>
      </c>
      <c r="P3" s="54" t="s">
        <v>228</v>
      </c>
    </row>
    <row r="4" spans="1:26" ht="15" customHeight="1" x14ac:dyDescent="0.25">
      <c r="A4" s="124" t="s">
        <v>221</v>
      </c>
      <c r="B4" s="124"/>
      <c r="C4" s="124"/>
      <c r="D4" s="124"/>
      <c r="E4" s="172" t="s">
        <v>222</v>
      </c>
      <c r="F4" s="172"/>
      <c r="G4" s="172"/>
      <c r="H4" s="172"/>
      <c r="K4" s="53" t="s">
        <v>223</v>
      </c>
      <c r="L4" s="54" t="s">
        <v>158</v>
      </c>
      <c r="M4" s="54" t="s">
        <v>232</v>
      </c>
      <c r="N4" s="54" t="s">
        <v>234</v>
      </c>
      <c r="O4" s="54" t="s">
        <v>330</v>
      </c>
      <c r="P4" s="54"/>
    </row>
    <row r="5" spans="1:26" ht="15" customHeight="1" x14ac:dyDescent="0.25">
      <c r="A5" s="124" t="s">
        <v>2</v>
      </c>
      <c r="B5" s="124"/>
      <c r="C5" s="124"/>
      <c r="D5" s="124"/>
      <c r="E5" s="172" t="s">
        <v>158</v>
      </c>
      <c r="F5" s="172"/>
      <c r="G5" s="172"/>
      <c r="H5" s="172"/>
      <c r="K5" s="53"/>
      <c r="L5" s="54" t="s">
        <v>229</v>
      </c>
      <c r="M5" s="54" t="s">
        <v>233</v>
      </c>
      <c r="N5" s="54" t="s">
        <v>235</v>
      </c>
      <c r="O5" s="54" t="s">
        <v>331</v>
      </c>
      <c r="P5" s="54"/>
    </row>
    <row r="6" spans="1:26" x14ac:dyDescent="0.25">
      <c r="A6" s="124" t="s">
        <v>3</v>
      </c>
      <c r="B6" s="124"/>
      <c r="C6" s="124"/>
      <c r="D6" s="124"/>
      <c r="E6" s="173">
        <v>45908</v>
      </c>
      <c r="F6" s="174"/>
      <c r="G6" s="174"/>
      <c r="H6" s="174"/>
      <c r="K6" s="53"/>
      <c r="L6" s="54" t="s">
        <v>230</v>
      </c>
      <c r="M6" s="54" t="s">
        <v>343</v>
      </c>
      <c r="N6" s="54"/>
      <c r="O6" s="54" t="s">
        <v>332</v>
      </c>
      <c r="P6" s="54"/>
    </row>
    <row r="7" spans="1:26" ht="16.5" customHeight="1" x14ac:dyDescent="0.25">
      <c r="A7" s="124" t="s">
        <v>4</v>
      </c>
      <c r="B7" s="124"/>
      <c r="C7" s="124"/>
      <c r="D7" s="124"/>
      <c r="E7" s="124" t="s">
        <v>375</v>
      </c>
      <c r="F7" s="124"/>
      <c r="G7" s="124"/>
      <c r="H7" s="124"/>
      <c r="K7" s="53"/>
      <c r="L7" s="54" t="s">
        <v>231</v>
      </c>
      <c r="M7" s="54"/>
      <c r="N7" s="54"/>
      <c r="O7" s="54" t="s">
        <v>332</v>
      </c>
      <c r="P7" s="54"/>
    </row>
    <row r="8" spans="1:26" ht="15" customHeight="1" x14ac:dyDescent="0.25">
      <c r="A8" s="124" t="s">
        <v>5</v>
      </c>
      <c r="B8" s="124"/>
      <c r="C8" s="124"/>
      <c r="D8" s="124"/>
      <c r="E8" s="124" t="str">
        <f>E7</f>
        <v>M/s. Caroa Properties LLP</v>
      </c>
      <c r="F8" s="124"/>
      <c r="G8" s="124"/>
      <c r="H8" s="124"/>
      <c r="K8" s="53"/>
      <c r="L8" s="54"/>
      <c r="M8" s="54"/>
      <c r="N8" s="54"/>
      <c r="O8" s="54" t="s">
        <v>333</v>
      </c>
      <c r="P8" s="54"/>
    </row>
    <row r="9" spans="1:26" x14ac:dyDescent="0.25">
      <c r="A9" s="124" t="s">
        <v>6</v>
      </c>
      <c r="B9" s="124"/>
      <c r="C9" s="124"/>
      <c r="D9" s="124"/>
      <c r="E9" s="169" t="s">
        <v>403</v>
      </c>
      <c r="F9" s="169"/>
      <c r="G9" s="169"/>
      <c r="H9" s="169"/>
      <c r="K9" s="53"/>
      <c r="L9" s="54"/>
      <c r="M9" s="54"/>
      <c r="N9" s="54"/>
      <c r="O9" s="54" t="s">
        <v>334</v>
      </c>
      <c r="P9" s="54"/>
    </row>
    <row r="10" spans="1:26" x14ac:dyDescent="0.25">
      <c r="A10" s="124" t="s">
        <v>154</v>
      </c>
      <c r="B10" s="124"/>
      <c r="C10" s="124"/>
      <c r="D10" s="124"/>
      <c r="E10" s="124">
        <v>9821422860</v>
      </c>
      <c r="F10" s="124"/>
      <c r="G10" s="124"/>
      <c r="H10" s="124"/>
      <c r="K10" s="53"/>
      <c r="L10" s="54"/>
      <c r="M10" s="54"/>
      <c r="N10" s="54"/>
      <c r="O10" s="54" t="s">
        <v>335</v>
      </c>
      <c r="P10" s="54"/>
    </row>
    <row r="11" spans="1:26" hidden="1" x14ac:dyDescent="0.25">
      <c r="A11" s="124" t="s">
        <v>155</v>
      </c>
      <c r="B11" s="124"/>
      <c r="C11" s="124"/>
      <c r="D11" s="124"/>
      <c r="E11" s="174" t="s">
        <v>376</v>
      </c>
      <c r="F11" s="174"/>
      <c r="G11" s="174"/>
      <c r="H11" s="174"/>
      <c r="O11" s="54" t="s">
        <v>336</v>
      </c>
    </row>
    <row r="12" spans="1:26" x14ac:dyDescent="0.25">
      <c r="A12" s="124" t="s">
        <v>7</v>
      </c>
      <c r="B12" s="124"/>
      <c r="C12" s="124"/>
      <c r="D12" s="124"/>
      <c r="E12" s="124" t="s">
        <v>408</v>
      </c>
      <c r="F12" s="124"/>
      <c r="G12" s="124"/>
      <c r="H12" s="124"/>
    </row>
    <row r="13" spans="1:26" x14ac:dyDescent="0.25">
      <c r="A13" s="172" t="s">
        <v>159</v>
      </c>
      <c r="B13" s="172"/>
      <c r="C13" s="172"/>
      <c r="D13" s="172"/>
      <c r="E13" s="124" t="s">
        <v>27</v>
      </c>
      <c r="F13" s="124"/>
      <c r="G13" s="124"/>
      <c r="H13" s="124"/>
      <c r="S13" s="54" t="s">
        <v>168</v>
      </c>
      <c r="T13" s="54" t="s">
        <v>177</v>
      </c>
      <c r="U13" s="54" t="s">
        <v>160</v>
      </c>
      <c r="V13" s="54" t="s">
        <v>182</v>
      </c>
      <c r="W13" s="54" t="s">
        <v>200</v>
      </c>
      <c r="X13"/>
      <c r="Y13" t="s">
        <v>182</v>
      </c>
      <c r="Z13" t="e">
        <f ca="1">OFFSET($S$13,1,MATCH($G22,$S$13:$W$13,0)-1,15,1)</f>
        <v>#VALUE!</v>
      </c>
    </row>
    <row r="14" spans="1:26" x14ac:dyDescent="0.25">
      <c r="A14" s="97" t="s">
        <v>267</v>
      </c>
      <c r="B14" s="97"/>
      <c r="C14" s="97"/>
      <c r="D14" s="97"/>
      <c r="E14" s="115" t="s">
        <v>391</v>
      </c>
      <c r="F14" s="115"/>
      <c r="G14" s="115"/>
      <c r="H14" s="115"/>
      <c r="S14" s="54" t="s">
        <v>168</v>
      </c>
      <c r="T14" s="54" t="s">
        <v>175</v>
      </c>
      <c r="U14" s="54" t="s">
        <v>197</v>
      </c>
      <c r="V14" s="54" t="s">
        <v>183</v>
      </c>
      <c r="W14" s="54" t="s">
        <v>201</v>
      </c>
      <c r="X14"/>
      <c r="Y14"/>
      <c r="Z14"/>
    </row>
    <row r="15" spans="1:26" ht="33" customHeight="1" x14ac:dyDescent="0.25">
      <c r="A15" s="234" t="s">
        <v>378</v>
      </c>
      <c r="B15" s="235"/>
      <c r="C15" s="235"/>
      <c r="D15" s="236"/>
      <c r="E15" s="240" t="s">
        <v>381</v>
      </c>
      <c r="F15" s="241"/>
      <c r="G15" s="242" t="s">
        <v>382</v>
      </c>
      <c r="H15" s="243"/>
      <c r="S15" s="54"/>
      <c r="T15" s="54"/>
      <c r="U15" s="54"/>
      <c r="V15" s="54"/>
      <c r="W15" s="54"/>
      <c r="X15"/>
      <c r="Y15"/>
      <c r="Z15"/>
    </row>
    <row r="16" spans="1:26" x14ac:dyDescent="0.25">
      <c r="A16" s="251"/>
      <c r="B16" s="252"/>
      <c r="C16" s="252"/>
      <c r="D16" s="253"/>
      <c r="E16" s="240" t="s">
        <v>380</v>
      </c>
      <c r="F16" s="241"/>
      <c r="G16" s="242" t="s">
        <v>379</v>
      </c>
      <c r="H16" s="243"/>
      <c r="I16" s="119" t="e">
        <f ca="1">OFFSET($D$5,1,MATCH($J13,$D$5:$H$5,0)-1,15,1)</f>
        <v>#N/A</v>
      </c>
      <c r="J16" s="120"/>
      <c r="K16" s="120"/>
      <c r="L16" s="120"/>
      <c r="M16" s="120"/>
      <c r="N16" s="120"/>
      <c r="O16" s="120"/>
      <c r="P16" s="120"/>
      <c r="S16" s="54" t="s">
        <v>169</v>
      </c>
      <c r="T16" s="54" t="s">
        <v>176</v>
      </c>
      <c r="U16" s="54" t="s">
        <v>198</v>
      </c>
      <c r="V16" s="54" t="s">
        <v>184</v>
      </c>
      <c r="W16" s="54" t="s">
        <v>214</v>
      </c>
      <c r="X16"/>
      <c r="Y16"/>
      <c r="Z16"/>
    </row>
    <row r="17" spans="1:26" ht="31.5" customHeight="1" x14ac:dyDescent="0.25">
      <c r="A17" s="237"/>
      <c r="B17" s="238"/>
      <c r="C17" s="238"/>
      <c r="D17" s="239"/>
      <c r="E17" s="240" t="s">
        <v>405</v>
      </c>
      <c r="F17" s="241"/>
      <c r="G17" s="242" t="s">
        <v>404</v>
      </c>
      <c r="H17" s="243"/>
      <c r="I17" s="119" t="e">
        <f ca="1">OFFSET($D$5,1,MATCH($J14,$D$5:$H$5,0)-1,15,1)</f>
        <v>#N/A</v>
      </c>
      <c r="J17" s="120"/>
      <c r="K17" s="120"/>
      <c r="L17" s="120"/>
      <c r="M17" s="120"/>
      <c r="N17" s="120"/>
      <c r="O17" s="120"/>
      <c r="P17" s="120"/>
      <c r="S17" s="54" t="s">
        <v>169</v>
      </c>
      <c r="T17" s="54" t="s">
        <v>176</v>
      </c>
      <c r="U17" s="54" t="s">
        <v>198</v>
      </c>
      <c r="V17" s="54" t="s">
        <v>184</v>
      </c>
      <c r="W17" s="54" t="s">
        <v>214</v>
      </c>
      <c r="X17"/>
      <c r="Y17"/>
      <c r="Z17"/>
    </row>
    <row r="18" spans="1:26" ht="250.5" customHeight="1" x14ac:dyDescent="0.25">
      <c r="A18" s="114" t="s">
        <v>8</v>
      </c>
      <c r="B18" s="114"/>
      <c r="C18" s="114" t="str">
        <f>CONCATENATE((IF(OR(E9="",E9="NA"),"",E9)),", ",(IF(OR(A19="",A19="NA"),"",A19)),".",(IF(OR(C19="",C19="NA"),"",C19)),", near ",(IF(OR(C24="",C24="NA"),"",C24)),", ",(IF(OR(C21="",C21="NA"),"",C21)),", ",(IF(OR(C20="",C20="NA"),"",C20)),", ",(IF(OR(G21="",G21="NA"),"",G21)),", ",(IF(OR(C22="",C22="NA"),"",C22)),", ",(IF(OR(C23="",C23="NA"),"",C23)),", ",(IF(OR(G22="",G22="NA"),"",G22))," - ",(IF(OR(G23="",G23="NA"),"",G23)),".")</f>
        <v>Green Terraces, Survey No.Proposed Residential Building on Plot RZ-3 of ITP3 Layout on Survey No.38/0, 74/0, 36/1, 73/0, 30/1, 75/0, 42/4, 42/1, 42/3, 32/2, 39/0, 43/0, 44/4, 70/1, 70/2, 72/0, 76/1, 76/2, 68/0, 81/2A, 81/2B, 40/0, 47/2, 50/12, 50/13, 69/0, 41/1, 41/2, 44/3, 47/1, 71/0, 36/2, 37/1, 37/2, 78/0, 27/1, 29/2, 29/3, 29/5, 30/2, 31/0, 33/1 (Partly), 33/2, 34/1A (Partly), 42/2, 44/1, 44/2, 45/0, 46/0, 50/4, 50/5, 50/6B, (Partly), 64/0, 81/3, 82/2A (Partly), 82/4 and 82/5 of Village Khanavale, Taluka - Panvel, Dist -  Raigad and Survey No.6/1, 6/5, 7/1, 6/6, 7/2, 7/3A, 7/4, 5/2A, 5/2B, 9/2, 4/1, 4/2, 4/3, 4/5, 4/6, 7/3B, 7/B1, 7/B2, 7/B3, 7/B4, 7/B5, 7/B6, 7/B7, 7C1, 7/C2, 7/C3, 7/C4, 7/C5, 7/C6, 7/C7, 7/C8, 7/C9, 7/C10, 8/3A1, 8/3A2, 8/3A3, 8/3A4, 8/3A5, 8/3A6, 8/3A7, 8/3A8, 8/3A9, 8/3A10, 8/D1 to 8/D8, 8/B1 to B6, 8/C1, 8/C2, 8/1A1 to 8/1A6, 9/B1 to 9/B8, 9/D1 to 9/D8, 9/C1 to 9/C9, Survey No.6/2, 7/3/B/8, 7/3/B/9, 7/C/11, 7/C/12, 8/1/A/7, 8/3/A/11, 8/3/A/12, 8/B/7, 8/D/10, 8/D/9, 9/1, 9/B/9, 9/B/10, 9/C/10, 9/C/11, 9/D/9, 9/D/10 Of village - Talegaon, Taluka - Khalapur, Dist - Raigad., near Woods, Godrej City, Internal Road, Khanavale, Khanavale, Mohope, Panvel, Raigad - 410221.</v>
      </c>
      <c r="D18" s="114"/>
      <c r="E18" s="114"/>
      <c r="F18" s="114"/>
      <c r="G18" s="114"/>
      <c r="H18" s="114"/>
      <c r="S18" s="54" t="s">
        <v>170</v>
      </c>
      <c r="T18" s="54" t="s">
        <v>178</v>
      </c>
      <c r="U18" s="54" t="s">
        <v>199</v>
      </c>
      <c r="V18" s="54" t="s">
        <v>185</v>
      </c>
      <c r="W18" s="54" t="s">
        <v>202</v>
      </c>
      <c r="X18"/>
      <c r="Y18"/>
      <c r="Z18"/>
    </row>
    <row r="19" spans="1:26" ht="224.25" customHeight="1" x14ac:dyDescent="0.25">
      <c r="A19" s="115" t="s">
        <v>344</v>
      </c>
      <c r="B19" s="115"/>
      <c r="C19" s="115" t="s">
        <v>389</v>
      </c>
      <c r="D19" s="115"/>
      <c r="E19" s="115"/>
      <c r="F19" s="115"/>
      <c r="G19" s="115"/>
      <c r="H19" s="115"/>
      <c r="I19" s="79"/>
      <c r="S19" s="54" t="s">
        <v>171</v>
      </c>
      <c r="T19" s="54" t="s">
        <v>179</v>
      </c>
      <c r="U19" s="54" t="s">
        <v>160</v>
      </c>
      <c r="V19" s="54" t="s">
        <v>186</v>
      </c>
      <c r="W19" s="54" t="s">
        <v>203</v>
      </c>
      <c r="X19"/>
      <c r="Y19"/>
      <c r="Z19"/>
    </row>
    <row r="20" spans="1:26" ht="15.75" customHeight="1" x14ac:dyDescent="0.25">
      <c r="A20" s="115" t="s">
        <v>149</v>
      </c>
      <c r="B20" s="115"/>
      <c r="C20" s="115" t="s">
        <v>377</v>
      </c>
      <c r="D20" s="115"/>
      <c r="E20" s="115"/>
      <c r="F20" s="115"/>
      <c r="G20" s="115"/>
      <c r="H20" s="115"/>
      <c r="S20" s="54" t="s">
        <v>172</v>
      </c>
      <c r="T20" s="54" t="s">
        <v>177</v>
      </c>
      <c r="U20" s="54"/>
      <c r="V20" s="54" t="s">
        <v>187</v>
      </c>
      <c r="W20" s="54" t="s">
        <v>204</v>
      </c>
      <c r="X20"/>
      <c r="Y20"/>
      <c r="Z20"/>
    </row>
    <row r="21" spans="1:26" ht="15.75" customHeight="1" x14ac:dyDescent="0.25">
      <c r="A21" s="114" t="s">
        <v>9</v>
      </c>
      <c r="B21" s="114"/>
      <c r="C21" s="124" t="s">
        <v>371</v>
      </c>
      <c r="D21" s="124"/>
      <c r="E21" s="114" t="s">
        <v>67</v>
      </c>
      <c r="F21" s="114"/>
      <c r="G21" s="115" t="s">
        <v>377</v>
      </c>
      <c r="H21" s="115"/>
      <c r="S21" s="54" t="s">
        <v>173</v>
      </c>
      <c r="T21" s="54" t="s">
        <v>180</v>
      </c>
      <c r="U21" s="54"/>
      <c r="V21" s="54" t="s">
        <v>188</v>
      </c>
      <c r="W21" s="54" t="s">
        <v>205</v>
      </c>
      <c r="X21"/>
      <c r="Y21"/>
      <c r="Z21"/>
    </row>
    <row r="22" spans="1:26" x14ac:dyDescent="0.25">
      <c r="A22" s="97" t="s">
        <v>11</v>
      </c>
      <c r="B22" s="97"/>
      <c r="C22" s="115" t="s">
        <v>373</v>
      </c>
      <c r="D22" s="115"/>
      <c r="E22" s="114" t="s">
        <v>10</v>
      </c>
      <c r="F22" s="114"/>
      <c r="G22" s="175" t="s">
        <v>182</v>
      </c>
      <c r="H22" s="175"/>
      <c r="S22" s="54" t="s">
        <v>174</v>
      </c>
      <c r="T22" s="54" t="s">
        <v>181</v>
      </c>
      <c r="U22" s="54"/>
      <c r="V22" s="54" t="s">
        <v>189</v>
      </c>
      <c r="W22" s="54" t="s">
        <v>206</v>
      </c>
      <c r="X22"/>
      <c r="Y22"/>
      <c r="Z22"/>
    </row>
    <row r="23" spans="1:26" x14ac:dyDescent="0.25">
      <c r="A23" s="97" t="s">
        <v>68</v>
      </c>
      <c r="B23" s="97"/>
      <c r="C23" s="176" t="s">
        <v>184</v>
      </c>
      <c r="D23" s="176"/>
      <c r="E23" s="114" t="s">
        <v>12</v>
      </c>
      <c r="F23" s="114"/>
      <c r="G23" s="115">
        <v>410221</v>
      </c>
      <c r="H23" s="115"/>
      <c r="S23" s="54"/>
      <c r="T23" s="54"/>
      <c r="U23" s="54"/>
      <c r="V23" s="54" t="s">
        <v>190</v>
      </c>
      <c r="W23" s="54" t="s">
        <v>207</v>
      </c>
      <c r="X23"/>
      <c r="Y23"/>
      <c r="Z23"/>
    </row>
    <row r="24" spans="1:26" ht="32.25" customHeight="1" x14ac:dyDescent="0.25">
      <c r="A24" s="97" t="s">
        <v>110</v>
      </c>
      <c r="B24" s="97"/>
      <c r="C24" s="115" t="s">
        <v>372</v>
      </c>
      <c r="D24" s="115"/>
      <c r="E24" s="114" t="s">
        <v>13</v>
      </c>
      <c r="F24" s="114"/>
      <c r="G24" s="176" t="s">
        <v>374</v>
      </c>
      <c r="H24" s="176"/>
      <c r="S24" s="54"/>
      <c r="T24" s="54"/>
      <c r="U24" s="54"/>
      <c r="V24" s="54" t="s">
        <v>191</v>
      </c>
      <c r="W24" s="54" t="s">
        <v>208</v>
      </c>
      <c r="X24"/>
      <c r="Y24"/>
      <c r="Z24"/>
    </row>
    <row r="25" spans="1:26" ht="15" customHeight="1" x14ac:dyDescent="0.25">
      <c r="A25" s="114" t="s">
        <v>70</v>
      </c>
      <c r="B25" s="114"/>
      <c r="C25" s="114"/>
      <c r="D25" s="114"/>
      <c r="E25" s="124" t="s">
        <v>14</v>
      </c>
      <c r="F25" s="124"/>
      <c r="G25" s="124"/>
      <c r="H25" s="124"/>
      <c r="S25" s="54"/>
      <c r="T25" s="54"/>
      <c r="U25" s="54"/>
      <c r="V25" s="54" t="s">
        <v>192</v>
      </c>
      <c r="W25" s="54" t="s">
        <v>209</v>
      </c>
      <c r="X25"/>
      <c r="Y25"/>
      <c r="Z25"/>
    </row>
    <row r="26" spans="1:26" ht="18.75" customHeight="1" x14ac:dyDescent="0.25">
      <c r="A26" s="114"/>
      <c r="B26" s="114"/>
      <c r="C26" s="114"/>
      <c r="D26" s="114"/>
      <c r="E26" s="124"/>
      <c r="F26" s="124"/>
      <c r="G26" s="124"/>
      <c r="H26" s="124"/>
      <c r="S26" s="54"/>
      <c r="T26" s="54"/>
      <c r="U26" s="54"/>
      <c r="V26" s="54" t="s">
        <v>193</v>
      </c>
      <c r="W26" s="54" t="s">
        <v>210</v>
      </c>
      <c r="X26"/>
      <c r="Y26"/>
      <c r="Z26"/>
    </row>
    <row r="27" spans="1:26" ht="15" customHeight="1" x14ac:dyDescent="0.25">
      <c r="A27" s="114" t="s">
        <v>15</v>
      </c>
      <c r="B27" s="114"/>
      <c r="C27" s="114"/>
      <c r="D27" s="114"/>
      <c r="E27" s="115" t="s">
        <v>16</v>
      </c>
      <c r="F27" s="115"/>
      <c r="G27" s="115"/>
      <c r="H27" s="115"/>
      <c r="S27" s="54"/>
      <c r="T27" s="54"/>
      <c r="U27" s="54"/>
      <c r="V27" s="54" t="s">
        <v>194</v>
      </c>
      <c r="W27" s="54" t="s">
        <v>211</v>
      </c>
      <c r="X27"/>
      <c r="Y27"/>
      <c r="Z27"/>
    </row>
    <row r="28" spans="1:26" ht="15" customHeight="1" x14ac:dyDescent="0.25">
      <c r="A28" s="97" t="s">
        <v>17</v>
      </c>
      <c r="B28" s="97"/>
      <c r="C28" s="97"/>
      <c r="D28" s="97"/>
      <c r="E28" s="115" t="str">
        <f>IF(AND(G22="Mumbai"),"Upper Class","Middle Class")</f>
        <v>Middle Class</v>
      </c>
      <c r="F28" s="115"/>
      <c r="G28" s="115"/>
      <c r="H28" s="115"/>
      <c r="S28" s="54"/>
      <c r="T28" s="54"/>
      <c r="U28" s="54"/>
      <c r="V28" s="54" t="s">
        <v>195</v>
      </c>
      <c r="W28" s="54" t="s">
        <v>212</v>
      </c>
      <c r="X28"/>
      <c r="Y28"/>
      <c r="Z28"/>
    </row>
    <row r="29" spans="1:26" x14ac:dyDescent="0.25">
      <c r="A29" s="97" t="s">
        <v>18</v>
      </c>
      <c r="B29" s="97"/>
      <c r="C29" s="97"/>
      <c r="D29" s="97"/>
      <c r="E29" s="115" t="s">
        <v>19</v>
      </c>
      <c r="F29" s="115"/>
      <c r="G29" s="115"/>
      <c r="H29" s="115"/>
      <c r="S29" s="54"/>
      <c r="T29" s="54"/>
      <c r="U29" s="54"/>
      <c r="V29" s="54" t="s">
        <v>196</v>
      </c>
      <c r="W29" s="54" t="s">
        <v>213</v>
      </c>
      <c r="X29"/>
      <c r="Y29"/>
      <c r="Z29"/>
    </row>
    <row r="30" spans="1:26" ht="15.75" customHeight="1" x14ac:dyDescent="0.25">
      <c r="A30" s="97" t="s">
        <v>20</v>
      </c>
      <c r="B30" s="97"/>
      <c r="C30" s="97"/>
      <c r="D30" s="97"/>
      <c r="E30" s="115" t="str">
        <f>IF(AND(G22="Mumbai"),"Developed","Developing")</f>
        <v>Developing</v>
      </c>
      <c r="F30" s="115"/>
      <c r="G30" s="115"/>
      <c r="H30" s="115"/>
    </row>
    <row r="31" spans="1:26" x14ac:dyDescent="0.25">
      <c r="A31" s="97" t="s">
        <v>21</v>
      </c>
      <c r="B31" s="97"/>
      <c r="C31" s="97"/>
      <c r="D31" s="97"/>
      <c r="E31" s="115" t="s">
        <v>22</v>
      </c>
      <c r="F31" s="115"/>
      <c r="G31" s="115"/>
      <c r="H31" s="115"/>
    </row>
    <row r="32" spans="1:26" ht="15.75" customHeight="1" x14ac:dyDescent="0.25">
      <c r="A32" s="97" t="s">
        <v>75</v>
      </c>
      <c r="B32" s="97"/>
      <c r="C32" s="97"/>
      <c r="D32" s="97"/>
      <c r="E32" s="115" t="s">
        <v>76</v>
      </c>
      <c r="F32" s="115"/>
      <c r="G32" s="115"/>
      <c r="H32" s="115"/>
    </row>
    <row r="33" spans="1:19" ht="15" customHeight="1" x14ac:dyDescent="0.25">
      <c r="A33" s="97" t="s">
        <v>29</v>
      </c>
      <c r="B33" s="97"/>
      <c r="C33" s="97"/>
      <c r="D33" s="97"/>
      <c r="E33" s="11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3" s="115"/>
      <c r="G33" s="115"/>
      <c r="H33" s="115"/>
    </row>
    <row r="34" spans="1:19" ht="15.75" customHeight="1" x14ac:dyDescent="0.25">
      <c r="A34" s="97" t="s">
        <v>86</v>
      </c>
      <c r="B34" s="97"/>
      <c r="C34" s="97"/>
      <c r="D34" s="97"/>
      <c r="E34" s="115" t="s">
        <v>30</v>
      </c>
      <c r="F34" s="115"/>
      <c r="G34" s="115"/>
      <c r="H34" s="115"/>
    </row>
    <row r="35" spans="1:19" s="22" customFormat="1" x14ac:dyDescent="0.25">
      <c r="A35" s="182" t="s">
        <v>87</v>
      </c>
      <c r="B35" s="182"/>
      <c r="C35" s="181" t="s">
        <v>161</v>
      </c>
      <c r="D35" s="181"/>
      <c r="E35" s="181"/>
      <c r="F35" s="181" t="s">
        <v>28</v>
      </c>
      <c r="G35" s="181"/>
      <c r="H35" s="181"/>
      <c r="S35" s="22" t="e">
        <f ca="1">OFFSET($S$13,1,MATCH($G22,$S$13:$W$13,0)-1,15,1)</f>
        <v>#VALUE!</v>
      </c>
    </row>
    <row r="36" spans="1:19" s="22" customFormat="1" x14ac:dyDescent="0.25">
      <c r="A36" s="177" t="s">
        <v>23</v>
      </c>
      <c r="B36" s="177" t="s">
        <v>27</v>
      </c>
      <c r="C36" s="183" t="s">
        <v>367</v>
      </c>
      <c r="D36" s="183"/>
      <c r="E36" s="183"/>
      <c r="F36" s="183" t="s">
        <v>371</v>
      </c>
      <c r="G36" s="183"/>
      <c r="H36" s="183"/>
    </row>
    <row r="37" spans="1:19" x14ac:dyDescent="0.25">
      <c r="A37" s="177" t="s">
        <v>24</v>
      </c>
      <c r="B37" s="177" t="s">
        <v>27</v>
      </c>
      <c r="C37" s="183" t="s">
        <v>368</v>
      </c>
      <c r="D37" s="183"/>
      <c r="E37" s="183"/>
      <c r="F37" s="183" t="s">
        <v>369</v>
      </c>
      <c r="G37" s="183"/>
      <c r="H37" s="183"/>
    </row>
    <row r="38" spans="1:19" s="22" customFormat="1" x14ac:dyDescent="0.25">
      <c r="A38" s="177" t="s">
        <v>26</v>
      </c>
      <c r="B38" s="177" t="s">
        <v>27</v>
      </c>
      <c r="C38" s="178" t="s">
        <v>368</v>
      </c>
      <c r="D38" s="179"/>
      <c r="E38" s="180"/>
      <c r="F38" s="178" t="s">
        <v>369</v>
      </c>
      <c r="G38" s="179"/>
      <c r="H38" s="180"/>
    </row>
    <row r="39" spans="1:19" x14ac:dyDescent="0.25">
      <c r="A39" s="177" t="s">
        <v>25</v>
      </c>
      <c r="B39" s="177" t="s">
        <v>27</v>
      </c>
      <c r="C39" s="178" t="s">
        <v>368</v>
      </c>
      <c r="D39" s="179"/>
      <c r="E39" s="180"/>
      <c r="F39" s="178" t="s">
        <v>369</v>
      </c>
      <c r="G39" s="179"/>
      <c r="H39" s="180"/>
    </row>
    <row r="40" spans="1:19" x14ac:dyDescent="0.25">
      <c r="A40" s="97" t="s">
        <v>268</v>
      </c>
      <c r="B40" s="97"/>
      <c r="C40" s="97"/>
      <c r="D40" s="97"/>
      <c r="E40" s="97"/>
      <c r="F40" s="97"/>
      <c r="G40" s="97"/>
      <c r="H40" s="97"/>
    </row>
    <row r="41" spans="1:19" ht="15.75" customHeight="1" x14ac:dyDescent="0.25">
      <c r="A41" s="97" t="s">
        <v>152</v>
      </c>
      <c r="B41" s="97"/>
      <c r="C41" s="161" t="s">
        <v>345</v>
      </c>
      <c r="D41" s="161"/>
      <c r="E41" s="161" t="s">
        <v>345</v>
      </c>
      <c r="F41" s="161"/>
      <c r="G41" s="161" t="s">
        <v>345</v>
      </c>
      <c r="H41" s="161"/>
    </row>
    <row r="42" spans="1:19" x14ac:dyDescent="0.25">
      <c r="A42" s="97" t="s">
        <v>148</v>
      </c>
      <c r="B42" s="97"/>
      <c r="C42" s="209" t="s">
        <v>346</v>
      </c>
      <c r="D42" s="115"/>
      <c r="E42" s="115"/>
      <c r="F42" s="115"/>
      <c r="G42" s="115"/>
      <c r="H42" s="115"/>
    </row>
    <row r="43" spans="1:19" x14ac:dyDescent="0.25">
      <c r="A43" s="161" t="s">
        <v>31</v>
      </c>
      <c r="B43" s="161"/>
      <c r="C43" s="161"/>
      <c r="D43" s="161"/>
      <c r="E43" s="161"/>
      <c r="F43" s="161"/>
      <c r="G43" s="161"/>
      <c r="H43" s="161"/>
    </row>
    <row r="44" spans="1:19" x14ac:dyDescent="0.25">
      <c r="A44" s="97" t="s">
        <v>32</v>
      </c>
      <c r="B44" s="97"/>
      <c r="C44" s="97"/>
      <c r="D44" s="97"/>
      <c r="E44" s="200">
        <v>521312.28</v>
      </c>
      <c r="F44" s="200"/>
      <c r="G44" s="200"/>
      <c r="H44" s="200"/>
      <c r="I44" s="79" t="s">
        <v>161</v>
      </c>
    </row>
    <row r="45" spans="1:19" x14ac:dyDescent="0.25">
      <c r="A45" s="97" t="s">
        <v>33</v>
      </c>
      <c r="B45" s="97"/>
      <c r="C45" s="97"/>
      <c r="D45" s="97"/>
      <c r="E45" s="96">
        <f>517462.28/E44</f>
        <v>0.99261479127251717</v>
      </c>
      <c r="F45" s="96"/>
      <c r="G45" s="96"/>
      <c r="H45" s="96"/>
    </row>
    <row r="46" spans="1:19" x14ac:dyDescent="0.25">
      <c r="A46" s="97" t="s">
        <v>34</v>
      </c>
      <c r="B46" s="97"/>
      <c r="C46" s="97"/>
      <c r="D46" s="97"/>
      <c r="E46" s="96">
        <f>E48/E44-E45</f>
        <v>0.23376957473551152</v>
      </c>
      <c r="F46" s="96"/>
      <c r="G46" s="96"/>
      <c r="H46" s="96"/>
    </row>
    <row r="47" spans="1:19" x14ac:dyDescent="0.25">
      <c r="A47" s="97" t="s">
        <v>35</v>
      </c>
      <c r="B47" s="97"/>
      <c r="C47" s="97"/>
      <c r="D47" s="97"/>
      <c r="E47" s="96">
        <f>E45+E46</f>
        <v>1.2263843660080287</v>
      </c>
      <c r="F47" s="96"/>
      <c r="G47" s="96"/>
      <c r="H47" s="96"/>
    </row>
    <row r="48" spans="1:19" x14ac:dyDescent="0.25">
      <c r="A48" s="97" t="s">
        <v>85</v>
      </c>
      <c r="B48" s="97"/>
      <c r="C48" s="97"/>
      <c r="D48" s="97"/>
      <c r="E48" s="188">
        <v>639329.23</v>
      </c>
      <c r="F48" s="188"/>
      <c r="G48" s="188"/>
      <c r="H48" s="188"/>
      <c r="I48" s="79" t="s">
        <v>161</v>
      </c>
    </row>
    <row r="49" spans="1:24" x14ac:dyDescent="0.25">
      <c r="A49" s="124" t="s">
        <v>36</v>
      </c>
      <c r="B49" s="124"/>
      <c r="C49" s="124"/>
      <c r="D49" s="124"/>
      <c r="E49" s="172" t="s">
        <v>425</v>
      </c>
      <c r="F49" s="172"/>
      <c r="G49" s="172"/>
      <c r="H49" s="172"/>
    </row>
    <row r="50" spans="1:24" x14ac:dyDescent="0.25">
      <c r="A50" s="161" t="s">
        <v>37</v>
      </c>
      <c r="B50" s="161"/>
      <c r="C50" s="161"/>
      <c r="D50" s="161"/>
      <c r="E50" s="161"/>
      <c r="F50" s="161"/>
      <c r="G50" s="161"/>
      <c r="H50" s="161"/>
    </row>
    <row r="51" spans="1:24" ht="33.75" customHeight="1" x14ac:dyDescent="0.25">
      <c r="A51" s="114" t="s">
        <v>139</v>
      </c>
      <c r="B51" s="114"/>
      <c r="C51" s="192" t="s">
        <v>246</v>
      </c>
      <c r="D51" s="192"/>
      <c r="E51" s="192"/>
      <c r="F51" s="192"/>
      <c r="G51" s="192"/>
      <c r="H51" s="192"/>
      <c r="R51" t="s">
        <v>241</v>
      </c>
      <c r="S51" s="56" t="s">
        <v>160</v>
      </c>
      <c r="T51" s="56" t="s">
        <v>168</v>
      </c>
      <c r="U51" s="56" t="s">
        <v>182</v>
      </c>
      <c r="V51" s="56" t="s">
        <v>177</v>
      </c>
    </row>
    <row r="52" spans="1:24" x14ac:dyDescent="0.25">
      <c r="A52" s="100" t="s">
        <v>38</v>
      </c>
      <c r="B52" s="101"/>
      <c r="C52" s="201" t="s">
        <v>347</v>
      </c>
      <c r="D52" s="202"/>
      <c r="E52" s="203"/>
      <c r="F52" s="18" t="s">
        <v>39</v>
      </c>
      <c r="G52" s="93">
        <v>45575</v>
      </c>
      <c r="H52" s="94"/>
      <c r="R52"/>
      <c r="S52" s="56" t="s">
        <v>242</v>
      </c>
      <c r="T52" s="56" t="s">
        <v>247</v>
      </c>
      <c r="U52" s="56" t="s">
        <v>258</v>
      </c>
      <c r="V52" s="56" t="s">
        <v>263</v>
      </c>
    </row>
    <row r="53" spans="1:24" x14ac:dyDescent="0.25">
      <c r="A53" s="100" t="s">
        <v>40</v>
      </c>
      <c r="B53" s="101"/>
      <c r="C53" s="201" t="str">
        <f>C52</f>
        <v>MSRDC/SPA/ITP-3/RZ-3/CC/2024/1801</v>
      </c>
      <c r="D53" s="202"/>
      <c r="E53" s="203"/>
      <c r="F53" s="18" t="s">
        <v>39</v>
      </c>
      <c r="G53" s="93">
        <f>G52</f>
        <v>45575</v>
      </c>
      <c r="H53" s="94"/>
      <c r="R53"/>
      <c r="S53" s="56" t="s">
        <v>243</v>
      </c>
      <c r="T53" s="56" t="s">
        <v>248</v>
      </c>
      <c r="U53" s="56" t="s">
        <v>256</v>
      </c>
      <c r="V53" s="56" t="s">
        <v>264</v>
      </c>
    </row>
    <row r="54" spans="1:24" s="23" customFormat="1" x14ac:dyDescent="0.25">
      <c r="A54" s="134" t="s">
        <v>143</v>
      </c>
      <c r="B54" s="135"/>
      <c r="C54" s="105" t="str">
        <f>C53</f>
        <v>MSRDC/SPA/ITP-3/RZ-3/CC/2024/1801</v>
      </c>
      <c r="D54" s="106"/>
      <c r="E54" s="107"/>
      <c r="F54" s="84" t="s">
        <v>39</v>
      </c>
      <c r="G54" s="138">
        <f>G53</f>
        <v>45575</v>
      </c>
      <c r="H54" s="139"/>
      <c r="I54" s="22" t="str">
        <f ca="1">IF(G54&gt;EDATE(E3,-48),"NO REMARK","CC REMARK FOR CC")</f>
        <v>NO REMARK</v>
      </c>
      <c r="J54" s="77"/>
      <c r="R54"/>
      <c r="S54" s="56" t="s">
        <v>244</v>
      </c>
      <c r="T54" s="56" t="s">
        <v>249</v>
      </c>
      <c r="U54" s="56" t="s">
        <v>246</v>
      </c>
      <c r="V54" s="56" t="s">
        <v>265</v>
      </c>
    </row>
    <row r="55" spans="1:24" s="23" customFormat="1" ht="50.25" customHeight="1" x14ac:dyDescent="0.25">
      <c r="A55" s="136"/>
      <c r="B55" s="137"/>
      <c r="C55" s="140" t="s">
        <v>410</v>
      </c>
      <c r="D55" s="141"/>
      <c r="E55" s="141"/>
      <c r="F55" s="141"/>
      <c r="G55" s="141"/>
      <c r="H55" s="142"/>
      <c r="R55"/>
      <c r="S55" s="56" t="s">
        <v>245</v>
      </c>
      <c r="T55" s="56" t="s">
        <v>252</v>
      </c>
      <c r="U55" s="56" t="s">
        <v>259</v>
      </c>
      <c r="V55" s="73" t="s">
        <v>338</v>
      </c>
    </row>
    <row r="56" spans="1:24" s="23" customFormat="1" x14ac:dyDescent="0.25">
      <c r="A56" s="134" t="s">
        <v>269</v>
      </c>
      <c r="B56" s="135"/>
      <c r="C56" s="140" t="s">
        <v>393</v>
      </c>
      <c r="D56" s="141"/>
      <c r="E56" s="142"/>
      <c r="F56" s="84" t="s">
        <v>39</v>
      </c>
      <c r="G56" s="138">
        <v>45551</v>
      </c>
      <c r="H56" s="139"/>
      <c r="K56" s="78">
        <f>EDATE(G54,-48)</f>
        <v>44114</v>
      </c>
      <c r="L56" s="23" t="str">
        <f ca="1">IF(G54&gt;EDATE(E3,-48),"NO REMARK","CC REMARK FOR CC")</f>
        <v>NO REMARK</v>
      </c>
      <c r="R56"/>
      <c r="S56" s="56" t="s">
        <v>244</v>
      </c>
      <c r="T56" s="56" t="s">
        <v>249</v>
      </c>
      <c r="U56" s="56" t="s">
        <v>246</v>
      </c>
      <c r="V56" s="56" t="s">
        <v>265</v>
      </c>
    </row>
    <row r="57" spans="1:24" s="23" customFormat="1" ht="36.75" customHeight="1" x14ac:dyDescent="0.25">
      <c r="A57" s="136"/>
      <c r="B57" s="137"/>
      <c r="C57" s="211" t="s">
        <v>411</v>
      </c>
      <c r="D57" s="212"/>
      <c r="E57" s="212"/>
      <c r="F57" s="212"/>
      <c r="G57" s="212"/>
      <c r="H57" s="213"/>
      <c r="R57"/>
      <c r="S57" s="56" t="s">
        <v>246</v>
      </c>
      <c r="T57" s="56" t="s">
        <v>250</v>
      </c>
      <c r="U57" s="56" t="s">
        <v>260</v>
      </c>
      <c r="V57" s="74"/>
      <c r="W57" s="21"/>
      <c r="X57" s="21"/>
    </row>
    <row r="58" spans="1:24" s="23" customFormat="1" x14ac:dyDescent="0.25">
      <c r="A58" s="134" t="s">
        <v>270</v>
      </c>
      <c r="B58" s="135"/>
      <c r="C58" s="140" t="s">
        <v>348</v>
      </c>
      <c r="D58" s="141"/>
      <c r="E58" s="142"/>
      <c r="F58" s="84" t="s">
        <v>39</v>
      </c>
      <c r="G58" s="138">
        <v>44007</v>
      </c>
      <c r="H58" s="139"/>
      <c r="J58" s="23">
        <f>42*3</f>
        <v>126</v>
      </c>
      <c r="R58"/>
      <c r="S58" s="74"/>
      <c r="T58" s="56" t="s">
        <v>251</v>
      </c>
      <c r="U58" s="56" t="s">
        <v>261</v>
      </c>
      <c r="V58" s="74"/>
      <c r="W58" s="21"/>
      <c r="X58" s="21"/>
    </row>
    <row r="59" spans="1:24" s="23" customFormat="1" ht="35.25" customHeight="1" x14ac:dyDescent="0.25">
      <c r="A59" s="136"/>
      <c r="B59" s="137"/>
      <c r="C59" s="140" t="s">
        <v>349</v>
      </c>
      <c r="D59" s="141"/>
      <c r="E59" s="141"/>
      <c r="F59" s="141"/>
      <c r="G59" s="141"/>
      <c r="H59" s="142"/>
      <c r="R59"/>
      <c r="S59" s="74"/>
      <c r="T59" s="56" t="s">
        <v>253</v>
      </c>
      <c r="U59" s="56" t="s">
        <v>262</v>
      </c>
      <c r="V59" s="74"/>
      <c r="W59" s="21"/>
      <c r="X59" s="21"/>
    </row>
    <row r="60" spans="1:24" s="23" customFormat="1" ht="15.75" hidden="1" customHeight="1" x14ac:dyDescent="0.25">
      <c r="A60" s="204" t="s">
        <v>340</v>
      </c>
      <c r="B60" s="205"/>
      <c r="C60" s="100"/>
      <c r="D60" s="208"/>
      <c r="E60" s="101"/>
      <c r="F60" s="18" t="s">
        <v>39</v>
      </c>
      <c r="G60" s="93"/>
      <c r="H60" s="94"/>
      <c r="R60"/>
      <c r="S60" s="74"/>
      <c r="T60" s="56" t="s">
        <v>254</v>
      </c>
      <c r="U60" s="74" t="s">
        <v>284</v>
      </c>
      <c r="V60" s="74"/>
      <c r="W60" s="21"/>
      <c r="X60" s="21"/>
    </row>
    <row r="61" spans="1:24" s="23" customFormat="1" ht="33.75" hidden="1" customHeight="1" x14ac:dyDescent="0.25">
      <c r="A61" s="206"/>
      <c r="B61" s="207"/>
      <c r="C61" s="114" t="s">
        <v>342</v>
      </c>
      <c r="D61" s="114"/>
      <c r="E61" s="114"/>
      <c r="F61" s="18" t="s">
        <v>341</v>
      </c>
      <c r="G61" s="93"/>
      <c r="H61" s="94"/>
      <c r="R61"/>
      <c r="S61" s="74"/>
      <c r="T61" s="56" t="s">
        <v>255</v>
      </c>
      <c r="U61" s="74"/>
      <c r="V61" s="74"/>
      <c r="W61" s="21"/>
      <c r="X61" s="21"/>
    </row>
    <row r="62" spans="1:24" x14ac:dyDescent="0.25">
      <c r="A62" s="125" t="s">
        <v>41</v>
      </c>
      <c r="B62" s="126"/>
      <c r="C62" s="125" t="s">
        <v>95</v>
      </c>
      <c r="D62" s="127"/>
      <c r="E62" s="126"/>
      <c r="F62" s="45" t="s">
        <v>39</v>
      </c>
      <c r="G62" s="132" t="s">
        <v>27</v>
      </c>
      <c r="H62" s="133"/>
      <c r="R62"/>
      <c r="S62" s="74"/>
      <c r="T62" s="56" t="s">
        <v>257</v>
      </c>
      <c r="U62" s="74"/>
      <c r="V62" s="74"/>
    </row>
    <row r="63" spans="1:24" x14ac:dyDescent="0.25">
      <c r="A63" s="170" t="s">
        <v>42</v>
      </c>
      <c r="B63" s="170"/>
      <c r="C63" s="170"/>
      <c r="D63" s="170"/>
      <c r="E63" s="170"/>
      <c r="F63" s="170"/>
      <c r="G63" s="170"/>
      <c r="H63" s="170"/>
      <c r="S63" s="74"/>
      <c r="T63" s="56" t="s">
        <v>266</v>
      </c>
      <c r="U63" s="74"/>
      <c r="V63" s="74"/>
    </row>
    <row r="64" spans="1:24" x14ac:dyDescent="0.25">
      <c r="A64" s="114" t="s">
        <v>383</v>
      </c>
      <c r="B64" s="114"/>
      <c r="C64" s="114"/>
      <c r="D64" s="128">
        <f>35290.338+36375.02+27377.779+27377.651</f>
        <v>126420.788</v>
      </c>
      <c r="E64" s="128"/>
      <c r="F64" s="128"/>
      <c r="G64" s="128"/>
      <c r="H64" s="128"/>
      <c r="R64"/>
    </row>
    <row r="65" spans="1:19" x14ac:dyDescent="0.25">
      <c r="A65" s="115" t="s">
        <v>43</v>
      </c>
      <c r="B65" s="124"/>
      <c r="C65" s="124"/>
      <c r="D65" s="124" t="s">
        <v>424</v>
      </c>
      <c r="E65" s="124"/>
      <c r="F65" s="124"/>
      <c r="G65" s="124"/>
      <c r="H65" s="124"/>
      <c r="I65" s="24"/>
      <c r="R65"/>
    </row>
    <row r="66" spans="1:19" ht="32.25" customHeight="1" x14ac:dyDescent="0.25">
      <c r="A66" s="134" t="s">
        <v>44</v>
      </c>
      <c r="B66" s="191"/>
      <c r="C66" s="135"/>
      <c r="D66" s="189" t="s">
        <v>409</v>
      </c>
      <c r="E66" s="190"/>
      <c r="F66" s="190"/>
      <c r="G66" s="190"/>
      <c r="H66" s="190"/>
      <c r="R66"/>
    </row>
    <row r="67" spans="1:19" x14ac:dyDescent="0.25">
      <c r="A67" s="134" t="s">
        <v>83</v>
      </c>
      <c r="B67" s="191"/>
      <c r="C67" s="191"/>
      <c r="D67" s="189" t="s">
        <v>407</v>
      </c>
      <c r="E67" s="190"/>
      <c r="F67" s="190"/>
      <c r="G67" s="190"/>
      <c r="H67" s="190"/>
      <c r="R67"/>
    </row>
    <row r="68" spans="1:19" ht="15.75" customHeight="1" x14ac:dyDescent="0.25">
      <c r="A68" s="193"/>
      <c r="B68" s="194"/>
      <c r="C68" s="194"/>
      <c r="D68" s="196" t="s">
        <v>414</v>
      </c>
      <c r="E68" s="197"/>
      <c r="F68" s="197"/>
      <c r="G68" s="197"/>
      <c r="H68" s="198"/>
      <c r="R68"/>
    </row>
    <row r="69" spans="1:19" ht="15.75" hidden="1" customHeight="1" x14ac:dyDescent="0.25">
      <c r="A69" s="136"/>
      <c r="B69" s="195"/>
      <c r="C69" s="195"/>
      <c r="D69" s="102" t="s">
        <v>156</v>
      </c>
      <c r="E69" s="103"/>
      <c r="F69" s="103"/>
      <c r="G69" s="103"/>
      <c r="H69" s="104"/>
      <c r="S69"/>
    </row>
    <row r="70" spans="1:19" ht="47.25" customHeight="1" x14ac:dyDescent="0.25">
      <c r="A70" s="97" t="s">
        <v>412</v>
      </c>
      <c r="B70" s="97"/>
      <c r="C70" s="97"/>
      <c r="D70" s="176" t="s">
        <v>413</v>
      </c>
      <c r="E70" s="176"/>
      <c r="F70" s="176"/>
      <c r="G70" s="176"/>
      <c r="H70" s="176"/>
      <c r="J70" s="25"/>
      <c r="K70" s="24"/>
      <c r="N70" s="24"/>
      <c r="S70"/>
    </row>
    <row r="71" spans="1:19" ht="15.75" customHeight="1" x14ac:dyDescent="0.25">
      <c r="A71" s="97" t="s">
        <v>81</v>
      </c>
      <c r="B71" s="97"/>
      <c r="C71" s="97"/>
      <c r="D71" s="187" t="str">
        <f>(IF(G62="NA","60 Years After Completion",IF(G62&lt;&gt;"NA",""&amp;60-ROUNDDOWN((E3-G62)/360,0)&amp;" Years"," ")))</f>
        <v>60 Years After Completion</v>
      </c>
      <c r="E71" s="187"/>
      <c r="F71" s="187"/>
      <c r="G71" s="187"/>
      <c r="H71" s="187"/>
      <c r="N71" s="24"/>
      <c r="S71"/>
    </row>
    <row r="72" spans="1:19" ht="15.75" customHeight="1" x14ac:dyDescent="0.25">
      <c r="A72" s="97" t="s">
        <v>82</v>
      </c>
      <c r="B72" s="97"/>
      <c r="C72" s="97"/>
      <c r="D72" s="114" t="s">
        <v>22</v>
      </c>
      <c r="E72" s="114"/>
      <c r="F72" s="114"/>
      <c r="G72" s="114"/>
      <c r="H72" s="114"/>
      <c r="J72" s="26"/>
      <c r="K72" s="26"/>
      <c r="S72"/>
    </row>
    <row r="73" spans="1:19" ht="63.75" customHeight="1" x14ac:dyDescent="0.25">
      <c r="A73" s="124" t="s">
        <v>384</v>
      </c>
      <c r="B73" s="124"/>
      <c r="C73" s="124"/>
      <c r="D73" s="115" t="s">
        <v>386</v>
      </c>
      <c r="E73" s="115"/>
      <c r="F73" s="115"/>
      <c r="G73" s="115"/>
      <c r="H73" s="115"/>
      <c r="I73" s="80" t="s">
        <v>350</v>
      </c>
      <c r="S73"/>
    </row>
    <row r="74" spans="1:19" x14ac:dyDescent="0.25">
      <c r="A74" s="114" t="s">
        <v>136</v>
      </c>
      <c r="B74" s="114"/>
      <c r="C74" s="114"/>
      <c r="D74" s="114" t="s">
        <v>27</v>
      </c>
      <c r="E74" s="114"/>
      <c r="F74" s="114"/>
      <c r="G74" s="114"/>
      <c r="H74" s="114"/>
      <c r="I74" s="27"/>
      <c r="J74" s="27"/>
      <c r="K74" s="27"/>
      <c r="L74" s="27"/>
      <c r="M74" s="27"/>
      <c r="N74" s="27"/>
    </row>
    <row r="75" spans="1:19" ht="15.75" customHeight="1" x14ac:dyDescent="0.25">
      <c r="A75" s="97" t="s">
        <v>80</v>
      </c>
      <c r="B75" s="97"/>
      <c r="C75" s="97"/>
      <c r="D75" s="115" t="str">
        <f ca="1">(IF(G81&gt;95%,"Nothing",IF(G81&gt;0%,"Cement, Aggregate, Steel, etc",IF(G81=0%,"Work not yet Started"))))</f>
        <v>Work not yet Started</v>
      </c>
      <c r="E75" s="115"/>
      <c r="F75" s="115"/>
      <c r="G75" s="115"/>
      <c r="H75" s="115"/>
      <c r="J75" s="26"/>
      <c r="S75"/>
    </row>
    <row r="76" spans="1:19" ht="33.75" customHeight="1" thickBot="1" x14ac:dyDescent="0.3">
      <c r="A76" s="114" t="s">
        <v>108</v>
      </c>
      <c r="B76" s="114"/>
      <c r="C76" s="114"/>
      <c r="D76" s="115" t="str">
        <f ca="1">(IF(D75="Nothing","Yes",IF(D75="Cement, Aggregate, Steel, etc","Under Construction",IF(D75="Work not yet Started","Work not yet Started"))))</f>
        <v>Work not yet Started</v>
      </c>
      <c r="E76" s="115"/>
      <c r="F76" s="115" t="str">
        <f ca="1">(IF(D75="Nothing","Yes",IF(D75="Cement, Aggregate, Steel, etc","Under Construction",IF(D75="Work not yet Started","Work not yet Started"))))</f>
        <v>Work not yet Started</v>
      </c>
      <c r="G76" s="115"/>
      <c r="H76" s="115"/>
      <c r="S76"/>
    </row>
    <row r="77" spans="1:19" ht="15.75" customHeight="1" x14ac:dyDescent="0.25">
      <c r="A77" s="184" t="s">
        <v>128</v>
      </c>
      <c r="B77" s="184"/>
      <c r="C77" s="184" t="str">
        <f>D67</f>
        <v xml:space="preserve">Tower 1 to 5 = Gr + 1st to 42nd Floor
</v>
      </c>
      <c r="D77" s="184"/>
      <c r="E77" s="184"/>
      <c r="F77" s="184"/>
      <c r="G77" s="184"/>
      <c r="H77" s="184"/>
      <c r="I77" s="88" t="str">
        <f ca="1">IF(D90=100%,"All work Completed. Possession granted to the Building.",IF(D89=100%,"All work Completed, Waiting for OC",I78&amp;""&amp;I79&amp;""&amp;J78&amp;""&amp;J77&amp;" "&amp;J79))</f>
        <v xml:space="preserve">Work not yet Started. </v>
      </c>
      <c r="J77" s="49"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52" t="s">
        <v>130</v>
      </c>
      <c r="B78" s="52">
        <f>IF(AND(ISNUMBER(SEARCH("1B",C77))),1,IF(AND(ISNUMBER(SEARCH("2B",C77))),2,IF(AND(ISNUMBER(SEARCH("3B",C77))),3,IF(AND(ISNUMBER(SEARCH("4B",C77))),4,IF(ISNUMBER(SEARCH("5B",C77)),5,0)))))</f>
        <v>0</v>
      </c>
      <c r="C78" s="52" t="s">
        <v>66</v>
      </c>
      <c r="D78" s="52">
        <v>1</v>
      </c>
      <c r="E78" s="52" t="s">
        <v>65</v>
      </c>
      <c r="F78" s="81">
        <v>0</v>
      </c>
      <c r="G78" s="47" t="s">
        <v>74</v>
      </c>
      <c r="H78" s="52">
        <f ca="1">--TRIM(RIGHT(SUBSTITUTE(LEFT(C77,_xlfn.AGGREGATE(16,6,FIND({0,1,2,3,4,5,6,7,8,9},C77,ROW(INDIRECT("1:"&amp;LEN(C77)))),1))," ",REPT(" ",LEN(C77))),LEN(C77)))</f>
        <v>42</v>
      </c>
      <c r="I78" s="89" t="str">
        <f ca="1">IF(D81=100%,"Excavation","")&amp;IF(D82=100%,", Plinth","")&amp;IF(D83=100%,", RCC Slab","")&amp;IF(D84=100%,", Brickwork","")&amp;IF(D85=100%,", Internal Plaster","")&amp;IF(D86=100%,", External Plaster","")&amp;IF(D87=100%,", Flooring","")&amp;IF(D88=100%,", Painting","")&amp;IF(D89=100%,", Building common Amenities","")</f>
        <v/>
      </c>
      <c r="J78" s="51" t="str">
        <f>(IF(C81=0,"Work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Work not yet Started.</v>
      </c>
      <c r="S78"/>
    </row>
    <row r="79" spans="1:19" x14ac:dyDescent="0.25">
      <c r="A79" s="199" t="s">
        <v>84</v>
      </c>
      <c r="B79" s="169"/>
      <c r="C79" s="185" t="str">
        <f ca="1">I77</f>
        <v xml:space="preserve">Work not yet Started. </v>
      </c>
      <c r="D79" s="185"/>
      <c r="E79" s="185"/>
      <c r="F79" s="185"/>
      <c r="G79" s="185"/>
      <c r="H79" s="186"/>
      <c r="I79" s="50" t="str">
        <f ca="1">IF(I78&lt;&gt;""," Completed","")</f>
        <v/>
      </c>
      <c r="J79" s="51" t="str">
        <f ca="1">IF(J77&lt;&gt;"","Completed","")</f>
        <v/>
      </c>
      <c r="S79"/>
    </row>
    <row r="80" spans="1:19" ht="15.75" customHeight="1" x14ac:dyDescent="0.25">
      <c r="A80" s="98" t="s">
        <v>45</v>
      </c>
      <c r="B80" s="99"/>
      <c r="C80" s="43" t="s">
        <v>127</v>
      </c>
      <c r="D80" s="43" t="s">
        <v>77</v>
      </c>
      <c r="E80" s="99" t="s">
        <v>79</v>
      </c>
      <c r="F80" s="99"/>
      <c r="G80" s="99" t="s">
        <v>78</v>
      </c>
      <c r="H80" s="116"/>
      <c r="I80" s="13" t="s">
        <v>129</v>
      </c>
      <c r="J80" s="28">
        <f ca="1">H78*25%</f>
        <v>10.5</v>
      </c>
      <c r="S80"/>
    </row>
    <row r="81" spans="1:19" x14ac:dyDescent="0.25">
      <c r="A81" s="98" t="s">
        <v>116</v>
      </c>
      <c r="B81" s="99"/>
      <c r="C81" s="43">
        <v>0</v>
      </c>
      <c r="D81" s="19">
        <f ca="1">((100/H78)*C81)/100</f>
        <v>0</v>
      </c>
      <c r="E81" s="214">
        <f ca="1">(((C82/H78*10)+(40/(D78+F78+H78)*C83)+(7.5/(H78)*C84)+(7.5/(H78)*C85)+(10/H78*C86)+(10/H78*C87)+(5/H78*C88)+(5/H78*C89)+(5/H78*C90))/100)</f>
        <v>0</v>
      </c>
      <c r="F81" s="220"/>
      <c r="G81" s="214">
        <f ca="1">((((C81/H78)*20)+((C82/H78)*25)+(30/(H78+F78+D78)*C83)+(5/H78*C84)+(5/H78*C85)+(5/H78*C86)+(5/H78*C87)+(0/H78*C88)+(0/H78*C89)+(5/H78*C90))/100)</f>
        <v>0</v>
      </c>
      <c r="H81" s="215"/>
      <c r="I81" s="13" t="s">
        <v>90</v>
      </c>
      <c r="J81" s="29">
        <f ca="1">H78*50%</f>
        <v>21</v>
      </c>
    </row>
    <row r="82" spans="1:19" x14ac:dyDescent="0.25">
      <c r="A82" s="98" t="s">
        <v>46</v>
      </c>
      <c r="B82" s="99"/>
      <c r="C82" s="43">
        <v>0</v>
      </c>
      <c r="D82" s="19">
        <f ca="1">((100/H78)*C82)/100</f>
        <v>0</v>
      </c>
      <c r="E82" s="216"/>
      <c r="F82" s="221"/>
      <c r="G82" s="216"/>
      <c r="H82" s="217"/>
      <c r="I82" s="13" t="s">
        <v>91</v>
      </c>
      <c r="J82" s="29">
        <f ca="1">H78</f>
        <v>42</v>
      </c>
      <c r="S82"/>
    </row>
    <row r="83" spans="1:19" ht="15.75" customHeight="1" x14ac:dyDescent="0.25">
      <c r="A83" s="98" t="s">
        <v>117</v>
      </c>
      <c r="B83" s="99"/>
      <c r="C83" s="43">
        <v>0</v>
      </c>
      <c r="D83" s="19">
        <f ca="1">((100/(D78+F78+H78))*C83)/100</f>
        <v>0</v>
      </c>
      <c r="E83" s="216"/>
      <c r="F83" s="221"/>
      <c r="G83" s="216"/>
      <c r="H83" s="217"/>
      <c r="I83" s="13" t="s">
        <v>92</v>
      </c>
      <c r="J83" s="30">
        <f ca="1">(IF(B78&gt;1,(H78/(B78+2)),H78/4))</f>
        <v>10.5</v>
      </c>
      <c r="S83"/>
    </row>
    <row r="84" spans="1:19" ht="15.75" customHeight="1" x14ac:dyDescent="0.25">
      <c r="A84" s="98" t="s">
        <v>124</v>
      </c>
      <c r="B84" s="99" t="s">
        <v>118</v>
      </c>
      <c r="C84" s="43">
        <v>0</v>
      </c>
      <c r="D84" s="19">
        <f ca="1">((100/H78)*C84)/100</f>
        <v>0</v>
      </c>
      <c r="E84" s="216"/>
      <c r="F84" s="221"/>
      <c r="G84" s="216"/>
      <c r="H84" s="217"/>
      <c r="I84" s="13" t="s">
        <v>93</v>
      </c>
      <c r="J84" s="30">
        <f ca="1">(IF(B78&gt;1,(H78/(B78+2)+J83),H78/4+J83))</f>
        <v>21</v>
      </c>
    </row>
    <row r="85" spans="1:19" ht="15.75" customHeight="1" x14ac:dyDescent="0.25">
      <c r="A85" s="98" t="s">
        <v>125</v>
      </c>
      <c r="B85" s="99" t="s">
        <v>118</v>
      </c>
      <c r="C85" s="43">
        <v>0</v>
      </c>
      <c r="D85" s="19">
        <f ca="1">((100/H78)*C85)/100</f>
        <v>0</v>
      </c>
      <c r="E85" s="216"/>
      <c r="F85" s="221"/>
      <c r="G85" s="216"/>
      <c r="H85" s="217"/>
      <c r="I85" s="13" t="s">
        <v>134</v>
      </c>
      <c r="J85" s="30">
        <f>(IF(B78&gt;1,(H78/(B78+2)+J84),0))</f>
        <v>0</v>
      </c>
    </row>
    <row r="86" spans="1:19" ht="15" customHeight="1" x14ac:dyDescent="0.25">
      <c r="A86" s="98" t="s">
        <v>123</v>
      </c>
      <c r="B86" s="99" t="s">
        <v>120</v>
      </c>
      <c r="C86" s="43">
        <v>0</v>
      </c>
      <c r="D86" s="19">
        <f ca="1">((100/(H78))*C86)/100</f>
        <v>0</v>
      </c>
      <c r="E86" s="216"/>
      <c r="F86" s="221"/>
      <c r="G86" s="216"/>
      <c r="H86" s="217"/>
      <c r="I86" s="13" t="s">
        <v>131</v>
      </c>
      <c r="J86" s="30">
        <f>(IF(B78&gt;2,(H78/(B78+2)+J85),0))</f>
        <v>0</v>
      </c>
    </row>
    <row r="87" spans="1:19" ht="15.75" customHeight="1" x14ac:dyDescent="0.25">
      <c r="A87" s="98" t="s">
        <v>119</v>
      </c>
      <c r="B87" s="99" t="s">
        <v>119</v>
      </c>
      <c r="C87" s="43">
        <v>0</v>
      </c>
      <c r="D87" s="19">
        <f ca="1">((100/H78)*C87)/100</f>
        <v>0</v>
      </c>
      <c r="E87" s="216"/>
      <c r="F87" s="221"/>
      <c r="G87" s="216"/>
      <c r="H87" s="217"/>
      <c r="I87" s="13" t="s">
        <v>132</v>
      </c>
      <c r="J87" s="31">
        <f>(IF(B78&gt;3,(H78/(B78+2)+J86),0))</f>
        <v>0</v>
      </c>
    </row>
    <row r="88" spans="1:19" ht="15.75" customHeight="1" x14ac:dyDescent="0.25">
      <c r="A88" s="98" t="s">
        <v>126</v>
      </c>
      <c r="B88" s="99"/>
      <c r="C88" s="43">
        <v>0</v>
      </c>
      <c r="D88" s="19">
        <f ca="1">((100/H78)*C88)/100</f>
        <v>0</v>
      </c>
      <c r="E88" s="216"/>
      <c r="F88" s="221"/>
      <c r="G88" s="216"/>
      <c r="H88" s="217"/>
      <c r="I88" s="13" t="s">
        <v>133</v>
      </c>
      <c r="J88" s="30">
        <f>(IF(B78&gt;4,(H78/(B78+2)+J87),0))</f>
        <v>0</v>
      </c>
    </row>
    <row r="89" spans="1:19" ht="15.75" customHeight="1" x14ac:dyDescent="0.25">
      <c r="A89" s="98" t="s">
        <v>121</v>
      </c>
      <c r="B89" s="99" t="s">
        <v>121</v>
      </c>
      <c r="C89" s="43">
        <v>0</v>
      </c>
      <c r="D89" s="19">
        <f ca="1">((100/(H78))*C89)/100</f>
        <v>0</v>
      </c>
      <c r="E89" s="216"/>
      <c r="F89" s="221"/>
      <c r="G89" s="216"/>
      <c r="H89" s="217"/>
      <c r="I89" s="13" t="s">
        <v>135</v>
      </c>
      <c r="J89" s="30">
        <f ca="1">(IF(B78=1,(H78/(B78+3)+J84),IF(B78=0,(H78/4+J84),IF(B78&gt;1,0))))</f>
        <v>31.5</v>
      </c>
    </row>
    <row r="90" spans="1:19" ht="16.5" thickBot="1" x14ac:dyDescent="0.3">
      <c r="A90" s="117" t="s">
        <v>122</v>
      </c>
      <c r="B90" s="118"/>
      <c r="C90" s="44">
        <v>0</v>
      </c>
      <c r="D90" s="20">
        <f ca="1">((100/(H78))*C90)/100</f>
        <v>0</v>
      </c>
      <c r="E90" s="218"/>
      <c r="F90" s="222"/>
      <c r="G90" s="218"/>
      <c r="H90" s="219"/>
      <c r="I90" s="15" t="s">
        <v>94</v>
      </c>
      <c r="J90" s="32">
        <f ca="1">(IF(B78&gt;1.5,(H78/(B78+2)+J84+MAX(0,J85-J84)+MAX(0,J86-J85)+MAX(0,J87-J86)+MAX(0,J88-J87)+MAX(0,J89-J88)),IF(B78=1,(H78/(B78+3)+J89),IF(B78=0,H78/4+J89))))</f>
        <v>42</v>
      </c>
      <c r="L90" s="21">
        <f>12500/1.5</f>
        <v>8333.3333333333339</v>
      </c>
      <c r="M90" s="21">
        <f>14000/1.5</f>
        <v>9333.3333333333339</v>
      </c>
    </row>
    <row r="91" spans="1:19" ht="15.75" customHeight="1" x14ac:dyDescent="0.25">
      <c r="A91" s="258" t="s">
        <v>128</v>
      </c>
      <c r="B91" s="259"/>
      <c r="C91" s="260" t="str">
        <f>D68</f>
        <v>MLCP Commercial = Gr. + 1st Floor</v>
      </c>
      <c r="D91" s="261"/>
      <c r="E91" s="261"/>
      <c r="F91" s="261"/>
      <c r="G91" s="261"/>
      <c r="H91" s="262"/>
      <c r="I91" s="48" t="str">
        <f ca="1">IF(D104=100%,"All work Completed. Possession granted to the Building.",IF(D103=100%,"All work Completed, Waiting for OC",I92&amp;""&amp;I93&amp;""&amp;J92&amp;""&amp;J91&amp;" "&amp;J93))</f>
        <v xml:space="preserve">Work not yet Started. </v>
      </c>
      <c r="J91" s="49"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25">
      <c r="A92" s="16" t="s">
        <v>130</v>
      </c>
      <c r="B92" s="52">
        <f>IF(AND(ISNUMBER(SEARCH("1B",C91))),1,IF(AND(ISNUMBER(SEARCH("2B",C91))),2,IF(AND(ISNUMBER(SEARCH("3B",C91))),3,IF(AND(ISNUMBER(SEARCH("4B",C91))),4,IF(ISNUMBER(SEARCH("5B",C91)),5,0)))))</f>
        <v>0</v>
      </c>
      <c r="C92" s="52" t="s">
        <v>66</v>
      </c>
      <c r="D92" s="52">
        <v>1</v>
      </c>
      <c r="E92" s="52" t="s">
        <v>65</v>
      </c>
      <c r="F92" s="52">
        <v>0</v>
      </c>
      <c r="G92" s="52" t="s">
        <v>74</v>
      </c>
      <c r="H92" s="17">
        <f ca="1">--TRIM(RIGHT(SUBSTITUTE(LEFT(C91,_xlfn.AGGREGATE(16,6,FIND({0,1,2,3,4,5,6,7,8,9},C91,ROW(INDIRECT("1:"&amp;LEN(C91)))),1))," ",REPT(" ",LEN(C91))),LEN(C91)))</f>
        <v>1</v>
      </c>
      <c r="I92" s="50" t="str">
        <f ca="1">IF(D95=100%,"Excavation","")&amp;IF(D96=100%,", Plinth","")&amp;IF(D97=100%,", RCC Slab","")&amp;IF(D98=100%,", Brickwork","")&amp;IF(D99=100%,", Internal Plaster","")&amp;IF(D100=100%,", External Plaster","")&amp;IF(D101=100%,", Flooring","")&amp;IF(D102=100%,", Painting","")&amp;IF(D103=100%,", Building common Amenities","")</f>
        <v/>
      </c>
      <c r="J92" s="51" t="str">
        <f>(IF(C95=0,"Work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Work not yet Started.</v>
      </c>
      <c r="S92"/>
    </row>
    <row r="93" spans="1:19" x14ac:dyDescent="0.25">
      <c r="A93" s="199" t="s">
        <v>84</v>
      </c>
      <c r="B93" s="169"/>
      <c r="C93" s="185" t="str">
        <f ca="1">I91</f>
        <v xml:space="preserve">Work not yet Started. </v>
      </c>
      <c r="D93" s="185"/>
      <c r="E93" s="185"/>
      <c r="F93" s="185"/>
      <c r="G93" s="185"/>
      <c r="H93" s="186"/>
      <c r="I93" s="50" t="str">
        <f ca="1">IF(I92&lt;&gt;""," Completed","")</f>
        <v/>
      </c>
      <c r="J93" s="51" t="str">
        <f ca="1">IF(J91&lt;&gt;"","Completed","")</f>
        <v/>
      </c>
      <c r="S93"/>
    </row>
    <row r="94" spans="1:19" ht="15.75" customHeight="1" x14ac:dyDescent="0.25">
      <c r="A94" s="263" t="s">
        <v>45</v>
      </c>
      <c r="B94" s="264"/>
      <c r="C94" s="265" t="s">
        <v>127</v>
      </c>
      <c r="D94" s="265" t="s">
        <v>77</v>
      </c>
      <c r="E94" s="264" t="s">
        <v>79</v>
      </c>
      <c r="F94" s="264"/>
      <c r="G94" s="264" t="s">
        <v>78</v>
      </c>
      <c r="H94" s="266"/>
      <c r="I94" s="13" t="s">
        <v>129</v>
      </c>
      <c r="J94" s="28">
        <f ca="1">H92*25%</f>
        <v>0.25</v>
      </c>
      <c r="S94"/>
    </row>
    <row r="95" spans="1:19" x14ac:dyDescent="0.25">
      <c r="A95" s="263" t="s">
        <v>116</v>
      </c>
      <c r="B95" s="264"/>
      <c r="C95" s="265">
        <v>0</v>
      </c>
      <c r="D95" s="267">
        <f ca="1">((100/H92)*C95)/100</f>
        <v>0</v>
      </c>
      <c r="E95" s="268">
        <f ca="1">(((C96/H92*10)+(40/(D92+F92+H92)*C97)+(7.5/(H92)*C98)+(7.5/(H92)*C99)+(10/H92*C100)+(10/H92*C101)+(5/H92*C102)+(5/H92*C103)+(5/H92*C104))/100)</f>
        <v>0</v>
      </c>
      <c r="F95" s="269"/>
      <c r="G95" s="268">
        <f ca="1">((((C95/H92)*20)+((C96/H92)*25)+(30/(H92+F92+D92)*C97)+(5/H92*C98)+(5/H92*C99)+(5/H92*C100)+(5/H92*C101)+(0/H92*C102)+(0/H92*C103)+(5/H92*C104))/100)</f>
        <v>0</v>
      </c>
      <c r="H95" s="270"/>
      <c r="I95" s="13" t="s">
        <v>90</v>
      </c>
      <c r="J95" s="29">
        <f ca="1">H92*50%</f>
        <v>0.5</v>
      </c>
    </row>
    <row r="96" spans="1:19" x14ac:dyDescent="0.25">
      <c r="A96" s="263" t="s">
        <v>46</v>
      </c>
      <c r="B96" s="264"/>
      <c r="C96" s="265">
        <v>0</v>
      </c>
      <c r="D96" s="267">
        <f ca="1">((100/H92)*C96)/100</f>
        <v>0</v>
      </c>
      <c r="E96" s="271"/>
      <c r="F96" s="272"/>
      <c r="G96" s="271"/>
      <c r="H96" s="273"/>
      <c r="I96" s="13" t="s">
        <v>91</v>
      </c>
      <c r="J96" s="29">
        <f ca="1">H92</f>
        <v>1</v>
      </c>
      <c r="S96"/>
    </row>
    <row r="97" spans="1:19" ht="15.75" customHeight="1" x14ac:dyDescent="0.25">
      <c r="A97" s="263" t="s">
        <v>117</v>
      </c>
      <c r="B97" s="264"/>
      <c r="C97" s="265">
        <v>0</v>
      </c>
      <c r="D97" s="267">
        <f ca="1">((100/(D92+F92+H92))*C97)/100</f>
        <v>0</v>
      </c>
      <c r="E97" s="271"/>
      <c r="F97" s="272"/>
      <c r="G97" s="271"/>
      <c r="H97" s="273"/>
      <c r="I97" s="13" t="s">
        <v>92</v>
      </c>
      <c r="J97" s="30">
        <f ca="1">(IF(B92&gt;1,(H92/(B92+2)),H92/4))</f>
        <v>0.25</v>
      </c>
      <c r="S97"/>
    </row>
    <row r="98" spans="1:19" ht="15.75" customHeight="1" x14ac:dyDescent="0.25">
      <c r="A98" s="263" t="s">
        <v>124</v>
      </c>
      <c r="B98" s="264" t="s">
        <v>118</v>
      </c>
      <c r="C98" s="265">
        <v>0</v>
      </c>
      <c r="D98" s="267">
        <f ca="1">((100/H92)*C98)/100</f>
        <v>0</v>
      </c>
      <c r="E98" s="271"/>
      <c r="F98" s="272"/>
      <c r="G98" s="271"/>
      <c r="H98" s="273"/>
      <c r="I98" s="13" t="s">
        <v>93</v>
      </c>
      <c r="J98" s="30">
        <f ca="1">(IF(B92&gt;1,(H92/(B92+2)+J97),H92/4+J97))</f>
        <v>0.5</v>
      </c>
    </row>
    <row r="99" spans="1:19" ht="15.75" customHeight="1" x14ac:dyDescent="0.25">
      <c r="A99" s="263" t="s">
        <v>125</v>
      </c>
      <c r="B99" s="264" t="s">
        <v>118</v>
      </c>
      <c r="C99" s="265">
        <v>0</v>
      </c>
      <c r="D99" s="267">
        <f ca="1">((100/H92)*C99)/100</f>
        <v>0</v>
      </c>
      <c r="E99" s="271"/>
      <c r="F99" s="272"/>
      <c r="G99" s="271"/>
      <c r="H99" s="273"/>
      <c r="I99" s="13" t="s">
        <v>134</v>
      </c>
      <c r="J99" s="30">
        <f>(IF(B92&gt;1,(H92/(B92+2)+J98),0))</f>
        <v>0</v>
      </c>
    </row>
    <row r="100" spans="1:19" ht="15" customHeight="1" x14ac:dyDescent="0.25">
      <c r="A100" s="263" t="s">
        <v>123</v>
      </c>
      <c r="B100" s="264" t="s">
        <v>120</v>
      </c>
      <c r="C100" s="265">
        <v>0</v>
      </c>
      <c r="D100" s="267">
        <f ca="1">((100/(H92))*C100)/100</f>
        <v>0</v>
      </c>
      <c r="E100" s="271"/>
      <c r="F100" s="272"/>
      <c r="G100" s="271"/>
      <c r="H100" s="273"/>
      <c r="I100" s="13" t="s">
        <v>131</v>
      </c>
      <c r="J100" s="30">
        <f>(IF(B92&gt;2,(H92/(B92+2)+J99),0))</f>
        <v>0</v>
      </c>
    </row>
    <row r="101" spans="1:19" ht="15.75" customHeight="1" x14ac:dyDescent="0.25">
      <c r="A101" s="263" t="s">
        <v>119</v>
      </c>
      <c r="B101" s="264" t="s">
        <v>119</v>
      </c>
      <c r="C101" s="265">
        <v>0</v>
      </c>
      <c r="D101" s="267">
        <f ca="1">((100/H92)*C101)/100</f>
        <v>0</v>
      </c>
      <c r="E101" s="271"/>
      <c r="F101" s="272"/>
      <c r="G101" s="271"/>
      <c r="H101" s="273"/>
      <c r="I101" s="13" t="s">
        <v>132</v>
      </c>
      <c r="J101" s="31">
        <f>(IF(B92&gt;3,(H92/(B92+2)+J100),0))</f>
        <v>0</v>
      </c>
    </row>
    <row r="102" spans="1:19" ht="15.75" customHeight="1" x14ac:dyDescent="0.25">
      <c r="A102" s="263" t="s">
        <v>126</v>
      </c>
      <c r="B102" s="264"/>
      <c r="C102" s="265">
        <v>0</v>
      </c>
      <c r="D102" s="267">
        <f ca="1">((100/H92)*C102)/100</f>
        <v>0</v>
      </c>
      <c r="E102" s="271"/>
      <c r="F102" s="272"/>
      <c r="G102" s="271"/>
      <c r="H102" s="273"/>
      <c r="I102" s="13" t="s">
        <v>133</v>
      </c>
      <c r="J102" s="30">
        <f>(IF(B92&gt;4,(H92/(B92+2)+J101),0))</f>
        <v>0</v>
      </c>
    </row>
    <row r="103" spans="1:19" ht="15.75" customHeight="1" x14ac:dyDescent="0.25">
      <c r="A103" s="263" t="s">
        <v>121</v>
      </c>
      <c r="B103" s="264" t="s">
        <v>121</v>
      </c>
      <c r="C103" s="265">
        <v>0</v>
      </c>
      <c r="D103" s="267">
        <f ca="1">((100/(H92))*C103)/100</f>
        <v>0</v>
      </c>
      <c r="E103" s="271"/>
      <c r="F103" s="272"/>
      <c r="G103" s="271"/>
      <c r="H103" s="273"/>
      <c r="I103" s="13" t="s">
        <v>135</v>
      </c>
      <c r="J103" s="30">
        <f ca="1">(IF(B92=1,(H92/(B92+3)+J98),IF(B92=0,(H92/4+J98),IF(B92&gt;1,0))))</f>
        <v>0.75</v>
      </c>
    </row>
    <row r="104" spans="1:19" ht="16.5" thickBot="1" x14ac:dyDescent="0.3">
      <c r="A104" s="274" t="s">
        <v>122</v>
      </c>
      <c r="B104" s="275"/>
      <c r="C104" s="276">
        <v>0</v>
      </c>
      <c r="D104" s="277">
        <f ca="1">((100/(H92))*C104)/100</f>
        <v>0</v>
      </c>
      <c r="E104" s="278"/>
      <c r="F104" s="279"/>
      <c r="G104" s="278"/>
      <c r="H104" s="280"/>
      <c r="I104" s="15" t="s">
        <v>94</v>
      </c>
      <c r="J104" s="32">
        <f ca="1">(IF(B92&gt;1.5,(H92/(B92+2)+J98+MAX(0,J99-J98)+MAX(0,J100-J99)+MAX(0,J101-J100)+MAX(0,J102-J101)+MAX(0,J103-J102)),IF(B92=1,(H92/(B92+3)+J103),IF(B92=0,H92/4+J103))))</f>
        <v>1</v>
      </c>
    </row>
    <row r="105" spans="1:19" ht="15.75" hidden="1" customHeight="1" x14ac:dyDescent="0.25">
      <c r="A105" s="223" t="s">
        <v>128</v>
      </c>
      <c r="B105" s="224"/>
      <c r="C105" s="225" t="str">
        <f>D69</f>
        <v>C Wing = 1B + G + 1st to 20th Floor</v>
      </c>
      <c r="D105" s="226"/>
      <c r="E105" s="226"/>
      <c r="F105" s="226"/>
      <c r="G105" s="226"/>
      <c r="H105" s="227"/>
      <c r="I105" s="48" t="str">
        <f ca="1">IF(D118=100%,"All work Completed. Possession granted to the Building.",IF(D117=100%,"All work Completed, Waiting for OC",I106&amp;""&amp;I107&amp;""&amp;J106&amp;""&amp;J105&amp;" "&amp;J107))</f>
        <v xml:space="preserve">Excavation, Plinth Completed </v>
      </c>
      <c r="J105" s="49"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25">
      <c r="A106" s="16" t="s">
        <v>130</v>
      </c>
      <c r="B106" s="52">
        <f>IF(AND(ISNUMBER(SEARCH("1B",C105))),1,IF(AND(ISNUMBER(SEARCH("2B",C105))),2,IF(AND(ISNUMBER(SEARCH("3B",C105))),3,IF(AND(ISNUMBER(SEARCH("4B",C105))),4,IF(ISNUMBER(SEARCH("5B",C105)),5,0)))))</f>
        <v>1</v>
      </c>
      <c r="C106" s="52" t="s">
        <v>66</v>
      </c>
      <c r="D106" s="52">
        <v>1</v>
      </c>
      <c r="E106" s="52" t="s">
        <v>65</v>
      </c>
      <c r="F106" s="14">
        <v>0</v>
      </c>
      <c r="G106" s="47" t="s">
        <v>74</v>
      </c>
      <c r="H106" s="17">
        <f ca="1">--TRIM(RIGHT(SUBSTITUTE(LEFT(C105,_xlfn.AGGREGATE(16,6,FIND({0,1,2,3,4,5,6,7,8,9},C105,ROW(INDIRECT("1:"&amp;LEN(C105)))),1))," ",REPT(" ",LEN(C105))),LEN(C105)))</f>
        <v>20</v>
      </c>
      <c r="I106" s="50" t="str">
        <f ca="1">IF(D109=100%,"Excavation","")&amp;IF(D110=100%,", Plinth","")&amp;IF(D111=100%,", RCC Slab","")&amp;IF(D112=100%,", Brickwork","")&amp;IF(D113=100%,", Internal Plaster","")&amp;IF(D114=100%,", External Plaster","")&amp;IF(D115=100%,", Flooring","")&amp;IF(D116=100%,", Painting","")&amp;IF(D117=100%,", Building common Amenities","")</f>
        <v>Excavation, Plinth</v>
      </c>
      <c r="J106" s="51"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25">
      <c r="A107" s="199" t="s">
        <v>84</v>
      </c>
      <c r="B107" s="169"/>
      <c r="C107" s="185" t="str">
        <f ca="1">I105</f>
        <v xml:space="preserve">Excavation, Plinth Completed </v>
      </c>
      <c r="D107" s="185"/>
      <c r="E107" s="185"/>
      <c r="F107" s="185"/>
      <c r="G107" s="185"/>
      <c r="H107" s="186"/>
      <c r="I107" s="50" t="str">
        <f ca="1">IF(I106&lt;&gt;""," Completed","")</f>
        <v xml:space="preserve"> Completed</v>
      </c>
      <c r="J107" s="51" t="str">
        <f ca="1">IF(J105&lt;&gt;"","Completed","")</f>
        <v/>
      </c>
      <c r="S107"/>
    </row>
    <row r="108" spans="1:19" ht="15.75" hidden="1" customHeight="1" x14ac:dyDescent="0.25">
      <c r="A108" s="98" t="s">
        <v>45</v>
      </c>
      <c r="B108" s="99"/>
      <c r="C108" s="43" t="s">
        <v>127</v>
      </c>
      <c r="D108" s="43" t="s">
        <v>77</v>
      </c>
      <c r="E108" s="99" t="s">
        <v>79</v>
      </c>
      <c r="F108" s="99"/>
      <c r="G108" s="99" t="s">
        <v>78</v>
      </c>
      <c r="H108" s="116"/>
      <c r="I108" s="13" t="s">
        <v>129</v>
      </c>
      <c r="J108" s="28">
        <f ca="1">H106*25%</f>
        <v>5</v>
      </c>
      <c r="S108"/>
    </row>
    <row r="109" spans="1:19" hidden="1" x14ac:dyDescent="0.25">
      <c r="A109" s="98" t="s">
        <v>116</v>
      </c>
      <c r="B109" s="99"/>
      <c r="C109" s="59">
        <f ca="1">J110</f>
        <v>20</v>
      </c>
      <c r="D109" s="19">
        <f ca="1">((100/H106)*C109)/100</f>
        <v>1</v>
      </c>
      <c r="E109" s="214">
        <f ca="1">(((C110/H106*10)+(40/(D106+F106+H106)*C111)+(7.5/(H106)*C112)+(7.5/(H106)*C113)+(10/H106*C114)+(10/H106*C115)+(5/H106*C116)+(5/H106*C117)+(5/H106*C118))/100)</f>
        <v>0.1</v>
      </c>
      <c r="F109" s="220"/>
      <c r="G109" s="214">
        <f ca="1">((((C109/H106)*20)+((C110/H106)*25)+(30/(H106+F106+D106)*C111)+(5/H106*C112)+(5/H106*C113)+(5/H106*C114)+(5/H106*C115)+(0/H106*C116)+(0/H106*C117)+(5/H106*C118))/100)</f>
        <v>0.45</v>
      </c>
      <c r="H109" s="215"/>
      <c r="I109" s="13" t="s">
        <v>90</v>
      </c>
      <c r="J109" s="29">
        <f ca="1">H106*50%</f>
        <v>10</v>
      </c>
    </row>
    <row r="110" spans="1:19" hidden="1" x14ac:dyDescent="0.25">
      <c r="A110" s="98" t="s">
        <v>46</v>
      </c>
      <c r="B110" s="99"/>
      <c r="C110" s="43">
        <f ca="1">J118</f>
        <v>20</v>
      </c>
      <c r="D110" s="19">
        <f ca="1">((100/H106)*C110)/100</f>
        <v>1</v>
      </c>
      <c r="E110" s="216"/>
      <c r="F110" s="221"/>
      <c r="G110" s="216"/>
      <c r="H110" s="217"/>
      <c r="I110" s="13" t="s">
        <v>91</v>
      </c>
      <c r="J110" s="29">
        <f ca="1">H106</f>
        <v>20</v>
      </c>
      <c r="S110"/>
    </row>
    <row r="111" spans="1:19" ht="15.75" hidden="1" customHeight="1" x14ac:dyDescent="0.25">
      <c r="A111" s="98" t="s">
        <v>117</v>
      </c>
      <c r="B111" s="99"/>
      <c r="C111" s="43">
        <v>0</v>
      </c>
      <c r="D111" s="19">
        <f ca="1">((100/(D106+F106+H106))*C111)/100</f>
        <v>0</v>
      </c>
      <c r="E111" s="216"/>
      <c r="F111" s="221"/>
      <c r="G111" s="216"/>
      <c r="H111" s="217"/>
      <c r="I111" s="13" t="s">
        <v>92</v>
      </c>
      <c r="J111" s="30">
        <f ca="1">(IF(B106&gt;1,(H106/(B106+2)),H106/4))</f>
        <v>5</v>
      </c>
      <c r="S111"/>
    </row>
    <row r="112" spans="1:19" ht="15.75" hidden="1" customHeight="1" x14ac:dyDescent="0.25">
      <c r="A112" s="98" t="s">
        <v>124</v>
      </c>
      <c r="B112" s="99" t="s">
        <v>118</v>
      </c>
      <c r="C112" s="43">
        <v>0</v>
      </c>
      <c r="D112" s="19">
        <f ca="1">((100/H106)*C112)/100</f>
        <v>0</v>
      </c>
      <c r="E112" s="216"/>
      <c r="F112" s="221"/>
      <c r="G112" s="216"/>
      <c r="H112" s="217"/>
      <c r="I112" s="13" t="s">
        <v>93</v>
      </c>
      <c r="J112" s="30">
        <f ca="1">(IF(B106&gt;1,(H106/(B106+2)+J111),H106/4+J111))</f>
        <v>10</v>
      </c>
    </row>
    <row r="113" spans="1:22" ht="15.75" hidden="1" customHeight="1" x14ac:dyDescent="0.25">
      <c r="A113" s="98" t="s">
        <v>125</v>
      </c>
      <c r="B113" s="99" t="s">
        <v>118</v>
      </c>
      <c r="C113" s="43">
        <v>0</v>
      </c>
      <c r="D113" s="19">
        <f ca="1">((100/H106)*C113)/100</f>
        <v>0</v>
      </c>
      <c r="E113" s="216"/>
      <c r="F113" s="221"/>
      <c r="G113" s="216"/>
      <c r="H113" s="217"/>
      <c r="I113" s="13" t="s">
        <v>134</v>
      </c>
      <c r="J113" s="30">
        <f>(IF(B106&gt;1,(H106/(B106+2)+J112),0))</f>
        <v>0</v>
      </c>
    </row>
    <row r="114" spans="1:22" ht="15" hidden="1" customHeight="1" x14ac:dyDescent="0.25">
      <c r="A114" s="98" t="s">
        <v>123</v>
      </c>
      <c r="B114" s="99" t="s">
        <v>120</v>
      </c>
      <c r="C114" s="43">
        <v>0</v>
      </c>
      <c r="D114" s="19">
        <f ca="1">((100/(H106))*C114)/100</f>
        <v>0</v>
      </c>
      <c r="E114" s="216"/>
      <c r="F114" s="221"/>
      <c r="G114" s="216"/>
      <c r="H114" s="217"/>
      <c r="I114" s="13" t="s">
        <v>131</v>
      </c>
      <c r="J114" s="30">
        <f>(IF(B106&gt;2,(H106/(B106+2)+J113),0))</f>
        <v>0</v>
      </c>
    </row>
    <row r="115" spans="1:22" ht="15.75" hidden="1" customHeight="1" x14ac:dyDescent="0.25">
      <c r="A115" s="98" t="s">
        <v>119</v>
      </c>
      <c r="B115" s="99" t="s">
        <v>119</v>
      </c>
      <c r="C115" s="43">
        <v>0</v>
      </c>
      <c r="D115" s="19">
        <f ca="1">((100/H106)*C115)/100</f>
        <v>0</v>
      </c>
      <c r="E115" s="216"/>
      <c r="F115" s="221"/>
      <c r="G115" s="216"/>
      <c r="H115" s="217"/>
      <c r="I115" s="13" t="s">
        <v>132</v>
      </c>
      <c r="J115" s="31">
        <f>(IF(B106&gt;3,(H106/(B106+2)+J114),0))</f>
        <v>0</v>
      </c>
    </row>
    <row r="116" spans="1:22" ht="15.75" hidden="1" customHeight="1" x14ac:dyDescent="0.25">
      <c r="A116" s="98" t="s">
        <v>126</v>
      </c>
      <c r="B116" s="99"/>
      <c r="C116" s="43">
        <v>0</v>
      </c>
      <c r="D116" s="19">
        <f ca="1">((100/H106)*C116)/100</f>
        <v>0</v>
      </c>
      <c r="E116" s="216"/>
      <c r="F116" s="221"/>
      <c r="G116" s="216"/>
      <c r="H116" s="217"/>
      <c r="I116" s="13" t="s">
        <v>133</v>
      </c>
      <c r="J116" s="30">
        <f>(IF(B106&gt;4,(H106/(B106+2)+J115),0))</f>
        <v>0</v>
      </c>
    </row>
    <row r="117" spans="1:22" ht="15.75" hidden="1" customHeight="1" x14ac:dyDescent="0.25">
      <c r="A117" s="98" t="s">
        <v>121</v>
      </c>
      <c r="B117" s="99" t="s">
        <v>121</v>
      </c>
      <c r="C117" s="43">
        <v>0</v>
      </c>
      <c r="D117" s="19">
        <f ca="1">((100/(H106))*C117)/100</f>
        <v>0</v>
      </c>
      <c r="E117" s="216"/>
      <c r="F117" s="221"/>
      <c r="G117" s="216"/>
      <c r="H117" s="217"/>
      <c r="I117" s="13" t="s">
        <v>135</v>
      </c>
      <c r="J117" s="30">
        <f ca="1">(IF(B106=1,(H106/(B106+3)+J112),IF(B106=0,(H106/4+J112),IF(B106&gt;1,0))))</f>
        <v>15</v>
      </c>
    </row>
    <row r="118" spans="1:22" ht="16.5" hidden="1" thickBot="1" x14ac:dyDescent="0.3">
      <c r="A118" s="229" t="s">
        <v>122</v>
      </c>
      <c r="B118" s="230"/>
      <c r="C118" s="85">
        <v>0</v>
      </c>
      <c r="D118" s="86">
        <f ca="1">((100/(H106))*C118)/100</f>
        <v>0</v>
      </c>
      <c r="E118" s="216"/>
      <c r="F118" s="221"/>
      <c r="G118" s="216"/>
      <c r="H118" s="217"/>
      <c r="I118" s="15" t="s">
        <v>94</v>
      </c>
      <c r="J118" s="32">
        <f ca="1">(IF(B106&gt;1.5,(H106/(B106+2)+J112+MAX(0,J113-J112)+MAX(0,J114-J113)+MAX(0,J115-J114)+MAX(0,J116-J115)+MAX(0,J117-J116)),IF(B106=1,(H106/(B106+3)+J117),IF(B106=0,H106/4+J117))))</f>
        <v>20</v>
      </c>
    </row>
    <row r="119" spans="1:22" x14ac:dyDescent="0.25">
      <c r="A119" s="161" t="s">
        <v>145</v>
      </c>
      <c r="B119" s="161"/>
      <c r="C119" s="161"/>
      <c r="D119" s="161"/>
      <c r="E119" s="161"/>
      <c r="F119" s="181" t="s">
        <v>147</v>
      </c>
      <c r="G119" s="181"/>
      <c r="H119" s="181"/>
      <c r="R119" t="s">
        <v>241</v>
      </c>
      <c r="S119" t="s">
        <v>160</v>
      </c>
      <c r="T119" t="s">
        <v>168</v>
      </c>
      <c r="U119" t="s">
        <v>182</v>
      </c>
      <c r="V119" t="s">
        <v>177</v>
      </c>
    </row>
    <row r="120" spans="1:22" x14ac:dyDescent="0.25">
      <c r="A120" s="97" t="s">
        <v>146</v>
      </c>
      <c r="B120" s="97"/>
      <c r="C120" s="97"/>
      <c r="D120" s="97"/>
      <c r="E120" s="97"/>
      <c r="F120" s="121">
        <v>9700</v>
      </c>
      <c r="G120" s="121"/>
      <c r="H120" s="121"/>
      <c r="I120" s="21">
        <v>8500</v>
      </c>
      <c r="R120"/>
      <c r="S120">
        <v>800000</v>
      </c>
      <c r="T120">
        <v>150000</v>
      </c>
      <c r="U120">
        <v>100000</v>
      </c>
      <c r="V120">
        <v>100000</v>
      </c>
    </row>
    <row r="121" spans="1:22" x14ac:dyDescent="0.25">
      <c r="A121" s="97" t="s">
        <v>421</v>
      </c>
      <c r="B121" s="97"/>
      <c r="C121" s="97"/>
      <c r="D121" s="97"/>
      <c r="E121" s="97"/>
      <c r="F121" s="121">
        <v>15000</v>
      </c>
      <c r="G121" s="121"/>
      <c r="H121" s="121"/>
      <c r="R121"/>
      <c r="S121">
        <v>900000</v>
      </c>
      <c r="T121">
        <v>200000</v>
      </c>
      <c r="U121">
        <v>150000</v>
      </c>
      <c r="V121">
        <v>150000</v>
      </c>
    </row>
    <row r="122" spans="1:22" x14ac:dyDescent="0.25">
      <c r="A122" s="97" t="s">
        <v>422</v>
      </c>
      <c r="B122" s="97"/>
      <c r="C122" s="97"/>
      <c r="D122" s="97"/>
      <c r="E122" s="97"/>
      <c r="F122" s="121">
        <v>12000</v>
      </c>
      <c r="G122" s="121"/>
      <c r="H122" s="121"/>
      <c r="R122"/>
      <c r="S122">
        <v>1000000</v>
      </c>
      <c r="T122">
        <v>250000</v>
      </c>
      <c r="U122">
        <v>200000</v>
      </c>
      <c r="V122">
        <v>200000</v>
      </c>
    </row>
    <row r="123" spans="1:22" s="33" customFormat="1" hidden="1" x14ac:dyDescent="0.25">
      <c r="A123" s="97" t="s">
        <v>163</v>
      </c>
      <c r="B123" s="97"/>
      <c r="C123" s="97"/>
      <c r="D123" s="97"/>
      <c r="E123" s="97"/>
      <c r="F123" s="121"/>
      <c r="G123" s="121"/>
      <c r="H123" s="121"/>
      <c r="R123"/>
      <c r="S123">
        <v>1100000</v>
      </c>
      <c r="T123">
        <v>300000</v>
      </c>
      <c r="U123">
        <v>250000</v>
      </c>
      <c r="V123" s="23">
        <v>250000</v>
      </c>
    </row>
    <row r="124" spans="1:22" s="33" customFormat="1" x14ac:dyDescent="0.25">
      <c r="A124" s="124" t="s">
        <v>395</v>
      </c>
      <c r="B124" s="124"/>
      <c r="C124" s="124"/>
      <c r="D124" s="124"/>
      <c r="E124" s="124"/>
      <c r="F124" s="121">
        <v>125000</v>
      </c>
      <c r="G124" s="121"/>
      <c r="H124" s="121"/>
      <c r="I124" s="21" t="s">
        <v>394</v>
      </c>
      <c r="R124"/>
      <c r="S124">
        <v>1200000</v>
      </c>
      <c r="T124">
        <v>350000</v>
      </c>
      <c r="U124">
        <v>300000</v>
      </c>
      <c r="V124">
        <v>300000</v>
      </c>
    </row>
    <row r="125" spans="1:22" s="33" customFormat="1" x14ac:dyDescent="0.25">
      <c r="A125" s="124" t="s">
        <v>396</v>
      </c>
      <c r="B125" s="124"/>
      <c r="C125" s="124"/>
      <c r="D125" s="124"/>
      <c r="E125" s="124"/>
      <c r="F125" s="121">
        <v>75000</v>
      </c>
      <c r="G125" s="121"/>
      <c r="H125" s="121"/>
      <c r="I125" s="33" t="s">
        <v>399</v>
      </c>
      <c r="R125"/>
      <c r="S125">
        <v>1300000</v>
      </c>
      <c r="T125">
        <v>400000</v>
      </c>
      <c r="U125">
        <v>350000</v>
      </c>
      <c r="V125" s="23">
        <v>400000</v>
      </c>
    </row>
    <row r="126" spans="1:22" s="33" customFormat="1" x14ac:dyDescent="0.25">
      <c r="A126" s="124" t="s">
        <v>397</v>
      </c>
      <c r="B126" s="124"/>
      <c r="C126" s="124"/>
      <c r="D126" s="124"/>
      <c r="E126" s="124"/>
      <c r="F126" s="121">
        <v>40000</v>
      </c>
      <c r="G126" s="121"/>
      <c r="H126" s="121"/>
      <c r="I126" s="33" t="s">
        <v>400</v>
      </c>
      <c r="R126"/>
      <c r="S126">
        <v>1400000</v>
      </c>
      <c r="T126">
        <v>500000</v>
      </c>
      <c r="U126">
        <v>400000</v>
      </c>
      <c r="V126"/>
    </row>
    <row r="127" spans="1:22" s="33" customFormat="1" x14ac:dyDescent="0.25">
      <c r="A127" s="124" t="s">
        <v>88</v>
      </c>
      <c r="B127" s="124"/>
      <c r="C127" s="124"/>
      <c r="D127" s="124"/>
      <c r="E127" s="124"/>
      <c r="F127" s="121">
        <v>40000</v>
      </c>
      <c r="G127" s="121"/>
      <c r="H127" s="121"/>
      <c r="R127"/>
      <c r="S127">
        <v>1500000</v>
      </c>
      <c r="T127">
        <v>600000</v>
      </c>
      <c r="U127">
        <v>500000</v>
      </c>
      <c r="V127" s="23"/>
    </row>
    <row r="128" spans="1:22" s="33" customFormat="1" x14ac:dyDescent="0.25">
      <c r="A128" s="124" t="s">
        <v>89</v>
      </c>
      <c r="B128" s="124"/>
      <c r="C128" s="124"/>
      <c r="D128" s="124"/>
      <c r="E128" s="124"/>
      <c r="F128" s="121">
        <v>20000</v>
      </c>
      <c r="G128" s="121"/>
      <c r="H128" s="121"/>
      <c r="L128" s="97" t="s">
        <v>395</v>
      </c>
      <c r="M128" s="97"/>
      <c r="N128" s="97"/>
      <c r="O128" s="97"/>
      <c r="P128" s="97"/>
      <c r="Q128" s="121">
        <v>65000</v>
      </c>
      <c r="R128" s="121"/>
      <c r="S128" s="121"/>
      <c r="T128">
        <v>700000</v>
      </c>
      <c r="U128">
        <v>600000</v>
      </c>
      <c r="V128"/>
    </row>
    <row r="129" spans="1:22" s="33" customFormat="1" x14ac:dyDescent="0.25">
      <c r="A129" s="124" t="s">
        <v>398</v>
      </c>
      <c r="B129" s="124"/>
      <c r="C129" s="124"/>
      <c r="D129" s="124"/>
      <c r="E129" s="124"/>
      <c r="F129" s="121">
        <v>200000</v>
      </c>
      <c r="G129" s="121"/>
      <c r="H129" s="121"/>
      <c r="L129" s="97" t="s">
        <v>396</v>
      </c>
      <c r="M129" s="97"/>
      <c r="N129" s="97"/>
      <c r="O129" s="97"/>
      <c r="P129" s="97"/>
      <c r="Q129" s="121">
        <v>36000</v>
      </c>
      <c r="R129" s="121"/>
      <c r="S129" s="121"/>
      <c r="T129">
        <v>800000</v>
      </c>
      <c r="U129"/>
      <c r="V129" s="23"/>
    </row>
    <row r="130" spans="1:22" x14ac:dyDescent="0.25">
      <c r="A130" s="124" t="s">
        <v>47</v>
      </c>
      <c r="B130" s="124"/>
      <c r="C130" s="124"/>
      <c r="D130" s="124"/>
      <c r="E130" s="124"/>
      <c r="F130" s="121">
        <v>500000</v>
      </c>
      <c r="G130" s="121"/>
      <c r="H130" s="121"/>
      <c r="L130" s="97" t="s">
        <v>397</v>
      </c>
      <c r="M130" s="97"/>
      <c r="N130" s="97"/>
      <c r="O130" s="97"/>
      <c r="P130" s="97"/>
      <c r="Q130" s="121">
        <v>25000</v>
      </c>
      <c r="R130" s="121"/>
      <c r="S130" s="121"/>
      <c r="T130">
        <v>900000</v>
      </c>
      <c r="U130"/>
    </row>
    <row r="131" spans="1:22" s="34" customFormat="1" x14ac:dyDescent="0.25">
      <c r="A131" s="169" t="s">
        <v>48</v>
      </c>
      <c r="B131" s="169"/>
      <c r="C131" s="169"/>
      <c r="D131" s="169"/>
      <c r="E131" s="169"/>
      <c r="F131" s="121">
        <f>F120*0.8</f>
        <v>7760</v>
      </c>
      <c r="G131" s="121"/>
      <c r="H131" s="121"/>
      <c r="L131" s="97" t="s">
        <v>88</v>
      </c>
      <c r="M131" s="97"/>
      <c r="N131" s="97"/>
      <c r="O131" s="97"/>
      <c r="P131" s="97"/>
      <c r="Q131" s="121">
        <v>25000</v>
      </c>
      <c r="R131" s="121"/>
      <c r="S131" s="121"/>
      <c r="T131">
        <v>1000000</v>
      </c>
      <c r="U131"/>
      <c r="V131" s="21"/>
    </row>
    <row r="132" spans="1:22" s="35" customFormat="1" ht="15.75" customHeight="1" x14ac:dyDescent="0.25">
      <c r="A132" s="168" t="s">
        <v>69</v>
      </c>
      <c r="B132" s="168"/>
      <c r="C132" s="168"/>
      <c r="D132" s="168"/>
      <c r="E132" s="168"/>
      <c r="F132" s="168"/>
      <c r="G132" s="168"/>
      <c r="H132" s="168"/>
      <c r="L132" s="97" t="s">
        <v>89</v>
      </c>
      <c r="M132" s="97"/>
      <c r="N132" s="97"/>
      <c r="O132" s="97"/>
      <c r="P132" s="97"/>
      <c r="Q132" s="121">
        <v>7000</v>
      </c>
      <c r="R132" s="121"/>
      <c r="S132" s="121"/>
      <c r="T132"/>
      <c r="U132"/>
      <c r="V132" s="21"/>
    </row>
    <row r="133" spans="1:22" s="35" customFormat="1" ht="15.75" customHeight="1" x14ac:dyDescent="0.25">
      <c r="A133" s="123" t="s">
        <v>49</v>
      </c>
      <c r="B133" s="123"/>
      <c r="C133" s="131" t="s">
        <v>72</v>
      </c>
      <c r="D133" s="131"/>
      <c r="E133" s="129" t="s">
        <v>50</v>
      </c>
      <c r="F133" s="129"/>
      <c r="G133" s="123" t="s">
        <v>51</v>
      </c>
      <c r="H133" s="123"/>
      <c r="L133" s="97" t="s">
        <v>398</v>
      </c>
      <c r="M133" s="97"/>
      <c r="N133" s="97"/>
      <c r="O133" s="97"/>
      <c r="P133" s="97"/>
      <c r="Q133" s="121">
        <v>110000</v>
      </c>
      <c r="R133" s="121"/>
      <c r="S133" s="121"/>
      <c r="T133"/>
      <c r="U133" s="21"/>
      <c r="V133" s="21"/>
    </row>
    <row r="134" spans="1:22" s="35" customFormat="1" x14ac:dyDescent="0.25">
      <c r="A134" s="130" t="s">
        <v>417</v>
      </c>
      <c r="B134" s="130"/>
      <c r="C134" s="288">
        <f>COUNT(D151:D165,D167:D186)</f>
        <v>35</v>
      </c>
      <c r="D134" s="210"/>
      <c r="E134" s="288">
        <f>SUM(F151:F165,F167:F186)</f>
        <v>44197.995815999995</v>
      </c>
      <c r="F134" s="210"/>
      <c r="G134" s="288">
        <f>SUM(H151:H165,H167:H186)</f>
        <v>66296.993723999971</v>
      </c>
      <c r="H134" s="210"/>
      <c r="R134"/>
      <c r="S134" s="21"/>
      <c r="T134"/>
      <c r="U134" s="21"/>
      <c r="V134" s="21"/>
    </row>
    <row r="135" spans="1:22" s="35" customFormat="1" x14ac:dyDescent="0.25">
      <c r="A135" s="168" t="s">
        <v>138</v>
      </c>
      <c r="B135" s="168"/>
      <c r="C135" s="147">
        <f>SUM(C134)</f>
        <v>35</v>
      </c>
      <c r="D135" s="131"/>
      <c r="E135" s="160">
        <f>SUM(E134)</f>
        <v>44197.995815999995</v>
      </c>
      <c r="F135" s="129"/>
      <c r="G135" s="123">
        <f>SUM(G134)</f>
        <v>66296.993723999971</v>
      </c>
      <c r="H135" s="123"/>
      <c r="R135"/>
      <c r="S135" s="21"/>
      <c r="T135"/>
      <c r="U135" s="21"/>
      <c r="V135" s="21"/>
    </row>
    <row r="136" spans="1:22" s="35" customFormat="1" x14ac:dyDescent="0.25">
      <c r="A136" s="168" t="s">
        <v>64</v>
      </c>
      <c r="B136" s="168"/>
      <c r="C136" s="168"/>
      <c r="D136" s="168"/>
      <c r="E136" s="168"/>
      <c r="F136" s="168"/>
      <c r="G136" s="168"/>
      <c r="H136" s="168"/>
      <c r="T136"/>
    </row>
    <row r="137" spans="1:22" s="35" customFormat="1" ht="15.75" customHeight="1" x14ac:dyDescent="0.25">
      <c r="A137" s="123" t="s">
        <v>49</v>
      </c>
      <c r="B137" s="123"/>
      <c r="C137" s="131" t="s">
        <v>72</v>
      </c>
      <c r="D137" s="131"/>
      <c r="E137" s="129" t="s">
        <v>50</v>
      </c>
      <c r="F137" s="129"/>
      <c r="G137" s="123" t="s">
        <v>51</v>
      </c>
      <c r="H137" s="123"/>
      <c r="T137"/>
    </row>
    <row r="138" spans="1:22" s="35" customFormat="1" x14ac:dyDescent="0.25">
      <c r="A138" s="130" t="s">
        <v>353</v>
      </c>
      <c r="B138" s="130"/>
      <c r="C138" s="159">
        <f>COUNT(D193:D200)*35+COUNT(D202:D205,D207:D209)*7</f>
        <v>329</v>
      </c>
      <c r="D138" s="159"/>
      <c r="E138" s="159">
        <f t="shared" ref="E138" si="0">SUM(F193:F200)*35+SUM(F202:F205,F207:F209)*7</f>
        <v>280943.68301999994</v>
      </c>
      <c r="F138" s="159"/>
      <c r="G138" s="159">
        <f t="shared" ref="G138" si="1">SUM(H193:H200)*35+SUM(H202:H205,H207:H209)*7</f>
        <v>421415.52452999994</v>
      </c>
      <c r="H138" s="159"/>
      <c r="J138" s="35">
        <f>329*4</f>
        <v>1316</v>
      </c>
      <c r="T138"/>
    </row>
    <row r="139" spans="1:22" s="35" customFormat="1" x14ac:dyDescent="0.25">
      <c r="A139" s="130" t="s">
        <v>360</v>
      </c>
      <c r="B139" s="130"/>
      <c r="C139" s="159">
        <f>COUNT(D213:D220)*35+COUNT(D222,D224:D229)*7</f>
        <v>329</v>
      </c>
      <c r="D139" s="159"/>
      <c r="E139" s="159">
        <f t="shared" ref="E139" si="2">SUM(F213:F220)*35+SUM(F222,F224:F229)*7</f>
        <v>290341.76371199999</v>
      </c>
      <c r="F139" s="159"/>
      <c r="G139" s="159">
        <f t="shared" ref="G139" si="3">SUM(H213:H220)*35+SUM(H222,H224:H229)*7</f>
        <v>435512.64556799992</v>
      </c>
      <c r="H139" s="159"/>
      <c r="T139"/>
    </row>
    <row r="140" spans="1:22" s="35" customFormat="1" x14ac:dyDescent="0.25">
      <c r="A140" s="130" t="s">
        <v>361</v>
      </c>
      <c r="B140" s="130"/>
      <c r="C140" s="159">
        <f>COUNT(D233:D240)*35+COUNT(D242,D244:D249)*7</f>
        <v>329</v>
      </c>
      <c r="D140" s="159"/>
      <c r="E140" s="159">
        <f t="shared" ref="E140" si="4">SUM(F233:F240)*35+SUM(F242,F244:F249)*7</f>
        <v>208364.26993200002</v>
      </c>
      <c r="F140" s="159"/>
      <c r="G140" s="159">
        <f t="shared" ref="G140" si="5">SUM(H233:H240)*35+SUM(H242,H244:H249)*7</f>
        <v>312546.40489800001</v>
      </c>
      <c r="H140" s="159"/>
      <c r="T140"/>
    </row>
    <row r="141" spans="1:22" s="35" customFormat="1" x14ac:dyDescent="0.25">
      <c r="A141" s="130" t="s">
        <v>364</v>
      </c>
      <c r="B141" s="130"/>
      <c r="C141" s="159">
        <f>COUNT(D253:D260)*35+COUNT(D262:D265,D267:D269)*7</f>
        <v>329</v>
      </c>
      <c r="D141" s="159"/>
      <c r="E141" s="159">
        <f t="shared" ref="E141" si="6">SUM(F253:F260)*35+SUM(F262:F265,F267:F269)*7</f>
        <v>208439.61793199999</v>
      </c>
      <c r="F141" s="159"/>
      <c r="G141" s="159">
        <f t="shared" ref="G141" si="7">SUM(H253:H260)*35+SUM(H262:H265,H267:H269)*7</f>
        <v>312659.42689800001</v>
      </c>
      <c r="H141" s="159"/>
      <c r="T141"/>
    </row>
    <row r="142" spans="1:22" s="291" customFormat="1" x14ac:dyDescent="0.25">
      <c r="A142" s="289" t="s">
        <v>415</v>
      </c>
      <c r="B142" s="289"/>
      <c r="C142" s="290">
        <f>COUNT(D273:D280)*35+COUNT(D282,D284:D289)*7</f>
        <v>329</v>
      </c>
      <c r="D142" s="290"/>
      <c r="E142" s="290">
        <f>SUM(F273:F280)*35+SUM(F282,F284:F289)*7</f>
        <v>290341.76371199999</v>
      </c>
      <c r="F142" s="290"/>
      <c r="G142" s="290">
        <f>SUM(H273:H280)*35+SUM(H282,H284:H289)*7</f>
        <v>435512.64556799992</v>
      </c>
      <c r="H142" s="290"/>
      <c r="T142" s="292"/>
    </row>
    <row r="143" spans="1:22" s="35" customFormat="1" x14ac:dyDescent="0.25">
      <c r="A143" s="168" t="s">
        <v>138</v>
      </c>
      <c r="B143" s="168"/>
      <c r="C143" s="147">
        <f>SUM(C138:C142)</f>
        <v>1645</v>
      </c>
      <c r="D143" s="131"/>
      <c r="E143" s="147">
        <f>SUM(E138:E142)</f>
        <v>1278431.0983079998</v>
      </c>
      <c r="F143" s="131"/>
      <c r="G143" s="147">
        <f>SUM(G138:G142)</f>
        <v>1917646.6474619999</v>
      </c>
      <c r="H143" s="131"/>
      <c r="T143"/>
    </row>
    <row r="144" spans="1:22" s="35" customFormat="1" x14ac:dyDescent="0.25">
      <c r="A144" s="168" t="s">
        <v>153</v>
      </c>
      <c r="B144" s="168"/>
      <c r="C144" s="131">
        <f>C135+C143</f>
        <v>1680</v>
      </c>
      <c r="D144" s="131"/>
      <c r="E144" s="160">
        <f>E135+E143</f>
        <v>1322629.0941239998</v>
      </c>
      <c r="F144" s="160"/>
      <c r="G144" s="123">
        <f>G135+G143</f>
        <v>1983943.6411859998</v>
      </c>
      <c r="H144" s="123"/>
      <c r="T144"/>
    </row>
    <row r="145" spans="1:20" s="34" customFormat="1" x14ac:dyDescent="0.25">
      <c r="A145" s="150" t="s">
        <v>385</v>
      </c>
      <c r="B145" s="150"/>
      <c r="C145" s="150"/>
      <c r="D145" s="150"/>
      <c r="E145" s="150"/>
      <c r="F145" s="150"/>
      <c r="G145" s="150"/>
      <c r="H145" s="150"/>
      <c r="T145" s="35"/>
    </row>
    <row r="146" spans="1:20" x14ac:dyDescent="0.25">
      <c r="A146" s="122" t="s">
        <v>162</v>
      </c>
      <c r="B146" s="122"/>
      <c r="C146" s="122"/>
      <c r="D146" s="122"/>
      <c r="E146" s="122"/>
      <c r="F146" s="122"/>
      <c r="G146" s="122"/>
      <c r="H146" s="122"/>
      <c r="T146" s="35"/>
    </row>
    <row r="147" spans="1:20" ht="47.25" customHeight="1" x14ac:dyDescent="0.25">
      <c r="A147" s="281" t="s">
        <v>416</v>
      </c>
      <c r="B147" s="281" t="s">
        <v>164</v>
      </c>
      <c r="C147" s="281" t="s">
        <v>52</v>
      </c>
      <c r="D147" s="281" t="s">
        <v>220</v>
      </c>
      <c r="E147" s="282" t="s">
        <v>144</v>
      </c>
      <c r="F147" s="281" t="s">
        <v>53</v>
      </c>
      <c r="G147" s="282" t="s">
        <v>54</v>
      </c>
      <c r="H147" s="283" t="s">
        <v>137</v>
      </c>
      <c r="T147" s="35"/>
    </row>
    <row r="148" spans="1:20" s="37" customFormat="1" x14ac:dyDescent="0.25">
      <c r="A148" s="284"/>
      <c r="B148" s="284"/>
      <c r="C148" s="284"/>
      <c r="D148" s="284"/>
      <c r="E148" s="285"/>
      <c r="F148" s="284"/>
      <c r="G148" s="285"/>
      <c r="H148" s="286">
        <v>0.5</v>
      </c>
      <c r="T148" s="35"/>
    </row>
    <row r="149" spans="1:20" s="37" customFormat="1" x14ac:dyDescent="0.25">
      <c r="A149" s="111" t="s">
        <v>417</v>
      </c>
      <c r="B149" s="112"/>
      <c r="C149" s="112"/>
      <c r="D149" s="112"/>
      <c r="E149" s="112"/>
      <c r="F149" s="112"/>
      <c r="G149" s="112"/>
      <c r="H149" s="113"/>
      <c r="J149" s="36"/>
      <c r="T149" s="35"/>
    </row>
    <row r="150" spans="1:20" s="37" customFormat="1" x14ac:dyDescent="0.25">
      <c r="A150" s="111" t="s">
        <v>418</v>
      </c>
      <c r="B150" s="112"/>
      <c r="C150" s="112"/>
      <c r="D150" s="112"/>
      <c r="E150" s="112"/>
      <c r="F150" s="112"/>
      <c r="G150" s="112"/>
      <c r="H150" s="113"/>
      <c r="J150" s="287">
        <f>10.764</f>
        <v>10.763999999999999</v>
      </c>
      <c r="T150" s="35"/>
    </row>
    <row r="151" spans="1:20" s="37" customFormat="1" ht="15.75" customHeight="1" x14ac:dyDescent="0.25">
      <c r="A151" s="109">
        <v>1</v>
      </c>
      <c r="B151" s="110"/>
      <c r="C151" s="42" t="s">
        <v>419</v>
      </c>
      <c r="D151" s="287">
        <f>(136.245)*(10.764)</f>
        <v>1466.5411799999999</v>
      </c>
      <c r="E151" s="42">
        <v>0</v>
      </c>
      <c r="F151" s="42">
        <f>D151+(IF(E151&lt;201,E151,IF(E151&lt;301,E151/2,E151/3)))</f>
        <v>1466.5411799999999</v>
      </c>
      <c r="G151" s="42">
        <v>0</v>
      </c>
      <c r="H151" s="42">
        <f>(F151+(IF(G151&lt;101,G151,IF(G151&lt;201,G151/2,IF(G151&lt;=301,G151/3,G151/4)))))*(($H$148)+1)</f>
        <v>2199.8117699999998</v>
      </c>
      <c r="I151" s="36"/>
      <c r="L151" s="228"/>
      <c r="M151" s="228"/>
      <c r="N151" s="36"/>
      <c r="T151" s="35"/>
    </row>
    <row r="152" spans="1:20" s="37" customFormat="1" ht="15.75" customHeight="1" x14ac:dyDescent="0.25">
      <c r="A152" s="109">
        <f>A151+1</f>
        <v>2</v>
      </c>
      <c r="B152" s="110"/>
      <c r="C152" s="42" t="s">
        <v>419</v>
      </c>
      <c r="D152" s="287">
        <f>(140.6)*(10.764)</f>
        <v>1513.4183999999998</v>
      </c>
      <c r="E152" s="42">
        <v>0</v>
      </c>
      <c r="F152" s="42">
        <f>D152+(IF(E152&lt;201,E152,IF(E152&lt;301,E152/2,E152/3)))</f>
        <v>1513.4183999999998</v>
      </c>
      <c r="G152" s="42">
        <v>0</v>
      </c>
      <c r="H152" s="42">
        <f>(F152+(IF(G152&lt;101,G152,IF(G152&lt;201,G152/2,IF(G152&lt;=301,G152/3,G152/4)))))*(($H$148)+1)</f>
        <v>2270.1275999999998</v>
      </c>
      <c r="I152" s="36"/>
      <c r="L152" s="228"/>
      <c r="M152" s="228"/>
      <c r="N152" s="36"/>
      <c r="T152" s="34"/>
    </row>
    <row r="153" spans="1:20" s="37" customFormat="1" ht="15.75" customHeight="1" x14ac:dyDescent="0.25">
      <c r="A153" s="109">
        <f>A152+1</f>
        <v>3</v>
      </c>
      <c r="B153" s="110"/>
      <c r="C153" s="42" t="s">
        <v>419</v>
      </c>
      <c r="D153" s="287">
        <f>(156.94)*(10.764)</f>
        <v>1689.30216</v>
      </c>
      <c r="E153" s="42">
        <v>0</v>
      </c>
      <c r="F153" s="42">
        <f>D153+(IF(E153&lt;201,E153,IF(E153&lt;301,E153/2,E153/3)))</f>
        <v>1689.30216</v>
      </c>
      <c r="G153" s="42">
        <v>0</v>
      </c>
      <c r="H153" s="42">
        <f>(F153+(IF(G153&lt;101,G153,IF(G153&lt;201,G153/2,IF(G153&lt;=301,G153/3,G153/4)))))*(($H$148)+1)</f>
        <v>2533.9532399999998</v>
      </c>
      <c r="I153" s="36"/>
      <c r="L153" s="228"/>
      <c r="M153" s="228"/>
      <c r="N153" s="36"/>
      <c r="T153" s="21"/>
    </row>
    <row r="154" spans="1:20" s="37" customFormat="1" ht="15.75" customHeight="1" x14ac:dyDescent="0.25">
      <c r="A154" s="109">
        <f>A153+1</f>
        <v>4</v>
      </c>
      <c r="B154" s="110"/>
      <c r="C154" s="42" t="s">
        <v>419</v>
      </c>
      <c r="D154" s="287">
        <f>(156.94)*(10.764)</f>
        <v>1689.30216</v>
      </c>
      <c r="E154" s="42">
        <v>0</v>
      </c>
      <c r="F154" s="42">
        <f>D154+(IF(E154&lt;201,E154,IF(E154&lt;301,E154/2,E154/3)))</f>
        <v>1689.30216</v>
      </c>
      <c r="G154" s="42">
        <v>0</v>
      </c>
      <c r="H154" s="42">
        <f>(F154+(IF(G154&lt;101,G154,IF(G154&lt;201,G154/2,IF(G154&lt;=301,G154/3,G154/4)))))*(($H$148)+1)</f>
        <v>2533.9532399999998</v>
      </c>
      <c r="I154" s="36"/>
      <c r="L154" s="228"/>
      <c r="M154" s="228"/>
      <c r="N154" s="36"/>
      <c r="T154" s="21"/>
    </row>
    <row r="155" spans="1:20" s="37" customFormat="1" ht="15.75" customHeight="1" x14ac:dyDescent="0.25">
      <c r="A155" s="109">
        <f>A154+1</f>
        <v>5</v>
      </c>
      <c r="B155" s="110"/>
      <c r="C155" s="42" t="s">
        <v>419</v>
      </c>
      <c r="D155" s="287">
        <f>(156.94)*(10.764)</f>
        <v>1689.30216</v>
      </c>
      <c r="E155" s="42">
        <v>0</v>
      </c>
      <c r="F155" s="42">
        <f>D155+(IF(E155&lt;201,E155,IF(E155&lt;301,E155/2,E155/3)))</f>
        <v>1689.30216</v>
      </c>
      <c r="G155" s="42">
        <v>0</v>
      </c>
      <c r="H155" s="42">
        <f>(F155+(IF(G155&lt;101,G155,IF(G155&lt;201,G155/2,IF(G155&lt;=301,G155/3,G155/4)))))*(($H$148)+1)</f>
        <v>2533.9532399999998</v>
      </c>
      <c r="I155" s="36"/>
      <c r="L155" s="228"/>
      <c r="M155" s="228"/>
      <c r="N155" s="36"/>
      <c r="T155" s="21"/>
    </row>
    <row r="156" spans="1:20" s="37" customFormat="1" ht="15.75" customHeight="1" x14ac:dyDescent="0.25">
      <c r="A156" s="109">
        <f>A155+1</f>
        <v>6</v>
      </c>
      <c r="B156" s="110"/>
      <c r="C156" s="42" t="s">
        <v>419</v>
      </c>
      <c r="D156" s="287">
        <f>(156.94)*(10.764)</f>
        <v>1689.30216</v>
      </c>
      <c r="E156" s="42">
        <v>0</v>
      </c>
      <c r="F156" s="42">
        <f>D156+(IF(E156&lt;201,E156,IF(E156&lt;301,E156/2,E156/3)))</f>
        <v>1689.30216</v>
      </c>
      <c r="G156" s="42">
        <v>0</v>
      </c>
      <c r="H156" s="42">
        <f>(F156+(IF(G156&lt;101,G156,IF(G156&lt;201,G156/2,IF(G156&lt;=301,G156/3,G156/4)))))*(($H$148)+1)</f>
        <v>2533.9532399999998</v>
      </c>
      <c r="I156" s="36"/>
      <c r="L156" s="228"/>
      <c r="M156" s="228"/>
      <c r="N156" s="36"/>
      <c r="T156" s="21"/>
    </row>
    <row r="157" spans="1:20" s="37" customFormat="1" ht="15.75" customHeight="1" x14ac:dyDescent="0.25">
      <c r="A157" s="109">
        <f>A156+1</f>
        <v>7</v>
      </c>
      <c r="B157" s="110"/>
      <c r="C157" s="42" t="s">
        <v>419</v>
      </c>
      <c r="D157" s="287">
        <f>(156.94)*(10.764)</f>
        <v>1689.30216</v>
      </c>
      <c r="E157" s="42">
        <v>0</v>
      </c>
      <c r="F157" s="42">
        <f>D157+(IF(E157&lt;201,E157,IF(E157&lt;301,E157/2,E157/3)))</f>
        <v>1689.30216</v>
      </c>
      <c r="G157" s="42">
        <v>0</v>
      </c>
      <c r="H157" s="42">
        <f>(F157+(IF(G157&lt;101,G157,IF(G157&lt;201,G157/2,IF(G157&lt;=301,G157/3,G157/4)))))*(($H$148)+1)</f>
        <v>2533.9532399999998</v>
      </c>
      <c r="I157" s="36"/>
      <c r="L157" s="228"/>
      <c r="M157" s="228"/>
      <c r="N157" s="36"/>
      <c r="T157" s="21"/>
    </row>
    <row r="158" spans="1:20" s="37" customFormat="1" ht="15.75" customHeight="1" x14ac:dyDescent="0.25">
      <c r="A158" s="109">
        <f>A157+1</f>
        <v>8</v>
      </c>
      <c r="B158" s="110"/>
      <c r="C158" s="42" t="s">
        <v>419</v>
      </c>
      <c r="D158" s="287">
        <f>(156.94)*(10.764)</f>
        <v>1689.30216</v>
      </c>
      <c r="E158" s="42">
        <v>0</v>
      </c>
      <c r="F158" s="42">
        <f>D158+(IF(E158&lt;201,E158,IF(E158&lt;301,E158/2,E158/3)))</f>
        <v>1689.30216</v>
      </c>
      <c r="G158" s="42">
        <v>0</v>
      </c>
      <c r="H158" s="42">
        <f>(F158+(IF(G158&lt;101,G158,IF(G158&lt;201,G158/2,IF(G158&lt;=301,G158/3,G158/4)))))*(($H$148)+1)</f>
        <v>2533.9532399999998</v>
      </c>
      <c r="I158" s="36"/>
      <c r="L158" s="228"/>
      <c r="M158" s="228"/>
      <c r="N158" s="36"/>
      <c r="T158" s="21"/>
    </row>
    <row r="159" spans="1:20" s="37" customFormat="1" ht="15.75" customHeight="1" x14ac:dyDescent="0.25">
      <c r="A159" s="109">
        <f>A158+1</f>
        <v>9</v>
      </c>
      <c r="B159" s="110"/>
      <c r="C159" s="42" t="s">
        <v>419</v>
      </c>
      <c r="D159" s="287">
        <f>(156.94)*(10.764)</f>
        <v>1689.30216</v>
      </c>
      <c r="E159" s="42">
        <v>0</v>
      </c>
      <c r="F159" s="42">
        <f>D159+(IF(E159&lt;201,E159,IF(E159&lt;301,E159/2,E159/3)))</f>
        <v>1689.30216</v>
      </c>
      <c r="G159" s="42">
        <v>0</v>
      </c>
      <c r="H159" s="42">
        <f>(F159+(IF(G159&lt;101,G159,IF(G159&lt;201,G159/2,IF(G159&lt;=301,G159/3,G159/4)))))*(($H$148)+1)</f>
        <v>2533.9532399999998</v>
      </c>
      <c r="I159" s="36"/>
      <c r="L159" s="228"/>
      <c r="M159" s="228"/>
      <c r="N159" s="36"/>
      <c r="T159" s="21"/>
    </row>
    <row r="160" spans="1:20" s="37" customFormat="1" ht="15.75" customHeight="1" x14ac:dyDescent="0.25">
      <c r="A160" s="109">
        <f>A159+1</f>
        <v>10</v>
      </c>
      <c r="B160" s="110"/>
      <c r="C160" s="42" t="s">
        <v>419</v>
      </c>
      <c r="D160" s="287">
        <f>(156.94)*(10.764)</f>
        <v>1689.30216</v>
      </c>
      <c r="E160" s="42">
        <v>0</v>
      </c>
      <c r="F160" s="42">
        <f>D160+(IF(E160&lt;201,E160,IF(E160&lt;301,E160/2,E160/3)))</f>
        <v>1689.30216</v>
      </c>
      <c r="G160" s="42">
        <v>0</v>
      </c>
      <c r="H160" s="42">
        <f>(F160+(IF(G160&lt;101,G160,IF(G160&lt;201,G160/2,IF(G160&lt;=301,G160/3,G160/4)))))*(($H$148)+1)</f>
        <v>2533.9532399999998</v>
      </c>
      <c r="I160" s="36"/>
      <c r="L160" s="228"/>
      <c r="M160" s="228"/>
      <c r="N160" s="36"/>
      <c r="T160" s="21"/>
    </row>
    <row r="161" spans="1:20" s="37" customFormat="1" ht="15.75" customHeight="1" x14ac:dyDescent="0.25">
      <c r="A161" s="109">
        <f>A160+1</f>
        <v>11</v>
      </c>
      <c r="B161" s="110"/>
      <c r="C161" s="42" t="s">
        <v>419</v>
      </c>
      <c r="D161" s="287">
        <f>(156.94)*(10.764)</f>
        <v>1689.30216</v>
      </c>
      <c r="E161" s="42">
        <v>0</v>
      </c>
      <c r="F161" s="42">
        <f>D161+(IF(E161&lt;201,E161,IF(E161&lt;301,E161/2,E161/3)))</f>
        <v>1689.30216</v>
      </c>
      <c r="G161" s="42">
        <v>0</v>
      </c>
      <c r="H161" s="42">
        <f>(F161+(IF(G161&lt;101,G161,IF(G161&lt;201,G161/2,IF(G161&lt;=301,G161/3,G161/4)))))*(($H$148)+1)</f>
        <v>2533.9532399999998</v>
      </c>
      <c r="I161" s="36"/>
      <c r="L161" s="228"/>
      <c r="M161" s="228"/>
      <c r="N161" s="36"/>
      <c r="T161" s="21"/>
    </row>
    <row r="162" spans="1:20" s="37" customFormat="1" ht="15.75" customHeight="1" x14ac:dyDescent="0.25">
      <c r="A162" s="109">
        <f>A161+1</f>
        <v>12</v>
      </c>
      <c r="B162" s="110"/>
      <c r="C162" s="42" t="s">
        <v>419</v>
      </c>
      <c r="D162" s="287">
        <f>(156.94)*(10.764)</f>
        <v>1689.30216</v>
      </c>
      <c r="E162" s="42">
        <v>0</v>
      </c>
      <c r="F162" s="42">
        <f>D162+(IF(E162&lt;201,E162,IF(E162&lt;301,E162/2,E162/3)))</f>
        <v>1689.30216</v>
      </c>
      <c r="G162" s="42">
        <v>0</v>
      </c>
      <c r="H162" s="42">
        <f>(F162+(IF(G162&lt;101,G162,IF(G162&lt;201,G162/2,IF(G162&lt;=301,G162/3,G162/4)))))*(($H$148)+1)</f>
        <v>2533.9532399999998</v>
      </c>
      <c r="I162" s="36"/>
      <c r="L162" s="228"/>
      <c r="M162" s="228"/>
      <c r="N162" s="36"/>
      <c r="T162" s="21"/>
    </row>
    <row r="163" spans="1:20" s="37" customFormat="1" ht="15.75" customHeight="1" x14ac:dyDescent="0.25">
      <c r="A163" s="109">
        <f>A162+1</f>
        <v>13</v>
      </c>
      <c r="B163" s="110"/>
      <c r="C163" s="42" t="s">
        <v>419</v>
      </c>
      <c r="D163" s="287">
        <f>(136.992)*(10.764)</f>
        <v>1474.5818879999997</v>
      </c>
      <c r="E163" s="42">
        <v>0</v>
      </c>
      <c r="F163" s="42">
        <f>D163+(IF(E163&lt;201,E163,IF(E163&lt;301,E163/2,E163/3)))</f>
        <v>1474.5818879999997</v>
      </c>
      <c r="G163" s="42">
        <v>0</v>
      </c>
      <c r="H163" s="42">
        <f>(F163+(IF(G163&lt;101,G163,IF(G163&lt;201,G163/2,IF(G163&lt;=301,G163/3,G163/4)))))*(($H$148)+1)</f>
        <v>2211.8728319999996</v>
      </c>
      <c r="I163" s="36"/>
      <c r="L163" s="228"/>
      <c r="M163" s="228"/>
      <c r="N163" s="36"/>
      <c r="T163" s="21"/>
    </row>
    <row r="164" spans="1:20" s="37" customFormat="1" ht="15.75" customHeight="1" x14ac:dyDescent="0.25">
      <c r="A164" s="109">
        <f>A163+1</f>
        <v>14</v>
      </c>
      <c r="B164" s="110"/>
      <c r="C164" s="42" t="s">
        <v>419</v>
      </c>
      <c r="D164" s="287">
        <f>(136.224)*(10.764)</f>
        <v>1466.3151359999997</v>
      </c>
      <c r="E164" s="42">
        <v>0</v>
      </c>
      <c r="F164" s="42">
        <f>D164+(IF(E164&lt;201,E164,IF(E164&lt;301,E164/2,E164/3)))</f>
        <v>1466.3151359999997</v>
      </c>
      <c r="G164" s="42">
        <v>0</v>
      </c>
      <c r="H164" s="42">
        <f>(F164+(IF(G164&lt;101,G164,IF(G164&lt;201,G164/2,IF(G164&lt;=301,G164/3,G164/4)))))*(($H$148)+1)</f>
        <v>2199.4727039999998</v>
      </c>
      <c r="I164" s="36"/>
      <c r="L164" s="228"/>
      <c r="M164" s="228"/>
      <c r="N164" s="36"/>
      <c r="T164" s="21"/>
    </row>
    <row r="165" spans="1:20" s="37" customFormat="1" ht="15.75" customHeight="1" x14ac:dyDescent="0.25">
      <c r="A165" s="109">
        <f>A164+1</f>
        <v>15</v>
      </c>
      <c r="B165" s="110"/>
      <c r="C165" s="42" t="s">
        <v>419</v>
      </c>
      <c r="D165" s="287">
        <f>(136.224)*(10.764)</f>
        <v>1466.3151359999997</v>
      </c>
      <c r="E165" s="42">
        <v>0</v>
      </c>
      <c r="F165" s="42">
        <f>D165+(IF(E165&lt;201,E165,IF(E165&lt;301,E165/2,E165/3)))</f>
        <v>1466.3151359999997</v>
      </c>
      <c r="G165" s="42">
        <v>0</v>
      </c>
      <c r="H165" s="42">
        <f>(F165+(IF(G165&lt;101,G165,IF(G165&lt;201,G165/2,IF(G165&lt;=301,G165/3,G165/4)))))*(($H$148)+1)</f>
        <v>2199.4727039999998</v>
      </c>
      <c r="I165" s="36"/>
      <c r="L165" s="228"/>
      <c r="M165" s="228"/>
      <c r="N165" s="36"/>
      <c r="T165" s="21"/>
    </row>
    <row r="166" spans="1:20" s="37" customFormat="1" x14ac:dyDescent="0.25">
      <c r="A166" s="111" t="s">
        <v>420</v>
      </c>
      <c r="B166" s="112"/>
      <c r="C166" s="112"/>
      <c r="D166" s="112"/>
      <c r="E166" s="112"/>
      <c r="F166" s="112"/>
      <c r="G166" s="112"/>
      <c r="H166" s="113"/>
      <c r="J166" s="36"/>
      <c r="T166" s="35"/>
    </row>
    <row r="167" spans="1:20" s="37" customFormat="1" ht="15.75" customHeight="1" x14ac:dyDescent="0.25">
      <c r="A167" s="109">
        <v>16</v>
      </c>
      <c r="B167" s="110"/>
      <c r="C167" s="42" t="s">
        <v>419</v>
      </c>
      <c r="D167" s="287">
        <f>(94.447)*(10.764)</f>
        <v>1016.6275079999999</v>
      </c>
      <c r="E167" s="42">
        <v>0</v>
      </c>
      <c r="F167" s="42">
        <f>D167+(IF(E167&lt;201,E167,IF(E167&lt;301,E167/2,E167/3)))</f>
        <v>1016.6275079999999</v>
      </c>
      <c r="G167" s="42">
        <v>0</v>
      </c>
      <c r="H167" s="42">
        <f>(F167+(IF(G167&lt;101,G167,IF(G167&lt;201,G167/2,IF(G167&lt;=301,G167/3,G167/4)))))*(($H$148)+1)</f>
        <v>1524.9412619999998</v>
      </c>
      <c r="I167" s="36"/>
      <c r="L167" s="228"/>
      <c r="M167" s="228"/>
      <c r="N167" s="36"/>
      <c r="T167" s="35"/>
    </row>
    <row r="168" spans="1:20" s="37" customFormat="1" ht="15.75" customHeight="1" x14ac:dyDescent="0.25">
      <c r="A168" s="109">
        <f>A167+1</f>
        <v>17</v>
      </c>
      <c r="B168" s="110"/>
      <c r="C168" s="42" t="s">
        <v>419</v>
      </c>
      <c r="D168" s="287">
        <f>(94.62)*(10.764)</f>
        <v>1018.48968</v>
      </c>
      <c r="E168" s="42">
        <v>0</v>
      </c>
      <c r="F168" s="42">
        <f>D168+(IF(E168&lt;201,E168,IF(E168&lt;301,E168/2,E168/3)))</f>
        <v>1018.48968</v>
      </c>
      <c r="G168" s="42">
        <v>0</v>
      </c>
      <c r="H168" s="42">
        <f>(F168+(IF(G168&lt;101,G168,IF(G168&lt;201,G168/2,IF(G168&lt;=301,G168/3,G168/4)))))*(($H$148)+1)</f>
        <v>1527.73452</v>
      </c>
      <c r="I168" s="36"/>
      <c r="L168" s="228"/>
      <c r="M168" s="228"/>
      <c r="N168" s="36"/>
      <c r="T168" s="34"/>
    </row>
    <row r="169" spans="1:20" s="37" customFormat="1" ht="15.75" customHeight="1" x14ac:dyDescent="0.25">
      <c r="A169" s="109">
        <f>A168+1</f>
        <v>18</v>
      </c>
      <c r="B169" s="110"/>
      <c r="C169" s="42" t="s">
        <v>419</v>
      </c>
      <c r="D169" s="287">
        <f>(94.62)*(10.764)</f>
        <v>1018.48968</v>
      </c>
      <c r="E169" s="42">
        <v>0</v>
      </c>
      <c r="F169" s="42">
        <f>D169+(IF(E169&lt;201,E169,IF(E169&lt;301,E169/2,E169/3)))</f>
        <v>1018.48968</v>
      </c>
      <c r="G169" s="42">
        <v>0</v>
      </c>
      <c r="H169" s="42">
        <f>(F169+(IF(G169&lt;101,G169,IF(G169&lt;201,G169/2,IF(G169&lt;=301,G169/3,G169/4)))))*(($H$148)+1)</f>
        <v>1527.73452</v>
      </c>
      <c r="I169" s="36"/>
      <c r="L169" s="228"/>
      <c r="M169" s="228"/>
      <c r="N169" s="36"/>
      <c r="T169" s="21"/>
    </row>
    <row r="170" spans="1:20" s="37" customFormat="1" ht="15.75" customHeight="1" x14ac:dyDescent="0.25">
      <c r="A170" s="109">
        <f>A169+1</f>
        <v>19</v>
      </c>
      <c r="B170" s="110"/>
      <c r="C170" s="42" t="s">
        <v>419</v>
      </c>
      <c r="D170" s="287">
        <f>(94.62)*(10.764)</f>
        <v>1018.48968</v>
      </c>
      <c r="E170" s="42">
        <v>0</v>
      </c>
      <c r="F170" s="42">
        <f>D170+(IF(E170&lt;201,E170,IF(E170&lt;301,E170/2,E170/3)))</f>
        <v>1018.48968</v>
      </c>
      <c r="G170" s="42">
        <v>0</v>
      </c>
      <c r="H170" s="42">
        <f>(F170+(IF(G170&lt;101,G170,IF(G170&lt;201,G170/2,IF(G170&lt;=301,G170/3,G170/4)))))*(($H$148)+1)</f>
        <v>1527.73452</v>
      </c>
      <c r="I170" s="36"/>
      <c r="L170" s="228"/>
      <c r="M170" s="228"/>
      <c r="N170" s="36"/>
      <c r="T170" s="21"/>
    </row>
    <row r="171" spans="1:20" s="37" customFormat="1" ht="15.75" customHeight="1" x14ac:dyDescent="0.25">
      <c r="A171" s="109">
        <f>A170+1</f>
        <v>20</v>
      </c>
      <c r="B171" s="110"/>
      <c r="C171" s="42" t="s">
        <v>419</v>
      </c>
      <c r="D171" s="287">
        <f>(94.62)*(10.764)</f>
        <v>1018.48968</v>
      </c>
      <c r="E171" s="42">
        <v>0</v>
      </c>
      <c r="F171" s="42">
        <f>D171+(IF(E171&lt;201,E171,IF(E171&lt;301,E171/2,E171/3)))</f>
        <v>1018.48968</v>
      </c>
      <c r="G171" s="42">
        <v>0</v>
      </c>
      <c r="H171" s="42">
        <f>(F171+(IF(G171&lt;101,G171,IF(G171&lt;201,G171/2,IF(G171&lt;=301,G171/3,G171/4)))))*(($H$148)+1)</f>
        <v>1527.73452</v>
      </c>
      <c r="I171" s="36"/>
      <c r="L171" s="228"/>
      <c r="M171" s="228"/>
      <c r="N171" s="36"/>
      <c r="T171" s="21"/>
    </row>
    <row r="172" spans="1:20" s="37" customFormat="1" ht="15.75" customHeight="1" x14ac:dyDescent="0.25">
      <c r="A172" s="109">
        <f>A171+1</f>
        <v>21</v>
      </c>
      <c r="B172" s="110"/>
      <c r="C172" s="42" t="s">
        <v>419</v>
      </c>
      <c r="D172" s="287">
        <f>(94.62)*(10.764)</f>
        <v>1018.48968</v>
      </c>
      <c r="E172" s="42">
        <v>0</v>
      </c>
      <c r="F172" s="42">
        <f>D172+(IF(E172&lt;201,E172,IF(E172&lt;301,E172/2,E172/3)))</f>
        <v>1018.48968</v>
      </c>
      <c r="G172" s="42">
        <v>0</v>
      </c>
      <c r="H172" s="42">
        <f>(F172+(IF(G172&lt;101,G172,IF(G172&lt;201,G172/2,IF(G172&lt;=301,G172/3,G172/4)))))*(($H$148)+1)</f>
        <v>1527.73452</v>
      </c>
      <c r="I172" s="36"/>
      <c r="L172" s="228"/>
      <c r="M172" s="228"/>
      <c r="N172" s="36"/>
      <c r="T172" s="21"/>
    </row>
    <row r="173" spans="1:20" s="37" customFormat="1" ht="15.75" customHeight="1" x14ac:dyDescent="0.25">
      <c r="A173" s="109">
        <f>A172+1</f>
        <v>22</v>
      </c>
      <c r="B173" s="110"/>
      <c r="C173" s="42" t="s">
        <v>419</v>
      </c>
      <c r="D173" s="287">
        <f>(94.62)*(10.764)</f>
        <v>1018.48968</v>
      </c>
      <c r="E173" s="42">
        <v>0</v>
      </c>
      <c r="F173" s="42">
        <f>D173+(IF(E173&lt;201,E173,IF(E173&lt;301,E173/2,E173/3)))</f>
        <v>1018.48968</v>
      </c>
      <c r="G173" s="42">
        <v>0</v>
      </c>
      <c r="H173" s="42">
        <f>(F173+(IF(G173&lt;101,G173,IF(G173&lt;201,G173/2,IF(G173&lt;=301,G173/3,G173/4)))))*(($H$148)+1)</f>
        <v>1527.73452</v>
      </c>
      <c r="I173" s="36"/>
      <c r="L173" s="228"/>
      <c r="M173" s="228"/>
      <c r="N173" s="36"/>
      <c r="T173" s="21"/>
    </row>
    <row r="174" spans="1:20" s="37" customFormat="1" ht="15.75" customHeight="1" x14ac:dyDescent="0.25">
      <c r="A174" s="109">
        <f>A173+1</f>
        <v>23</v>
      </c>
      <c r="B174" s="110"/>
      <c r="C174" s="42" t="s">
        <v>419</v>
      </c>
      <c r="D174" s="287">
        <f>(94.62)*(10.764)</f>
        <v>1018.48968</v>
      </c>
      <c r="E174" s="42">
        <v>0</v>
      </c>
      <c r="F174" s="42">
        <f>D174+(IF(E174&lt;201,E174,IF(E174&lt;301,E174/2,E174/3)))</f>
        <v>1018.48968</v>
      </c>
      <c r="G174" s="42">
        <v>0</v>
      </c>
      <c r="H174" s="42">
        <f>(F174+(IF(G174&lt;101,G174,IF(G174&lt;201,G174/2,IF(G174&lt;=301,G174/3,G174/4)))))*(($H$148)+1)</f>
        <v>1527.73452</v>
      </c>
      <c r="I174" s="36"/>
      <c r="L174" s="228"/>
      <c r="M174" s="228"/>
      <c r="N174" s="36"/>
      <c r="T174" s="21"/>
    </row>
    <row r="175" spans="1:20" s="37" customFormat="1" ht="15.75" customHeight="1" x14ac:dyDescent="0.25">
      <c r="A175" s="109">
        <f>A174+1</f>
        <v>24</v>
      </c>
      <c r="B175" s="110"/>
      <c r="C175" s="42" t="s">
        <v>419</v>
      </c>
      <c r="D175" s="287">
        <f>(81.7)*(10.764)</f>
        <v>879.41880000000003</v>
      </c>
      <c r="E175" s="42">
        <v>0</v>
      </c>
      <c r="F175" s="42">
        <f>D175+(IF(E175&lt;201,E175,IF(E175&lt;301,E175/2,E175/3)))</f>
        <v>879.41880000000003</v>
      </c>
      <c r="G175" s="42">
        <v>0</v>
      </c>
      <c r="H175" s="42">
        <f>(F175+(IF(G175&lt;101,G175,IF(G175&lt;201,G175/2,IF(G175&lt;=301,G175/3,G175/4)))))*(($H$148)+1)</f>
        <v>1319.1282000000001</v>
      </c>
      <c r="I175" s="36"/>
      <c r="L175" s="228"/>
      <c r="M175" s="228"/>
      <c r="N175" s="36"/>
      <c r="T175" s="21"/>
    </row>
    <row r="176" spans="1:20" s="37" customFormat="1" ht="15.75" customHeight="1" x14ac:dyDescent="0.25">
      <c r="A176" s="109">
        <f>A175+1</f>
        <v>25</v>
      </c>
      <c r="B176" s="110"/>
      <c r="C176" s="42" t="s">
        <v>419</v>
      </c>
      <c r="D176" s="287">
        <f>(81.7)*(10.764)</f>
        <v>879.41880000000003</v>
      </c>
      <c r="E176" s="42">
        <v>0</v>
      </c>
      <c r="F176" s="42">
        <f>D176+(IF(E176&lt;201,E176,IF(E176&lt;301,E176/2,E176/3)))</f>
        <v>879.41880000000003</v>
      </c>
      <c r="G176" s="42">
        <v>0</v>
      </c>
      <c r="H176" s="42">
        <f>(F176+(IF(G176&lt;101,G176,IF(G176&lt;201,G176/2,IF(G176&lt;=301,G176/3,G176/4)))))*(($H$148)+1)</f>
        <v>1319.1282000000001</v>
      </c>
      <c r="I176" s="36"/>
      <c r="L176" s="228"/>
      <c r="M176" s="228"/>
      <c r="N176" s="36"/>
      <c r="T176" s="21"/>
    </row>
    <row r="177" spans="1:20" s="37" customFormat="1" ht="15.75" customHeight="1" x14ac:dyDescent="0.25">
      <c r="A177" s="109">
        <f>A176+1</f>
        <v>26</v>
      </c>
      <c r="B177" s="110"/>
      <c r="C177" s="42" t="s">
        <v>419</v>
      </c>
      <c r="D177" s="287">
        <f>(94.62)*(10.764)</f>
        <v>1018.48968</v>
      </c>
      <c r="E177" s="42">
        <v>0</v>
      </c>
      <c r="F177" s="42">
        <f>D177+(IF(E177&lt;201,E177,IF(E177&lt;301,E177/2,E177/3)))</f>
        <v>1018.48968</v>
      </c>
      <c r="G177" s="42">
        <v>0</v>
      </c>
      <c r="H177" s="42">
        <f>(F177+(IF(G177&lt;101,G177,IF(G177&lt;201,G177/2,IF(G177&lt;=301,G177/3,G177/4)))))*(($H$148)+1)</f>
        <v>1527.73452</v>
      </c>
      <c r="I177" s="36"/>
      <c r="L177" s="228"/>
      <c r="M177" s="228"/>
      <c r="N177" s="36"/>
      <c r="T177" s="21"/>
    </row>
    <row r="178" spans="1:20" s="37" customFormat="1" ht="15.75" customHeight="1" x14ac:dyDescent="0.25">
      <c r="A178" s="109">
        <f>A177+1</f>
        <v>27</v>
      </c>
      <c r="B178" s="110"/>
      <c r="C178" s="42" t="s">
        <v>419</v>
      </c>
      <c r="D178" s="287">
        <f>(94.62)*(10.764)</f>
        <v>1018.48968</v>
      </c>
      <c r="E178" s="42">
        <v>0</v>
      </c>
      <c r="F178" s="42">
        <f>D178+(IF(E178&lt;201,E178,IF(E178&lt;301,E178/2,E178/3)))</f>
        <v>1018.48968</v>
      </c>
      <c r="G178" s="42">
        <v>0</v>
      </c>
      <c r="H178" s="42">
        <f>(F178+(IF(G178&lt;101,G178,IF(G178&lt;201,G178/2,IF(G178&lt;=301,G178/3,G178/4)))))*(($H$148)+1)</f>
        <v>1527.73452</v>
      </c>
      <c r="I178" s="36"/>
      <c r="L178" s="228"/>
      <c r="M178" s="228"/>
      <c r="N178" s="36"/>
      <c r="T178" s="21"/>
    </row>
    <row r="179" spans="1:20" s="37" customFormat="1" ht="15.75" customHeight="1" x14ac:dyDescent="0.25">
      <c r="A179" s="109">
        <f>A178+1</f>
        <v>28</v>
      </c>
      <c r="B179" s="110"/>
      <c r="C179" s="42" t="s">
        <v>419</v>
      </c>
      <c r="D179" s="287">
        <f>(92.627)*(10.764)</f>
        <v>997.03702799999985</v>
      </c>
      <c r="E179" s="42">
        <v>0</v>
      </c>
      <c r="F179" s="42">
        <f>D179+(IF(E179&lt;201,E179,IF(E179&lt;301,E179/2,E179/3)))</f>
        <v>997.03702799999985</v>
      </c>
      <c r="G179" s="42">
        <v>0</v>
      </c>
      <c r="H179" s="42">
        <f>(F179+(IF(G179&lt;101,G179,IF(G179&lt;201,G179/2,IF(G179&lt;=301,G179/3,G179/4)))))*(($H$148)+1)</f>
        <v>1495.5555419999998</v>
      </c>
      <c r="I179" s="36"/>
      <c r="L179" s="228"/>
      <c r="M179" s="228"/>
      <c r="N179" s="36"/>
      <c r="T179" s="21"/>
    </row>
    <row r="180" spans="1:20" s="37" customFormat="1" ht="15.75" customHeight="1" x14ac:dyDescent="0.25">
      <c r="A180" s="109">
        <f>A179+1</f>
        <v>29</v>
      </c>
      <c r="B180" s="110"/>
      <c r="C180" s="42" t="s">
        <v>419</v>
      </c>
      <c r="D180" s="287">
        <f>(92.625)*(10.764)</f>
        <v>997.01549999999997</v>
      </c>
      <c r="E180" s="42">
        <v>0</v>
      </c>
      <c r="F180" s="42">
        <f>D180+(IF(E180&lt;201,E180,IF(E180&lt;301,E180/2,E180/3)))</f>
        <v>997.01549999999997</v>
      </c>
      <c r="G180" s="42">
        <v>0</v>
      </c>
      <c r="H180" s="42">
        <f>(F180+(IF(G180&lt;101,G180,IF(G180&lt;201,G180/2,IF(G180&lt;=301,G180/3,G180/4)))))*(($H$148)+1)</f>
        <v>1495.52325</v>
      </c>
      <c r="I180" s="36"/>
      <c r="L180" s="228"/>
      <c r="M180" s="228"/>
      <c r="N180" s="36"/>
      <c r="T180" s="21"/>
    </row>
    <row r="181" spans="1:20" s="37" customFormat="1" ht="15.75" customHeight="1" x14ac:dyDescent="0.25">
      <c r="A181" s="109">
        <f>A180+1</f>
        <v>30</v>
      </c>
      <c r="B181" s="110"/>
      <c r="C181" s="42" t="s">
        <v>419</v>
      </c>
      <c r="D181" s="287">
        <f>(92.625)*(10.764)</f>
        <v>997.01549999999997</v>
      </c>
      <c r="E181" s="42">
        <v>0</v>
      </c>
      <c r="F181" s="42">
        <f>D181+(IF(E181&lt;201,E181,IF(E181&lt;301,E181/2,E181/3)))</f>
        <v>997.01549999999997</v>
      </c>
      <c r="G181" s="42">
        <v>0</v>
      </c>
      <c r="H181" s="42">
        <f>(F181+(IF(G181&lt;101,G181,IF(G181&lt;201,G181/2,IF(G181&lt;=301,G181/3,G181/4)))))*(($H$148)+1)</f>
        <v>1495.52325</v>
      </c>
      <c r="I181" s="36"/>
      <c r="L181" s="228"/>
      <c r="M181" s="228"/>
      <c r="N181" s="36"/>
      <c r="T181" s="21"/>
    </row>
    <row r="182" spans="1:20" s="37" customFormat="1" ht="15.75" customHeight="1" x14ac:dyDescent="0.25">
      <c r="A182" s="109">
        <f>A181+1</f>
        <v>31</v>
      </c>
      <c r="B182" s="110"/>
      <c r="C182" s="42" t="s">
        <v>419</v>
      </c>
      <c r="D182" s="287">
        <f>(92.625)*(10.764)</f>
        <v>997.01549999999997</v>
      </c>
      <c r="E182" s="42">
        <v>0</v>
      </c>
      <c r="F182" s="42">
        <f>D182+(IF(E182&lt;201,E182,IF(E182&lt;301,E182/2,E182/3)))</f>
        <v>997.01549999999997</v>
      </c>
      <c r="G182" s="42">
        <v>0</v>
      </c>
      <c r="H182" s="42">
        <f>(F182+(IF(G182&lt;101,G182,IF(G182&lt;201,G182/2,IF(G182&lt;=301,G182/3,G182/4)))))*(($H$148)+1)</f>
        <v>1495.52325</v>
      </c>
      <c r="I182" s="36"/>
      <c r="L182" s="228"/>
      <c r="M182" s="228"/>
      <c r="N182" s="36"/>
      <c r="T182" s="21"/>
    </row>
    <row r="183" spans="1:20" s="37" customFormat="1" ht="15.75" customHeight="1" x14ac:dyDescent="0.25">
      <c r="A183" s="109">
        <f>A182+1</f>
        <v>32</v>
      </c>
      <c r="B183" s="110"/>
      <c r="C183" s="42" t="s">
        <v>419</v>
      </c>
      <c r="D183" s="287">
        <f>(92.62)*(10.764)</f>
        <v>996.96168</v>
      </c>
      <c r="E183" s="42">
        <v>0</v>
      </c>
      <c r="F183" s="42">
        <f>D183+(IF(E183&lt;201,E183,IF(E183&lt;301,E183/2,E183/3)))</f>
        <v>996.96168</v>
      </c>
      <c r="G183" s="42">
        <v>0</v>
      </c>
      <c r="H183" s="42">
        <f>(F183+(IF(G183&lt;101,G183,IF(G183&lt;201,G183/2,IF(G183&lt;=301,G183/3,G183/4)))))*(($H$148)+1)</f>
        <v>1495.4425200000001</v>
      </c>
      <c r="I183" s="36"/>
      <c r="L183" s="228"/>
      <c r="M183" s="228"/>
      <c r="N183" s="36"/>
      <c r="T183" s="21"/>
    </row>
    <row r="184" spans="1:20" s="37" customFormat="1" ht="15.75" customHeight="1" x14ac:dyDescent="0.25">
      <c r="A184" s="109">
        <f>A183+1</f>
        <v>33</v>
      </c>
      <c r="B184" s="110"/>
      <c r="C184" s="42" t="s">
        <v>419</v>
      </c>
      <c r="D184" s="287">
        <f>(92.62)*(10.764)</f>
        <v>996.96168</v>
      </c>
      <c r="E184" s="42">
        <v>0</v>
      </c>
      <c r="F184" s="42">
        <f>D184+(IF(E184&lt;201,E184,IF(E184&lt;301,E184/2,E184/3)))</f>
        <v>996.96168</v>
      </c>
      <c r="G184" s="42">
        <v>0</v>
      </c>
      <c r="H184" s="42">
        <f>(F184+(IF(G184&lt;101,G184,IF(G184&lt;201,G184/2,IF(G184&lt;=301,G184/3,G184/4)))))*(($H$148)+1)</f>
        <v>1495.4425200000001</v>
      </c>
      <c r="I184" s="36"/>
      <c r="L184" s="228"/>
      <c r="M184" s="228"/>
      <c r="N184" s="36"/>
      <c r="T184" s="21"/>
    </row>
    <row r="185" spans="1:20" s="37" customFormat="1" ht="15.75" customHeight="1" x14ac:dyDescent="0.25">
      <c r="A185" s="109">
        <f>A184+1</f>
        <v>34</v>
      </c>
      <c r="B185" s="110"/>
      <c r="C185" s="42" t="s">
        <v>419</v>
      </c>
      <c r="D185" s="287">
        <f>(92.62)*(10.764)</f>
        <v>996.96168</v>
      </c>
      <c r="E185" s="42">
        <v>0</v>
      </c>
      <c r="F185" s="42">
        <f>D185+(IF(E185&lt;201,E185,IF(E185&lt;301,E185/2,E185/3)))</f>
        <v>996.96168</v>
      </c>
      <c r="G185" s="42">
        <v>0</v>
      </c>
      <c r="H185" s="42">
        <f>(F185+(IF(G185&lt;101,G185,IF(G185&lt;201,G185/2,IF(G185&lt;=301,G185/3,G185/4)))))*(($H$148)+1)</f>
        <v>1495.4425200000001</v>
      </c>
      <c r="I185" s="36"/>
      <c r="L185" s="228"/>
      <c r="M185" s="228"/>
      <c r="N185" s="36"/>
      <c r="T185" s="21"/>
    </row>
    <row r="186" spans="1:20" s="37" customFormat="1" ht="15.75" customHeight="1" x14ac:dyDescent="0.25">
      <c r="A186" s="109">
        <f>A185+1</f>
        <v>35</v>
      </c>
      <c r="B186" s="110"/>
      <c r="C186" s="42" t="s">
        <v>419</v>
      </c>
      <c r="D186" s="287">
        <f>(92.62)*(10.764)</f>
        <v>996.96168</v>
      </c>
      <c r="E186" s="42">
        <v>0</v>
      </c>
      <c r="F186" s="42">
        <f>D186+(IF(E186&lt;201,E186,IF(E186&lt;301,E186/2,E186/3)))</f>
        <v>996.96168</v>
      </c>
      <c r="G186" s="42">
        <v>0</v>
      </c>
      <c r="H186" s="42">
        <f>(F186+(IF(G186&lt;101,G186,IF(G186&lt;201,G186/2,IF(G186&lt;=301,G186/3,G186/4)))))*(($H$148)+1)</f>
        <v>1495.4425200000001</v>
      </c>
      <c r="I186" s="36"/>
      <c r="L186" s="228"/>
      <c r="M186" s="228"/>
      <c r="N186" s="36"/>
      <c r="T186" s="21"/>
    </row>
    <row r="187" spans="1:20" s="37" customFormat="1" x14ac:dyDescent="0.25">
      <c r="A187" s="109"/>
      <c r="B187" s="149"/>
      <c r="C187" s="149"/>
      <c r="D187" s="149"/>
      <c r="E187" s="149"/>
      <c r="F187" s="149"/>
      <c r="G187" s="149"/>
      <c r="H187" s="110"/>
      <c r="I187" s="36"/>
      <c r="N187" s="36"/>
    </row>
    <row r="188" spans="1:20" ht="47.25" customHeight="1" x14ac:dyDescent="0.25">
      <c r="A188" s="151" t="s">
        <v>109</v>
      </c>
      <c r="B188" s="145" t="s">
        <v>165</v>
      </c>
      <c r="C188" s="153" t="s">
        <v>52</v>
      </c>
      <c r="D188" s="145" t="s">
        <v>351</v>
      </c>
      <c r="E188" s="145" t="s">
        <v>352</v>
      </c>
      <c r="F188" s="153" t="s">
        <v>53</v>
      </c>
      <c r="G188" s="162" t="s">
        <v>54</v>
      </c>
      <c r="H188" s="63" t="s">
        <v>137</v>
      </c>
      <c r="I188" s="36"/>
      <c r="T188" s="37"/>
    </row>
    <row r="189" spans="1:20" s="37" customFormat="1" x14ac:dyDescent="0.25">
      <c r="A189" s="152"/>
      <c r="B189" s="146"/>
      <c r="C189" s="154"/>
      <c r="D189" s="146"/>
      <c r="E189" s="146"/>
      <c r="F189" s="154"/>
      <c r="G189" s="163"/>
      <c r="H189" s="83">
        <v>0.5</v>
      </c>
      <c r="I189" s="36"/>
    </row>
    <row r="190" spans="1:20" s="37" customFormat="1" x14ac:dyDescent="0.25">
      <c r="A190" s="155" t="s">
        <v>353</v>
      </c>
      <c r="B190" s="156"/>
      <c r="C190" s="156"/>
      <c r="D190" s="156"/>
      <c r="E190" s="156"/>
      <c r="F190" s="156"/>
      <c r="G190" s="156"/>
      <c r="H190" s="157"/>
      <c r="J190" s="36"/>
    </row>
    <row r="191" spans="1:20" s="37" customFormat="1" x14ac:dyDescent="0.25">
      <c r="A191" s="158" t="s">
        <v>354</v>
      </c>
      <c r="B191" s="158"/>
      <c r="C191" s="158"/>
      <c r="D191" s="158"/>
      <c r="E191" s="158"/>
      <c r="F191" s="158"/>
      <c r="G191" s="158"/>
      <c r="H191" s="158"/>
      <c r="J191" s="36"/>
    </row>
    <row r="192" spans="1:20" s="37" customFormat="1" ht="32.25" customHeight="1" x14ac:dyDescent="0.25">
      <c r="A192" s="158" t="s">
        <v>355</v>
      </c>
      <c r="B192" s="158"/>
      <c r="C192" s="158"/>
      <c r="D192" s="158"/>
      <c r="E192" s="158"/>
      <c r="F192" s="158"/>
      <c r="G192" s="158"/>
      <c r="H192" s="158"/>
      <c r="I192" s="82">
        <v>35</v>
      </c>
      <c r="J192" s="36"/>
    </row>
    <row r="193" spans="1:20" s="37" customFormat="1" ht="15.75" customHeight="1" x14ac:dyDescent="0.25">
      <c r="A193" s="144">
        <v>1</v>
      </c>
      <c r="B193" s="144"/>
      <c r="C193" s="42" t="s">
        <v>356</v>
      </c>
      <c r="D193" s="42">
        <f>(64.535)*10.764</f>
        <v>694.65473999999995</v>
      </c>
      <c r="E193" s="42">
        <f>(6.466)*10.764</f>
        <v>69.600024000000005</v>
      </c>
      <c r="F193" s="42">
        <f>D193+E193</f>
        <v>764.25476399999991</v>
      </c>
      <c r="G193" s="42">
        <v>0</v>
      </c>
      <c r="H193" s="42">
        <f>F193*(($H$189)+1)+(IF(G193&lt;101,G193,IF(G193&lt;201,G193/2,IF(G193&lt;=301,G193/3,G193/4))))</f>
        <v>1146.3821459999999</v>
      </c>
      <c r="I193" s="36">
        <f>3.2*5.64+2.13*3.05+3.05*3.65+3.2*3.96+2.28*1.38+2.28*1.38+2.4*1.05+3.4*0.9</f>
        <v>60.221800000000009</v>
      </c>
      <c r="J193" s="37">
        <f>2.85*1.22+1.53*1.29</f>
        <v>5.4506999999999994</v>
      </c>
      <c r="L193" s="228"/>
      <c r="M193" s="228"/>
      <c r="N193" s="36"/>
    </row>
    <row r="194" spans="1:20" s="37" customFormat="1" ht="15.75" customHeight="1" x14ac:dyDescent="0.25">
      <c r="A194" s="144">
        <f>A193+1</f>
        <v>2</v>
      </c>
      <c r="B194" s="144"/>
      <c r="C194" s="42" t="s">
        <v>356</v>
      </c>
      <c r="D194" s="42">
        <f>(64.535)*10.764</f>
        <v>694.65473999999995</v>
      </c>
      <c r="E194" s="42">
        <f>(6.466)*10.764</f>
        <v>69.600024000000005</v>
      </c>
      <c r="F194" s="42">
        <f>D194+E194</f>
        <v>764.25476399999991</v>
      </c>
      <c r="G194" s="42">
        <v>0</v>
      </c>
      <c r="H194" s="42">
        <f>F194*(($H$189)+1)+(IF(G194&lt;101,G194,IF(G194&lt;201,G194/2,IF(G194&lt;=301,G194/3,G194/4))))</f>
        <v>1146.3821459999999</v>
      </c>
      <c r="I194" s="36"/>
      <c r="L194" s="228"/>
      <c r="M194" s="228"/>
      <c r="N194" s="36"/>
    </row>
    <row r="195" spans="1:20" s="37" customFormat="1" ht="15.75" customHeight="1" x14ac:dyDescent="0.25">
      <c r="A195" s="144">
        <f>A194+1</f>
        <v>3</v>
      </c>
      <c r="B195" s="144"/>
      <c r="C195" s="42" t="s">
        <v>357</v>
      </c>
      <c r="D195" s="42">
        <f>(100.683)*10.764</f>
        <v>1083.751812</v>
      </c>
      <c r="E195" s="42">
        <f>(8.994)*10.764</f>
        <v>96.811415999999994</v>
      </c>
      <c r="F195" s="42">
        <f>D195+E195</f>
        <v>1180.563228</v>
      </c>
      <c r="G195" s="42">
        <v>0</v>
      </c>
      <c r="H195" s="42">
        <f>F195*(($H$189)+1)+(IF(G195&lt;101,G195,IF(G195&lt;201,G195/2,IF(G195&lt;=301,G195/3,G195/4))))</f>
        <v>1770.844842</v>
      </c>
      <c r="I195" s="36"/>
      <c r="L195" s="228"/>
      <c r="M195" s="228"/>
      <c r="N195" s="36"/>
    </row>
    <row r="196" spans="1:20" s="37" customFormat="1" ht="15.75" customHeight="1" x14ac:dyDescent="0.25">
      <c r="A196" s="144">
        <f>A195+1</f>
        <v>4</v>
      </c>
      <c r="B196" s="144"/>
      <c r="C196" s="42" t="s">
        <v>357</v>
      </c>
      <c r="D196" s="42">
        <f>(100.683)*10.764</f>
        <v>1083.751812</v>
      </c>
      <c r="E196" s="42">
        <f>(8.994)*10.764</f>
        <v>96.811415999999994</v>
      </c>
      <c r="F196" s="42">
        <f>D196+E196</f>
        <v>1180.563228</v>
      </c>
      <c r="G196" s="42">
        <v>0</v>
      </c>
      <c r="H196" s="42">
        <f>F196*(($H$189)+1)+(IF(G196&lt;101,G196,IF(G196&lt;201,G196/2,IF(G196&lt;=301,G196/3,G196/4))))</f>
        <v>1770.844842</v>
      </c>
      <c r="I196" s="36"/>
      <c r="L196" s="228"/>
      <c r="M196" s="228"/>
      <c r="N196" s="36"/>
      <c r="T196" s="21"/>
    </row>
    <row r="197" spans="1:20" s="37" customFormat="1" ht="15.75" customHeight="1" x14ac:dyDescent="0.25">
      <c r="A197" s="144">
        <f t="shared" ref="A197:A200" si="8">A196+1</f>
        <v>5</v>
      </c>
      <c r="B197" s="144"/>
      <c r="C197" s="42" t="s">
        <v>356</v>
      </c>
      <c r="D197" s="42">
        <f>(59.055)*10.764</f>
        <v>635.66801999999996</v>
      </c>
      <c r="E197" s="42">
        <f>(6.058)*10.764</f>
        <v>65.208311999999992</v>
      </c>
      <c r="F197" s="42">
        <f t="shared" ref="F197:F200" si="9">D197+E197</f>
        <v>700.87633199999993</v>
      </c>
      <c r="G197" s="42">
        <v>0</v>
      </c>
      <c r="H197" s="42">
        <f t="shared" ref="H197:H200" si="10">F197*(($H$189)+1)+(IF(G197&lt;101,G197,IF(G197&lt;201,G197/2,IF(G197&lt;=301,G197/3,G197/4))))</f>
        <v>1051.314498</v>
      </c>
      <c r="I197" s="36"/>
      <c r="L197" s="228"/>
      <c r="M197" s="228"/>
      <c r="N197" s="36"/>
      <c r="T197" s="21"/>
    </row>
    <row r="198" spans="1:20" s="37" customFormat="1" ht="15.75" customHeight="1" x14ac:dyDescent="0.25">
      <c r="A198" s="109">
        <f t="shared" si="8"/>
        <v>6</v>
      </c>
      <c r="B198" s="110"/>
      <c r="C198" s="42" t="s">
        <v>356</v>
      </c>
      <c r="D198" s="42">
        <f>(59.055)*10.764</f>
        <v>635.66801999999996</v>
      </c>
      <c r="E198" s="42">
        <f>(6.058)*10.764</f>
        <v>65.208311999999992</v>
      </c>
      <c r="F198" s="42">
        <f t="shared" si="9"/>
        <v>700.87633199999993</v>
      </c>
      <c r="G198" s="42">
        <v>0</v>
      </c>
      <c r="H198" s="42">
        <f t="shared" si="10"/>
        <v>1051.314498</v>
      </c>
      <c r="I198" s="36"/>
      <c r="L198" s="228"/>
      <c r="M198" s="228"/>
      <c r="N198" s="36"/>
      <c r="T198" s="21"/>
    </row>
    <row r="199" spans="1:20" s="37" customFormat="1" ht="15.75" customHeight="1" x14ac:dyDescent="0.25">
      <c r="A199" s="109">
        <f t="shared" si="8"/>
        <v>7</v>
      </c>
      <c r="B199" s="110"/>
      <c r="C199" s="42" t="s">
        <v>356</v>
      </c>
      <c r="D199" s="42">
        <f>(64.245)*10.764</f>
        <v>691.53318000000002</v>
      </c>
      <c r="E199" s="42">
        <f>(6.108)*10.764</f>
        <v>65.746511999999996</v>
      </c>
      <c r="F199" s="42">
        <f t="shared" si="9"/>
        <v>757.27969200000007</v>
      </c>
      <c r="G199" s="42">
        <v>0</v>
      </c>
      <c r="H199" s="42">
        <f t="shared" si="10"/>
        <v>1135.9195380000001</v>
      </c>
      <c r="I199" s="36"/>
      <c r="L199" s="228"/>
      <c r="M199" s="228"/>
      <c r="N199" s="36"/>
      <c r="T199" s="21"/>
    </row>
    <row r="200" spans="1:20" s="37" customFormat="1" ht="15.75" customHeight="1" x14ac:dyDescent="0.25">
      <c r="A200" s="109">
        <f t="shared" si="8"/>
        <v>8</v>
      </c>
      <c r="B200" s="110"/>
      <c r="C200" s="42" t="s">
        <v>356</v>
      </c>
      <c r="D200" s="42">
        <f>(64.245)*10.764</f>
        <v>691.53318000000002</v>
      </c>
      <c r="E200" s="42">
        <f>(6.108)*10.764</f>
        <v>65.746511999999996</v>
      </c>
      <c r="F200" s="42">
        <f t="shared" si="9"/>
        <v>757.27969200000007</v>
      </c>
      <c r="G200" s="42">
        <v>0</v>
      </c>
      <c r="H200" s="42">
        <f t="shared" si="10"/>
        <v>1135.9195380000001</v>
      </c>
      <c r="I200" s="36"/>
      <c r="L200" s="228"/>
      <c r="M200" s="228"/>
      <c r="N200" s="36"/>
      <c r="T200" s="21"/>
    </row>
    <row r="201" spans="1:20" s="37" customFormat="1" x14ac:dyDescent="0.25">
      <c r="A201" s="111" t="s">
        <v>387</v>
      </c>
      <c r="B201" s="112"/>
      <c r="C201" s="112"/>
      <c r="D201" s="112"/>
      <c r="E201" s="112"/>
      <c r="F201" s="112"/>
      <c r="G201" s="112"/>
      <c r="H201" s="113"/>
      <c r="I201" s="82">
        <v>7</v>
      </c>
      <c r="J201" s="36"/>
    </row>
    <row r="202" spans="1:20" s="37" customFormat="1" ht="15.75" customHeight="1" x14ac:dyDescent="0.25">
      <c r="A202" s="109">
        <v>1</v>
      </c>
      <c r="B202" s="110"/>
      <c r="C202" s="42" t="s">
        <v>356</v>
      </c>
      <c r="D202" s="42">
        <f>(64.535)*10.764</f>
        <v>694.65473999999995</v>
      </c>
      <c r="E202" s="42">
        <f>(6.466)*10.764</f>
        <v>69.600024000000005</v>
      </c>
      <c r="F202" s="42">
        <f>D202+E202</f>
        <v>764.25476399999991</v>
      </c>
      <c r="G202" s="42">
        <v>0</v>
      </c>
      <c r="H202" s="42">
        <f>F202*(($H$189)+1)+(IF(G202&lt;101,G202,IF(G202&lt;201,G202/2,IF(G202&lt;=301,G202/3,G202/4))))</f>
        <v>1146.3821459999999</v>
      </c>
      <c r="I202" s="36"/>
      <c r="L202" s="228"/>
      <c r="M202" s="228"/>
      <c r="N202" s="36"/>
    </row>
    <row r="203" spans="1:20" s="37" customFormat="1" ht="15.75" customHeight="1" x14ac:dyDescent="0.25">
      <c r="A203" s="109">
        <f>A202+1</f>
        <v>2</v>
      </c>
      <c r="B203" s="110"/>
      <c r="C203" s="42" t="s">
        <v>356</v>
      </c>
      <c r="D203" s="42">
        <f>(64.535)*10.764</f>
        <v>694.65473999999995</v>
      </c>
      <c r="E203" s="42">
        <f>(6.466)*10.764</f>
        <v>69.600024000000005</v>
      </c>
      <c r="F203" s="42">
        <f>D203+E203</f>
        <v>764.25476399999991</v>
      </c>
      <c r="G203" s="42">
        <v>0</v>
      </c>
      <c r="H203" s="42">
        <f>F203*(($H$189)+1)+(IF(G203&lt;101,G203,IF(G203&lt;201,G203/2,IF(G203&lt;=301,G203/3,G203/4))))</f>
        <v>1146.3821459999999</v>
      </c>
      <c r="I203" s="36"/>
      <c r="L203" s="228"/>
      <c r="M203" s="228"/>
      <c r="N203" s="36"/>
    </row>
    <row r="204" spans="1:20" s="37" customFormat="1" ht="15.75" customHeight="1" x14ac:dyDescent="0.25">
      <c r="A204" s="109">
        <f>A203+1</f>
        <v>3</v>
      </c>
      <c r="B204" s="110"/>
      <c r="C204" s="42" t="s">
        <v>357</v>
      </c>
      <c r="D204" s="42">
        <f>(100.683)*10.764</f>
        <v>1083.751812</v>
      </c>
      <c r="E204" s="42">
        <f>(8.994)*10.764</f>
        <v>96.811415999999994</v>
      </c>
      <c r="F204" s="42">
        <f>D204+E204</f>
        <v>1180.563228</v>
      </c>
      <c r="G204" s="42">
        <v>0</v>
      </c>
      <c r="H204" s="42">
        <f>F204*(($H$189)+1)+(IF(G204&lt;101,G204,IF(G204&lt;201,G204/2,IF(G204&lt;=301,G204/3,G204/4))))</f>
        <v>1770.844842</v>
      </c>
      <c r="I204" s="36"/>
      <c r="L204" s="228"/>
      <c r="M204" s="228"/>
      <c r="N204" s="36"/>
    </row>
    <row r="205" spans="1:20" s="37" customFormat="1" ht="15.75" customHeight="1" x14ac:dyDescent="0.25">
      <c r="A205" s="109">
        <f>A204+1</f>
        <v>4</v>
      </c>
      <c r="B205" s="110"/>
      <c r="C205" s="42" t="s">
        <v>357</v>
      </c>
      <c r="D205" s="42">
        <f>(100.683)*10.764</f>
        <v>1083.751812</v>
      </c>
      <c r="E205" s="42">
        <f>(8.994)*10.764</f>
        <v>96.811415999999994</v>
      </c>
      <c r="F205" s="42">
        <f>D205+E205</f>
        <v>1180.563228</v>
      </c>
      <c r="G205" s="42">
        <v>0</v>
      </c>
      <c r="H205" s="42">
        <f>F205*(($H$189)+1)+(IF(G205&lt;101,G205,IF(G205&lt;201,G205/2,IF(G205&lt;=301,G205/3,G205/4))))</f>
        <v>1770.844842</v>
      </c>
      <c r="I205" s="36"/>
      <c r="L205" s="228"/>
      <c r="M205" s="228"/>
      <c r="N205" s="36"/>
      <c r="T205" s="21"/>
    </row>
    <row r="206" spans="1:20" s="37" customFormat="1" ht="15.75" customHeight="1" x14ac:dyDescent="0.25">
      <c r="A206" s="109">
        <f t="shared" ref="A206:A209" si="11">A205+1</f>
        <v>5</v>
      </c>
      <c r="B206" s="110"/>
      <c r="C206" s="109" t="s">
        <v>359</v>
      </c>
      <c r="D206" s="149"/>
      <c r="E206" s="149"/>
      <c r="F206" s="149"/>
      <c r="G206" s="149"/>
      <c r="H206" s="110"/>
      <c r="I206" s="36"/>
      <c r="L206" s="228"/>
      <c r="M206" s="228"/>
      <c r="N206" s="36"/>
      <c r="T206" s="21"/>
    </row>
    <row r="207" spans="1:20" s="37" customFormat="1" ht="15.75" customHeight="1" x14ac:dyDescent="0.25">
      <c r="A207" s="109">
        <f t="shared" si="11"/>
        <v>6</v>
      </c>
      <c r="B207" s="110"/>
      <c r="C207" s="42" t="s">
        <v>356</v>
      </c>
      <c r="D207" s="42">
        <f>(59.055)*10.764</f>
        <v>635.66801999999996</v>
      </c>
      <c r="E207" s="42">
        <f>(6.058)*10.764</f>
        <v>65.208311999999992</v>
      </c>
      <c r="F207" s="42">
        <f t="shared" ref="F207:F209" si="12">D207+E207</f>
        <v>700.87633199999993</v>
      </c>
      <c r="G207" s="42">
        <v>0</v>
      </c>
      <c r="H207" s="42">
        <f>F207*(($H$189)+1)+(IF(G207&lt;101,G207,IF(G207&lt;201,G207/2,IF(G207&lt;=301,G207/3,G207/4))))</f>
        <v>1051.314498</v>
      </c>
      <c r="I207" s="36"/>
      <c r="L207" s="228"/>
      <c r="M207" s="228"/>
      <c r="N207" s="36"/>
      <c r="T207" s="21"/>
    </row>
    <row r="208" spans="1:20" s="37" customFormat="1" ht="15.75" customHeight="1" x14ac:dyDescent="0.25">
      <c r="A208" s="109">
        <f t="shared" si="11"/>
        <v>7</v>
      </c>
      <c r="B208" s="110"/>
      <c r="C208" s="42" t="s">
        <v>356</v>
      </c>
      <c r="D208" s="42">
        <f>(64.245)*10.764</f>
        <v>691.53318000000002</v>
      </c>
      <c r="E208" s="42">
        <f>(6.108)*10.764</f>
        <v>65.746511999999996</v>
      </c>
      <c r="F208" s="42">
        <f t="shared" si="12"/>
        <v>757.27969200000007</v>
      </c>
      <c r="G208" s="42">
        <v>0</v>
      </c>
      <c r="H208" s="42">
        <f>F208*(($H$189)+1)+(IF(G208&lt;101,G208,IF(G208&lt;201,G208/2,IF(G208&lt;=301,G208/3,G208/4))))</f>
        <v>1135.9195380000001</v>
      </c>
      <c r="I208" s="36"/>
      <c r="L208" s="228"/>
      <c r="M208" s="228"/>
      <c r="N208" s="36"/>
      <c r="T208" s="21"/>
    </row>
    <row r="209" spans="1:20" s="37" customFormat="1" ht="15.75" customHeight="1" x14ac:dyDescent="0.25">
      <c r="A209" s="109">
        <f t="shared" si="11"/>
        <v>8</v>
      </c>
      <c r="B209" s="110"/>
      <c r="C209" s="42" t="s">
        <v>356</v>
      </c>
      <c r="D209" s="42">
        <f>(64.245)*10.764</f>
        <v>691.53318000000002</v>
      </c>
      <c r="E209" s="42">
        <f>(6.108)*10.764</f>
        <v>65.746511999999996</v>
      </c>
      <c r="F209" s="42">
        <f t="shared" si="12"/>
        <v>757.27969200000007</v>
      </c>
      <c r="G209" s="42">
        <v>0</v>
      </c>
      <c r="H209" s="42">
        <f>F209*(($H$189)+1)+(IF(G209&lt;101,G209,IF(G209&lt;201,G209/2,IF(G209&lt;=301,G209/3,G209/4))))</f>
        <v>1135.9195380000001</v>
      </c>
      <c r="I209" s="36"/>
      <c r="L209" s="228"/>
      <c r="M209" s="228"/>
      <c r="N209" s="36"/>
      <c r="T209" s="21"/>
    </row>
    <row r="210" spans="1:20" s="37" customFormat="1" x14ac:dyDescent="0.25">
      <c r="A210" s="155" t="s">
        <v>360</v>
      </c>
      <c r="B210" s="156"/>
      <c r="C210" s="156"/>
      <c r="D210" s="156"/>
      <c r="E210" s="156"/>
      <c r="F210" s="156"/>
      <c r="G210" s="156"/>
      <c r="H210" s="157"/>
      <c r="J210" s="36"/>
    </row>
    <row r="211" spans="1:20" s="37" customFormat="1" x14ac:dyDescent="0.25">
      <c r="A211" s="111" t="s">
        <v>354</v>
      </c>
      <c r="B211" s="112"/>
      <c r="C211" s="112"/>
      <c r="D211" s="112"/>
      <c r="E211" s="112"/>
      <c r="F211" s="112"/>
      <c r="G211" s="112"/>
      <c r="H211" s="113"/>
      <c r="J211" s="36"/>
    </row>
    <row r="212" spans="1:20" s="37" customFormat="1" ht="32.25" customHeight="1" x14ac:dyDescent="0.25">
      <c r="A212" s="111" t="s">
        <v>355</v>
      </c>
      <c r="B212" s="112"/>
      <c r="C212" s="112"/>
      <c r="D212" s="112"/>
      <c r="E212" s="112"/>
      <c r="F212" s="112"/>
      <c r="G212" s="112"/>
      <c r="H212" s="113"/>
      <c r="J212" s="36"/>
    </row>
    <row r="213" spans="1:20" s="37" customFormat="1" ht="15.75" customHeight="1" x14ac:dyDescent="0.25">
      <c r="A213" s="109">
        <v>1</v>
      </c>
      <c r="B213" s="110"/>
      <c r="C213" s="42" t="s">
        <v>356</v>
      </c>
      <c r="D213" s="42">
        <f>(57.03)*10.764</f>
        <v>613.87091999999996</v>
      </c>
      <c r="E213" s="42">
        <f>(5.01)*10.764</f>
        <v>53.927639999999997</v>
      </c>
      <c r="F213" s="42">
        <f>D213+E213</f>
        <v>667.79855999999995</v>
      </c>
      <c r="G213" s="42">
        <v>0</v>
      </c>
      <c r="H213" s="42">
        <f>F213*(($H$189)+1)+(IF(G213&lt;101,G213,IF(G213&lt;201,G213/2,IF(G213&lt;=301,G213/3,G213/4))))</f>
        <v>1001.6978399999999</v>
      </c>
      <c r="I213" s="36">
        <f>9900000/H213</f>
        <v>9883.2198739691812</v>
      </c>
      <c r="L213" s="228"/>
      <c r="M213" s="228"/>
      <c r="N213" s="36"/>
    </row>
    <row r="214" spans="1:20" s="37" customFormat="1" ht="15.75" customHeight="1" x14ac:dyDescent="0.25">
      <c r="A214" s="109">
        <f>A213+1</f>
        <v>2</v>
      </c>
      <c r="B214" s="110"/>
      <c r="C214" s="42" t="s">
        <v>356</v>
      </c>
      <c r="D214" s="42">
        <f>(57.03)*10.764</f>
        <v>613.87091999999996</v>
      </c>
      <c r="E214" s="42">
        <f>(5.01)*10.764</f>
        <v>53.927639999999997</v>
      </c>
      <c r="F214" s="42">
        <f>D214+E214</f>
        <v>667.79855999999995</v>
      </c>
      <c r="G214" s="42">
        <v>0</v>
      </c>
      <c r="H214" s="42">
        <f>F214*(($H$189)+1)+(IF(G214&lt;101,G214,IF(G214&lt;201,G214/2,IF(G214&lt;=301,G214/3,G214/4))))</f>
        <v>1001.6978399999999</v>
      </c>
      <c r="I214" s="36"/>
      <c r="L214" s="228"/>
      <c r="M214" s="228"/>
      <c r="N214" s="36"/>
    </row>
    <row r="215" spans="1:20" s="37" customFormat="1" ht="15.75" customHeight="1" x14ac:dyDescent="0.25">
      <c r="A215" s="109">
        <f>A214+1</f>
        <v>3</v>
      </c>
      <c r="B215" s="110"/>
      <c r="C215" s="42" t="s">
        <v>357</v>
      </c>
      <c r="D215" s="42">
        <f>(93.014)*10.764</f>
        <v>1001.2026959999999</v>
      </c>
      <c r="E215" s="42">
        <f>(7.498)*10.764</f>
        <v>80.708472</v>
      </c>
      <c r="F215" s="42">
        <f>D215+E215</f>
        <v>1081.9111679999999</v>
      </c>
      <c r="G215" s="42">
        <v>0</v>
      </c>
      <c r="H215" s="42">
        <f>F215*(($H$189)+1)+(IF(G215&lt;101,G215,IF(G215&lt;201,G215/2,IF(G215&lt;=301,G215/3,G215/4))))</f>
        <v>1622.8667519999999</v>
      </c>
      <c r="I215" s="36">
        <f>14700000/H215</f>
        <v>9058.0449577168984</v>
      </c>
      <c r="L215" s="228"/>
      <c r="M215" s="228"/>
      <c r="N215" s="36"/>
    </row>
    <row r="216" spans="1:20" s="37" customFormat="1" ht="15.75" customHeight="1" x14ac:dyDescent="0.25">
      <c r="A216" s="109">
        <f>A215+1</f>
        <v>4</v>
      </c>
      <c r="B216" s="110"/>
      <c r="C216" s="42" t="s">
        <v>357</v>
      </c>
      <c r="D216" s="42">
        <f>(93.014)*10.764</f>
        <v>1001.2026959999999</v>
      </c>
      <c r="E216" s="42">
        <f>(7.498)*10.764</f>
        <v>80.708472</v>
      </c>
      <c r="F216" s="42">
        <f>D216+E216</f>
        <v>1081.9111679999999</v>
      </c>
      <c r="G216" s="42">
        <v>0</v>
      </c>
      <c r="H216" s="42">
        <f>F216*(($H$189)+1)+(IF(G216&lt;101,G216,IF(G216&lt;201,G216/2,IF(G216&lt;=301,G216/3,G216/4))))</f>
        <v>1622.8667519999999</v>
      </c>
      <c r="I216" s="36"/>
      <c r="L216" s="228"/>
      <c r="M216" s="228"/>
      <c r="N216" s="36"/>
      <c r="T216" s="21"/>
    </row>
    <row r="217" spans="1:20" s="37" customFormat="1" ht="15.75" customHeight="1" x14ac:dyDescent="0.25">
      <c r="A217" s="109">
        <f t="shared" ref="A217:A220" si="13">A216+1</f>
        <v>5</v>
      </c>
      <c r="B217" s="110"/>
      <c r="C217" s="42" t="s">
        <v>356</v>
      </c>
      <c r="D217" s="42">
        <f>(64.535)*10.764</f>
        <v>694.65473999999995</v>
      </c>
      <c r="E217" s="42">
        <f>(6.466)*10.764</f>
        <v>69.600024000000005</v>
      </c>
      <c r="F217" s="42">
        <f t="shared" ref="F217:F220" si="14">D217+E217</f>
        <v>764.25476399999991</v>
      </c>
      <c r="G217" s="42">
        <v>0</v>
      </c>
      <c r="H217" s="42">
        <f t="shared" ref="H217:H220" si="15">F217*(($H$189)+1)+(IF(G217&lt;101,G217,IF(G217&lt;201,G217/2,IF(G217&lt;=301,G217/3,G217/4))))</f>
        <v>1146.3821459999999</v>
      </c>
      <c r="I217" s="36"/>
      <c r="L217" s="228"/>
      <c r="M217" s="228"/>
      <c r="N217" s="36"/>
      <c r="T217" s="21"/>
    </row>
    <row r="218" spans="1:20" s="37" customFormat="1" ht="15.75" customHeight="1" x14ac:dyDescent="0.25">
      <c r="A218" s="109">
        <f t="shared" si="13"/>
        <v>6</v>
      </c>
      <c r="B218" s="110"/>
      <c r="C218" s="42" t="s">
        <v>356</v>
      </c>
      <c r="D218" s="42">
        <f>(64.535)*10.764</f>
        <v>694.65473999999995</v>
      </c>
      <c r="E218" s="42">
        <f>(6.466)*10.764</f>
        <v>69.600024000000005</v>
      </c>
      <c r="F218" s="42">
        <f t="shared" si="14"/>
        <v>764.25476399999991</v>
      </c>
      <c r="G218" s="42">
        <v>0</v>
      </c>
      <c r="H218" s="42">
        <f t="shared" si="15"/>
        <v>1146.3821459999999</v>
      </c>
      <c r="I218" s="36"/>
      <c r="L218" s="228"/>
      <c r="M218" s="228"/>
      <c r="N218" s="36"/>
      <c r="T218" s="21"/>
    </row>
    <row r="219" spans="1:20" s="37" customFormat="1" ht="15.75" customHeight="1" x14ac:dyDescent="0.25">
      <c r="A219" s="109">
        <f t="shared" si="13"/>
        <v>7</v>
      </c>
      <c r="B219" s="110"/>
      <c r="C219" s="42" t="s">
        <v>357</v>
      </c>
      <c r="D219" s="42">
        <f>(85.821)*10.764</f>
        <v>923.77724399999988</v>
      </c>
      <c r="E219" s="42">
        <f>(6.908)*10.764</f>
        <v>74.357712000000006</v>
      </c>
      <c r="F219" s="42">
        <f t="shared" si="14"/>
        <v>998.13495599999987</v>
      </c>
      <c r="G219" s="42">
        <v>0</v>
      </c>
      <c r="H219" s="42">
        <f t="shared" si="15"/>
        <v>1497.2024339999998</v>
      </c>
      <c r="I219" s="36">
        <f>15500000/H219</f>
        <v>10352.641465182123</v>
      </c>
      <c r="L219" s="228"/>
      <c r="M219" s="228"/>
      <c r="N219" s="36"/>
      <c r="T219" s="21"/>
    </row>
    <row r="220" spans="1:20" s="37" customFormat="1" ht="15.75" customHeight="1" x14ac:dyDescent="0.25">
      <c r="A220" s="109">
        <f t="shared" si="13"/>
        <v>8</v>
      </c>
      <c r="B220" s="110"/>
      <c r="C220" s="42" t="s">
        <v>357</v>
      </c>
      <c r="D220" s="42">
        <f>(85.821)*10.764</f>
        <v>923.77724399999988</v>
      </c>
      <c r="E220" s="42">
        <f>(6.908)*10.764</f>
        <v>74.357712000000006</v>
      </c>
      <c r="F220" s="42">
        <f t="shared" si="14"/>
        <v>998.13495599999987</v>
      </c>
      <c r="G220" s="42">
        <v>0</v>
      </c>
      <c r="H220" s="42">
        <f t="shared" si="15"/>
        <v>1497.2024339999998</v>
      </c>
      <c r="I220" s="36"/>
      <c r="L220" s="228"/>
      <c r="M220" s="228"/>
      <c r="N220" s="36"/>
      <c r="T220" s="21"/>
    </row>
    <row r="221" spans="1:20" s="37" customFormat="1" x14ac:dyDescent="0.25">
      <c r="A221" s="111" t="s">
        <v>387</v>
      </c>
      <c r="B221" s="112"/>
      <c r="C221" s="112"/>
      <c r="D221" s="112"/>
      <c r="E221" s="112"/>
      <c r="F221" s="112"/>
      <c r="G221" s="112"/>
      <c r="H221" s="113"/>
      <c r="J221" s="36"/>
    </row>
    <row r="222" spans="1:20" s="37" customFormat="1" ht="15.75" customHeight="1" x14ac:dyDescent="0.25">
      <c r="A222" s="109">
        <v>1</v>
      </c>
      <c r="B222" s="110"/>
      <c r="C222" s="42" t="s">
        <v>356</v>
      </c>
      <c r="D222" s="42">
        <f>(57.03)*10.764</f>
        <v>613.87091999999996</v>
      </c>
      <c r="E222" s="42">
        <f>(5.01)*10.764</f>
        <v>53.927639999999997</v>
      </c>
      <c r="F222" s="42">
        <f>D222+E222</f>
        <v>667.79855999999995</v>
      </c>
      <c r="G222" s="42">
        <v>0</v>
      </c>
      <c r="H222" s="42">
        <f>F222*(($H$189)+1)+(IF(G222&lt;101,G222,IF(G222&lt;201,G222/2,IF(G222&lt;=301,G222/3,G222/4))))</f>
        <v>1001.6978399999999</v>
      </c>
      <c r="I222" s="36"/>
      <c r="L222" s="228"/>
      <c r="M222" s="228"/>
      <c r="N222" s="36"/>
    </row>
    <row r="223" spans="1:20" s="37" customFormat="1" ht="15.75" customHeight="1" x14ac:dyDescent="0.25">
      <c r="A223" s="109">
        <f>A222+1</f>
        <v>2</v>
      </c>
      <c r="B223" s="110"/>
      <c r="C223" s="109" t="s">
        <v>359</v>
      </c>
      <c r="D223" s="149"/>
      <c r="E223" s="149"/>
      <c r="F223" s="149"/>
      <c r="G223" s="149"/>
      <c r="H223" s="110"/>
      <c r="I223" s="36"/>
      <c r="L223" s="228"/>
      <c r="M223" s="228"/>
      <c r="N223" s="36"/>
    </row>
    <row r="224" spans="1:20" s="37" customFormat="1" ht="15.75" customHeight="1" x14ac:dyDescent="0.25">
      <c r="A224" s="109">
        <f>A223+1</f>
        <v>3</v>
      </c>
      <c r="B224" s="110"/>
      <c r="C224" s="42" t="s">
        <v>357</v>
      </c>
      <c r="D224" s="42">
        <f>(93.014)*10.764</f>
        <v>1001.2026959999999</v>
      </c>
      <c r="E224" s="42">
        <f>(7.498)*10.764</f>
        <v>80.708472</v>
      </c>
      <c r="F224" s="42">
        <f>D224+E224</f>
        <v>1081.9111679999999</v>
      </c>
      <c r="G224" s="42">
        <v>0</v>
      </c>
      <c r="H224" s="42">
        <f>F224*(($H$189)+1)+(IF(G224&lt;101,G224,IF(G224&lt;201,G224/2,IF(G224&lt;=301,G224/3,G224/4))))</f>
        <v>1622.8667519999999</v>
      </c>
      <c r="I224" s="36">
        <f>19000000/H224</f>
        <v>11707.677156232727</v>
      </c>
      <c r="L224" s="228"/>
      <c r="M224" s="228"/>
      <c r="N224" s="36"/>
    </row>
    <row r="225" spans="1:20" s="37" customFormat="1" ht="15.75" customHeight="1" x14ac:dyDescent="0.25">
      <c r="A225" s="109">
        <f>A224+1</f>
        <v>4</v>
      </c>
      <c r="B225" s="110"/>
      <c r="C225" s="42" t="s">
        <v>357</v>
      </c>
      <c r="D225" s="42">
        <f>(93.014)*10.764</f>
        <v>1001.2026959999999</v>
      </c>
      <c r="E225" s="42">
        <f>(7.498)*10.764</f>
        <v>80.708472</v>
      </c>
      <c r="F225" s="42">
        <f>D225+E225</f>
        <v>1081.9111679999999</v>
      </c>
      <c r="G225" s="42">
        <v>0</v>
      </c>
      <c r="H225" s="42">
        <f>F225*(($H$189)+1)+(IF(G225&lt;101,G225,IF(G225&lt;201,G225/2,IF(G225&lt;=301,G225/3,G225/4))))</f>
        <v>1622.8667519999999</v>
      </c>
      <c r="I225" s="36">
        <f>AVERAGE(I213:I224)</f>
        <v>10250.395863275233</v>
      </c>
      <c r="L225" s="228"/>
      <c r="M225" s="228"/>
      <c r="N225" s="36"/>
      <c r="T225" s="21"/>
    </row>
    <row r="226" spans="1:20" s="37" customFormat="1" ht="15.75" customHeight="1" x14ac:dyDescent="0.25">
      <c r="A226" s="109">
        <f t="shared" ref="A226:A229" si="16">A225+1</f>
        <v>5</v>
      </c>
      <c r="B226" s="110"/>
      <c r="C226" s="42" t="s">
        <v>356</v>
      </c>
      <c r="D226" s="42">
        <f>(64.535)*10.764</f>
        <v>694.65473999999995</v>
      </c>
      <c r="E226" s="42">
        <f>(6.466)*10.764</f>
        <v>69.600024000000005</v>
      </c>
      <c r="F226" s="42">
        <f t="shared" ref="F226:F229" si="17">D226+E226</f>
        <v>764.25476399999991</v>
      </c>
      <c r="G226" s="42">
        <v>0</v>
      </c>
      <c r="H226" s="42">
        <f t="shared" ref="H226:H229" si="18">F226*(($H$189)+1)+(IF(G226&lt;101,G226,IF(G226&lt;201,G226/2,IF(G226&lt;=301,G226/3,G226/4))))</f>
        <v>1146.3821459999999</v>
      </c>
      <c r="I226" s="36"/>
      <c r="L226" s="228"/>
      <c r="M226" s="228"/>
      <c r="N226" s="36"/>
      <c r="T226" s="21"/>
    </row>
    <row r="227" spans="1:20" s="37" customFormat="1" ht="15.75" customHeight="1" x14ac:dyDescent="0.25">
      <c r="A227" s="109">
        <f t="shared" si="16"/>
        <v>6</v>
      </c>
      <c r="B227" s="110"/>
      <c r="C227" s="42" t="s">
        <v>356</v>
      </c>
      <c r="D227" s="42">
        <f>(64.535)*10.764</f>
        <v>694.65473999999995</v>
      </c>
      <c r="E227" s="42">
        <f>(6.466)*10.764</f>
        <v>69.600024000000005</v>
      </c>
      <c r="F227" s="42">
        <f t="shared" si="17"/>
        <v>764.25476399999991</v>
      </c>
      <c r="G227" s="42">
        <v>0</v>
      </c>
      <c r="H227" s="42">
        <f t="shared" si="18"/>
        <v>1146.3821459999999</v>
      </c>
      <c r="I227" s="36"/>
      <c r="L227" s="228"/>
      <c r="M227" s="228"/>
      <c r="N227" s="36"/>
      <c r="T227" s="21"/>
    </row>
    <row r="228" spans="1:20" s="37" customFormat="1" ht="15.75" customHeight="1" x14ac:dyDescent="0.25">
      <c r="A228" s="109">
        <f t="shared" si="16"/>
        <v>7</v>
      </c>
      <c r="B228" s="110"/>
      <c r="C228" s="42" t="s">
        <v>357</v>
      </c>
      <c r="D228" s="42">
        <f>(85.821)*10.764</f>
        <v>923.77724399999988</v>
      </c>
      <c r="E228" s="42">
        <f>(6.908)*10.764</f>
        <v>74.357712000000006</v>
      </c>
      <c r="F228" s="42">
        <f t="shared" si="17"/>
        <v>998.13495599999987</v>
      </c>
      <c r="G228" s="42">
        <v>0</v>
      </c>
      <c r="H228" s="42">
        <f t="shared" si="18"/>
        <v>1497.2024339999998</v>
      </c>
      <c r="I228" s="36"/>
      <c r="L228" s="228"/>
      <c r="M228" s="228"/>
      <c r="N228" s="36"/>
      <c r="T228" s="21"/>
    </row>
    <row r="229" spans="1:20" s="37" customFormat="1" ht="15.75" customHeight="1" x14ac:dyDescent="0.25">
      <c r="A229" s="109">
        <f t="shared" si="16"/>
        <v>8</v>
      </c>
      <c r="B229" s="110"/>
      <c r="C229" s="42" t="s">
        <v>357</v>
      </c>
      <c r="D229" s="42">
        <f>(85.821)*10.764</f>
        <v>923.77724399999988</v>
      </c>
      <c r="E229" s="42">
        <f>(6.908)*10.764</f>
        <v>74.357712000000006</v>
      </c>
      <c r="F229" s="42">
        <f t="shared" si="17"/>
        <v>998.13495599999987</v>
      </c>
      <c r="G229" s="42">
        <v>0</v>
      </c>
      <c r="H229" s="42">
        <f t="shared" si="18"/>
        <v>1497.2024339999998</v>
      </c>
      <c r="I229" s="36"/>
      <c r="L229" s="228"/>
      <c r="M229" s="228"/>
      <c r="N229" s="36"/>
      <c r="T229" s="21"/>
    </row>
    <row r="230" spans="1:20" s="37" customFormat="1" x14ac:dyDescent="0.25">
      <c r="A230" s="155" t="s">
        <v>361</v>
      </c>
      <c r="B230" s="156"/>
      <c r="C230" s="156"/>
      <c r="D230" s="156"/>
      <c r="E230" s="156"/>
      <c r="F230" s="156"/>
      <c r="G230" s="156"/>
      <c r="H230" s="157"/>
      <c r="J230" s="36"/>
    </row>
    <row r="231" spans="1:20" s="37" customFormat="1" x14ac:dyDescent="0.25">
      <c r="A231" s="111" t="s">
        <v>362</v>
      </c>
      <c r="B231" s="112"/>
      <c r="C231" s="112"/>
      <c r="D231" s="112"/>
      <c r="E231" s="112"/>
      <c r="F231" s="112"/>
      <c r="G231" s="112"/>
      <c r="H231" s="113"/>
      <c r="J231" s="36"/>
    </row>
    <row r="232" spans="1:20" s="37" customFormat="1" ht="33.75" customHeight="1" x14ac:dyDescent="0.25">
      <c r="A232" s="158" t="s">
        <v>355</v>
      </c>
      <c r="B232" s="158"/>
      <c r="C232" s="158"/>
      <c r="D232" s="158"/>
      <c r="E232" s="158"/>
      <c r="F232" s="158"/>
      <c r="G232" s="158"/>
      <c r="H232" s="158"/>
      <c r="J232" s="36"/>
    </row>
    <row r="233" spans="1:20" s="37" customFormat="1" ht="15.75" customHeight="1" x14ac:dyDescent="0.25">
      <c r="A233" s="144">
        <v>1</v>
      </c>
      <c r="B233" s="144"/>
      <c r="C233" s="42" t="s">
        <v>363</v>
      </c>
      <c r="D233" s="42">
        <f>(39.89)*10.764</f>
        <v>429.37595999999996</v>
      </c>
      <c r="E233" s="42">
        <f>(2.915)*10.764</f>
        <v>31.37706</v>
      </c>
      <c r="F233" s="42">
        <f>D233+E233</f>
        <v>460.75301999999999</v>
      </c>
      <c r="G233" s="42">
        <v>0</v>
      </c>
      <c r="H233" s="42">
        <f>F233*(($H$189)+1)+(IF(G233&lt;101,G233,IF(G233&lt;201,G233/2,IF(G233&lt;=301,G233/3,G233/4))))</f>
        <v>691.12952999999993</v>
      </c>
      <c r="I233" s="36"/>
      <c r="L233" s="228"/>
      <c r="M233" s="228"/>
      <c r="N233" s="36"/>
    </row>
    <row r="234" spans="1:20" s="37" customFormat="1" ht="15.75" customHeight="1" x14ac:dyDescent="0.25">
      <c r="A234" s="144">
        <f>A233+1</f>
        <v>2</v>
      </c>
      <c r="B234" s="144"/>
      <c r="C234" s="42" t="s">
        <v>363</v>
      </c>
      <c r="D234" s="42">
        <f>(39.89)*10.764</f>
        <v>429.37595999999996</v>
      </c>
      <c r="E234" s="42">
        <f>(2.915)*10.764</f>
        <v>31.37706</v>
      </c>
      <c r="F234" s="42">
        <f>D234+E234</f>
        <v>460.75301999999999</v>
      </c>
      <c r="G234" s="42">
        <v>0</v>
      </c>
      <c r="H234" s="42">
        <f>F234*(($H$189)+1)+(IF(G234&lt;101,G234,IF(G234&lt;201,G234/2,IF(G234&lt;=301,G234/3,G234/4))))</f>
        <v>691.12952999999993</v>
      </c>
      <c r="I234" s="36"/>
      <c r="L234" s="228"/>
      <c r="M234" s="228"/>
      <c r="N234" s="36"/>
    </row>
    <row r="235" spans="1:20" s="37" customFormat="1" ht="15.75" customHeight="1" x14ac:dyDescent="0.25">
      <c r="A235" s="144">
        <f>A234+1</f>
        <v>3</v>
      </c>
      <c r="B235" s="144"/>
      <c r="C235" s="42" t="s">
        <v>356</v>
      </c>
      <c r="D235" s="42">
        <f>(58.951)*10.764</f>
        <v>634.54856399999994</v>
      </c>
      <c r="E235" s="42">
        <f>(5.675)*10.764</f>
        <v>61.085699999999996</v>
      </c>
      <c r="F235" s="42">
        <f>D235+E235</f>
        <v>695.63426399999992</v>
      </c>
      <c r="G235" s="42">
        <v>0</v>
      </c>
      <c r="H235" s="42">
        <f>F235*(($H$189)+1)+(IF(G235&lt;101,G235,IF(G235&lt;201,G235/2,IF(G235&lt;=301,G235/3,G235/4))))</f>
        <v>1043.4513959999999</v>
      </c>
      <c r="I235" s="36"/>
      <c r="L235" s="228"/>
      <c r="M235" s="228"/>
      <c r="N235" s="36"/>
    </row>
    <row r="236" spans="1:20" s="37" customFormat="1" ht="15.75" customHeight="1" x14ac:dyDescent="0.25">
      <c r="A236" s="144">
        <f>A235+1</f>
        <v>4</v>
      </c>
      <c r="B236" s="144"/>
      <c r="C236" s="42" t="s">
        <v>356</v>
      </c>
      <c r="D236" s="42">
        <f>(58.951)*10.764</f>
        <v>634.54856399999994</v>
      </c>
      <c r="E236" s="42">
        <f>(5.675)*10.764</f>
        <v>61.085699999999996</v>
      </c>
      <c r="F236" s="42">
        <f>D236+E236</f>
        <v>695.63426399999992</v>
      </c>
      <c r="G236" s="42">
        <v>0</v>
      </c>
      <c r="H236" s="42">
        <f>F236*(($H$189)+1)+(IF(G236&lt;101,G236,IF(G236&lt;201,G236/2,IF(G236&lt;=301,G236/3,G236/4))))</f>
        <v>1043.4513959999999</v>
      </c>
      <c r="I236" s="36"/>
      <c r="L236" s="228"/>
      <c r="M236" s="228"/>
      <c r="N236" s="36"/>
      <c r="T236" s="21"/>
    </row>
    <row r="237" spans="1:20" s="37" customFormat="1" ht="15.75" customHeight="1" x14ac:dyDescent="0.25">
      <c r="A237" s="144">
        <f t="shared" ref="A237:A240" si="19">A236+1</f>
        <v>5</v>
      </c>
      <c r="B237" s="144"/>
      <c r="C237" s="42" t="s">
        <v>356</v>
      </c>
      <c r="D237" s="42">
        <f>(57.03)*10.764</f>
        <v>613.87091999999996</v>
      </c>
      <c r="E237" s="42">
        <f>(5.01)*10.764</f>
        <v>53.927639999999997</v>
      </c>
      <c r="F237" s="42">
        <f t="shared" ref="F237:F240" si="20">D237+E237</f>
        <v>667.79855999999995</v>
      </c>
      <c r="G237" s="42">
        <v>0</v>
      </c>
      <c r="H237" s="42">
        <f t="shared" ref="H237:H240" si="21">F237*(($H$189)+1)+(IF(G237&lt;101,G237,IF(G237&lt;201,G237/2,IF(G237&lt;=301,G237/3,G237/4))))</f>
        <v>1001.6978399999999</v>
      </c>
      <c r="I237" s="36"/>
      <c r="L237" s="228"/>
      <c r="M237" s="228"/>
      <c r="N237" s="36"/>
      <c r="T237" s="21"/>
    </row>
    <row r="238" spans="1:20" s="37" customFormat="1" ht="15.75" customHeight="1" x14ac:dyDescent="0.25">
      <c r="A238" s="144">
        <f t="shared" si="19"/>
        <v>6</v>
      </c>
      <c r="B238" s="144"/>
      <c r="C238" s="42" t="s">
        <v>356</v>
      </c>
      <c r="D238" s="42">
        <f>(57.03)*10.764</f>
        <v>613.87091999999996</v>
      </c>
      <c r="E238" s="42">
        <f>(5.01)*10.764</f>
        <v>53.927639999999997</v>
      </c>
      <c r="F238" s="42">
        <f t="shared" si="20"/>
        <v>667.79855999999995</v>
      </c>
      <c r="G238" s="42">
        <v>0</v>
      </c>
      <c r="H238" s="42">
        <f t="shared" si="21"/>
        <v>1001.6978399999999</v>
      </c>
      <c r="I238" s="36"/>
      <c r="L238" s="228"/>
      <c r="M238" s="228"/>
      <c r="N238" s="36"/>
      <c r="T238" s="21"/>
    </row>
    <row r="239" spans="1:20" s="37" customFormat="1" ht="15.75" customHeight="1" x14ac:dyDescent="0.25">
      <c r="A239" s="144">
        <f t="shared" si="19"/>
        <v>7</v>
      </c>
      <c r="B239" s="144"/>
      <c r="C239" s="42" t="s">
        <v>356</v>
      </c>
      <c r="D239" s="42">
        <f>(58.951)*10.764</f>
        <v>634.54856399999994</v>
      </c>
      <c r="E239" s="42">
        <f>(5.675)*10.764</f>
        <v>61.085699999999996</v>
      </c>
      <c r="F239" s="42">
        <f t="shared" si="20"/>
        <v>695.63426399999992</v>
      </c>
      <c r="G239" s="42">
        <v>0</v>
      </c>
      <c r="H239" s="42">
        <f t="shared" si="21"/>
        <v>1043.4513959999999</v>
      </c>
      <c r="I239" s="36"/>
      <c r="L239" s="228"/>
      <c r="M239" s="228"/>
      <c r="N239" s="36"/>
      <c r="T239" s="21"/>
    </row>
    <row r="240" spans="1:20" s="37" customFormat="1" ht="15.75" customHeight="1" x14ac:dyDescent="0.25">
      <c r="A240" s="109">
        <f t="shared" si="19"/>
        <v>8</v>
      </c>
      <c r="B240" s="110"/>
      <c r="C240" s="42" t="s">
        <v>356</v>
      </c>
      <c r="D240" s="42">
        <f>(58.951)*10.764</f>
        <v>634.54856399999994</v>
      </c>
      <c r="E240" s="42">
        <f>(5.675)*10.764</f>
        <v>61.085699999999996</v>
      </c>
      <c r="F240" s="42">
        <f t="shared" si="20"/>
        <v>695.63426399999992</v>
      </c>
      <c r="G240" s="42">
        <v>0</v>
      </c>
      <c r="H240" s="42">
        <f t="shared" si="21"/>
        <v>1043.4513959999999</v>
      </c>
      <c r="I240" s="36"/>
      <c r="L240" s="228"/>
      <c r="M240" s="228"/>
      <c r="N240" s="36"/>
      <c r="T240" s="21"/>
    </row>
    <row r="241" spans="1:20" s="37" customFormat="1" x14ac:dyDescent="0.25">
      <c r="A241" s="111" t="s">
        <v>358</v>
      </c>
      <c r="B241" s="112"/>
      <c r="C241" s="112"/>
      <c r="D241" s="112"/>
      <c r="E241" s="112"/>
      <c r="F241" s="112"/>
      <c r="G241" s="112"/>
      <c r="H241" s="113"/>
      <c r="J241" s="36"/>
    </row>
    <row r="242" spans="1:20" s="37" customFormat="1" ht="15.75" customHeight="1" x14ac:dyDescent="0.25">
      <c r="A242" s="109">
        <v>1</v>
      </c>
      <c r="B242" s="110"/>
      <c r="C242" s="42" t="s">
        <v>363</v>
      </c>
      <c r="D242" s="42">
        <f>(38.89)*10.764</f>
        <v>418.61195999999995</v>
      </c>
      <c r="E242" s="42">
        <f>(2.915)*10.764</f>
        <v>31.37706</v>
      </c>
      <c r="F242" s="42">
        <f>D242+E242</f>
        <v>449.98901999999998</v>
      </c>
      <c r="G242" s="42">
        <v>0</v>
      </c>
      <c r="H242" s="42">
        <f>F242*(($H$189)+1)+(IF(G242&lt;101,G242,IF(G242&lt;201,G242/2,IF(G242&lt;=301,G242/3,G242/4))))</f>
        <v>674.98352999999997</v>
      </c>
      <c r="I242" s="36"/>
      <c r="L242" s="228"/>
      <c r="M242" s="228"/>
      <c r="N242" s="36"/>
    </row>
    <row r="243" spans="1:20" s="37" customFormat="1" ht="15.75" customHeight="1" x14ac:dyDescent="0.25">
      <c r="A243" s="109">
        <f>A242+1</f>
        <v>2</v>
      </c>
      <c r="B243" s="110"/>
      <c r="C243" s="109" t="s">
        <v>359</v>
      </c>
      <c r="D243" s="149"/>
      <c r="E243" s="149"/>
      <c r="F243" s="149"/>
      <c r="G243" s="149"/>
      <c r="H243" s="110"/>
      <c r="I243" s="36"/>
      <c r="L243" s="228"/>
      <c r="M243" s="228"/>
      <c r="N243" s="36"/>
    </row>
    <row r="244" spans="1:20" s="37" customFormat="1" ht="15.75" customHeight="1" x14ac:dyDescent="0.25">
      <c r="A244" s="109">
        <f>A243+1</f>
        <v>3</v>
      </c>
      <c r="B244" s="110"/>
      <c r="C244" s="42" t="s">
        <v>356</v>
      </c>
      <c r="D244" s="42">
        <f>(58.951)*10.764</f>
        <v>634.54856399999994</v>
      </c>
      <c r="E244" s="42">
        <f>(5.675)*10.764</f>
        <v>61.085699999999996</v>
      </c>
      <c r="F244" s="42">
        <f>D244+E244</f>
        <v>695.63426399999992</v>
      </c>
      <c r="G244" s="42">
        <v>0</v>
      </c>
      <c r="H244" s="42">
        <f>F244*(($H$189)+1)+(IF(G244&lt;101,G244,IF(G244&lt;201,G244/2,IF(G244&lt;=301,G244/3,G244/4))))</f>
        <v>1043.4513959999999</v>
      </c>
      <c r="I244" s="36"/>
      <c r="L244" s="228"/>
      <c r="M244" s="228"/>
      <c r="N244" s="36"/>
    </row>
    <row r="245" spans="1:20" s="37" customFormat="1" ht="15.75" customHeight="1" x14ac:dyDescent="0.25">
      <c r="A245" s="109">
        <f>A244+1</f>
        <v>4</v>
      </c>
      <c r="B245" s="110"/>
      <c r="C245" s="42" t="s">
        <v>356</v>
      </c>
      <c r="D245" s="42">
        <f>(58.951)*10.764</f>
        <v>634.54856399999994</v>
      </c>
      <c r="E245" s="42">
        <f>(5.675)*10.764</f>
        <v>61.085699999999996</v>
      </c>
      <c r="F245" s="42">
        <f>D245+E245</f>
        <v>695.63426399999992</v>
      </c>
      <c r="G245" s="42">
        <v>0</v>
      </c>
      <c r="H245" s="42">
        <f>F245*(($H$189)+1)+(IF(G245&lt;101,G245,IF(G245&lt;201,G245/2,IF(G245&lt;=301,G245/3,G245/4))))</f>
        <v>1043.4513959999999</v>
      </c>
      <c r="I245" s="36"/>
      <c r="L245" s="228"/>
      <c r="M245" s="228"/>
      <c r="N245" s="36"/>
      <c r="T245" s="21"/>
    </row>
    <row r="246" spans="1:20" s="37" customFormat="1" ht="15.75" customHeight="1" x14ac:dyDescent="0.25">
      <c r="A246" s="109">
        <f t="shared" ref="A246:A249" si="22">A245+1</f>
        <v>5</v>
      </c>
      <c r="B246" s="110"/>
      <c r="C246" s="42" t="s">
        <v>356</v>
      </c>
      <c r="D246" s="42">
        <f>(57.03)*10.764</f>
        <v>613.87091999999996</v>
      </c>
      <c r="E246" s="42">
        <f>(5.01)*10.764</f>
        <v>53.927639999999997</v>
      </c>
      <c r="F246" s="42">
        <f t="shared" ref="F246:F249" si="23">D246+E246</f>
        <v>667.79855999999995</v>
      </c>
      <c r="G246" s="42">
        <v>0</v>
      </c>
      <c r="H246" s="42">
        <f t="shared" ref="H246:H249" si="24">F246*(($H$189)+1)+(IF(G246&lt;101,G246,IF(G246&lt;201,G246/2,IF(G246&lt;=301,G246/3,G246/4))))</f>
        <v>1001.6978399999999</v>
      </c>
      <c r="I246" s="36"/>
      <c r="L246" s="228"/>
      <c r="M246" s="228"/>
      <c r="N246" s="36"/>
      <c r="T246" s="21"/>
    </row>
    <row r="247" spans="1:20" s="37" customFormat="1" ht="15.75" customHeight="1" x14ac:dyDescent="0.25">
      <c r="A247" s="109">
        <f t="shared" si="22"/>
        <v>6</v>
      </c>
      <c r="B247" s="110"/>
      <c r="C247" s="42" t="s">
        <v>356</v>
      </c>
      <c r="D247" s="42">
        <f>(57.03)*10.764</f>
        <v>613.87091999999996</v>
      </c>
      <c r="E247" s="42">
        <f>(5.01)*10.764</f>
        <v>53.927639999999997</v>
      </c>
      <c r="F247" s="42">
        <f t="shared" si="23"/>
        <v>667.79855999999995</v>
      </c>
      <c r="G247" s="42">
        <v>0</v>
      </c>
      <c r="H247" s="42">
        <f t="shared" si="24"/>
        <v>1001.6978399999999</v>
      </c>
      <c r="I247" s="36"/>
      <c r="L247" s="228"/>
      <c r="M247" s="228"/>
      <c r="N247" s="36"/>
      <c r="T247" s="21"/>
    </row>
    <row r="248" spans="1:20" s="37" customFormat="1" ht="15.75" customHeight="1" x14ac:dyDescent="0.25">
      <c r="A248" s="109">
        <f t="shared" si="22"/>
        <v>7</v>
      </c>
      <c r="B248" s="110"/>
      <c r="C248" s="42" t="s">
        <v>356</v>
      </c>
      <c r="D248" s="42">
        <f>(58.951)*10.764</f>
        <v>634.54856399999994</v>
      </c>
      <c r="E248" s="42">
        <f>(5.675)*10.764</f>
        <v>61.085699999999996</v>
      </c>
      <c r="F248" s="42">
        <f t="shared" si="23"/>
        <v>695.63426399999992</v>
      </c>
      <c r="G248" s="42">
        <v>0</v>
      </c>
      <c r="H248" s="42">
        <f t="shared" si="24"/>
        <v>1043.4513959999999</v>
      </c>
      <c r="I248" s="36"/>
      <c r="L248" s="228"/>
      <c r="M248" s="228"/>
      <c r="N248" s="36"/>
      <c r="T248" s="21"/>
    </row>
    <row r="249" spans="1:20" s="37" customFormat="1" ht="15.75" customHeight="1" x14ac:dyDescent="0.25">
      <c r="A249" s="109">
        <f t="shared" si="22"/>
        <v>8</v>
      </c>
      <c r="B249" s="110"/>
      <c r="C249" s="42" t="s">
        <v>356</v>
      </c>
      <c r="D249" s="42">
        <f>(58.951)*10.764</f>
        <v>634.54856399999994</v>
      </c>
      <c r="E249" s="42">
        <f>(5.675)*10.764</f>
        <v>61.085699999999996</v>
      </c>
      <c r="F249" s="42">
        <f t="shared" si="23"/>
        <v>695.63426399999992</v>
      </c>
      <c r="G249" s="42">
        <v>0</v>
      </c>
      <c r="H249" s="42">
        <f t="shared" si="24"/>
        <v>1043.4513959999999</v>
      </c>
      <c r="I249" s="36"/>
      <c r="L249" s="228"/>
      <c r="M249" s="228"/>
      <c r="N249" s="36"/>
      <c r="T249" s="21"/>
    </row>
    <row r="250" spans="1:20" s="37" customFormat="1" x14ac:dyDescent="0.25">
      <c r="A250" s="155" t="s">
        <v>364</v>
      </c>
      <c r="B250" s="156"/>
      <c r="C250" s="156"/>
      <c r="D250" s="156"/>
      <c r="E250" s="156"/>
      <c r="F250" s="156"/>
      <c r="G250" s="156"/>
      <c r="H250" s="157"/>
      <c r="J250" s="36"/>
    </row>
    <row r="251" spans="1:20" s="37" customFormat="1" x14ac:dyDescent="0.25">
      <c r="A251" s="111" t="s">
        <v>362</v>
      </c>
      <c r="B251" s="112"/>
      <c r="C251" s="112"/>
      <c r="D251" s="112"/>
      <c r="E251" s="112"/>
      <c r="F251" s="112"/>
      <c r="G251" s="112"/>
      <c r="H251" s="113"/>
      <c r="J251" s="36"/>
    </row>
    <row r="252" spans="1:20" s="37" customFormat="1" ht="31.5" customHeight="1" x14ac:dyDescent="0.25">
      <c r="A252" s="111" t="s">
        <v>355</v>
      </c>
      <c r="B252" s="112"/>
      <c r="C252" s="112"/>
      <c r="D252" s="112"/>
      <c r="E252" s="112"/>
      <c r="F252" s="112"/>
      <c r="G252" s="112"/>
      <c r="H252" s="113"/>
      <c r="J252" s="36"/>
    </row>
    <row r="253" spans="1:20" s="37" customFormat="1" ht="15.75" customHeight="1" x14ac:dyDescent="0.25">
      <c r="A253" s="109">
        <v>1</v>
      </c>
      <c r="B253" s="110"/>
      <c r="C253" s="42" t="s">
        <v>356</v>
      </c>
      <c r="D253" s="42">
        <f>(57.03)*10.764</f>
        <v>613.87091999999996</v>
      </c>
      <c r="E253" s="42">
        <f>(5.01)*10.764</f>
        <v>53.927639999999997</v>
      </c>
      <c r="F253" s="42">
        <f>D253+E253</f>
        <v>667.79855999999995</v>
      </c>
      <c r="G253" s="42">
        <v>0</v>
      </c>
      <c r="H253" s="42">
        <f>F253*(($H$189)+1)+(IF(G253&lt;101,G253,IF(G253&lt;201,G253/2,IF(G253&lt;=301,G253/3,G253/4))))</f>
        <v>1001.6978399999999</v>
      </c>
      <c r="I253" s="36">
        <f>9900000/H253</f>
        <v>9883.2198739691812</v>
      </c>
      <c r="L253" s="228"/>
      <c r="M253" s="228"/>
      <c r="N253" s="36"/>
    </row>
    <row r="254" spans="1:20" s="37" customFormat="1" ht="15.75" customHeight="1" x14ac:dyDescent="0.25">
      <c r="A254" s="109">
        <f>A253+1</f>
        <v>2</v>
      </c>
      <c r="B254" s="110"/>
      <c r="C254" s="42" t="s">
        <v>356</v>
      </c>
      <c r="D254" s="42">
        <f>(57.03)*10.764</f>
        <v>613.87091999999996</v>
      </c>
      <c r="E254" s="42">
        <f>(5.01)*10.764</f>
        <v>53.927639999999997</v>
      </c>
      <c r="F254" s="42">
        <f>D254+E254</f>
        <v>667.79855999999995</v>
      </c>
      <c r="G254" s="42">
        <v>0</v>
      </c>
      <c r="H254" s="42">
        <f>F254*(($H$189)+1)+(IF(G254&lt;101,G254,IF(G254&lt;201,G254/2,IF(G254&lt;=301,G254/3,G254/4))))</f>
        <v>1001.6978399999999</v>
      </c>
      <c r="I254" s="36"/>
      <c r="L254" s="228"/>
      <c r="M254" s="228"/>
      <c r="N254" s="36"/>
    </row>
    <row r="255" spans="1:20" s="37" customFormat="1" ht="15.75" customHeight="1" x14ac:dyDescent="0.25">
      <c r="A255" s="109">
        <f>A254+1</f>
        <v>3</v>
      </c>
      <c r="B255" s="110"/>
      <c r="C255" s="42" t="s">
        <v>356</v>
      </c>
      <c r="D255" s="42">
        <f>(58.951)*10.764</f>
        <v>634.54856399999994</v>
      </c>
      <c r="E255" s="42">
        <f>(5.675)*10.764</f>
        <v>61.085699999999996</v>
      </c>
      <c r="F255" s="42">
        <f>D255+E255</f>
        <v>695.63426399999992</v>
      </c>
      <c r="G255" s="42">
        <v>0</v>
      </c>
      <c r="H255" s="42">
        <f>F255*(($H$189)+1)+(IF(G255&lt;101,G255,IF(G255&lt;201,G255/2,IF(G255&lt;=301,G255/3,G255/4))))</f>
        <v>1043.4513959999999</v>
      </c>
      <c r="I255" s="36"/>
      <c r="L255" s="228"/>
      <c r="M255" s="228"/>
      <c r="N255" s="36"/>
    </row>
    <row r="256" spans="1:20" s="37" customFormat="1" ht="15.75" customHeight="1" x14ac:dyDescent="0.25">
      <c r="A256" s="109">
        <f>A255+1</f>
        <v>4</v>
      </c>
      <c r="B256" s="110"/>
      <c r="C256" s="42" t="s">
        <v>356</v>
      </c>
      <c r="D256" s="42">
        <f>(58.951)*10.764</f>
        <v>634.54856399999994</v>
      </c>
      <c r="E256" s="42">
        <f>(5.675)*10.764</f>
        <v>61.085699999999996</v>
      </c>
      <c r="F256" s="42">
        <f>D256+E256</f>
        <v>695.63426399999992</v>
      </c>
      <c r="G256" s="42">
        <v>0</v>
      </c>
      <c r="H256" s="42">
        <f>F256*(($H$189)+1)+(IF(G256&lt;101,G256,IF(G256&lt;201,G256/2,IF(G256&lt;=301,G256/3,G256/4))))</f>
        <v>1043.4513959999999</v>
      </c>
      <c r="I256" s="36"/>
      <c r="L256" s="228"/>
      <c r="M256" s="228"/>
      <c r="N256" s="36"/>
      <c r="T256" s="21"/>
    </row>
    <row r="257" spans="1:20" s="37" customFormat="1" ht="15.75" customHeight="1" x14ac:dyDescent="0.25">
      <c r="A257" s="109">
        <f t="shared" ref="A257:A260" si="25">A256+1</f>
        <v>5</v>
      </c>
      <c r="B257" s="110"/>
      <c r="C257" s="42" t="s">
        <v>363</v>
      </c>
      <c r="D257" s="42">
        <f>(39.89)*10.764</f>
        <v>429.37595999999996</v>
      </c>
      <c r="E257" s="42">
        <f>(2.915)*10.764</f>
        <v>31.37706</v>
      </c>
      <c r="F257" s="42">
        <f t="shared" ref="F257:F260" si="26">D257+E257</f>
        <v>460.75301999999999</v>
      </c>
      <c r="G257" s="42">
        <v>0</v>
      </c>
      <c r="H257" s="42">
        <f t="shared" ref="H257:H260" si="27">F257*(($H$189)+1)+(IF(G257&lt;101,G257,IF(G257&lt;201,G257/2,IF(G257&lt;=301,G257/3,G257/4))))</f>
        <v>691.12952999999993</v>
      </c>
      <c r="I257" s="36"/>
      <c r="L257" s="228"/>
      <c r="M257" s="228"/>
      <c r="N257" s="36"/>
      <c r="T257" s="21"/>
    </row>
    <row r="258" spans="1:20" s="37" customFormat="1" ht="15.75" customHeight="1" x14ac:dyDescent="0.25">
      <c r="A258" s="109">
        <f t="shared" si="25"/>
        <v>6</v>
      </c>
      <c r="B258" s="110"/>
      <c r="C258" s="42" t="s">
        <v>363</v>
      </c>
      <c r="D258" s="42">
        <f>(39.89)*10.764</f>
        <v>429.37595999999996</v>
      </c>
      <c r="E258" s="42">
        <f>(2.915)*10.764</f>
        <v>31.37706</v>
      </c>
      <c r="F258" s="42">
        <f t="shared" si="26"/>
        <v>460.75301999999999</v>
      </c>
      <c r="G258" s="42">
        <v>0</v>
      </c>
      <c r="H258" s="42">
        <f t="shared" si="27"/>
        <v>691.12952999999993</v>
      </c>
      <c r="I258" s="36"/>
      <c r="L258" s="228"/>
      <c r="M258" s="228"/>
      <c r="N258" s="36"/>
      <c r="T258" s="21"/>
    </row>
    <row r="259" spans="1:20" s="37" customFormat="1" ht="15.75" customHeight="1" x14ac:dyDescent="0.25">
      <c r="A259" s="109">
        <f t="shared" si="25"/>
        <v>7</v>
      </c>
      <c r="B259" s="110"/>
      <c r="C259" s="42" t="s">
        <v>356</v>
      </c>
      <c r="D259" s="42">
        <f>(58.951)*10.764</f>
        <v>634.54856399999994</v>
      </c>
      <c r="E259" s="42">
        <f>(5.675)*10.764</f>
        <v>61.085699999999996</v>
      </c>
      <c r="F259" s="42">
        <f t="shared" si="26"/>
        <v>695.63426399999992</v>
      </c>
      <c r="G259" s="42">
        <v>0</v>
      </c>
      <c r="H259" s="42">
        <f t="shared" si="27"/>
        <v>1043.4513959999999</v>
      </c>
      <c r="I259" s="36"/>
      <c r="L259" s="228"/>
      <c r="M259" s="228"/>
      <c r="N259" s="36"/>
      <c r="T259" s="21"/>
    </row>
    <row r="260" spans="1:20" s="37" customFormat="1" ht="15.75" customHeight="1" x14ac:dyDescent="0.25">
      <c r="A260" s="109">
        <f t="shared" si="25"/>
        <v>8</v>
      </c>
      <c r="B260" s="110"/>
      <c r="C260" s="42" t="s">
        <v>356</v>
      </c>
      <c r="D260" s="42">
        <f>(58.951)*10.764</f>
        <v>634.54856399999994</v>
      </c>
      <c r="E260" s="42">
        <f>(5.675)*10.764</f>
        <v>61.085699999999996</v>
      </c>
      <c r="F260" s="42">
        <f t="shared" si="26"/>
        <v>695.63426399999992</v>
      </c>
      <c r="G260" s="42">
        <v>0</v>
      </c>
      <c r="H260" s="42">
        <f t="shared" si="27"/>
        <v>1043.4513959999999</v>
      </c>
      <c r="I260" s="36"/>
      <c r="L260" s="228"/>
      <c r="M260" s="228"/>
      <c r="N260" s="36"/>
      <c r="T260" s="21"/>
    </row>
    <row r="261" spans="1:20" s="37" customFormat="1" x14ac:dyDescent="0.25">
      <c r="A261" s="111" t="s">
        <v>387</v>
      </c>
      <c r="B261" s="112"/>
      <c r="C261" s="112"/>
      <c r="D261" s="112"/>
      <c r="E261" s="112"/>
      <c r="F261" s="112"/>
      <c r="G261" s="112"/>
      <c r="H261" s="113"/>
      <c r="J261" s="36"/>
    </row>
    <row r="262" spans="1:20" s="37" customFormat="1" ht="15.75" customHeight="1" x14ac:dyDescent="0.25">
      <c r="A262" s="109">
        <v>1</v>
      </c>
      <c r="B262" s="110"/>
      <c r="C262" s="42" t="s">
        <v>356</v>
      </c>
      <c r="D262" s="42">
        <f>(57.03)*10.764</f>
        <v>613.87091999999996</v>
      </c>
      <c r="E262" s="42">
        <f>(5.01)*10.764</f>
        <v>53.927639999999997</v>
      </c>
      <c r="F262" s="42">
        <f>D262+E262</f>
        <v>667.79855999999995</v>
      </c>
      <c r="G262" s="42">
        <v>0</v>
      </c>
      <c r="H262" s="42">
        <f>F262*(($H$189)+1)+(IF(G262&lt;101,G262,IF(G262&lt;201,G262/2,IF(G262&lt;=301,G262/3,G262/4))))</f>
        <v>1001.6978399999999</v>
      </c>
      <c r="I262" s="36"/>
      <c r="L262" s="228"/>
      <c r="M262" s="228"/>
      <c r="N262" s="36"/>
    </row>
    <row r="263" spans="1:20" s="37" customFormat="1" ht="15.75" customHeight="1" x14ac:dyDescent="0.25">
      <c r="A263" s="109">
        <f>A262+1</f>
        <v>2</v>
      </c>
      <c r="B263" s="110"/>
      <c r="C263" s="42" t="s">
        <v>356</v>
      </c>
      <c r="D263" s="42">
        <f>(57.03)*10.764</f>
        <v>613.87091999999996</v>
      </c>
      <c r="E263" s="42">
        <f>(5.01)*10.764</f>
        <v>53.927639999999997</v>
      </c>
      <c r="F263" s="42">
        <f>D263+E263</f>
        <v>667.79855999999995</v>
      </c>
      <c r="G263" s="42">
        <v>0</v>
      </c>
      <c r="H263" s="42">
        <f>F263*(($H$189)+1)+(IF(G263&lt;101,G263,IF(G263&lt;201,G263/2,IF(G263&lt;=301,G263/3,G263/4))))</f>
        <v>1001.6978399999999</v>
      </c>
      <c r="I263" s="36"/>
      <c r="L263" s="228"/>
      <c r="M263" s="228"/>
      <c r="N263" s="36"/>
    </row>
    <row r="264" spans="1:20" s="37" customFormat="1" ht="15.75" customHeight="1" x14ac:dyDescent="0.25">
      <c r="A264" s="109">
        <f>A263+1</f>
        <v>3</v>
      </c>
      <c r="B264" s="110"/>
      <c r="C264" s="42" t="s">
        <v>356</v>
      </c>
      <c r="D264" s="42">
        <f>(58.951)*10.764</f>
        <v>634.54856399999994</v>
      </c>
      <c r="E264" s="42">
        <f>(5.675)*10.764</f>
        <v>61.085699999999996</v>
      </c>
      <c r="F264" s="42">
        <f>D264+E264</f>
        <v>695.63426399999992</v>
      </c>
      <c r="G264" s="42">
        <v>0</v>
      </c>
      <c r="H264" s="42">
        <f>F264*(($H$189)+1)+(IF(G264&lt;101,G264,IF(G264&lt;201,G264/2,IF(G264&lt;=301,G264/3,G264/4))))</f>
        <v>1043.4513959999999</v>
      </c>
      <c r="I264" s="36"/>
      <c r="L264" s="228"/>
      <c r="M264" s="228"/>
      <c r="N264" s="36"/>
    </row>
    <row r="265" spans="1:20" s="37" customFormat="1" ht="15.75" customHeight="1" x14ac:dyDescent="0.25">
      <c r="A265" s="109">
        <f>A264+1</f>
        <v>4</v>
      </c>
      <c r="B265" s="110"/>
      <c r="C265" s="42" t="s">
        <v>356</v>
      </c>
      <c r="D265" s="42">
        <f>(58.951)*10.764</f>
        <v>634.54856399999994</v>
      </c>
      <c r="E265" s="42">
        <f>(5.675)*10.764</f>
        <v>61.085699999999996</v>
      </c>
      <c r="F265" s="42">
        <f>D265+E265</f>
        <v>695.63426399999992</v>
      </c>
      <c r="G265" s="42">
        <v>0</v>
      </c>
      <c r="H265" s="42">
        <f>F265*(($H$189)+1)+(IF(G265&lt;101,G265,IF(G265&lt;201,G265/2,IF(G265&lt;=301,G265/3,G265/4))))</f>
        <v>1043.4513959999999</v>
      </c>
      <c r="I265" s="36"/>
      <c r="L265" s="228"/>
      <c r="M265" s="228"/>
      <c r="N265" s="36"/>
      <c r="T265" s="21"/>
    </row>
    <row r="266" spans="1:20" s="37" customFormat="1" ht="15.75" customHeight="1" x14ac:dyDescent="0.25">
      <c r="A266" s="109">
        <f t="shared" ref="A266:A269" si="28">A265+1</f>
        <v>5</v>
      </c>
      <c r="B266" s="110"/>
      <c r="C266" s="109" t="s">
        <v>359</v>
      </c>
      <c r="D266" s="149"/>
      <c r="E266" s="149"/>
      <c r="F266" s="149"/>
      <c r="G266" s="149"/>
      <c r="H266" s="110"/>
      <c r="I266" s="36"/>
      <c r="L266" s="228"/>
      <c r="M266" s="228"/>
      <c r="N266" s="36"/>
      <c r="T266" s="21"/>
    </row>
    <row r="267" spans="1:20" s="37" customFormat="1" ht="15.75" customHeight="1" x14ac:dyDescent="0.25">
      <c r="A267" s="109">
        <f t="shared" si="28"/>
        <v>6</v>
      </c>
      <c r="B267" s="110"/>
      <c r="C267" s="42" t="s">
        <v>363</v>
      </c>
      <c r="D267" s="42">
        <f>(39.89)*10.764</f>
        <v>429.37595999999996</v>
      </c>
      <c r="E267" s="42">
        <f>(2.915)*10.764</f>
        <v>31.37706</v>
      </c>
      <c r="F267" s="42">
        <f t="shared" ref="F267:F269" si="29">D267+E267</f>
        <v>460.75301999999999</v>
      </c>
      <c r="G267" s="42">
        <v>0</v>
      </c>
      <c r="H267" s="42">
        <f>F267*(($H$189)+1)+(IF(G267&lt;101,G267,IF(G267&lt;201,G267/2,IF(G267&lt;=301,G267/3,G267/4))))</f>
        <v>691.12952999999993</v>
      </c>
      <c r="I267" s="36"/>
      <c r="L267" s="228"/>
      <c r="M267" s="228"/>
      <c r="N267" s="36"/>
      <c r="T267" s="21"/>
    </row>
    <row r="268" spans="1:20" s="37" customFormat="1" ht="15.75" customHeight="1" x14ac:dyDescent="0.25">
      <c r="A268" s="109">
        <f t="shared" si="28"/>
        <v>7</v>
      </c>
      <c r="B268" s="110"/>
      <c r="C268" s="42" t="s">
        <v>356</v>
      </c>
      <c r="D268" s="42">
        <f>(58.951)*10.764</f>
        <v>634.54856399999994</v>
      </c>
      <c r="E268" s="42">
        <f>(5.675)*10.764</f>
        <v>61.085699999999996</v>
      </c>
      <c r="F268" s="42">
        <f t="shared" si="29"/>
        <v>695.63426399999992</v>
      </c>
      <c r="G268" s="42">
        <v>0</v>
      </c>
      <c r="H268" s="42">
        <f>F268*(($H$189)+1)+(IF(G268&lt;101,G268,IF(G268&lt;201,G268/2,IF(G268&lt;=301,G268/3,G268/4))))</f>
        <v>1043.4513959999999</v>
      </c>
      <c r="I268" s="36"/>
      <c r="L268" s="228"/>
      <c r="M268" s="228"/>
      <c r="N268" s="36"/>
      <c r="T268" s="21"/>
    </row>
    <row r="269" spans="1:20" s="37" customFormat="1" ht="15.75" customHeight="1" x14ac:dyDescent="0.25">
      <c r="A269" s="109">
        <f t="shared" si="28"/>
        <v>8</v>
      </c>
      <c r="B269" s="110"/>
      <c r="C269" s="42" t="s">
        <v>356</v>
      </c>
      <c r="D269" s="42">
        <f>(58.951)*10.764</f>
        <v>634.54856399999994</v>
      </c>
      <c r="E269" s="42">
        <f>(5.675)*10.764</f>
        <v>61.085699999999996</v>
      </c>
      <c r="F269" s="42">
        <f t="shared" si="29"/>
        <v>695.63426399999992</v>
      </c>
      <c r="G269" s="42">
        <v>0</v>
      </c>
      <c r="H269" s="42">
        <f>F269*(($H$189)+1)+(IF(G269&lt;101,G269,IF(G269&lt;201,G269/2,IF(G269&lt;=301,G269/3,G269/4))))</f>
        <v>1043.4513959999999</v>
      </c>
      <c r="I269" s="36"/>
      <c r="L269" s="228"/>
      <c r="M269" s="228"/>
      <c r="N269" s="36"/>
      <c r="T269" s="21"/>
    </row>
    <row r="270" spans="1:20" s="37" customFormat="1" x14ac:dyDescent="0.25">
      <c r="A270" s="155" t="s">
        <v>415</v>
      </c>
      <c r="B270" s="156"/>
      <c r="C270" s="156"/>
      <c r="D270" s="156"/>
      <c r="E270" s="156"/>
      <c r="F270" s="156"/>
      <c r="G270" s="156"/>
      <c r="H270" s="157"/>
      <c r="J270" s="36"/>
    </row>
    <row r="271" spans="1:20" s="37" customFormat="1" x14ac:dyDescent="0.25">
      <c r="A271" s="111" t="s">
        <v>362</v>
      </c>
      <c r="B271" s="112"/>
      <c r="C271" s="112"/>
      <c r="D271" s="112"/>
      <c r="E271" s="112"/>
      <c r="F271" s="112"/>
      <c r="G271" s="112"/>
      <c r="H271" s="113"/>
      <c r="J271" s="36"/>
    </row>
    <row r="272" spans="1:20" s="37" customFormat="1" ht="31.5" customHeight="1" x14ac:dyDescent="0.25">
      <c r="A272" s="111" t="s">
        <v>355</v>
      </c>
      <c r="B272" s="112"/>
      <c r="C272" s="112"/>
      <c r="D272" s="112"/>
      <c r="E272" s="112"/>
      <c r="F272" s="112"/>
      <c r="G272" s="112"/>
      <c r="H272" s="113"/>
      <c r="J272" s="36"/>
    </row>
    <row r="273" spans="1:20" s="37" customFormat="1" ht="15.75" customHeight="1" x14ac:dyDescent="0.25">
      <c r="A273" s="109">
        <v>1</v>
      </c>
      <c r="B273" s="110"/>
      <c r="C273" s="42" t="s">
        <v>356</v>
      </c>
      <c r="D273" s="42">
        <f>(57.03)*10.764</f>
        <v>613.87091999999996</v>
      </c>
      <c r="E273" s="42">
        <f>(5.01)*10.764</f>
        <v>53.927639999999997</v>
      </c>
      <c r="F273" s="42">
        <f>D273+E273</f>
        <v>667.79855999999995</v>
      </c>
      <c r="G273" s="42">
        <v>0</v>
      </c>
      <c r="H273" s="42">
        <f>F273*(($H$189)+1)+(IF(G273&lt;101,G273,IF(G273&lt;201,G273/2,IF(G273&lt;=301,G273/3,G273/4))))</f>
        <v>1001.6978399999999</v>
      </c>
      <c r="I273" s="36">
        <f>9900000/H273</f>
        <v>9883.2198739691812</v>
      </c>
      <c r="L273" s="228"/>
      <c r="M273" s="228"/>
      <c r="N273" s="36"/>
    </row>
    <row r="274" spans="1:20" s="37" customFormat="1" ht="15.75" customHeight="1" x14ac:dyDescent="0.25">
      <c r="A274" s="109">
        <f>A273+1</f>
        <v>2</v>
      </c>
      <c r="B274" s="110"/>
      <c r="C274" s="42" t="s">
        <v>356</v>
      </c>
      <c r="D274" s="42">
        <f>(57.03)*10.764</f>
        <v>613.87091999999996</v>
      </c>
      <c r="E274" s="42">
        <f>(5.01)*10.764</f>
        <v>53.927639999999997</v>
      </c>
      <c r="F274" s="42">
        <f>D274+E274</f>
        <v>667.79855999999995</v>
      </c>
      <c r="G274" s="42">
        <v>0</v>
      </c>
      <c r="H274" s="42">
        <f>F274*(($H$189)+1)+(IF(G274&lt;101,G274,IF(G274&lt;201,G274/2,IF(G274&lt;=301,G274/3,G274/4))))</f>
        <v>1001.6978399999999</v>
      </c>
      <c r="I274" s="36"/>
      <c r="L274" s="228"/>
      <c r="M274" s="228"/>
      <c r="N274" s="36"/>
    </row>
    <row r="275" spans="1:20" s="37" customFormat="1" ht="15.75" customHeight="1" x14ac:dyDescent="0.25">
      <c r="A275" s="109">
        <f>A274+1</f>
        <v>3</v>
      </c>
      <c r="B275" s="110"/>
      <c r="C275" s="42" t="s">
        <v>357</v>
      </c>
      <c r="D275" s="42">
        <f>(93.014)*10.764</f>
        <v>1001.2026959999999</v>
      </c>
      <c r="E275" s="42">
        <f>(7.498)*10.764</f>
        <v>80.708472</v>
      </c>
      <c r="F275" s="42">
        <f>D275+E275</f>
        <v>1081.9111679999999</v>
      </c>
      <c r="G275" s="42">
        <v>0</v>
      </c>
      <c r="H275" s="42">
        <f>F275*(($H$189)+1)+(IF(G275&lt;101,G275,IF(G275&lt;201,G275/2,IF(G275&lt;=301,G275/3,G275/4))))</f>
        <v>1622.8667519999999</v>
      </c>
      <c r="I275" s="36"/>
      <c r="L275" s="228"/>
      <c r="M275" s="228"/>
      <c r="N275" s="36"/>
    </row>
    <row r="276" spans="1:20" s="37" customFormat="1" ht="15.75" customHeight="1" x14ac:dyDescent="0.25">
      <c r="A276" s="109">
        <f>A275+1</f>
        <v>4</v>
      </c>
      <c r="B276" s="110"/>
      <c r="C276" s="42" t="s">
        <v>357</v>
      </c>
      <c r="D276" s="42">
        <f>(93.014)*10.764</f>
        <v>1001.2026959999999</v>
      </c>
      <c r="E276" s="42">
        <f>(7.498)*10.764</f>
        <v>80.708472</v>
      </c>
      <c r="F276" s="42">
        <f>D276+E276</f>
        <v>1081.9111679999999</v>
      </c>
      <c r="G276" s="42">
        <v>0</v>
      </c>
      <c r="H276" s="42">
        <f>F276*(($H$189)+1)+(IF(G276&lt;101,G276,IF(G276&lt;201,G276/2,IF(G276&lt;=301,G276/3,G276/4))))</f>
        <v>1622.8667519999999</v>
      </c>
      <c r="I276" s="36"/>
      <c r="L276" s="228"/>
      <c r="M276" s="228"/>
      <c r="N276" s="36"/>
      <c r="T276" s="21"/>
    </row>
    <row r="277" spans="1:20" s="37" customFormat="1" ht="15.75" customHeight="1" x14ac:dyDescent="0.25">
      <c r="A277" s="109">
        <f t="shared" ref="A277:A280" si="30">A276+1</f>
        <v>5</v>
      </c>
      <c r="B277" s="110"/>
      <c r="C277" s="42" t="s">
        <v>356</v>
      </c>
      <c r="D277" s="42">
        <f>(64.535)*10.764</f>
        <v>694.65473999999995</v>
      </c>
      <c r="E277" s="42">
        <f>(6.466)*10.764</f>
        <v>69.600024000000005</v>
      </c>
      <c r="F277" s="42">
        <f t="shared" ref="F277:F280" si="31">D277+E277</f>
        <v>764.25476399999991</v>
      </c>
      <c r="G277" s="42">
        <v>0</v>
      </c>
      <c r="H277" s="42">
        <f t="shared" ref="H277:H280" si="32">F277*(($H$189)+1)+(IF(G277&lt;101,G277,IF(G277&lt;201,G277/2,IF(G277&lt;=301,G277/3,G277/4))))</f>
        <v>1146.3821459999999</v>
      </c>
      <c r="I277" s="36"/>
      <c r="L277" s="228"/>
      <c r="M277" s="228"/>
      <c r="N277" s="36"/>
      <c r="T277" s="21"/>
    </row>
    <row r="278" spans="1:20" s="37" customFormat="1" ht="15.75" customHeight="1" x14ac:dyDescent="0.25">
      <c r="A278" s="109">
        <f t="shared" si="30"/>
        <v>6</v>
      </c>
      <c r="B278" s="110"/>
      <c r="C278" s="42" t="s">
        <v>356</v>
      </c>
      <c r="D278" s="42">
        <f>(64.535)*10.764</f>
        <v>694.65473999999995</v>
      </c>
      <c r="E278" s="42">
        <f>(6.466)*10.764</f>
        <v>69.600024000000005</v>
      </c>
      <c r="F278" s="42">
        <f t="shared" si="31"/>
        <v>764.25476399999991</v>
      </c>
      <c r="G278" s="42">
        <v>0</v>
      </c>
      <c r="H278" s="42">
        <f t="shared" si="32"/>
        <v>1146.3821459999999</v>
      </c>
      <c r="I278" s="36"/>
      <c r="L278" s="228"/>
      <c r="M278" s="228"/>
      <c r="N278" s="36"/>
      <c r="T278" s="21"/>
    </row>
    <row r="279" spans="1:20" s="37" customFormat="1" ht="15.75" customHeight="1" x14ac:dyDescent="0.25">
      <c r="A279" s="109">
        <f t="shared" si="30"/>
        <v>7</v>
      </c>
      <c r="B279" s="110"/>
      <c r="C279" s="42" t="s">
        <v>357</v>
      </c>
      <c r="D279" s="42">
        <f>(85.821)*10.764</f>
        <v>923.77724399999988</v>
      </c>
      <c r="E279" s="42">
        <f>(6.908)*10.764</f>
        <v>74.357712000000006</v>
      </c>
      <c r="F279" s="42">
        <f t="shared" si="31"/>
        <v>998.13495599999987</v>
      </c>
      <c r="G279" s="42">
        <v>0</v>
      </c>
      <c r="H279" s="42">
        <f t="shared" si="32"/>
        <v>1497.2024339999998</v>
      </c>
      <c r="I279" s="36"/>
      <c r="L279" s="228"/>
      <c r="M279" s="228"/>
      <c r="N279" s="36"/>
      <c r="T279" s="21"/>
    </row>
    <row r="280" spans="1:20" s="37" customFormat="1" ht="15.75" customHeight="1" x14ac:dyDescent="0.25">
      <c r="A280" s="109">
        <f t="shared" si="30"/>
        <v>8</v>
      </c>
      <c r="B280" s="110"/>
      <c r="C280" s="42" t="s">
        <v>357</v>
      </c>
      <c r="D280" s="42">
        <f>(85.821)*10.764</f>
        <v>923.77724399999988</v>
      </c>
      <c r="E280" s="42">
        <f>(6.908)*10.764</f>
        <v>74.357712000000006</v>
      </c>
      <c r="F280" s="42">
        <f t="shared" si="31"/>
        <v>998.13495599999987</v>
      </c>
      <c r="G280" s="42">
        <v>0</v>
      </c>
      <c r="H280" s="42">
        <f t="shared" si="32"/>
        <v>1497.2024339999998</v>
      </c>
      <c r="I280" s="36"/>
      <c r="L280" s="228"/>
      <c r="M280" s="228"/>
      <c r="N280" s="36"/>
      <c r="T280" s="21"/>
    </row>
    <row r="281" spans="1:20" s="37" customFormat="1" x14ac:dyDescent="0.25">
      <c r="A281" s="111" t="s">
        <v>387</v>
      </c>
      <c r="B281" s="112"/>
      <c r="C281" s="112"/>
      <c r="D281" s="112"/>
      <c r="E281" s="112"/>
      <c r="F281" s="112"/>
      <c r="G281" s="112"/>
      <c r="H281" s="113"/>
      <c r="J281" s="36"/>
    </row>
    <row r="282" spans="1:20" s="37" customFormat="1" ht="15.75" customHeight="1" x14ac:dyDescent="0.25">
      <c r="A282" s="109">
        <v>1</v>
      </c>
      <c r="B282" s="110"/>
      <c r="C282" s="42" t="s">
        <v>356</v>
      </c>
      <c r="D282" s="42">
        <f>(57.03)*10.764</f>
        <v>613.87091999999996</v>
      </c>
      <c r="E282" s="42">
        <f>(5.01)*10.764</f>
        <v>53.927639999999997</v>
      </c>
      <c r="F282" s="42">
        <f>D282+E282</f>
        <v>667.79855999999995</v>
      </c>
      <c r="G282" s="42">
        <v>0</v>
      </c>
      <c r="H282" s="42">
        <f>F282*(($H$189)+1)+(IF(G282&lt;101,G282,IF(G282&lt;201,G282/2,IF(G282&lt;=301,G282/3,G282/4))))</f>
        <v>1001.6978399999999</v>
      </c>
      <c r="I282" s="36"/>
      <c r="L282" s="228"/>
      <c r="M282" s="228"/>
      <c r="N282" s="36"/>
    </row>
    <row r="283" spans="1:20" s="37" customFormat="1" ht="15.75" customHeight="1" x14ac:dyDescent="0.25">
      <c r="A283" s="109">
        <f>A282+1</f>
        <v>2</v>
      </c>
      <c r="B283" s="110"/>
      <c r="C283" s="109" t="s">
        <v>359</v>
      </c>
      <c r="D283" s="149"/>
      <c r="E283" s="149"/>
      <c r="F283" s="149"/>
      <c r="G283" s="149"/>
      <c r="H283" s="110"/>
      <c r="I283" s="36"/>
      <c r="L283" s="228"/>
      <c r="M283" s="228"/>
      <c r="N283" s="36"/>
    </row>
    <row r="284" spans="1:20" s="37" customFormat="1" ht="15.75" customHeight="1" x14ac:dyDescent="0.25">
      <c r="A284" s="109">
        <f>A283+1</f>
        <v>3</v>
      </c>
      <c r="B284" s="110"/>
      <c r="C284" s="42" t="s">
        <v>357</v>
      </c>
      <c r="D284" s="42">
        <f>(93.014)*10.764</f>
        <v>1001.2026959999999</v>
      </c>
      <c r="E284" s="42">
        <f>(7.498)*10.764</f>
        <v>80.708472</v>
      </c>
      <c r="F284" s="42">
        <f>D284+E284</f>
        <v>1081.9111679999999</v>
      </c>
      <c r="G284" s="42">
        <v>0</v>
      </c>
      <c r="H284" s="42">
        <f>F284*(($H$189)+1)+(IF(G284&lt;101,G284,IF(G284&lt;201,G284/2,IF(G284&lt;=301,G284/3,G284/4))))</f>
        <v>1622.8667519999999</v>
      </c>
      <c r="I284" s="36"/>
      <c r="L284" s="228"/>
      <c r="M284" s="228"/>
      <c r="N284" s="36"/>
    </row>
    <row r="285" spans="1:20" s="37" customFormat="1" ht="15.75" customHeight="1" x14ac:dyDescent="0.25">
      <c r="A285" s="109">
        <f>A284+1</f>
        <v>4</v>
      </c>
      <c r="B285" s="110"/>
      <c r="C285" s="42" t="s">
        <v>357</v>
      </c>
      <c r="D285" s="42">
        <f>(93.014)*10.764</f>
        <v>1001.2026959999999</v>
      </c>
      <c r="E285" s="42">
        <f>(7.498)*10.764</f>
        <v>80.708472</v>
      </c>
      <c r="F285" s="42">
        <f>D285+E285</f>
        <v>1081.9111679999999</v>
      </c>
      <c r="G285" s="42">
        <v>0</v>
      </c>
      <c r="H285" s="42">
        <f>F285*(($H$189)+1)+(IF(G285&lt;101,G285,IF(G285&lt;201,G285/2,IF(G285&lt;=301,G285/3,G285/4))))</f>
        <v>1622.8667519999999</v>
      </c>
      <c r="I285" s="36"/>
      <c r="L285" s="228"/>
      <c r="M285" s="228"/>
      <c r="N285" s="36"/>
      <c r="T285" s="21"/>
    </row>
    <row r="286" spans="1:20" s="37" customFormat="1" ht="15.75" customHeight="1" x14ac:dyDescent="0.25">
      <c r="A286" s="109">
        <f t="shared" ref="A286:A289" si="33">A285+1</f>
        <v>5</v>
      </c>
      <c r="B286" s="110"/>
      <c r="C286" s="42" t="s">
        <v>356</v>
      </c>
      <c r="D286" s="42">
        <f>(64.535)*10.764</f>
        <v>694.65473999999995</v>
      </c>
      <c r="E286" s="42">
        <f>(6.466)*10.764</f>
        <v>69.600024000000005</v>
      </c>
      <c r="F286" s="42">
        <f t="shared" ref="F286:F289" si="34">D286+E286</f>
        <v>764.25476399999991</v>
      </c>
      <c r="G286" s="42">
        <v>0</v>
      </c>
      <c r="H286" s="42">
        <f t="shared" ref="H286:H289" si="35">F286*(($H$189)+1)+(IF(G286&lt;101,G286,IF(G286&lt;201,G286/2,IF(G286&lt;=301,G286/3,G286/4))))</f>
        <v>1146.3821459999999</v>
      </c>
      <c r="I286" s="36"/>
      <c r="L286" s="228"/>
      <c r="M286" s="228"/>
      <c r="N286" s="36"/>
      <c r="T286" s="21"/>
    </row>
    <row r="287" spans="1:20" s="37" customFormat="1" ht="15.75" customHeight="1" x14ac:dyDescent="0.25">
      <c r="A287" s="109">
        <f t="shared" si="33"/>
        <v>6</v>
      </c>
      <c r="B287" s="110"/>
      <c r="C287" s="42" t="s">
        <v>356</v>
      </c>
      <c r="D287" s="42">
        <f>(64.535)*10.764</f>
        <v>694.65473999999995</v>
      </c>
      <c r="E287" s="42">
        <f>(6.466)*10.764</f>
        <v>69.600024000000005</v>
      </c>
      <c r="F287" s="42">
        <f t="shared" si="34"/>
        <v>764.25476399999991</v>
      </c>
      <c r="G287" s="42">
        <v>0</v>
      </c>
      <c r="H287" s="42">
        <f t="shared" si="35"/>
        <v>1146.3821459999999</v>
      </c>
      <c r="I287" s="36"/>
      <c r="L287" s="228"/>
      <c r="M287" s="228"/>
      <c r="N287" s="36"/>
      <c r="T287" s="21"/>
    </row>
    <row r="288" spans="1:20" s="37" customFormat="1" ht="15.75" customHeight="1" x14ac:dyDescent="0.25">
      <c r="A288" s="109">
        <f t="shared" si="33"/>
        <v>7</v>
      </c>
      <c r="B288" s="110"/>
      <c r="C288" s="42" t="s">
        <v>357</v>
      </c>
      <c r="D288" s="42">
        <f>(85.821)*10.764</f>
        <v>923.77724399999988</v>
      </c>
      <c r="E288" s="42">
        <f>(6.908)*10.764</f>
        <v>74.357712000000006</v>
      </c>
      <c r="F288" s="42">
        <f t="shared" si="34"/>
        <v>998.13495599999987</v>
      </c>
      <c r="G288" s="42">
        <v>0</v>
      </c>
      <c r="H288" s="42">
        <f t="shared" si="35"/>
        <v>1497.2024339999998</v>
      </c>
      <c r="I288" s="36"/>
      <c r="L288" s="228"/>
      <c r="M288" s="228"/>
      <c r="N288" s="36"/>
      <c r="T288" s="21"/>
    </row>
    <row r="289" spans="1:20" s="37" customFormat="1" ht="15.75" customHeight="1" x14ac:dyDescent="0.25">
      <c r="A289" s="109">
        <f t="shared" si="33"/>
        <v>8</v>
      </c>
      <c r="B289" s="110"/>
      <c r="C289" s="42" t="s">
        <v>357</v>
      </c>
      <c r="D289" s="42">
        <f>(85.821)*10.764</f>
        <v>923.77724399999988</v>
      </c>
      <c r="E289" s="42">
        <f>(6.908)*10.764</f>
        <v>74.357712000000006</v>
      </c>
      <c r="F289" s="42">
        <f t="shared" si="34"/>
        <v>998.13495599999987</v>
      </c>
      <c r="G289" s="42">
        <v>0</v>
      </c>
      <c r="H289" s="42">
        <f t="shared" si="35"/>
        <v>1497.2024339999998</v>
      </c>
      <c r="I289" s="36"/>
      <c r="L289" s="228"/>
      <c r="M289" s="228"/>
      <c r="N289" s="36"/>
      <c r="T289" s="21"/>
    </row>
    <row r="290" spans="1:20" s="35" customFormat="1" x14ac:dyDescent="0.25">
      <c r="A290" s="108" t="s">
        <v>62</v>
      </c>
      <c r="B290" s="108"/>
      <c r="C290" s="108"/>
      <c r="D290" s="108"/>
      <c r="E290" s="108"/>
      <c r="F290" s="108"/>
      <c r="G290" s="108"/>
      <c r="H290" s="108"/>
      <c r="T290" s="37"/>
    </row>
    <row r="291" spans="1:20" s="35" customFormat="1" x14ac:dyDescent="0.25">
      <c r="A291" s="46" t="s">
        <v>141</v>
      </c>
      <c r="B291" s="90" t="s">
        <v>406</v>
      </c>
      <c r="C291" s="91"/>
      <c r="D291" s="91"/>
      <c r="E291" s="91"/>
      <c r="F291" s="91"/>
      <c r="G291" s="91"/>
      <c r="H291" s="92"/>
      <c r="T291" s="37"/>
    </row>
    <row r="292" spans="1:20" s="35" customFormat="1" x14ac:dyDescent="0.25">
      <c r="A292" s="46" t="s">
        <v>141</v>
      </c>
      <c r="B292" s="90" t="str">
        <f>(IF(H188="Saleable area Loading :","We have considered Saleable area of Flats as per our Calculation.","We considered Saleable area of Flat as per Builder area Sheet."))</f>
        <v>We have considered Saleable area of Flats as per our Calculation.</v>
      </c>
      <c r="C292" s="91"/>
      <c r="D292" s="91"/>
      <c r="E292" s="91"/>
      <c r="F292" s="91"/>
      <c r="G292" s="91"/>
      <c r="H292" s="92"/>
      <c r="T292" s="37"/>
    </row>
    <row r="293" spans="1:20" s="35" customFormat="1" hidden="1" x14ac:dyDescent="0.25">
      <c r="A293" s="46" t="s">
        <v>141</v>
      </c>
      <c r="B293" s="231" t="str">
        <f>(IF(H147="Saleable area Loading :","We have considered Saleable area of Commercial as per our Calculation.","We considered Saleable area of Commercial as per Builder area Sheet."))</f>
        <v>We have considered Saleable area of Commercial as per our Calculation.</v>
      </c>
      <c r="C293" s="232"/>
      <c r="D293" s="232"/>
      <c r="E293" s="232"/>
      <c r="F293" s="232"/>
      <c r="G293" s="232"/>
      <c r="H293" s="233"/>
      <c r="T293" s="37"/>
    </row>
    <row r="294" spans="1:20" s="35" customFormat="1" x14ac:dyDescent="0.25">
      <c r="A294" s="46" t="s">
        <v>141</v>
      </c>
      <c r="B294" s="164" t="s">
        <v>111</v>
      </c>
      <c r="C294" s="164"/>
      <c r="D294" s="164"/>
      <c r="E294" s="164"/>
      <c r="F294" s="164"/>
      <c r="G294" s="164"/>
      <c r="H294" s="164"/>
      <c r="T294" s="37"/>
    </row>
    <row r="295" spans="1:20" s="35" customFormat="1" x14ac:dyDescent="0.25">
      <c r="A295" s="46" t="s">
        <v>141</v>
      </c>
      <c r="B295" s="148" t="s">
        <v>388</v>
      </c>
      <c r="C295" s="148"/>
      <c r="D295" s="148"/>
      <c r="E295" s="148"/>
      <c r="F295" s="148"/>
      <c r="G295" s="148"/>
      <c r="H295" s="148"/>
      <c r="T295" s="37"/>
    </row>
    <row r="296" spans="1:20" s="35" customFormat="1" x14ac:dyDescent="0.25">
      <c r="A296" s="46" t="s">
        <v>141</v>
      </c>
      <c r="B296" s="164" t="s">
        <v>140</v>
      </c>
      <c r="C296" s="164"/>
      <c r="D296" s="164"/>
      <c r="E296" s="164"/>
      <c r="F296" s="164"/>
      <c r="G296" s="164"/>
      <c r="H296" s="164"/>
    </row>
    <row r="297" spans="1:20" s="35" customFormat="1" x14ac:dyDescent="0.25">
      <c r="A297" s="46" t="s">
        <v>141</v>
      </c>
      <c r="B297" s="164" t="s">
        <v>112</v>
      </c>
      <c r="C297" s="164"/>
      <c r="D297" s="164"/>
      <c r="E297" s="164"/>
      <c r="F297" s="164"/>
      <c r="G297" s="164"/>
      <c r="H297" s="164"/>
    </row>
    <row r="298" spans="1:20" s="35" customFormat="1" ht="34.5" customHeight="1" x14ac:dyDescent="0.25">
      <c r="A298" s="46" t="s">
        <v>141</v>
      </c>
      <c r="B298" s="148" t="s">
        <v>142</v>
      </c>
      <c r="C298" s="148"/>
      <c r="D298" s="148"/>
      <c r="E298" s="148"/>
      <c r="F298" s="148"/>
      <c r="G298" s="148"/>
      <c r="H298" s="148"/>
    </row>
    <row r="299" spans="1:20" s="35" customFormat="1" x14ac:dyDescent="0.25">
      <c r="A299" s="46" t="s">
        <v>141</v>
      </c>
      <c r="B299" s="164" t="s">
        <v>113</v>
      </c>
      <c r="C299" s="164"/>
      <c r="D299" s="164"/>
      <c r="E299" s="164"/>
      <c r="F299" s="164"/>
      <c r="G299" s="164"/>
      <c r="H299" s="164"/>
    </row>
    <row r="300" spans="1:20" s="35" customFormat="1" ht="32.25" hidden="1" customHeight="1" x14ac:dyDescent="0.25">
      <c r="A300" s="46" t="s">
        <v>141</v>
      </c>
      <c r="B300" s="95" t="s">
        <v>166</v>
      </c>
      <c r="C300" s="95"/>
      <c r="D300" s="95"/>
      <c r="E300" s="95"/>
      <c r="F300" s="95"/>
      <c r="G300" s="95"/>
      <c r="H300" s="95"/>
    </row>
    <row r="301" spans="1:20" s="35" customFormat="1" ht="33" customHeight="1" x14ac:dyDescent="0.25">
      <c r="A301" s="46" t="s">
        <v>141</v>
      </c>
      <c r="B301" s="148" t="s">
        <v>390</v>
      </c>
      <c r="C301" s="148"/>
      <c r="D301" s="148"/>
      <c r="E301" s="148"/>
      <c r="F301" s="148"/>
      <c r="G301" s="148"/>
      <c r="H301" s="148"/>
      <c r="I301" s="244" t="s">
        <v>366</v>
      </c>
      <c r="J301" s="245"/>
    </row>
    <row r="302" spans="1:20" s="35" customFormat="1" ht="15.75" customHeight="1" x14ac:dyDescent="0.25">
      <c r="A302" s="46" t="s">
        <v>141</v>
      </c>
      <c r="B302" s="148" t="s">
        <v>392</v>
      </c>
      <c r="C302" s="148"/>
      <c r="D302" s="148"/>
      <c r="E302" s="148"/>
      <c r="F302" s="148"/>
      <c r="G302" s="148"/>
      <c r="H302" s="148"/>
      <c r="I302" s="90" t="s">
        <v>365</v>
      </c>
      <c r="J302" s="91"/>
      <c r="K302" s="91"/>
      <c r="L302" s="91"/>
      <c r="M302" s="91"/>
      <c r="N302" s="91"/>
      <c r="O302" s="92"/>
    </row>
    <row r="303" spans="1:20" s="35" customFormat="1" ht="32.25" customHeight="1" x14ac:dyDescent="0.25">
      <c r="A303" s="254" t="s">
        <v>141</v>
      </c>
      <c r="B303" s="255" t="s">
        <v>401</v>
      </c>
      <c r="C303" s="256"/>
      <c r="D303" s="256"/>
      <c r="E303" s="256"/>
      <c r="F303" s="256"/>
      <c r="G303" s="256"/>
      <c r="H303" s="257"/>
      <c r="I303" s="87"/>
      <c r="J303" s="87"/>
      <c r="K303" s="87"/>
      <c r="L303" s="87"/>
      <c r="M303" s="87"/>
      <c r="N303" s="87"/>
      <c r="O303" s="87"/>
    </row>
    <row r="304" spans="1:20" s="35" customFormat="1" ht="36" customHeight="1" x14ac:dyDescent="0.25">
      <c r="A304" s="46" t="s">
        <v>141</v>
      </c>
      <c r="B304" s="148" t="s">
        <v>423</v>
      </c>
      <c r="C304" s="148"/>
      <c r="D304" s="148"/>
      <c r="E304" s="148"/>
      <c r="F304" s="148"/>
      <c r="G304" s="148"/>
      <c r="H304" s="148"/>
      <c r="I304" s="90" t="s">
        <v>365</v>
      </c>
      <c r="J304" s="91"/>
      <c r="K304" s="91"/>
      <c r="L304" s="91"/>
      <c r="M304" s="91"/>
      <c r="N304" s="91"/>
      <c r="O304" s="92"/>
    </row>
    <row r="305" spans="1:20" x14ac:dyDescent="0.25">
      <c r="A305" s="170" t="s">
        <v>55</v>
      </c>
      <c r="B305" s="170"/>
      <c r="C305" s="170"/>
      <c r="D305" s="170"/>
      <c r="E305" s="170"/>
      <c r="F305" s="170"/>
      <c r="G305" s="170"/>
      <c r="H305" s="170"/>
      <c r="T305" s="35"/>
    </row>
    <row r="306" spans="1:20" x14ac:dyDescent="0.25">
      <c r="A306" s="97" t="s">
        <v>56</v>
      </c>
      <c r="B306" s="97"/>
      <c r="C306" s="97"/>
      <c r="D306" s="97"/>
      <c r="E306" s="97"/>
      <c r="F306" s="97"/>
      <c r="G306" s="97"/>
      <c r="H306" s="97"/>
      <c r="T306" s="35"/>
    </row>
    <row r="307" spans="1:20" ht="15.75" customHeight="1" x14ac:dyDescent="0.25">
      <c r="A307" s="143" t="s">
        <v>57</v>
      </c>
      <c r="B307" s="143"/>
      <c r="C307" s="143"/>
      <c r="D307" s="143"/>
      <c r="E307" s="143"/>
      <c r="F307" s="143"/>
      <c r="G307" s="143"/>
      <c r="H307" s="143"/>
      <c r="T307" s="35"/>
    </row>
    <row r="308" spans="1:20" x14ac:dyDescent="0.25">
      <c r="A308" s="97" t="s">
        <v>58</v>
      </c>
      <c r="B308" s="97"/>
      <c r="C308" s="97"/>
      <c r="D308" s="97"/>
      <c r="E308" s="97"/>
      <c r="F308" s="97"/>
      <c r="G308" s="97"/>
      <c r="H308" s="97"/>
      <c r="T308" s="35"/>
    </row>
    <row r="309" spans="1:20" x14ac:dyDescent="0.25">
      <c r="A309" s="97" t="s">
        <v>59</v>
      </c>
      <c r="B309" s="97"/>
      <c r="C309" s="97"/>
      <c r="D309" s="97"/>
      <c r="E309" s="97"/>
      <c r="F309" s="97"/>
      <c r="G309" s="97"/>
      <c r="H309" s="97"/>
      <c r="T309" s="35"/>
    </row>
    <row r="310" spans="1:20" x14ac:dyDescent="0.25">
      <c r="A310" s="97" t="s">
        <v>114</v>
      </c>
      <c r="B310" s="97"/>
      <c r="C310" s="97"/>
      <c r="D310" s="97"/>
      <c r="E310" s="97"/>
      <c r="F310" s="97"/>
      <c r="G310" s="97"/>
      <c r="H310" s="97"/>
      <c r="T310" s="35"/>
    </row>
    <row r="311" spans="1:20" ht="33.950000000000003" customHeight="1" x14ac:dyDescent="0.25">
      <c r="A311" s="114" t="s">
        <v>115</v>
      </c>
      <c r="B311" s="114"/>
      <c r="C311" s="114"/>
      <c r="D311" s="114"/>
      <c r="E311" s="114"/>
      <c r="F311" s="114"/>
      <c r="G311" s="114"/>
      <c r="H311" s="114"/>
    </row>
    <row r="312" spans="1:20" x14ac:dyDescent="0.25">
      <c r="A312" s="166" t="s">
        <v>71</v>
      </c>
      <c r="B312" s="166"/>
      <c r="C312" s="166" t="s">
        <v>370</v>
      </c>
      <c r="D312" s="166"/>
      <c r="E312" s="166" t="s">
        <v>96</v>
      </c>
      <c r="F312" s="166"/>
      <c r="G312" s="167" t="s">
        <v>402</v>
      </c>
      <c r="H312" s="167"/>
    </row>
    <row r="313" spans="1:20" x14ac:dyDescent="0.25">
      <c r="A313" s="165" t="s">
        <v>73</v>
      </c>
      <c r="B313" s="165"/>
      <c r="C313" s="165"/>
      <c r="D313" s="165"/>
      <c r="E313" s="165"/>
      <c r="F313" s="165"/>
      <c r="G313" s="165"/>
      <c r="H313" s="165"/>
    </row>
    <row r="314" spans="1:20" x14ac:dyDescent="0.25">
      <c r="A314" s="165"/>
      <c r="B314" s="165"/>
      <c r="C314" s="165"/>
      <c r="D314" s="165"/>
      <c r="E314" s="165"/>
      <c r="F314" s="165"/>
      <c r="G314" s="165"/>
      <c r="H314" s="165"/>
    </row>
    <row r="315" spans="1:20" x14ac:dyDescent="0.25">
      <c r="A315" s="165"/>
      <c r="B315" s="165"/>
      <c r="C315" s="165"/>
      <c r="D315" s="165"/>
      <c r="E315" s="165"/>
      <c r="F315" s="165"/>
      <c r="G315" s="165"/>
      <c r="H315" s="165"/>
    </row>
    <row r="316" spans="1:20" x14ac:dyDescent="0.25">
      <c r="A316" s="165"/>
      <c r="B316" s="165"/>
      <c r="C316" s="165"/>
      <c r="D316" s="165"/>
      <c r="E316" s="165"/>
      <c r="F316" s="165"/>
      <c r="G316" s="165"/>
      <c r="H316" s="165"/>
    </row>
    <row r="317" spans="1:20" x14ac:dyDescent="0.25">
      <c r="A317" s="38" t="s">
        <v>60</v>
      </c>
      <c r="B317" s="39"/>
      <c r="C317" s="39"/>
      <c r="D317" s="38" t="str">
        <f>E9</f>
        <v>Green Terraces</v>
      </c>
      <c r="F317" s="39"/>
      <c r="G317" s="39"/>
      <c r="H317" s="39"/>
    </row>
    <row r="318" spans="1:20" x14ac:dyDescent="0.25">
      <c r="A318" s="39"/>
      <c r="B318" s="39"/>
      <c r="C318" s="39"/>
      <c r="D318" s="39"/>
      <c r="E318" s="39"/>
      <c r="F318" s="39"/>
      <c r="G318" s="39"/>
      <c r="H318" s="39"/>
    </row>
    <row r="319" spans="1:20" x14ac:dyDescent="0.25">
      <c r="A319" s="39"/>
      <c r="B319" s="39"/>
      <c r="C319" s="39"/>
      <c r="D319" s="39"/>
      <c r="E319" s="39"/>
      <c r="F319" s="39"/>
      <c r="G319" s="39"/>
      <c r="H319" s="39"/>
    </row>
    <row r="320" spans="1:20" ht="15" customHeight="1" x14ac:dyDescent="0.25"/>
    <row r="359" spans="1:1" x14ac:dyDescent="0.25">
      <c r="A359" s="41" t="s">
        <v>150</v>
      </c>
    </row>
    <row r="401" spans="1:1" x14ac:dyDescent="0.25">
      <c r="A401" s="41" t="s">
        <v>61</v>
      </c>
    </row>
  </sheetData>
  <mergeCells count="608">
    <mergeCell ref="C283:H283"/>
    <mergeCell ref="L184:M184"/>
    <mergeCell ref="A185:B185"/>
    <mergeCell ref="L185:M185"/>
    <mergeCell ref="A186:B186"/>
    <mergeCell ref="L186:M186"/>
    <mergeCell ref="A142:B142"/>
    <mergeCell ref="C142:D142"/>
    <mergeCell ref="E142:F142"/>
    <mergeCell ref="G142:H142"/>
    <mergeCell ref="L179:M179"/>
    <mergeCell ref="A180:B180"/>
    <mergeCell ref="L180:M180"/>
    <mergeCell ref="A181:B181"/>
    <mergeCell ref="L181:M181"/>
    <mergeCell ref="A182:B182"/>
    <mergeCell ref="L182:M182"/>
    <mergeCell ref="A183:B183"/>
    <mergeCell ref="L183:M183"/>
    <mergeCell ref="L174:M174"/>
    <mergeCell ref="A175:B175"/>
    <mergeCell ref="L175:M175"/>
    <mergeCell ref="A176:B176"/>
    <mergeCell ref="L176:M176"/>
    <mergeCell ref="A177:B177"/>
    <mergeCell ref="L177:M177"/>
    <mergeCell ref="A178:B178"/>
    <mergeCell ref="L178:M178"/>
    <mergeCell ref="L169:M169"/>
    <mergeCell ref="A170:B170"/>
    <mergeCell ref="L170:M170"/>
    <mergeCell ref="A171:B171"/>
    <mergeCell ref="L171:M171"/>
    <mergeCell ref="A172:B172"/>
    <mergeCell ref="L172:M172"/>
    <mergeCell ref="A173:B173"/>
    <mergeCell ref="L173:M173"/>
    <mergeCell ref="L163:M163"/>
    <mergeCell ref="A164:B164"/>
    <mergeCell ref="L164:M164"/>
    <mergeCell ref="A165:B165"/>
    <mergeCell ref="L165:M165"/>
    <mergeCell ref="A166:H166"/>
    <mergeCell ref="A167:B167"/>
    <mergeCell ref="L167:M167"/>
    <mergeCell ref="A168:B168"/>
    <mergeCell ref="L168:M168"/>
    <mergeCell ref="L286:M286"/>
    <mergeCell ref="L287:M287"/>
    <mergeCell ref="A288:B288"/>
    <mergeCell ref="L288:M288"/>
    <mergeCell ref="L289:M289"/>
    <mergeCell ref="A149:H149"/>
    <mergeCell ref="A155:B155"/>
    <mergeCell ref="L155:M155"/>
    <mergeCell ref="A156:B156"/>
    <mergeCell ref="L156:M156"/>
    <mergeCell ref="A157:B157"/>
    <mergeCell ref="L157:M157"/>
    <mergeCell ref="A158:B158"/>
    <mergeCell ref="L158:M158"/>
    <mergeCell ref="A159:B159"/>
    <mergeCell ref="L159:M159"/>
    <mergeCell ref="A160:B160"/>
    <mergeCell ref="L160:M160"/>
    <mergeCell ref="A161:B161"/>
    <mergeCell ref="L161:M161"/>
    <mergeCell ref="A162:B162"/>
    <mergeCell ref="L162:M162"/>
    <mergeCell ref="A163:B163"/>
    <mergeCell ref="E17:F17"/>
    <mergeCell ref="G17:H17"/>
    <mergeCell ref="I17:P17"/>
    <mergeCell ref="A15:D17"/>
    <mergeCell ref="B304:H304"/>
    <mergeCell ref="I304:O304"/>
    <mergeCell ref="A271:H271"/>
    <mergeCell ref="A272:H272"/>
    <mergeCell ref="L273:M273"/>
    <mergeCell ref="L274:M274"/>
    <mergeCell ref="L275:M275"/>
    <mergeCell ref="A276:B276"/>
    <mergeCell ref="L276:M276"/>
    <mergeCell ref="L277:M277"/>
    <mergeCell ref="A278:B278"/>
    <mergeCell ref="L278:M278"/>
    <mergeCell ref="L279:M279"/>
    <mergeCell ref="L280:M280"/>
    <mergeCell ref="A281:H281"/>
    <mergeCell ref="A282:B282"/>
    <mergeCell ref="L282:M282"/>
    <mergeCell ref="L283:M283"/>
    <mergeCell ref="L284:M284"/>
    <mergeCell ref="L285:M285"/>
    <mergeCell ref="L133:P133"/>
    <mergeCell ref="Q133:S133"/>
    <mergeCell ref="L128:P128"/>
    <mergeCell ref="Q128:S128"/>
    <mergeCell ref="L129:P129"/>
    <mergeCell ref="Q129:S129"/>
    <mergeCell ref="L130:P130"/>
    <mergeCell ref="Q130:S130"/>
    <mergeCell ref="L131:P131"/>
    <mergeCell ref="Q131:S131"/>
    <mergeCell ref="L132:P132"/>
    <mergeCell ref="Q132:S132"/>
    <mergeCell ref="I302:O302"/>
    <mergeCell ref="L258:M258"/>
    <mergeCell ref="A259:B259"/>
    <mergeCell ref="L259:M259"/>
    <mergeCell ref="A260:B260"/>
    <mergeCell ref="L260:M260"/>
    <mergeCell ref="C266:H266"/>
    <mergeCell ref="B302:H302"/>
    <mergeCell ref="I301:J301"/>
    <mergeCell ref="L269:M269"/>
    <mergeCell ref="A266:B266"/>
    <mergeCell ref="L266:M266"/>
    <mergeCell ref="L265:M265"/>
    <mergeCell ref="L262:M262"/>
    <mergeCell ref="L263:M263"/>
    <mergeCell ref="L264:M264"/>
    <mergeCell ref="B300:H300"/>
    <mergeCell ref="B299:H299"/>
    <mergeCell ref="B297:H297"/>
    <mergeCell ref="A283:B283"/>
    <mergeCell ref="A263:B263"/>
    <mergeCell ref="A264:B264"/>
    <mergeCell ref="A277:B277"/>
    <mergeCell ref="L256:M256"/>
    <mergeCell ref="A257:B257"/>
    <mergeCell ref="L257:M257"/>
    <mergeCell ref="L247:M247"/>
    <mergeCell ref="A248:B248"/>
    <mergeCell ref="L248:M248"/>
    <mergeCell ref="A249:B249"/>
    <mergeCell ref="L249:M249"/>
    <mergeCell ref="E15:F15"/>
    <mergeCell ref="G15:H15"/>
    <mergeCell ref="G16:H16"/>
    <mergeCell ref="E16:F16"/>
    <mergeCell ref="A138:B138"/>
    <mergeCell ref="C138:D138"/>
    <mergeCell ref="E138:F138"/>
    <mergeCell ref="G138:H138"/>
    <mergeCell ref="A139:B139"/>
    <mergeCell ref="C139:D139"/>
    <mergeCell ref="E139:F139"/>
    <mergeCell ref="G139:H139"/>
    <mergeCell ref="L253:M253"/>
    <mergeCell ref="A254:B254"/>
    <mergeCell ref="L233:M233"/>
    <mergeCell ref="L254:M254"/>
    <mergeCell ref="A255:B255"/>
    <mergeCell ref="L255:M255"/>
    <mergeCell ref="L244:M244"/>
    <mergeCell ref="A245:B245"/>
    <mergeCell ref="L245:M245"/>
    <mergeCell ref="A246:B246"/>
    <mergeCell ref="L246:M246"/>
    <mergeCell ref="A238:B238"/>
    <mergeCell ref="L238:M238"/>
    <mergeCell ref="A239:B239"/>
    <mergeCell ref="L239:M239"/>
    <mergeCell ref="A240:B240"/>
    <mergeCell ref="L240:M240"/>
    <mergeCell ref="C243:H243"/>
    <mergeCell ref="L242:M242"/>
    <mergeCell ref="A243:B243"/>
    <mergeCell ref="L243:M243"/>
    <mergeCell ref="L226:M226"/>
    <mergeCell ref="A227:B227"/>
    <mergeCell ref="L227:M227"/>
    <mergeCell ref="A228:B228"/>
    <mergeCell ref="L228:M228"/>
    <mergeCell ref="A229:B229"/>
    <mergeCell ref="L229:M229"/>
    <mergeCell ref="A237:B237"/>
    <mergeCell ref="L237:M237"/>
    <mergeCell ref="A234:B234"/>
    <mergeCell ref="L234:M234"/>
    <mergeCell ref="A235:B235"/>
    <mergeCell ref="L235:M235"/>
    <mergeCell ref="A236:B236"/>
    <mergeCell ref="L236:M236"/>
    <mergeCell ref="L199:M199"/>
    <mergeCell ref="A200:B200"/>
    <mergeCell ref="L200:M200"/>
    <mergeCell ref="C206:H206"/>
    <mergeCell ref="A210:H210"/>
    <mergeCell ref="A211:H211"/>
    <mergeCell ref="A212:H212"/>
    <mergeCell ref="A213:B213"/>
    <mergeCell ref="L213:M213"/>
    <mergeCell ref="A202:B202"/>
    <mergeCell ref="L202:M202"/>
    <mergeCell ref="A203:B203"/>
    <mergeCell ref="L203:M203"/>
    <mergeCell ref="A204:B204"/>
    <mergeCell ref="L204:M204"/>
    <mergeCell ref="L206:M206"/>
    <mergeCell ref="A207:B207"/>
    <mergeCell ref="L207:M207"/>
    <mergeCell ref="A208:B208"/>
    <mergeCell ref="L208:M208"/>
    <mergeCell ref="A209:B209"/>
    <mergeCell ref="L209:M209"/>
    <mergeCell ref="L219:M219"/>
    <mergeCell ref="A220:B220"/>
    <mergeCell ref="L220:M220"/>
    <mergeCell ref="A214:B214"/>
    <mergeCell ref="L214:M214"/>
    <mergeCell ref="A215:B215"/>
    <mergeCell ref="L215:M215"/>
    <mergeCell ref="A216:B216"/>
    <mergeCell ref="L216:M216"/>
    <mergeCell ref="L224:M224"/>
    <mergeCell ref="A217:B217"/>
    <mergeCell ref="L217:M217"/>
    <mergeCell ref="A218:B218"/>
    <mergeCell ref="C55:H55"/>
    <mergeCell ref="A190:H190"/>
    <mergeCell ref="A191:H191"/>
    <mergeCell ref="A201:H201"/>
    <mergeCell ref="A83:B83"/>
    <mergeCell ref="E81:F90"/>
    <mergeCell ref="G81:H90"/>
    <mergeCell ref="A100:B100"/>
    <mergeCell ref="G94:H94"/>
    <mergeCell ref="L154:M154"/>
    <mergeCell ref="L153:M153"/>
    <mergeCell ref="L152:M152"/>
    <mergeCell ref="L151:M151"/>
    <mergeCell ref="A88:B88"/>
    <mergeCell ref="A120:E120"/>
    <mergeCell ref="A91:B91"/>
    <mergeCell ref="C91:H91"/>
    <mergeCell ref="A205:B205"/>
    <mergeCell ref="L205:M205"/>
    <mergeCell ref="A206:B206"/>
    <mergeCell ref="C93:H93"/>
    <mergeCell ref="A221:H221"/>
    <mergeCell ref="A222:B222"/>
    <mergeCell ref="L222:M222"/>
    <mergeCell ref="A267:B267"/>
    <mergeCell ref="L267:M267"/>
    <mergeCell ref="A268:B268"/>
    <mergeCell ref="L268:M268"/>
    <mergeCell ref="A192:H192"/>
    <mergeCell ref="A193:B193"/>
    <mergeCell ref="L193:M193"/>
    <mergeCell ref="A194:B194"/>
    <mergeCell ref="L194:M194"/>
    <mergeCell ref="A195:B195"/>
    <mergeCell ref="L195:M195"/>
    <mergeCell ref="A196:B196"/>
    <mergeCell ref="L196:M196"/>
    <mergeCell ref="A197:B197"/>
    <mergeCell ref="L197:M197"/>
    <mergeCell ref="A198:B198"/>
    <mergeCell ref="L198:M198"/>
    <mergeCell ref="A199:B199"/>
    <mergeCell ref="A262:B262"/>
    <mergeCell ref="A223:B223"/>
    <mergeCell ref="L225:M225"/>
    <mergeCell ref="A226:B226"/>
    <mergeCell ref="L218:M218"/>
    <mergeCell ref="A219:B219"/>
    <mergeCell ref="A118:B118"/>
    <mergeCell ref="C147:C148"/>
    <mergeCell ref="B188:B189"/>
    <mergeCell ref="B293:H293"/>
    <mergeCell ref="B301:H301"/>
    <mergeCell ref="A124:E124"/>
    <mergeCell ref="A143:B143"/>
    <mergeCell ref="E143:F143"/>
    <mergeCell ref="A129:E129"/>
    <mergeCell ref="G143:H143"/>
    <mergeCell ref="A135:B135"/>
    <mergeCell ref="C135:D135"/>
    <mergeCell ref="E135:F135"/>
    <mergeCell ref="G135:H135"/>
    <mergeCell ref="A141:B141"/>
    <mergeCell ref="L223:M223"/>
    <mergeCell ref="A94:B94"/>
    <mergeCell ref="E94:F94"/>
    <mergeCell ref="E95:F104"/>
    <mergeCell ref="A105:B105"/>
    <mergeCell ref="C105:H105"/>
    <mergeCell ref="A107:B107"/>
    <mergeCell ref="C107:H107"/>
    <mergeCell ref="A108:B108"/>
    <mergeCell ref="E108:F108"/>
    <mergeCell ref="G108:H108"/>
    <mergeCell ref="A102:B102"/>
    <mergeCell ref="A103:B103"/>
    <mergeCell ref="A95:B95"/>
    <mergeCell ref="A109:B109"/>
    <mergeCell ref="E109:F118"/>
    <mergeCell ref="G109:H118"/>
    <mergeCell ref="A110:B110"/>
    <mergeCell ref="A111:B111"/>
    <mergeCell ref="A112:B112"/>
    <mergeCell ref="A113:B113"/>
    <mergeCell ref="A114:B114"/>
    <mergeCell ref="A115:B115"/>
    <mergeCell ref="A151:B151"/>
    <mergeCell ref="A144:B144"/>
    <mergeCell ref="A251:H251"/>
    <mergeCell ref="A252:H252"/>
    <mergeCell ref="A253:B253"/>
    <mergeCell ref="A258:B258"/>
    <mergeCell ref="A256:B256"/>
    <mergeCell ref="A225:B225"/>
    <mergeCell ref="A224:B224"/>
    <mergeCell ref="A169:B169"/>
    <mergeCell ref="A174:B174"/>
    <mergeCell ref="A179:B179"/>
    <mergeCell ref="A184:B184"/>
    <mergeCell ref="A42:B42"/>
    <mergeCell ref="C42:H42"/>
    <mergeCell ref="F147:F148"/>
    <mergeCell ref="C134:D134"/>
    <mergeCell ref="E134:F134"/>
    <mergeCell ref="B147:B148"/>
    <mergeCell ref="A147:A148"/>
    <mergeCell ref="C188:C189"/>
    <mergeCell ref="G188:G189"/>
    <mergeCell ref="G144:H144"/>
    <mergeCell ref="C57:H57"/>
    <mergeCell ref="A116:B116"/>
    <mergeCell ref="A117:B117"/>
    <mergeCell ref="A96:B96"/>
    <mergeCell ref="A97:B97"/>
    <mergeCell ref="G95:H104"/>
    <mergeCell ref="A98:B98"/>
    <mergeCell ref="F121:H121"/>
    <mergeCell ref="A121:E121"/>
    <mergeCell ref="D147:D148"/>
    <mergeCell ref="G141:H141"/>
    <mergeCell ref="A93:B93"/>
    <mergeCell ref="F119:H119"/>
    <mergeCell ref="F124:H124"/>
    <mergeCell ref="A40:H40"/>
    <mergeCell ref="A39:B39"/>
    <mergeCell ref="C39:E39"/>
    <mergeCell ref="A44:D44"/>
    <mergeCell ref="E44:H44"/>
    <mergeCell ref="A43:H43"/>
    <mergeCell ref="A70:C70"/>
    <mergeCell ref="A71:C71"/>
    <mergeCell ref="D70:H70"/>
    <mergeCell ref="F39:H39"/>
    <mergeCell ref="C53:E53"/>
    <mergeCell ref="C52:E52"/>
    <mergeCell ref="G52:H52"/>
    <mergeCell ref="A53:B53"/>
    <mergeCell ref="G58:H58"/>
    <mergeCell ref="A60:B61"/>
    <mergeCell ref="C60:E60"/>
    <mergeCell ref="G60:H60"/>
    <mergeCell ref="G53:H53"/>
    <mergeCell ref="A54:B55"/>
    <mergeCell ref="A41:B41"/>
    <mergeCell ref="C41:H41"/>
    <mergeCell ref="A65:C65"/>
    <mergeCell ref="C56:E56"/>
    <mergeCell ref="A80:B80"/>
    <mergeCell ref="A48:D48"/>
    <mergeCell ref="A49:D49"/>
    <mergeCell ref="D71:H71"/>
    <mergeCell ref="A46:D46"/>
    <mergeCell ref="E46:H46"/>
    <mergeCell ref="E47:H47"/>
    <mergeCell ref="E48:H48"/>
    <mergeCell ref="E49:H49"/>
    <mergeCell ref="C59:H59"/>
    <mergeCell ref="A50:H50"/>
    <mergeCell ref="D66:H66"/>
    <mergeCell ref="A66:C66"/>
    <mergeCell ref="A47:D47"/>
    <mergeCell ref="A51:B51"/>
    <mergeCell ref="C51:H51"/>
    <mergeCell ref="A67:C69"/>
    <mergeCell ref="D67:H67"/>
    <mergeCell ref="D68:H68"/>
    <mergeCell ref="G54:H54"/>
    <mergeCell ref="A63:H63"/>
    <mergeCell ref="A64:C64"/>
    <mergeCell ref="A79:B79"/>
    <mergeCell ref="A77:B77"/>
    <mergeCell ref="C77:H77"/>
    <mergeCell ref="A72:C72"/>
    <mergeCell ref="D72:H72"/>
    <mergeCell ref="C79:H79"/>
    <mergeCell ref="A73:C73"/>
    <mergeCell ref="D73:H73"/>
    <mergeCell ref="A76:C76"/>
    <mergeCell ref="D76:H76"/>
    <mergeCell ref="A75:C75"/>
    <mergeCell ref="A38:B38"/>
    <mergeCell ref="C38:E38"/>
    <mergeCell ref="A33:D33"/>
    <mergeCell ref="E33:H33"/>
    <mergeCell ref="A34:D34"/>
    <mergeCell ref="E34:H34"/>
    <mergeCell ref="A30:D30"/>
    <mergeCell ref="E30:H30"/>
    <mergeCell ref="C35:E35"/>
    <mergeCell ref="F38:H38"/>
    <mergeCell ref="F35:H35"/>
    <mergeCell ref="A36:B36"/>
    <mergeCell ref="A35:B35"/>
    <mergeCell ref="C36:E36"/>
    <mergeCell ref="A37:B37"/>
    <mergeCell ref="C37:E37"/>
    <mergeCell ref="F36:H36"/>
    <mergeCell ref="F37:H37"/>
    <mergeCell ref="A31:D31"/>
    <mergeCell ref="E31:H31"/>
    <mergeCell ref="A28:D28"/>
    <mergeCell ref="E28:H28"/>
    <mergeCell ref="A27:D27"/>
    <mergeCell ref="E27:H27"/>
    <mergeCell ref="A32:D32"/>
    <mergeCell ref="E32:H32"/>
    <mergeCell ref="A29:D29"/>
    <mergeCell ref="A23:B23"/>
    <mergeCell ref="C23:D23"/>
    <mergeCell ref="E23:F23"/>
    <mergeCell ref="G23:H23"/>
    <mergeCell ref="A24:B24"/>
    <mergeCell ref="C24:D24"/>
    <mergeCell ref="E24:F24"/>
    <mergeCell ref="G24:H24"/>
    <mergeCell ref="E29:H29"/>
    <mergeCell ref="E14:H14"/>
    <mergeCell ref="A11:D11"/>
    <mergeCell ref="E11:H11"/>
    <mergeCell ref="A25:D26"/>
    <mergeCell ref="E25:H26"/>
    <mergeCell ref="A18:B18"/>
    <mergeCell ref="C18:H18"/>
    <mergeCell ref="C19:H19"/>
    <mergeCell ref="A20:B20"/>
    <mergeCell ref="C20:H20"/>
    <mergeCell ref="A13:D13"/>
    <mergeCell ref="E13:H13"/>
    <mergeCell ref="A12:D12"/>
    <mergeCell ref="E12:H12"/>
    <mergeCell ref="A19:B19"/>
    <mergeCell ref="A14:D14"/>
    <mergeCell ref="A21:B21"/>
    <mergeCell ref="C21:D21"/>
    <mergeCell ref="E21:F21"/>
    <mergeCell ref="G21:H21"/>
    <mergeCell ref="A22:B22"/>
    <mergeCell ref="C22:D22"/>
    <mergeCell ref="E22:F22"/>
    <mergeCell ref="G22:H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13:H316"/>
    <mergeCell ref="A312:B312"/>
    <mergeCell ref="E312:F312"/>
    <mergeCell ref="C312:D312"/>
    <mergeCell ref="G312:H312"/>
    <mergeCell ref="A132:H132"/>
    <mergeCell ref="A130:E130"/>
    <mergeCell ref="F130:H130"/>
    <mergeCell ref="A131:E131"/>
    <mergeCell ref="F131:H131"/>
    <mergeCell ref="A270:H270"/>
    <mergeCell ref="A140:B140"/>
    <mergeCell ref="A279:B279"/>
    <mergeCell ref="A134:B134"/>
    <mergeCell ref="A308:H308"/>
    <mergeCell ref="A136:H136"/>
    <mergeCell ref="A311:H311"/>
    <mergeCell ref="A309:H309"/>
    <mergeCell ref="A305:H305"/>
    <mergeCell ref="G137:H137"/>
    <mergeCell ref="B296:H296"/>
    <mergeCell ref="A285:B285"/>
    <mergeCell ref="A274:B274"/>
    <mergeCell ref="C144:D144"/>
    <mergeCell ref="A122:E122"/>
    <mergeCell ref="A119:E119"/>
    <mergeCell ref="F123:H123"/>
    <mergeCell ref="A123:E123"/>
    <mergeCell ref="A265:B265"/>
    <mergeCell ref="B298:H298"/>
    <mergeCell ref="G147:G148"/>
    <mergeCell ref="A284:B284"/>
    <mergeCell ref="B291:H291"/>
    <mergeCell ref="B292:H292"/>
    <mergeCell ref="B294:H294"/>
    <mergeCell ref="A269:B269"/>
    <mergeCell ref="C223:H223"/>
    <mergeCell ref="A230:H230"/>
    <mergeCell ref="A231:H231"/>
    <mergeCell ref="A241:H241"/>
    <mergeCell ref="A154:B154"/>
    <mergeCell ref="A153:B153"/>
    <mergeCell ref="A125:E125"/>
    <mergeCell ref="F125:H125"/>
    <mergeCell ref="A127:E127"/>
    <mergeCell ref="F122:H122"/>
    <mergeCell ref="A306:H306"/>
    <mergeCell ref="A126:E126"/>
    <mergeCell ref="A187:H187"/>
    <mergeCell ref="E137:F137"/>
    <mergeCell ref="A145:H145"/>
    <mergeCell ref="A188:A189"/>
    <mergeCell ref="F188:F189"/>
    <mergeCell ref="A242:B242"/>
    <mergeCell ref="A247:B247"/>
    <mergeCell ref="A250:H250"/>
    <mergeCell ref="A244:B244"/>
    <mergeCell ref="A232:H232"/>
    <mergeCell ref="A233:B233"/>
    <mergeCell ref="C141:D141"/>
    <mergeCell ref="E141:F141"/>
    <mergeCell ref="E144:F144"/>
    <mergeCell ref="C140:D140"/>
    <mergeCell ref="E140:F140"/>
    <mergeCell ref="G140:H140"/>
    <mergeCell ref="A150:H150"/>
    <mergeCell ref="E147:E148"/>
    <mergeCell ref="A275:B275"/>
    <mergeCell ref="A273:B273"/>
    <mergeCell ref="G56:H56"/>
    <mergeCell ref="A58:B59"/>
    <mergeCell ref="C58:E58"/>
    <mergeCell ref="A310:H310"/>
    <mergeCell ref="A307:H307"/>
    <mergeCell ref="A137:B137"/>
    <mergeCell ref="D188:D189"/>
    <mergeCell ref="E188:E189"/>
    <mergeCell ref="A99:B99"/>
    <mergeCell ref="A101:B101"/>
    <mergeCell ref="F120:H120"/>
    <mergeCell ref="G134:H134"/>
    <mergeCell ref="A104:B104"/>
    <mergeCell ref="F126:H126"/>
    <mergeCell ref="C133:D133"/>
    <mergeCell ref="C143:D143"/>
    <mergeCell ref="A261:H261"/>
    <mergeCell ref="A280:B280"/>
    <mergeCell ref="B295:H295"/>
    <mergeCell ref="A289:B289"/>
    <mergeCell ref="A82:B82"/>
    <mergeCell ref="A84:B84"/>
    <mergeCell ref="E80:F80"/>
    <mergeCell ref="A87:B87"/>
    <mergeCell ref="I16:P16"/>
    <mergeCell ref="F129:H129"/>
    <mergeCell ref="F127:H127"/>
    <mergeCell ref="A146:H146"/>
    <mergeCell ref="G133:H133"/>
    <mergeCell ref="A128:E128"/>
    <mergeCell ref="A152:B152"/>
    <mergeCell ref="A62:B62"/>
    <mergeCell ref="C62:E62"/>
    <mergeCell ref="D64:H64"/>
    <mergeCell ref="F128:H128"/>
    <mergeCell ref="E133:F133"/>
    <mergeCell ref="A133:B133"/>
    <mergeCell ref="C137:D137"/>
    <mergeCell ref="D74:H74"/>
    <mergeCell ref="D65:H65"/>
    <mergeCell ref="G62:H62"/>
    <mergeCell ref="A56:B57"/>
    <mergeCell ref="C61:E61"/>
    <mergeCell ref="B303:H303"/>
    <mergeCell ref="G61:H61"/>
    <mergeCell ref="E45:H45"/>
    <mergeCell ref="A45:D45"/>
    <mergeCell ref="A86:B86"/>
    <mergeCell ref="A52:B52"/>
    <mergeCell ref="D69:H69"/>
    <mergeCell ref="C54:E54"/>
    <mergeCell ref="A290:H290"/>
    <mergeCell ref="A286:B286"/>
    <mergeCell ref="A287:B287"/>
    <mergeCell ref="A74:C74"/>
    <mergeCell ref="D75:H75"/>
    <mergeCell ref="A81:B81"/>
    <mergeCell ref="G80:H80"/>
    <mergeCell ref="A89:B89"/>
    <mergeCell ref="A90:B90"/>
    <mergeCell ref="A85:B85"/>
  </mergeCells>
  <phoneticPr fontId="31" type="noConversion"/>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9:B19" xr:uid="{00000000-0002-0000-0000-000001000000}">
      <formula1>"CTS No,Survey No,Plot No,Gut No,FP No,"</formula1>
    </dataValidation>
    <dataValidation type="list" allowBlank="1" showInputMessage="1" showErrorMessage="1" sqref="G22:H22" xr:uid="{00000000-0002-0000-0000-000002000000}">
      <formula1>$S$13:$W$13</formula1>
    </dataValidation>
    <dataValidation type="list" allowBlank="1" showInputMessage="1" showErrorMessage="1" sqref="E147:E148" xr:uid="{00000000-0002-0000-0000-000003000000}">
      <formula1>"Attached Loft area,Attached Otla area,Attached Mezzanine area"</formula1>
    </dataValidation>
    <dataValidation type="list" allowBlank="1" showInputMessage="1" showErrorMessage="1" sqref="G312:H312" xr:uid="{00000000-0002-0000-0000-000004000000}">
      <formula1>"Kunal Kadam,Pranita Mhatre,Shruti Fule,Pooja Kawale,Gaurav Panchal,Shruti Tathare, Hitakshi Mhatre,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B147:B148" xr:uid="{00000000-0002-0000-0000-000006000000}">
      <formula1>"Shop No. (Sale Plan),Sale / Rehab,Sale / Mhada"</formula1>
    </dataValidation>
    <dataValidation type="list" allowBlank="1" showInputMessage="1" showErrorMessage="1" sqref="B188:B189" xr:uid="{00000000-0002-0000-0000-000007000000}">
      <formula1>"Flat No. (Sale Plan),Sale / Rehab,Sale / Mhada"</formula1>
    </dataValidation>
    <dataValidation type="list" allowBlank="1" showInputMessage="1" showErrorMessage="1" sqref="C23:D23" xr:uid="{00000000-0002-0000-0000-000008000000}">
      <formula1>OFFSET($S$13,1,MATCH($G22,$S$13:$W$13,0)-1,15,1)</formula1>
    </dataValidation>
    <dataValidation type="list" allowBlank="1" showInputMessage="1" showErrorMessage="1" sqref="Y13" xr:uid="{00000000-0002-0000-0000-000009000000}">
      <formula1>$D$5:$H$5</formula1>
    </dataValidation>
    <dataValidation type="list" allowBlank="1" showInputMessage="1" showErrorMessage="1" sqref="E188:E189" xr:uid="{00000000-0002-0000-0000-00000A000000}">
      <formula1>"Fungible area,Balcony Area,Chajja Area,Cornice Area,AP Area,WS Area"</formula1>
    </dataValidation>
    <dataValidation type="list" allowBlank="1" showInputMessage="1" showErrorMessage="1" sqref="H189 H148"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51:H51" xr:uid="{00000000-0002-0000-0000-00000D000000}">
      <formula1>OFFSET($S$51,1,MATCH($G22,$S$51:$W$51,0)-1,15,1)</formula1>
    </dataValidation>
    <dataValidation type="list" allowBlank="1" showInputMessage="1" showErrorMessage="1" sqref="H147 H188" xr:uid="{00000000-0002-0000-0000-00000E000000}">
      <formula1>"Saleable area Loading :,Builder Saleable Area"</formula1>
    </dataValidation>
    <dataValidation type="list" allowBlank="1" showInputMessage="1" showErrorMessage="1" sqref="D188:D189 D147:D148" xr:uid="{00000000-0002-0000-0000-00000F000000}">
      <formula1>"Carpet area,RERA Carpet area"</formula1>
    </dataValidation>
    <dataValidation type="list" allowBlank="1" showInputMessage="1" showErrorMessage="1" sqref="F130:H130" xr:uid="{00000000-0002-0000-0000-000010000000}">
      <formula1>OFFSET($S$119,1,MATCH($G22,$S$119:$W$119,0)-1,15,1)</formula1>
    </dataValidation>
  </dataValidations>
  <hyperlinks>
    <hyperlink ref="I73" r:id="rId1" location="amenities" display="https://godrejhomz.com/godrej-green-terraces/?source=google&amp;medium=ppc&amp;keyword=godrej%20green%20terraces&amp;matchtype=p&amp;device=c&amp;&amp;location=&amp;gad_source=1&amp;gclid=Cj0KCQiAgJa6BhCOARIsAMiL7V8kZjkijBp9UfFp4MOSjmzd6o1LKRnu2QA3QlhBHRDC7G6hFpZbrA8aAhoDEALw_wcB#amenities"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6" max="16383" man="1"/>
    <brk id="316" max="16383" man="1"/>
    <brk id="358" max="16383" man="1"/>
    <brk id="4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6" zoomScale="85" zoomScaleNormal="85" workbookViewId="0">
      <selection activeCell="C37" sqref="C3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6" t="s">
        <v>97</v>
      </c>
      <c r="C3" s="246"/>
      <c r="D3" s="246"/>
      <c r="E3" s="246"/>
      <c r="F3" s="246"/>
      <c r="G3" s="246"/>
      <c r="H3" s="246"/>
    </row>
    <row r="4" spans="1:9" x14ac:dyDescent="0.25">
      <c r="A4" s="2"/>
      <c r="B4" s="3" t="s">
        <v>98</v>
      </c>
      <c r="C4" s="3" t="s">
        <v>99</v>
      </c>
      <c r="D4" s="3" t="s">
        <v>63</v>
      </c>
      <c r="E4" s="3" t="s">
        <v>100</v>
      </c>
      <c r="F4" s="3" t="s">
        <v>106</v>
      </c>
      <c r="G4" s="3" t="s">
        <v>107</v>
      </c>
      <c r="H4" s="3" t="s">
        <v>101</v>
      </c>
    </row>
    <row r="5" spans="1:9" ht="15" customHeight="1" x14ac:dyDescent="0.25">
      <c r="A5" s="2"/>
      <c r="B5" s="5" t="s">
        <v>102</v>
      </c>
      <c r="C5" s="6"/>
      <c r="D5" s="5"/>
      <c r="E5" s="5"/>
      <c r="F5" s="7">
        <f>E5*1.6</f>
        <v>0</v>
      </c>
      <c r="G5" s="7" t="e">
        <f>H5/F5</f>
        <v>#DIV/0!</v>
      </c>
      <c r="H5" s="8"/>
    </row>
    <row r="6" spans="1:9" x14ac:dyDescent="0.25">
      <c r="A6" s="2"/>
      <c r="B6" s="5" t="s">
        <v>102</v>
      </c>
      <c r="C6" s="9"/>
      <c r="D6" s="5"/>
      <c r="E6" s="5"/>
      <c r="F6" s="7">
        <f t="shared" ref="F6:F11" si="0">E6*1.6</f>
        <v>0</v>
      </c>
      <c r="G6" s="7" t="e">
        <f t="shared" ref="G6:G11" si="1">H6/F6</f>
        <v>#DIV/0!</v>
      </c>
      <c r="H6" s="8"/>
    </row>
    <row r="7" spans="1:9" ht="15" customHeight="1" x14ac:dyDescent="0.25">
      <c r="A7" s="2"/>
      <c r="B7" s="5" t="s">
        <v>102</v>
      </c>
      <c r="C7" s="6"/>
      <c r="D7" s="5"/>
      <c r="E7" s="5"/>
      <c r="F7" s="7">
        <f t="shared" si="0"/>
        <v>0</v>
      </c>
      <c r="G7" s="7" t="e">
        <f t="shared" si="1"/>
        <v>#DIV/0!</v>
      </c>
      <c r="H7" s="8"/>
    </row>
    <row r="8" spans="1:9" x14ac:dyDescent="0.25">
      <c r="A8" s="2"/>
      <c r="B8" s="5" t="s">
        <v>102</v>
      </c>
      <c r="C8" s="9"/>
      <c r="D8" s="5"/>
      <c r="E8" s="5"/>
      <c r="F8" s="7">
        <f t="shared" si="0"/>
        <v>0</v>
      </c>
      <c r="G8" s="7" t="e">
        <f t="shared" si="1"/>
        <v>#DIV/0!</v>
      </c>
      <c r="H8" s="8"/>
    </row>
    <row r="9" spans="1:9" ht="15" customHeight="1" x14ac:dyDescent="0.25">
      <c r="A9" s="2"/>
      <c r="B9" s="5" t="s">
        <v>102</v>
      </c>
      <c r="C9" s="9"/>
      <c r="D9" s="5"/>
      <c r="E9" s="5"/>
      <c r="F9" s="7">
        <f t="shared" si="0"/>
        <v>0</v>
      </c>
      <c r="G9" s="7" t="e">
        <f t="shared" si="1"/>
        <v>#DIV/0!</v>
      </c>
      <c r="H9" s="8"/>
    </row>
    <row r="10" spans="1:9" ht="15" customHeight="1" x14ac:dyDescent="0.25">
      <c r="A10" s="2"/>
      <c r="B10" s="5" t="s">
        <v>103</v>
      </c>
      <c r="C10" s="6"/>
      <c r="D10" s="5"/>
      <c r="E10" s="5"/>
      <c r="F10" s="7">
        <f t="shared" si="0"/>
        <v>0</v>
      </c>
      <c r="G10" s="7" t="e">
        <f t="shared" si="1"/>
        <v>#DIV/0!</v>
      </c>
      <c r="H10" s="8"/>
    </row>
    <row r="11" spans="1:9" ht="15" customHeight="1" x14ac:dyDescent="0.25">
      <c r="A11" s="2"/>
      <c r="B11" s="5" t="s">
        <v>103</v>
      </c>
      <c r="C11" s="6"/>
      <c r="D11" s="5"/>
      <c r="E11" s="5"/>
      <c r="F11" s="7">
        <f t="shared" si="0"/>
        <v>0</v>
      </c>
      <c r="G11" s="7" t="e">
        <f t="shared" si="1"/>
        <v>#DIV/0!</v>
      </c>
      <c r="H11" s="8"/>
    </row>
    <row r="12" spans="1:9" ht="15" customHeight="1" x14ac:dyDescent="0.25">
      <c r="A12" s="2"/>
      <c r="B12" s="10" t="s">
        <v>104</v>
      </c>
      <c r="C12" s="5"/>
      <c r="D12" s="5"/>
      <c r="E12" s="5"/>
      <c r="F12" s="5"/>
      <c r="G12" s="11" t="e">
        <f>AVERAGE(G5:G11)</f>
        <v>#DIV/0!</v>
      </c>
      <c r="H12" s="5"/>
    </row>
    <row r="13" spans="1:9" ht="15" customHeight="1" x14ac:dyDescent="0.25">
      <c r="B13" s="10" t="s">
        <v>105</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31"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10</v>
      </c>
      <c r="D4" s="54" t="s">
        <v>167</v>
      </c>
      <c r="E4" s="54" t="s">
        <v>177</v>
      </c>
      <c r="F4" s="54" t="s">
        <v>160</v>
      </c>
      <c r="G4" s="54" t="s">
        <v>182</v>
      </c>
      <c r="H4" s="54" t="s">
        <v>200</v>
      </c>
      <c r="J4" t="s">
        <v>182</v>
      </c>
      <c r="K4" t="s">
        <v>198</v>
      </c>
    </row>
    <row r="5" spans="2:11" x14ac:dyDescent="0.25">
      <c r="B5" s="53"/>
      <c r="C5" s="53"/>
      <c r="D5" s="54" t="s">
        <v>168</v>
      </c>
      <c r="E5" s="54" t="s">
        <v>175</v>
      </c>
      <c r="F5" s="54" t="s">
        <v>197</v>
      </c>
      <c r="G5" s="54" t="s">
        <v>183</v>
      </c>
      <c r="H5" s="54" t="s">
        <v>201</v>
      </c>
    </row>
    <row r="6" spans="2:11" x14ac:dyDescent="0.25">
      <c r="B6" s="53"/>
      <c r="C6" s="53"/>
      <c r="D6" s="54" t="s">
        <v>169</v>
      </c>
      <c r="E6" s="54" t="s">
        <v>176</v>
      </c>
      <c r="F6" s="54" t="s">
        <v>198</v>
      </c>
      <c r="G6" s="54" t="s">
        <v>184</v>
      </c>
      <c r="H6" s="54" t="s">
        <v>214</v>
      </c>
    </row>
    <row r="7" spans="2:11" x14ac:dyDescent="0.25">
      <c r="B7" s="53"/>
      <c r="C7" s="53"/>
      <c r="D7" s="54" t="s">
        <v>170</v>
      </c>
      <c r="E7" s="54" t="s">
        <v>178</v>
      </c>
      <c r="F7" s="54" t="s">
        <v>199</v>
      </c>
      <c r="G7" s="54" t="s">
        <v>185</v>
      </c>
      <c r="H7" s="54" t="s">
        <v>202</v>
      </c>
    </row>
    <row r="8" spans="2:11" x14ac:dyDescent="0.25">
      <c r="B8" s="53"/>
      <c r="C8" s="53"/>
      <c r="D8" s="54" t="s">
        <v>171</v>
      </c>
      <c r="E8" s="54" t="s">
        <v>179</v>
      </c>
      <c r="F8" s="54"/>
      <c r="G8" s="54" t="s">
        <v>186</v>
      </c>
      <c r="H8" s="54" t="s">
        <v>203</v>
      </c>
    </row>
    <row r="9" spans="2:11" x14ac:dyDescent="0.25">
      <c r="B9" s="53"/>
      <c r="C9" s="53"/>
      <c r="D9" s="54" t="s">
        <v>172</v>
      </c>
      <c r="E9" s="54" t="s">
        <v>177</v>
      </c>
      <c r="F9" s="54"/>
      <c r="G9" s="54" t="s">
        <v>187</v>
      </c>
      <c r="H9" s="54" t="s">
        <v>204</v>
      </c>
    </row>
    <row r="10" spans="2:11" x14ac:dyDescent="0.25">
      <c r="B10" s="53"/>
      <c r="C10" s="53"/>
      <c r="D10" s="54" t="s">
        <v>173</v>
      </c>
      <c r="E10" s="54" t="s">
        <v>180</v>
      </c>
      <c r="F10" s="54"/>
      <c r="G10" s="54" t="s">
        <v>188</v>
      </c>
      <c r="H10" s="54" t="s">
        <v>205</v>
      </c>
    </row>
    <row r="11" spans="2:11" x14ac:dyDescent="0.25">
      <c r="B11" s="53"/>
      <c r="C11" s="53"/>
      <c r="D11" s="54" t="s">
        <v>174</v>
      </c>
      <c r="E11" s="54" t="s">
        <v>181</v>
      </c>
      <c r="F11" s="54"/>
      <c r="G11" s="54" t="s">
        <v>189</v>
      </c>
      <c r="H11" s="54" t="s">
        <v>206</v>
      </c>
    </row>
    <row r="12" spans="2:11" x14ac:dyDescent="0.25">
      <c r="B12" s="53"/>
      <c r="C12" s="53"/>
      <c r="D12" s="54"/>
      <c r="E12" s="54"/>
      <c r="F12" s="54"/>
      <c r="G12" s="54" t="s">
        <v>190</v>
      </c>
      <c r="H12" s="54" t="s">
        <v>207</v>
      </c>
    </row>
    <row r="13" spans="2:11" x14ac:dyDescent="0.25">
      <c r="B13" s="53"/>
      <c r="C13" s="53"/>
      <c r="D13" s="54"/>
      <c r="E13" s="54"/>
      <c r="F13" s="54"/>
      <c r="G13" s="54" t="s">
        <v>191</v>
      </c>
      <c r="H13" s="54" t="s">
        <v>208</v>
      </c>
    </row>
    <row r="14" spans="2:11" x14ac:dyDescent="0.25">
      <c r="B14" s="53"/>
      <c r="C14" s="53"/>
      <c r="D14" s="54"/>
      <c r="E14" s="54"/>
      <c r="F14" s="54"/>
      <c r="G14" s="54" t="s">
        <v>192</v>
      </c>
      <c r="H14" s="54" t="s">
        <v>209</v>
      </c>
    </row>
    <row r="15" spans="2:11" x14ac:dyDescent="0.25">
      <c r="B15" s="53"/>
      <c r="C15" s="53"/>
      <c r="D15" s="54"/>
      <c r="E15" s="54"/>
      <c r="F15" s="54"/>
      <c r="G15" s="54" t="s">
        <v>193</v>
      </c>
      <c r="H15" s="54" t="s">
        <v>210</v>
      </c>
    </row>
    <row r="16" spans="2:11" x14ac:dyDescent="0.25">
      <c r="B16" s="53"/>
      <c r="C16" s="53"/>
      <c r="D16" s="54"/>
      <c r="E16" s="54"/>
      <c r="F16" s="54"/>
      <c r="G16" s="54" t="s">
        <v>194</v>
      </c>
      <c r="H16" s="54" t="s">
        <v>211</v>
      </c>
    </row>
    <row r="17" spans="2:8" x14ac:dyDescent="0.25">
      <c r="B17" s="53"/>
      <c r="C17" s="53"/>
      <c r="D17" s="54"/>
      <c r="E17" s="54"/>
      <c r="F17" s="54"/>
      <c r="G17" s="54" t="s">
        <v>195</v>
      </c>
      <c r="H17" s="54" t="s">
        <v>212</v>
      </c>
    </row>
    <row r="18" spans="2:8" x14ac:dyDescent="0.25">
      <c r="B18" s="53"/>
      <c r="C18" s="53"/>
      <c r="D18" s="54"/>
      <c r="E18" s="54"/>
      <c r="F18" s="54"/>
      <c r="G18" s="54" t="s">
        <v>196</v>
      </c>
      <c r="H18" s="54" t="s">
        <v>213</v>
      </c>
    </row>
    <row r="24" spans="2:8" x14ac:dyDescent="0.25">
      <c r="C24" t="s">
        <v>157</v>
      </c>
    </row>
    <row r="25" spans="2:8" x14ac:dyDescent="0.25">
      <c r="C25" t="s">
        <v>215</v>
      </c>
    </row>
    <row r="26" spans="2:8" x14ac:dyDescent="0.25">
      <c r="C26" t="s">
        <v>216</v>
      </c>
    </row>
    <row r="27" spans="2:8" x14ac:dyDescent="0.25">
      <c r="C27" t="s">
        <v>217</v>
      </c>
    </row>
    <row r="28" spans="2:8" x14ac:dyDescent="0.25">
      <c r="C28" t="s">
        <v>218</v>
      </c>
    </row>
    <row r="29" spans="2:8" x14ac:dyDescent="0.25">
      <c r="C29" t="s">
        <v>219</v>
      </c>
    </row>
    <row r="30" spans="2:8" x14ac:dyDescent="0.25">
      <c r="C30" t="s">
        <v>157</v>
      </c>
    </row>
    <row r="33" spans="3:11" x14ac:dyDescent="0.25">
      <c r="J33">
        <v>1</v>
      </c>
      <c r="K33">
        <v>2</v>
      </c>
    </row>
    <row r="34" spans="3:11" x14ac:dyDescent="0.25">
      <c r="C34" s="55" t="s">
        <v>224</v>
      </c>
      <c r="D34" s="54" t="s">
        <v>222</v>
      </c>
      <c r="E34" s="54" t="s">
        <v>227</v>
      </c>
      <c r="F34" s="54" t="s">
        <v>225</v>
      </c>
      <c r="G34" s="54" t="s">
        <v>226</v>
      </c>
      <c r="H34" s="54" t="s">
        <v>228</v>
      </c>
      <c r="J34" t="s">
        <v>182</v>
      </c>
      <c r="K34" t="s">
        <v>198</v>
      </c>
    </row>
    <row r="35" spans="3:11" x14ac:dyDescent="0.25">
      <c r="C35" s="53" t="s">
        <v>223</v>
      </c>
      <c r="D35" s="54" t="s">
        <v>158</v>
      </c>
      <c r="E35" s="54" t="s">
        <v>232</v>
      </c>
      <c r="F35" s="54" t="s">
        <v>234</v>
      </c>
      <c r="G35" s="54" t="s">
        <v>236</v>
      </c>
      <c r="H35" s="54"/>
    </row>
    <row r="36" spans="3:11" x14ac:dyDescent="0.25">
      <c r="C36" s="53"/>
      <c r="D36" s="54" t="s">
        <v>229</v>
      </c>
      <c r="E36" s="54" t="s">
        <v>233</v>
      </c>
      <c r="F36" s="54" t="s">
        <v>235</v>
      </c>
      <c r="G36" s="54" t="s">
        <v>237</v>
      </c>
      <c r="H36" s="54"/>
    </row>
    <row r="37" spans="3:11" x14ac:dyDescent="0.25">
      <c r="C37" s="53"/>
      <c r="D37" s="54" t="s">
        <v>230</v>
      </c>
      <c r="E37" s="54"/>
      <c r="F37" s="54"/>
      <c r="G37" s="54" t="s">
        <v>238</v>
      </c>
      <c r="H37" s="54"/>
    </row>
    <row r="38" spans="3:11" x14ac:dyDescent="0.25">
      <c r="C38" s="53"/>
      <c r="D38" s="54" t="s">
        <v>231</v>
      </c>
      <c r="E38" s="54"/>
      <c r="F38" s="54"/>
      <c r="G38" s="54" t="s">
        <v>238</v>
      </c>
      <c r="H38" s="54"/>
    </row>
    <row r="39" spans="3:11" x14ac:dyDescent="0.25">
      <c r="C39" s="53"/>
      <c r="D39" s="54"/>
      <c r="E39" s="54"/>
      <c r="F39" s="54"/>
      <c r="G39" s="54" t="s">
        <v>239</v>
      </c>
      <c r="H39" s="54"/>
    </row>
    <row r="40" spans="3:11" x14ac:dyDescent="0.25">
      <c r="C40" s="53"/>
      <c r="D40" s="54"/>
      <c r="E40" s="54"/>
      <c r="F40" s="54"/>
      <c r="G40" s="54" t="s">
        <v>240</v>
      </c>
      <c r="H40" s="54"/>
    </row>
    <row r="41" spans="3:11" x14ac:dyDescent="0.25">
      <c r="C41" s="53"/>
      <c r="D41" s="54"/>
      <c r="E41" s="54"/>
      <c r="F41" s="54"/>
      <c r="G41" s="54"/>
      <c r="H41" s="54"/>
    </row>
    <row r="43" spans="3:11" x14ac:dyDescent="0.25">
      <c r="C43" t="s">
        <v>241</v>
      </c>
    </row>
    <row r="44" spans="3:11" x14ac:dyDescent="0.25">
      <c r="C44" t="s">
        <v>160</v>
      </c>
      <c r="D44" t="s">
        <v>242</v>
      </c>
    </row>
    <row r="45" spans="3:11" x14ac:dyDescent="0.25">
      <c r="D45" t="s">
        <v>243</v>
      </c>
    </row>
    <row r="46" spans="3:11" x14ac:dyDescent="0.25">
      <c r="D46" t="s">
        <v>244</v>
      </c>
    </row>
    <row r="47" spans="3:11" x14ac:dyDescent="0.25">
      <c r="D47" t="s">
        <v>245</v>
      </c>
    </row>
    <row r="48" spans="3:11" x14ac:dyDescent="0.25">
      <c r="D48" t="s">
        <v>246</v>
      </c>
    </row>
    <row r="49" spans="3:4" x14ac:dyDescent="0.25">
      <c r="C49" t="s">
        <v>167</v>
      </c>
      <c r="D49" t="s">
        <v>247</v>
      </c>
    </row>
    <row r="50" spans="3:4" x14ac:dyDescent="0.25">
      <c r="D50" t="s">
        <v>248</v>
      </c>
    </row>
    <row r="51" spans="3:4" x14ac:dyDescent="0.25">
      <c r="D51" t="s">
        <v>249</v>
      </c>
    </row>
    <row r="52" spans="3:4" x14ac:dyDescent="0.25">
      <c r="D52" t="s">
        <v>252</v>
      </c>
    </row>
    <row r="53" spans="3:4" x14ac:dyDescent="0.25">
      <c r="D53" t="s">
        <v>250</v>
      </c>
    </row>
    <row r="54" spans="3:4" x14ac:dyDescent="0.25">
      <c r="D54" t="s">
        <v>251</v>
      </c>
    </row>
    <row r="55" spans="3:4" x14ac:dyDescent="0.25">
      <c r="D55" t="s">
        <v>253</v>
      </c>
    </row>
    <row r="56" spans="3:4" x14ac:dyDescent="0.25">
      <c r="D56" t="s">
        <v>254</v>
      </c>
    </row>
    <row r="57" spans="3:4" x14ac:dyDescent="0.25">
      <c r="D57" t="s">
        <v>255</v>
      </c>
    </row>
    <row r="58" spans="3:4" x14ac:dyDescent="0.25">
      <c r="D58" t="s">
        <v>257</v>
      </c>
    </row>
    <row r="59" spans="3:4" x14ac:dyDescent="0.25">
      <c r="D59" t="s">
        <v>266</v>
      </c>
    </row>
    <row r="60" spans="3:4" x14ac:dyDescent="0.25">
      <c r="C60" t="s">
        <v>182</v>
      </c>
      <c r="D60" t="s">
        <v>258</v>
      </c>
    </row>
    <row r="61" spans="3:4" x14ac:dyDescent="0.25">
      <c r="D61" t="s">
        <v>256</v>
      </c>
    </row>
    <row r="62" spans="3:4" x14ac:dyDescent="0.25">
      <c r="D62" t="s">
        <v>246</v>
      </c>
    </row>
    <row r="63" spans="3:4" x14ac:dyDescent="0.25">
      <c r="D63" t="s">
        <v>259</v>
      </c>
    </row>
    <row r="64" spans="3:4" x14ac:dyDescent="0.25">
      <c r="D64" t="s">
        <v>260</v>
      </c>
    </row>
    <row r="65" spans="3:4" x14ac:dyDescent="0.25">
      <c r="D65" t="s">
        <v>261</v>
      </c>
    </row>
    <row r="66" spans="3:4" x14ac:dyDescent="0.25">
      <c r="D66" t="s">
        <v>262</v>
      </c>
    </row>
    <row r="67" spans="3:4" x14ac:dyDescent="0.25">
      <c r="C67" t="s">
        <v>177</v>
      </c>
      <c r="D67" t="s">
        <v>263</v>
      </c>
    </row>
    <row r="68" spans="3:4" x14ac:dyDescent="0.25">
      <c r="D68" t="s">
        <v>264</v>
      </c>
    </row>
    <row r="69" spans="3:4" x14ac:dyDescent="0.25">
      <c r="D69" t="s">
        <v>265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topLeftCell="A28"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6">
        <v>1</v>
      </c>
      <c r="C2" s="58" t="s">
        <v>271</v>
      </c>
    </row>
    <row r="3" spans="2:3" x14ac:dyDescent="0.25">
      <c r="B3" s="56">
        <v>2</v>
      </c>
      <c r="C3" s="57" t="s">
        <v>272</v>
      </c>
    </row>
    <row r="4" spans="2:3" x14ac:dyDescent="0.25">
      <c r="B4" s="56">
        <v>3</v>
      </c>
      <c r="C4" s="56" t="s">
        <v>273</v>
      </c>
    </row>
    <row r="5" spans="2:3" x14ac:dyDescent="0.25">
      <c r="B5" s="56">
        <v>4</v>
      </c>
      <c r="C5" s="57" t="s">
        <v>274</v>
      </c>
    </row>
    <row r="6" spans="2:3" x14ac:dyDescent="0.25">
      <c r="B6" s="56">
        <v>5</v>
      </c>
      <c r="C6" s="56" t="s">
        <v>275</v>
      </c>
    </row>
    <row r="7" spans="2:3" ht="30" x14ac:dyDescent="0.25">
      <c r="B7" s="56">
        <v>6</v>
      </c>
      <c r="C7" s="57" t="s">
        <v>276</v>
      </c>
    </row>
    <row r="8" spans="2:3" ht="75" x14ac:dyDescent="0.25">
      <c r="B8" s="56">
        <v>7</v>
      </c>
      <c r="C8" s="57" t="s">
        <v>277</v>
      </c>
    </row>
    <row r="9" spans="2:3" x14ac:dyDescent="0.25">
      <c r="B9" s="56">
        <v>8</v>
      </c>
      <c r="C9" s="56" t="s">
        <v>278</v>
      </c>
    </row>
    <row r="10" spans="2:3" x14ac:dyDescent="0.25">
      <c r="B10" s="56">
        <v>9</v>
      </c>
      <c r="C10" s="56" t="s">
        <v>279</v>
      </c>
    </row>
    <row r="11" spans="2:3" x14ac:dyDescent="0.25">
      <c r="B11" s="56">
        <v>10</v>
      </c>
      <c r="C11" s="56" t="s">
        <v>280</v>
      </c>
    </row>
    <row r="12" spans="2:3" x14ac:dyDescent="0.25">
      <c r="B12" s="56">
        <v>11</v>
      </c>
      <c r="C12" s="56" t="s">
        <v>281</v>
      </c>
    </row>
    <row r="13" spans="2:3" x14ac:dyDescent="0.25">
      <c r="B13" s="56">
        <v>12</v>
      </c>
      <c r="C13" s="56" t="s">
        <v>282</v>
      </c>
    </row>
    <row r="14" spans="2:3" x14ac:dyDescent="0.25">
      <c r="B14" s="56">
        <v>13</v>
      </c>
      <c r="C14" s="56" t="s">
        <v>283</v>
      </c>
    </row>
    <row r="15" spans="2:3" x14ac:dyDescent="0.25">
      <c r="B15" s="56">
        <v>14</v>
      </c>
      <c r="C15" s="56" t="s">
        <v>273</v>
      </c>
    </row>
    <row r="16" spans="2:3" x14ac:dyDescent="0.25">
      <c r="B16" s="56">
        <v>15</v>
      </c>
      <c r="C16" s="56" t="s">
        <v>285</v>
      </c>
    </row>
    <row r="17" spans="2:3" x14ac:dyDescent="0.25">
      <c r="B17" s="76">
        <v>16</v>
      </c>
      <c r="C17" s="62" t="s">
        <v>286</v>
      </c>
    </row>
    <row r="18" spans="2:3" x14ac:dyDescent="0.25">
      <c r="B18" s="61">
        <v>17</v>
      </c>
      <c r="C18" s="62" t="s">
        <v>287</v>
      </c>
    </row>
    <row r="19" spans="2:3" x14ac:dyDescent="0.25">
      <c r="B19" s="60">
        <v>18</v>
      </c>
      <c r="C19" s="56" t="s">
        <v>288</v>
      </c>
    </row>
    <row r="20" spans="2:3" x14ac:dyDescent="0.25">
      <c r="B20" s="61">
        <v>19</v>
      </c>
      <c r="C20" s="56" t="s">
        <v>324</v>
      </c>
    </row>
    <row r="21" spans="2:3" x14ac:dyDescent="0.25">
      <c r="B21" s="56">
        <v>20</v>
      </c>
      <c r="C21" s="56" t="s">
        <v>289</v>
      </c>
    </row>
    <row r="22" spans="2:3" x14ac:dyDescent="0.25">
      <c r="B22" s="61">
        <v>21</v>
      </c>
      <c r="C22" s="56" t="s">
        <v>288</v>
      </c>
    </row>
    <row r="23" spans="2:3" s="71" customFormat="1" ht="29.25" customHeight="1" x14ac:dyDescent="0.25">
      <c r="B23" s="70">
        <v>22</v>
      </c>
      <c r="C23" s="58" t="s">
        <v>316</v>
      </c>
    </row>
    <row r="24" spans="2:3" s="71" customFormat="1" ht="30.75" customHeight="1" x14ac:dyDescent="0.25">
      <c r="B24" s="72">
        <v>23</v>
      </c>
      <c r="C24" s="58" t="s">
        <v>317</v>
      </c>
    </row>
    <row r="25" spans="2:3" x14ac:dyDescent="0.25">
      <c r="B25" s="56">
        <v>24</v>
      </c>
      <c r="C25" s="56" t="s">
        <v>320</v>
      </c>
    </row>
    <row r="26" spans="2:3" x14ac:dyDescent="0.25">
      <c r="B26" s="61">
        <v>25</v>
      </c>
      <c r="C26" s="56" t="s">
        <v>318</v>
      </c>
    </row>
    <row r="27" spans="2:3" x14ac:dyDescent="0.25">
      <c r="B27" s="72">
        <v>26</v>
      </c>
      <c r="C27" s="56" t="s">
        <v>319</v>
      </c>
    </row>
    <row r="28" spans="2:3" x14ac:dyDescent="0.25">
      <c r="B28" s="61">
        <v>27</v>
      </c>
      <c r="C28" s="56" t="s">
        <v>321</v>
      </c>
    </row>
    <row r="29" spans="2:3" ht="60" x14ac:dyDescent="0.25">
      <c r="B29" s="75">
        <v>28</v>
      </c>
      <c r="C29" s="57" t="s">
        <v>322</v>
      </c>
    </row>
    <row r="30" spans="2:3" x14ac:dyDescent="0.25">
      <c r="B30" s="72">
        <v>29</v>
      </c>
      <c r="C30" s="56" t="s">
        <v>323</v>
      </c>
    </row>
    <row r="31" spans="2:3" ht="30" x14ac:dyDescent="0.25">
      <c r="B31" s="72">
        <v>30</v>
      </c>
      <c r="C31" s="57" t="s">
        <v>325</v>
      </c>
    </row>
    <row r="32" spans="2:3" x14ac:dyDescent="0.25">
      <c r="B32" s="72">
        <v>31</v>
      </c>
      <c r="C32" s="56" t="s">
        <v>326</v>
      </c>
    </row>
    <row r="33" spans="2:3" x14ac:dyDescent="0.25">
      <c r="B33" s="72">
        <v>32</v>
      </c>
      <c r="C33" s="56" t="s">
        <v>327</v>
      </c>
    </row>
    <row r="34" spans="2:3" ht="36.75" customHeight="1" x14ac:dyDescent="0.25">
      <c r="B34" s="72">
        <v>33</v>
      </c>
      <c r="C34" s="62" t="s">
        <v>328</v>
      </c>
    </row>
    <row r="35" spans="2:3" x14ac:dyDescent="0.25">
      <c r="B35" s="70">
        <v>34</v>
      </c>
      <c r="C35" s="56" t="s">
        <v>337</v>
      </c>
    </row>
    <row r="36" spans="2:3" ht="60" x14ac:dyDescent="0.25">
      <c r="B36" s="70">
        <v>35</v>
      </c>
      <c r="C36" s="57" t="s">
        <v>339</v>
      </c>
    </row>
    <row r="37" spans="2:3" x14ac:dyDescent="0.25">
      <c r="B37" s="56"/>
      <c r="C37" s="56"/>
    </row>
    <row r="38" spans="2:3" x14ac:dyDescent="0.25">
      <c r="B38" s="56"/>
      <c r="C38" s="56"/>
    </row>
    <row r="39" spans="2:3" x14ac:dyDescent="0.25">
      <c r="B39" s="56"/>
      <c r="C39" s="56"/>
    </row>
    <row r="40" spans="2:3" x14ac:dyDescent="0.25">
      <c r="B40" s="56"/>
      <c r="C40" s="56"/>
    </row>
    <row r="41" spans="2:3" x14ac:dyDescent="0.25">
      <c r="B41" s="56"/>
      <c r="C41" s="56"/>
    </row>
    <row r="42" spans="2:3" x14ac:dyDescent="0.25">
      <c r="B42" s="56"/>
      <c r="C42" s="56"/>
    </row>
    <row r="43" spans="2:3" x14ac:dyDescent="0.25">
      <c r="B43" s="56"/>
      <c r="C43" s="56"/>
    </row>
    <row r="44" spans="2:3" x14ac:dyDescent="0.25">
      <c r="B44" s="56"/>
      <c r="C44"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topLeftCell="A5"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4" t="s">
        <v>290</v>
      </c>
      <c r="C2" s="247"/>
      <c r="D2" s="247"/>
    </row>
    <row r="3" spans="1:12" x14ac:dyDescent="0.25">
      <c r="D3" s="65"/>
      <c r="E3" s="65"/>
      <c r="F3" s="65"/>
      <c r="G3" s="65"/>
      <c r="H3" s="65"/>
      <c r="I3" s="65"/>
    </row>
    <row r="4" spans="1:12" x14ac:dyDescent="0.25">
      <c r="A4" s="64" t="s">
        <v>63</v>
      </c>
      <c r="B4" s="66" t="s">
        <v>291</v>
      </c>
      <c r="C4" s="248" t="s">
        <v>292</v>
      </c>
      <c r="D4" s="248"/>
      <c r="E4" s="248"/>
      <c r="F4" s="66"/>
      <c r="G4" s="249" t="s">
        <v>293</v>
      </c>
      <c r="H4" s="249"/>
      <c r="I4" s="249"/>
      <c r="J4" s="250" t="s">
        <v>294</v>
      </c>
      <c r="K4" s="250"/>
      <c r="L4" s="250"/>
    </row>
    <row r="5" spans="1:12" x14ac:dyDescent="0.25">
      <c r="A5" s="64"/>
      <c r="B5" s="66"/>
      <c r="C5" s="66" t="s">
        <v>295</v>
      </c>
      <c r="D5" s="66" t="s">
        <v>296</v>
      </c>
      <c r="E5" s="66" t="s">
        <v>297</v>
      </c>
      <c r="F5" s="66"/>
      <c r="G5" s="66" t="s">
        <v>295</v>
      </c>
      <c r="H5" s="66" t="s">
        <v>296</v>
      </c>
      <c r="I5" s="66" t="s">
        <v>297</v>
      </c>
      <c r="J5" s="66" t="s">
        <v>295</v>
      </c>
      <c r="K5" s="66" t="s">
        <v>296</v>
      </c>
      <c r="L5" s="66" t="s">
        <v>297</v>
      </c>
    </row>
    <row r="6" spans="1:12" x14ac:dyDescent="0.25">
      <c r="B6" s="54" t="s">
        <v>298</v>
      </c>
      <c r="C6" s="54"/>
      <c r="D6" s="54"/>
      <c r="E6" s="54">
        <f>C6*D6</f>
        <v>0</v>
      </c>
      <c r="F6" s="54" t="s">
        <v>315</v>
      </c>
      <c r="G6" s="54"/>
      <c r="H6" s="54"/>
      <c r="I6" s="54">
        <f>G6*H6</f>
        <v>0</v>
      </c>
      <c r="J6" s="54"/>
      <c r="K6" s="54"/>
      <c r="L6" s="54">
        <f>J6*K6</f>
        <v>0</v>
      </c>
    </row>
    <row r="7" spans="1:12" x14ac:dyDescent="0.25">
      <c r="B7" s="54"/>
      <c r="C7" s="54"/>
      <c r="D7" s="54"/>
      <c r="E7" s="54">
        <f t="shared" ref="E7:E41" si="0">C7*D7</f>
        <v>0</v>
      </c>
      <c r="F7" s="54" t="s">
        <v>315</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299</v>
      </c>
      <c r="G9" s="54"/>
      <c r="H9" s="54"/>
      <c r="I9" s="54">
        <f t="shared" si="1"/>
        <v>0</v>
      </c>
      <c r="J9" s="54"/>
      <c r="K9" s="54"/>
      <c r="L9" s="54">
        <f t="shared" si="2"/>
        <v>0</v>
      </c>
    </row>
    <row r="10" spans="1:12" x14ac:dyDescent="0.25">
      <c r="B10" s="54" t="s">
        <v>300</v>
      </c>
      <c r="C10" s="54"/>
      <c r="D10" s="54"/>
      <c r="E10" s="54">
        <f t="shared" si="0"/>
        <v>0</v>
      </c>
      <c r="F10" s="54" t="s">
        <v>299</v>
      </c>
      <c r="G10" s="54"/>
      <c r="H10" s="54"/>
      <c r="I10" s="54">
        <f t="shared" si="1"/>
        <v>0</v>
      </c>
      <c r="J10" s="54"/>
      <c r="K10" s="54"/>
      <c r="L10" s="54">
        <f t="shared" si="2"/>
        <v>0</v>
      </c>
    </row>
    <row r="11" spans="1:12" x14ac:dyDescent="0.25">
      <c r="B11" s="54"/>
      <c r="C11" s="54"/>
      <c r="D11" s="54"/>
      <c r="E11" s="54">
        <f t="shared" si="0"/>
        <v>0</v>
      </c>
      <c r="F11" s="54" t="s">
        <v>301</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302</v>
      </c>
      <c r="C14" s="54"/>
      <c r="D14" s="54"/>
      <c r="E14" s="54">
        <f t="shared" si="0"/>
        <v>0</v>
      </c>
      <c r="F14" s="54" t="s">
        <v>299</v>
      </c>
      <c r="G14" s="54"/>
      <c r="H14" s="54"/>
      <c r="I14" s="54">
        <f t="shared" si="1"/>
        <v>0</v>
      </c>
      <c r="J14" s="54"/>
      <c r="K14" s="54"/>
      <c r="L14" s="54">
        <f t="shared" si="2"/>
        <v>0</v>
      </c>
    </row>
    <row r="15" spans="1:12" x14ac:dyDescent="0.25">
      <c r="B15" s="54"/>
      <c r="C15" s="54"/>
      <c r="D15" s="54"/>
      <c r="E15" s="54">
        <f t="shared" si="0"/>
        <v>0</v>
      </c>
      <c r="F15" s="54" t="s">
        <v>301</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303</v>
      </c>
      <c r="C18" s="54"/>
      <c r="D18" s="54"/>
      <c r="E18" s="54">
        <f t="shared" si="0"/>
        <v>0</v>
      </c>
      <c r="F18" s="54" t="s">
        <v>299</v>
      </c>
      <c r="G18" s="54"/>
      <c r="H18" s="54"/>
      <c r="I18" s="54">
        <f t="shared" si="1"/>
        <v>0</v>
      </c>
      <c r="J18" s="54"/>
      <c r="K18" s="54"/>
      <c r="L18" s="54">
        <f t="shared" si="2"/>
        <v>0</v>
      </c>
    </row>
    <row r="19" spans="2:12" x14ac:dyDescent="0.25">
      <c r="B19" s="54"/>
      <c r="C19" s="54"/>
      <c r="D19" s="54"/>
      <c r="E19" s="54">
        <f t="shared" si="0"/>
        <v>0</v>
      </c>
      <c r="F19" s="54" t="s">
        <v>301</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304</v>
      </c>
      <c r="C21" s="54"/>
      <c r="D21" s="54"/>
      <c r="E21" s="54">
        <f t="shared" si="0"/>
        <v>0</v>
      </c>
      <c r="F21" s="54" t="s">
        <v>299</v>
      </c>
      <c r="G21" s="54"/>
      <c r="H21" s="54"/>
      <c r="I21" s="54">
        <f t="shared" si="1"/>
        <v>0</v>
      </c>
      <c r="J21" s="54"/>
      <c r="K21" s="54"/>
      <c r="L21" s="54">
        <f t="shared" si="2"/>
        <v>0</v>
      </c>
    </row>
    <row r="22" spans="2:12" x14ac:dyDescent="0.25">
      <c r="B22" s="54"/>
      <c r="C22" s="54"/>
      <c r="D22" s="54"/>
      <c r="E22" s="54">
        <f t="shared" si="0"/>
        <v>0</v>
      </c>
      <c r="F22" s="54" t="s">
        <v>301</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305</v>
      </c>
      <c r="C24" s="54"/>
      <c r="D24" s="54"/>
      <c r="E24" s="54">
        <f t="shared" si="0"/>
        <v>0</v>
      </c>
      <c r="F24" s="54" t="s">
        <v>306</v>
      </c>
      <c r="G24" s="54"/>
      <c r="H24" s="54"/>
      <c r="I24" s="54">
        <f t="shared" si="1"/>
        <v>0</v>
      </c>
      <c r="J24" s="54"/>
      <c r="K24" s="54"/>
      <c r="L24" s="54">
        <f t="shared" si="2"/>
        <v>0</v>
      </c>
    </row>
    <row r="25" spans="2:12" x14ac:dyDescent="0.25">
      <c r="B25" s="54"/>
      <c r="C25" s="54"/>
      <c r="D25" s="54"/>
      <c r="E25" s="54">
        <f>C25*D25</f>
        <v>0</v>
      </c>
      <c r="F25" s="54" t="s">
        <v>306</v>
      </c>
      <c r="G25" s="54"/>
      <c r="H25" s="54"/>
      <c r="I25" s="54">
        <f>G25*H25</f>
        <v>0</v>
      </c>
      <c r="J25" s="54"/>
      <c r="K25" s="54"/>
      <c r="L25" s="54">
        <f>J25*K25</f>
        <v>0</v>
      </c>
    </row>
    <row r="26" spans="2:12" x14ac:dyDescent="0.25">
      <c r="B26" s="54"/>
      <c r="C26" s="54"/>
      <c r="D26" s="54"/>
      <c r="E26" s="54">
        <f>C26*D26</f>
        <v>0</v>
      </c>
      <c r="F26" s="54" t="s">
        <v>306</v>
      </c>
      <c r="G26" s="54"/>
      <c r="H26" s="54"/>
      <c r="I26" s="54">
        <f>G26*H26</f>
        <v>0</v>
      </c>
      <c r="J26" s="54"/>
      <c r="K26" s="54"/>
      <c r="L26" s="54">
        <f>J26*K26</f>
        <v>0</v>
      </c>
    </row>
    <row r="27" spans="2:12" x14ac:dyDescent="0.25">
      <c r="B27" s="54"/>
      <c r="C27" s="54"/>
      <c r="D27" s="54"/>
      <c r="E27" s="54">
        <f>C27*D27</f>
        <v>0</v>
      </c>
      <c r="F27" s="54" t="s">
        <v>306</v>
      </c>
      <c r="G27" s="54"/>
      <c r="H27" s="54"/>
      <c r="I27" s="54">
        <f>G27*H27</f>
        <v>0</v>
      </c>
      <c r="J27" s="54"/>
      <c r="K27" s="54"/>
      <c r="L27" s="54">
        <f>J27*K27</f>
        <v>0</v>
      </c>
    </row>
    <row r="28" spans="2:12" x14ac:dyDescent="0.25">
      <c r="B28" s="54" t="s">
        <v>307</v>
      </c>
      <c r="C28" s="54"/>
      <c r="D28" s="54"/>
      <c r="E28" s="54">
        <f t="shared" si="0"/>
        <v>0</v>
      </c>
      <c r="F28" s="54" t="s">
        <v>306</v>
      </c>
      <c r="G28" s="54"/>
      <c r="H28" s="54"/>
      <c r="I28" s="54">
        <f t="shared" si="1"/>
        <v>0</v>
      </c>
      <c r="J28" s="54"/>
      <c r="K28" s="54"/>
      <c r="L28" s="54">
        <f t="shared" si="2"/>
        <v>0</v>
      </c>
    </row>
    <row r="29" spans="2:12" x14ac:dyDescent="0.25">
      <c r="B29" s="54" t="s">
        <v>308</v>
      </c>
      <c r="C29" s="54"/>
      <c r="D29" s="54"/>
      <c r="E29" s="54">
        <f t="shared" si="0"/>
        <v>0</v>
      </c>
      <c r="F29" s="54" t="s">
        <v>306</v>
      </c>
      <c r="G29" s="54"/>
      <c r="H29" s="54"/>
      <c r="I29" s="54">
        <f t="shared" si="1"/>
        <v>0</v>
      </c>
      <c r="J29" s="54"/>
      <c r="K29" s="54"/>
      <c r="L29" s="54">
        <f t="shared" si="2"/>
        <v>0</v>
      </c>
    </row>
    <row r="30" spans="2:12" x14ac:dyDescent="0.25">
      <c r="B30" s="54" t="s">
        <v>312</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309</v>
      </c>
      <c r="C33" s="54"/>
      <c r="D33" s="54"/>
      <c r="E33" s="54">
        <f t="shared" si="0"/>
        <v>0</v>
      </c>
      <c r="F33" s="54"/>
      <c r="G33" s="54"/>
      <c r="H33" s="54"/>
      <c r="I33" s="54">
        <f t="shared" si="1"/>
        <v>0</v>
      </c>
      <c r="J33" s="54"/>
      <c r="K33" s="54"/>
      <c r="L33" s="54">
        <f t="shared" si="2"/>
        <v>0</v>
      </c>
    </row>
    <row r="34" spans="2:12" x14ac:dyDescent="0.25">
      <c r="B34" s="54" t="s">
        <v>313</v>
      </c>
      <c r="C34" s="54"/>
      <c r="D34" s="54"/>
      <c r="E34" s="54">
        <f t="shared" si="0"/>
        <v>0</v>
      </c>
      <c r="F34" s="54"/>
      <c r="G34" s="54"/>
      <c r="H34" s="54"/>
      <c r="I34" s="54">
        <f t="shared" si="1"/>
        <v>0</v>
      </c>
      <c r="J34" s="54"/>
      <c r="K34" s="54"/>
      <c r="L34" s="54">
        <f t="shared" si="2"/>
        <v>0</v>
      </c>
    </row>
    <row r="35" spans="2:12" x14ac:dyDescent="0.25">
      <c r="B35" s="54" t="s">
        <v>310</v>
      </c>
      <c r="C35" s="54"/>
      <c r="D35" s="54"/>
      <c r="E35" s="54">
        <f t="shared" si="0"/>
        <v>0</v>
      </c>
      <c r="F35" s="54"/>
      <c r="G35" s="54"/>
      <c r="H35" s="54"/>
      <c r="I35" s="54">
        <f t="shared" si="1"/>
        <v>0</v>
      </c>
      <c r="J35" s="54"/>
      <c r="K35" s="54"/>
      <c r="L35" s="54">
        <f t="shared" si="2"/>
        <v>0</v>
      </c>
    </row>
    <row r="36" spans="2:12" x14ac:dyDescent="0.25">
      <c r="B36" s="54" t="s">
        <v>311</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314</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138</v>
      </c>
      <c r="C42" s="54"/>
      <c r="D42" s="54">
        <f>E42*10.764</f>
        <v>0</v>
      </c>
      <c r="E42" s="69">
        <f>SUM(E6:E41)</f>
        <v>0</v>
      </c>
      <c r="F42" s="54"/>
      <c r="G42" s="54"/>
      <c r="H42" s="54">
        <f>I42*10.764</f>
        <v>0</v>
      </c>
      <c r="I42" s="68">
        <f>SUM(I6:I41)</f>
        <v>0</v>
      </c>
      <c r="J42" s="54"/>
      <c r="K42" s="54">
        <f>L42*10.764</f>
        <v>0</v>
      </c>
      <c r="L42" s="67">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2025-09-18T08:00:43Z</cp:lastPrinted>
  <dcterms:created xsi:type="dcterms:W3CDTF">2019-07-16T09:29:46Z</dcterms:created>
  <dcterms:modified xsi:type="dcterms:W3CDTF">2025-09-18T08:03:00Z</dcterms:modified>
</cp:coreProperties>
</file>