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85C57CB3-5C31-44EE-97AD-BEF9B0F41FE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9" i="1" l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A154" i="1"/>
  <c r="A155" i="1" s="1"/>
  <c r="A156" i="1" s="1"/>
  <c r="A157" i="1" s="1"/>
  <c r="A158" i="1" s="1"/>
  <c r="A159" i="1" s="1"/>
  <c r="G153" i="1"/>
  <c r="D153" i="1"/>
  <c r="F153" i="1" s="1"/>
  <c r="J145" i="1"/>
  <c r="I145" i="1"/>
  <c r="J146" i="1"/>
  <c r="I148" i="1"/>
  <c r="D151" i="1" l="1"/>
  <c r="D150" i="1"/>
  <c r="D149" i="1"/>
  <c r="D148" i="1"/>
  <c r="D147" i="1"/>
  <c r="D146" i="1"/>
  <c r="D145" i="1"/>
  <c r="G49" i="1"/>
  <c r="C130" i="1" l="1"/>
  <c r="E130" i="1"/>
  <c r="D167" i="1"/>
  <c r="F167" i="1" s="1"/>
  <c r="D166" i="1"/>
  <c r="F166" i="1" s="1"/>
  <c r="I166" i="1" s="1"/>
  <c r="D165" i="1"/>
  <c r="F165" i="1" s="1"/>
  <c r="D164" i="1"/>
  <c r="F164" i="1" s="1"/>
  <c r="D163" i="1"/>
  <c r="F163" i="1" s="1"/>
  <c r="D162" i="1"/>
  <c r="F162" i="1" s="1"/>
  <c r="A162" i="1"/>
  <c r="A163" i="1" s="1"/>
  <c r="A164" i="1" s="1"/>
  <c r="A165" i="1" s="1"/>
  <c r="A166" i="1" s="1"/>
  <c r="A167" i="1" s="1"/>
  <c r="G161" i="1"/>
  <c r="G162" i="1" s="1"/>
  <c r="G163" i="1" s="1"/>
  <c r="G164" i="1" s="1"/>
  <c r="G165" i="1" s="1"/>
  <c r="G166" i="1" s="1"/>
  <c r="G167" i="1" s="1"/>
  <c r="D161" i="1"/>
  <c r="F161" i="1" s="1"/>
  <c r="D174" i="1" l="1"/>
  <c r="D173" i="1"/>
  <c r="D172" i="1"/>
  <c r="D171" i="1"/>
  <c r="D170" i="1"/>
  <c r="D169" i="1"/>
  <c r="F174" i="1" l="1"/>
  <c r="F173" i="1"/>
  <c r="F172" i="1"/>
  <c r="F171" i="1"/>
  <c r="F170" i="1"/>
  <c r="I170" i="1" s="1"/>
  <c r="A170" i="1"/>
  <c r="A173" i="1" s="1"/>
  <c r="A174" i="1" s="1"/>
  <c r="G169" i="1"/>
  <c r="G170" i="1" s="1"/>
  <c r="G171" i="1" s="1"/>
  <c r="F169" i="1"/>
  <c r="G172" i="1" l="1"/>
  <c r="G173" i="1" s="1"/>
  <c r="G174" i="1" s="1"/>
  <c r="F151" i="1"/>
  <c r="F150" i="1"/>
  <c r="I150" i="1" s="1"/>
  <c r="F149" i="1"/>
  <c r="C14" i="1" l="1"/>
  <c r="E29" i="1" l="1"/>
  <c r="F146" i="1" l="1"/>
  <c r="I146" i="1" s="1"/>
  <c r="F147" i="1"/>
  <c r="F148" i="1"/>
  <c r="F145" i="1"/>
  <c r="A146" i="1"/>
  <c r="A147" i="1" s="1"/>
  <c r="A148" i="1" s="1"/>
  <c r="A149" i="1" s="1"/>
  <c r="A150" i="1" s="1"/>
  <c r="A151" i="1" s="1"/>
  <c r="G145" i="1"/>
  <c r="G130" i="1" l="1"/>
  <c r="F122" i="1"/>
  <c r="F137" i="1" l="1"/>
  <c r="F138" i="1"/>
  <c r="F139" i="1"/>
  <c r="F136" i="1"/>
  <c r="B177" i="1" l="1"/>
  <c r="B17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9" i="1"/>
  <c r="A137" i="1"/>
  <c r="A138" i="1" s="1"/>
  <c r="A139" i="1" s="1"/>
  <c r="G136" i="1"/>
  <c r="G137" i="1" s="1"/>
  <c r="G138" i="1" s="1"/>
  <c r="G139" i="1" s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D54" i="1"/>
  <c r="C49" i="1"/>
  <c r="E42" i="1"/>
  <c r="E43" i="1" s="1"/>
  <c r="E26" i="1"/>
  <c r="E24" i="1"/>
  <c r="E7" i="1"/>
  <c r="E3" i="1"/>
  <c r="H68" i="1"/>
  <c r="H96" i="1"/>
  <c r="H82" i="1"/>
  <c r="D61" i="1" l="1"/>
  <c r="D92" i="1"/>
  <c r="D93" i="1"/>
  <c r="D94" i="1"/>
  <c r="D88" i="1"/>
  <c r="D89" i="1"/>
  <c r="D90" i="1"/>
  <c r="D91" i="1"/>
  <c r="C87" i="1"/>
  <c r="J81" i="1" s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D101" i="1" l="1"/>
  <c r="D99" i="1"/>
  <c r="D87" i="1"/>
  <c r="D73" i="1"/>
  <c r="J69" i="1"/>
  <c r="E71" i="1"/>
  <c r="D72" i="1"/>
  <c r="G71" i="1"/>
  <c r="D65" i="1" s="1"/>
  <c r="D66" i="1" s="1"/>
  <c r="D71" i="1"/>
  <c r="E85" i="1"/>
  <c r="D86" i="1"/>
  <c r="G85" i="1"/>
  <c r="D85" i="1"/>
  <c r="J82" i="1" s="1"/>
  <c r="E99" i="1"/>
  <c r="D100" i="1"/>
  <c r="G99" i="1"/>
  <c r="I68" i="1" l="1"/>
  <c r="J68" i="1"/>
  <c r="I96" i="1"/>
  <c r="J96" i="1"/>
  <c r="I82" i="1"/>
  <c r="F66" i="1"/>
  <c r="I69" i="1" l="1"/>
  <c r="I67" i="1" s="1"/>
  <c r="C69" i="1" s="1"/>
  <c r="I97" i="1"/>
  <c r="I95" i="1" s="1"/>
  <c r="C97" i="1" s="1"/>
  <c r="I83" i="1"/>
  <c r="I81" i="1" s="1"/>
  <c r="C83" i="1" s="1"/>
</calcChain>
</file>

<file path=xl/sharedStrings.xml><?xml version="1.0" encoding="utf-8"?>
<sst xmlns="http://schemas.openxmlformats.org/spreadsheetml/2006/main" count="367" uniqueCount="225">
  <si>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</si>
  <si>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</si>
  <si>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</si>
  <si>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</si>
  <si>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</si>
  <si>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</si>
  <si>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</si>
  <si>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</si>
  <si>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</si>
  <si>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</si>
  <si>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</si>
  <si>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</si>
  <si>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</si>
  <si>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</si>
  <si>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</si>
  <si>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</si>
  <si>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</si>
  <si>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</si>
  <si>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</si>
  <si>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</si>
  <si>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</si>
  <si>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</si>
  <si>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</si>
  <si>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</si>
  <si>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</si>
  <si>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</si>
  <si>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</si>
  <si>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</si>
  <si>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</si>
  <si>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</si>
  <si>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</si>
  <si>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</si>
  <si>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</si>
  <si>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</si>
  <si>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</si>
  <si>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</si>
  <si>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</si>
  <si>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</si>
  <si>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</si>
  <si>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</si>
  <si>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</si>
  <si>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</si>
  <si>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</si>
  <si>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</si>
  <si>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</si>
  <si>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</si>
  <si>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</si>
  <si>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</si>
  <si>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</si>
  <si>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</si>
  <si>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</si>
  <si>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</si>
  <si>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</si>
  <si>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</si>
  <si>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</si>
  <si>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</si>
  <si>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</si>
  <si>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</si>
  <si>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</si>
  <si>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</si>
  <si>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</si>
  <si>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</si>
  <si>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</si>
  <si>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</si>
  <si>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</si>
  <si>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</si>
  <si>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</si>
  <si>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</si>
  <si>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</si>
  <si>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</si>
  <si>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</si>
  <si>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</si>
  <si>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</si>
  <si>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</si>
  <si>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</si>
  <si>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</si>
  <si>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</si>
  <si>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</si>
  <si>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</si>
  <si>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</si>
  <si>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</si>
  <si>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</si>
  <si>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</si>
  <si>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</si>
  <si>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</si>
  <si>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</si>
  <si>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</si>
  <si>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</si>
  <si>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</si>
  <si>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</si>
  <si>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</si>
  <si>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</si>
  <si>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</si>
  <si>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</si>
  <si>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</si>
  <si>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</si>
  <si>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</si>
  <si>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</si>
  <si>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</si>
  <si>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</si>
  <si>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</si>
  <si>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</si>
  <si>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</si>
  <si>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</si>
  <si>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</si>
  <si>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</si>
  <si>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</si>
  <si>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</si>
  <si>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</si>
  <si>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</si>
  <si>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</si>
  <si>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</si>
  <si>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</si>
  <si>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</si>
  <si>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</si>
  <si>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</si>
  <si>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</si>
  <si>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</si>
  <si>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</si>
  <si>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</si>
  <si>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</si>
  <si>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</si>
  <si>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</si>
  <si>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</si>
  <si>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</si>
  <si>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</si>
  <si>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</si>
  <si>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</si>
  <si>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</si>
  <si>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</si>
  <si>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</si>
  <si>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</si>
  <si>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</si>
  <si>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</si>
  <si>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</si>
  <si>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</si>
  <si>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</si>
  <si>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</si>
  <si>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</si>
  <si>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</si>
  <si>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</si>
  <si>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</si>
  <si>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</si>
  <si>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</si>
  <si>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</si>
  <si>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</si>
  <si>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</si>
  <si>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</si>
  <si>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</si>
  <si>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</si>
  <si>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</si>
  <si>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</si>
  <si>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</si>
  <si>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</si>
  <si>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</si>
  <si>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</si>
  <si>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</si>
  <si>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</si>
  <si>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</si>
  <si>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</si>
  <si>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</si>
  <si>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</si>
  <si>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</si>
  <si>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</si>
  <si>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</si>
  <si>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</si>
  <si>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</si>
  <si>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</si>
  <si>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</si>
  <si>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</si>
  <si>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</si>
  <si>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</si>
  <si>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</si>
  <si>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</si>
  <si>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</si>
  <si>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</si>
  <si>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</si>
  <si>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</si>
  <si>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</si>
  <si>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</si>
  <si>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Vaishnavi Pride</t>
  </si>
  <si>
    <t xml:space="preserve">Vaishnavi Developers </t>
  </si>
  <si>
    <t>Mr. Meet Patel (8928556341)</t>
  </si>
  <si>
    <t>P51700046405</t>
  </si>
  <si>
    <t>Survey No</t>
  </si>
  <si>
    <t>36, H. No. 6</t>
  </si>
  <si>
    <t>Chinchpada</t>
  </si>
  <si>
    <t>Thane</t>
  </si>
  <si>
    <t>Kalyan</t>
  </si>
  <si>
    <t>KDMC</t>
  </si>
  <si>
    <t>As per RERA - 31/12/2026</t>
  </si>
  <si>
    <t>1BHK</t>
  </si>
  <si>
    <t>2BHK</t>
  </si>
  <si>
    <t>10th Floor (Part Terrace Area)</t>
  </si>
  <si>
    <t>Flats</t>
  </si>
  <si>
    <t>Internal Rd</t>
  </si>
  <si>
    <t>3KM from Kalyan Railway Station</t>
  </si>
  <si>
    <t>Kalyan East</t>
  </si>
  <si>
    <t>Nidhi Apartments</t>
  </si>
  <si>
    <t>Govindham Chs-B</t>
  </si>
  <si>
    <t>Saket College</t>
  </si>
  <si>
    <t>Rd/Saku Aai Apartment</t>
  </si>
  <si>
    <t>Govindham Chs / Saket Clg</t>
  </si>
  <si>
    <t>https://goo.gl/maps/m4Nk86hJYLCMAoM87</t>
  </si>
  <si>
    <t>Advance Maintenance Charges (for 24 months)</t>
  </si>
  <si>
    <t>Approved Plans, CC, Sale Plans,Cost Sheet</t>
  </si>
  <si>
    <t>8th Floor (Part Refuge Area)</t>
  </si>
  <si>
    <t>VAISHNAVI PRIDE</t>
  </si>
  <si>
    <t>Office No. 1031, Wing J, Akshar Business Park, Plot No. 03 Sector 25, Near APMC Market,
Vashi, Navi Mumbai, Maharashtra 400703 TEL: 022-46090378/79/8
E mail : vsjcapf@gmail.com. Web site : www.vsjadon.com</t>
  </si>
  <si>
    <t>KDMC/TPD/BP/27 Village/2022-23/04/242</t>
  </si>
  <si>
    <t>Stilt + 1st to 22nd Floor</t>
  </si>
  <si>
    <t>We have updated latest CC from Rera (On 04/07/2024).</t>
  </si>
  <si>
    <t>Gr/Stilt + 1st to 22nd Floor</t>
  </si>
  <si>
    <t>Vitrified tiles flooring, Kitchen Platform, Decorative Entrance</t>
  </si>
  <si>
    <t>Ground Floor For Society Office, Meter Room , Drivers Room &amp; Parking</t>
  </si>
  <si>
    <t>1st to 7th &amp; 9th to 12th, 14th to 17th, 19th to 22nd Floor For Residential</t>
  </si>
  <si>
    <t>8th, 13th, 18th Floor (Part Refuge Area)</t>
  </si>
  <si>
    <t>Flats - 154</t>
  </si>
  <si>
    <t>We have updated latest CC &amp; approved floor plans (On 11/07/2024).</t>
  </si>
  <si>
    <t>We considered Gross carpet area = Net carpet + Enclose balcony + Balcony.</t>
  </si>
  <si>
    <t>Mr. Saurabh : 8976462939</t>
  </si>
  <si>
    <t>Construction work is in process at the time of Visit.</t>
  </si>
  <si>
    <t>Mangesh Bapardekar</t>
  </si>
  <si>
    <t>Miss. Rani : 9867207680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</si>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</sst>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2" fontId="7" fillId="0" borderId="25" xfId="1" applyNumberFormat="1" applyFont="1" applyBorder="1" applyAlignment="1">
      <alignment vertical="center"/>
    </xf>
    <xf numFmtId="2" fontId="7" fillId="0" borderId="0" xfId="1" applyNumberFormat="1" applyFont="1" applyAlignment="1">
      <alignment vertical="center"/>
    </xf>
    <xf numFmtId="0" fontId="24" fillId="2" borderId="15" xfId="0" applyFont="1" applyFill="1" applyBorder="1"/>
    <xf numFmtId="0" fontId="25" fillId="0" borderId="9" xfId="0" applyFont="1" applyBorder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98321</xdr:colOff>
      <xdr:row>243</xdr:row>
      <xdr:rowOff>0</xdr:rowOff>
    </xdr:from>
    <xdr:to>
      <xdr:col>5</xdr:col>
      <xdr:colOff>747071</xdr:colOff>
      <xdr:row>261</xdr:row>
      <xdr:rowOff>416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4721" y="39728775"/>
          <a:ext cx="34110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180975</xdr:colOff>
      <xdr:row>261</xdr:row>
      <xdr:rowOff>184297</xdr:rowOff>
    </xdr:from>
    <xdr:to>
      <xdr:col>7</xdr:col>
      <xdr:colOff>664416</xdr:colOff>
      <xdr:row>279</xdr:row>
      <xdr:rowOff>183847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5" y="43513522"/>
          <a:ext cx="659849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304800</xdr:colOff>
      <xdr:row>277</xdr:row>
      <xdr:rowOff>19050</xdr:rowOff>
    </xdr:from>
    <xdr:to>
      <xdr:col>0</xdr:col>
      <xdr:colOff>638175</xdr:colOff>
      <xdr:row>279</xdr:row>
      <xdr:rowOff>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304800" y="46148625"/>
          <a:ext cx="333375" cy="381001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275</xdr:row>
      <xdr:rowOff>85725</xdr:rowOff>
    </xdr:from>
    <xdr:to>
      <xdr:col>1</xdr:col>
      <xdr:colOff>276225</xdr:colOff>
      <xdr:row>277</xdr:row>
      <xdr:rowOff>133350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52450" y="45815250"/>
          <a:ext cx="54292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002060"/>
              </a:solidFill>
            </a:rPr>
            <a:t>N</a:t>
          </a:r>
        </a:p>
      </xdr:txBody>
    </xdr:sp>
    <xdr:clientData/>
  </xdr:twoCellAnchor>
  <xdr:twoCellAnchor>
    <xdr:from>
      <xdr:col>3</xdr:col>
      <xdr:colOff>1000125</xdr:colOff>
      <xdr:row>246</xdr:row>
      <xdr:rowOff>9525</xdr:rowOff>
    </xdr:from>
    <xdr:to>
      <xdr:col>4</xdr:col>
      <xdr:colOff>533400</xdr:colOff>
      <xdr:row>248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590925" y="40338375"/>
          <a:ext cx="542925" cy="4476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2400" b="1">
            <a:ln>
              <a:noFill/>
            </a:ln>
            <a:solidFill>
              <a:srgbClr val="002060"/>
            </a:solidFill>
          </a:endParaRPr>
        </a:p>
      </xdr:txBody>
    </xdr:sp>
    <xdr:clientData/>
  </xdr:twoCellAnchor>
  <xdr:twoCellAnchor>
    <xdr:from>
      <xdr:col>3</xdr:col>
      <xdr:colOff>561975</xdr:colOff>
      <xdr:row>242</xdr:row>
      <xdr:rowOff>104775</xdr:rowOff>
    </xdr:from>
    <xdr:to>
      <xdr:col>6</xdr:col>
      <xdr:colOff>19050</xdr:colOff>
      <xdr:row>244</xdr:row>
      <xdr:rowOff>152400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52775" y="39633525"/>
          <a:ext cx="214312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FF00"/>
              </a:solidFill>
            </a:rPr>
            <a:t>Vaishnavi</a:t>
          </a:r>
          <a:r>
            <a:rPr lang="en-IN" sz="1600" b="1" baseline="0">
              <a:ln>
                <a:noFill/>
              </a:ln>
              <a:solidFill>
                <a:srgbClr val="FFFF00"/>
              </a:solidFill>
            </a:rPr>
            <a:t> Pride</a:t>
          </a:r>
        </a:p>
        <a:p>
          <a:pPr algn="l"/>
          <a:endParaRPr lang="en-IN" sz="2400" b="1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4</xdr:col>
      <xdr:colOff>304800</xdr:colOff>
      <xdr:row>243</xdr:row>
      <xdr:rowOff>114300</xdr:rowOff>
    </xdr:from>
    <xdr:to>
      <xdr:col>4</xdr:col>
      <xdr:colOff>428625</xdr:colOff>
      <xdr:row>246</xdr:row>
      <xdr:rowOff>66675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3905250" y="39843075"/>
          <a:ext cx="123825" cy="5524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514350</xdr:colOff>
      <xdr:row>268</xdr:row>
      <xdr:rowOff>95250</xdr:rowOff>
    </xdr:from>
    <xdr:to>
      <xdr:col>4</xdr:col>
      <xdr:colOff>542925</xdr:colOff>
      <xdr:row>273</xdr:row>
      <xdr:rowOff>133350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190750" y="44824650"/>
          <a:ext cx="1952625" cy="10382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2400" b="1">
            <a:ln>
              <a:noFill/>
            </a:ln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114301</xdr:colOff>
      <xdr:row>285</xdr:row>
      <xdr:rowOff>0</xdr:rowOff>
    </xdr:from>
    <xdr:to>
      <xdr:col>6</xdr:col>
      <xdr:colOff>682552</xdr:colOff>
      <xdr:row>301</xdr:row>
      <xdr:rowOff>39600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1" y="48129825"/>
          <a:ext cx="502595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114300</xdr:colOff>
      <xdr:row>301</xdr:row>
      <xdr:rowOff>163902</xdr:rowOff>
    </xdr:from>
    <xdr:to>
      <xdr:col>6</xdr:col>
      <xdr:colOff>682551</xdr:colOff>
      <xdr:row>318</xdr:row>
      <xdr:rowOff>3477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" y="51494127"/>
          <a:ext cx="502595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304800</xdr:colOff>
      <xdr:row>45</xdr:row>
      <xdr:rowOff>120651</xdr:rowOff>
    </xdr:from>
    <xdr:to>
      <xdr:col>11</xdr:col>
      <xdr:colOff>428900</xdr:colOff>
      <xdr:row>51</xdr:row>
      <xdr:rowOff>180204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50100" y="9836151"/>
          <a:ext cx="2880000" cy="20534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1031875</xdr:colOff>
      <xdr:row>140</xdr:row>
      <xdr:rowOff>307975</xdr:rowOff>
    </xdr:from>
    <xdr:to>
      <xdr:col>15</xdr:col>
      <xdr:colOff>542552</xdr:colOff>
      <xdr:row>155</xdr:row>
      <xdr:rowOff>188825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56500" y="20167600"/>
          <a:ext cx="5130427" cy="31860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1112520</xdr:colOff>
      <xdr:row>199</xdr:row>
      <xdr:rowOff>162560</xdr:rowOff>
    </xdr:from>
    <xdr:to>
      <xdr:col>17</xdr:col>
      <xdr:colOff>246495</xdr:colOff>
      <xdr:row>235</xdr:row>
      <xdr:rowOff>107794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7811494" y="29317343"/>
          <a:ext cx="6336531" cy="7094781"/>
          <a:chOff x="152400" y="29000450"/>
          <a:chExt cx="6441555" cy="7025484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8862" y="3400993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29000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029" y="34009934"/>
            <a:ext cx="2685866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3530" y="3186519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95666" y="3400993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8246" y="29000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302" y="3186519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846" y="3186519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1074" y="3186519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4092" y="29000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426721</xdr:colOff>
      <xdr:row>199</xdr:row>
      <xdr:rowOff>144780</xdr:rowOff>
    </xdr:from>
    <xdr:to>
      <xdr:col>7</xdr:col>
      <xdr:colOff>289560</xdr:colOff>
      <xdr:row>239</xdr:row>
      <xdr:rowOff>15240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D812EA2-5AAD-1189-063F-14A554878ADB}"/>
            </a:ext>
          </a:extLst>
        </xdr:cNvPr>
        <xdr:cNvGrpSpPr/>
      </xdr:nvGrpSpPr>
      <xdr:grpSpPr>
        <a:xfrm>
          <a:off x="426721" y="29299563"/>
          <a:ext cx="5707048" cy="7815138"/>
          <a:chOff x="-50734" y="-688547"/>
          <a:chExt cx="7027473" cy="961825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57EEDCA-9B84-0925-11EE-0BDCC7CF82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41466" y="6929237"/>
            <a:ext cx="1495995" cy="19965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0809F59-E6E8-FC29-C79D-5A80BDAD94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1481" y="-688547"/>
            <a:ext cx="2599481" cy="34691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CBEE3B1-68C7-AA77-778A-17844950EF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3864" y="2940186"/>
            <a:ext cx="2492875" cy="18713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416023F-1D5B-0CB8-0070-5E657928F5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0362" y="4917506"/>
            <a:ext cx="1402241" cy="18713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046354F-C073-AFEB-5E8C-B4E86279A6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9000" y="-673308"/>
            <a:ext cx="2599481" cy="34691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23A4E65-057F-6769-BE37-F02C649C25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917508"/>
            <a:ext cx="2492875" cy="18713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19FBB77C-1D22-C76A-FA61-1E2250FD4D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60675" y="2921001"/>
            <a:ext cx="1402241" cy="18713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BCB453F-9791-E4AA-3283-F2120DABDB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23093" y="6933200"/>
            <a:ext cx="1495995" cy="19965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CCFEF3D8-56B0-6BB4-1E52-21C6656B76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9776" y="2921000"/>
            <a:ext cx="1402241" cy="18713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50EF7F5-F39B-23EE-57F2-43C4C61CA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43027" y="4917507"/>
            <a:ext cx="2492875" cy="18713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61E8CD5-BDC6-9F56-07C0-6D1DCE0916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50734" y="2921000"/>
            <a:ext cx="1402241" cy="18713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0</xdr:rowOff>
    </xdr:from>
    <xdr:to>
      <xdr:col>6</xdr:col>
      <xdr:colOff>4567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141617</xdr:rowOff>
    </xdr:from>
    <xdr:to>
      <xdr:col>6</xdr:col>
      <xdr:colOff>4566</xdr:colOff>
      <xdr:row>53</xdr:row>
      <xdr:rowOff>122117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62982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4Nk86hJYLCMAoM8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3"/>
  <sheetViews>
    <sheetView tabSelected="1" view="pageBreakPreview" topLeftCell="A4" zoomScale="115" zoomScaleNormal="100" zoomScaleSheetLayoutView="115" workbookViewId="0">
      <selection activeCell="I15" sqref="I1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0.55468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12" ht="46.5" customHeight="1" x14ac:dyDescent="0.3">
      <c r="A1" s="136" t="s">
        <v>208</v>
      </c>
      <c r="B1" s="136"/>
      <c r="C1" s="136"/>
      <c r="D1" s="136"/>
      <c r="E1" s="136"/>
      <c r="F1" s="136"/>
      <c r="G1" s="136"/>
      <c r="H1" s="136"/>
    </row>
    <row r="2" spans="1:12" ht="16.5" customHeight="1" x14ac:dyDescent="0.3">
      <c r="A2" s="137" t="s">
        <v>0</v>
      </c>
      <c r="B2" s="137"/>
      <c r="C2" s="137"/>
      <c r="D2" s="137"/>
      <c r="E2" s="137"/>
      <c r="F2" s="137"/>
      <c r="G2" s="137"/>
      <c r="H2" s="137"/>
    </row>
    <row r="3" spans="1:12" x14ac:dyDescent="0.3">
      <c r="A3" s="122" t="s">
        <v>1</v>
      </c>
      <c r="B3" s="122"/>
      <c r="C3" s="122"/>
      <c r="D3" s="122"/>
      <c r="E3" s="122" t="str">
        <f ca="1">TEXT(TODAY(),"DD/MM/YYYY")</f>
        <v>13/09/2025</v>
      </c>
      <c r="F3" s="122"/>
      <c r="G3" s="122"/>
      <c r="H3" s="122"/>
    </row>
    <row r="4" spans="1:12" ht="15" customHeight="1" x14ac:dyDescent="0.3">
      <c r="A4" s="122" t="s">
        <v>2</v>
      </c>
      <c r="B4" s="122"/>
      <c r="C4" s="122"/>
      <c r="D4" s="122"/>
      <c r="E4" s="122" t="s">
        <v>179</v>
      </c>
      <c r="F4" s="122"/>
      <c r="G4" s="122"/>
      <c r="H4" s="122"/>
    </row>
    <row r="5" spans="1:12" x14ac:dyDescent="0.3">
      <c r="A5" s="122" t="s">
        <v>3</v>
      </c>
      <c r="B5" s="122"/>
      <c r="C5" s="122"/>
      <c r="D5" s="122"/>
      <c r="E5" s="139">
        <v>45908</v>
      </c>
      <c r="F5" s="122"/>
      <c r="G5" s="122"/>
      <c r="H5" s="122"/>
    </row>
    <row r="6" spans="1:12" ht="16.5" customHeight="1" x14ac:dyDescent="0.3">
      <c r="A6" s="122" t="s">
        <v>4</v>
      </c>
      <c r="B6" s="122"/>
      <c r="C6" s="122"/>
      <c r="D6" s="122"/>
      <c r="E6" s="122" t="s">
        <v>181</v>
      </c>
      <c r="F6" s="122"/>
      <c r="G6" s="122"/>
      <c r="H6" s="122"/>
    </row>
    <row r="7" spans="1:12" ht="15" customHeight="1" x14ac:dyDescent="0.3">
      <c r="A7" s="122" t="s">
        <v>5</v>
      </c>
      <c r="B7" s="122"/>
      <c r="C7" s="122"/>
      <c r="D7" s="122"/>
      <c r="E7" s="122" t="str">
        <f>E6</f>
        <v xml:space="preserve">Vaishnavi Developers </v>
      </c>
      <c r="F7" s="122"/>
      <c r="G7" s="122"/>
      <c r="H7" s="122"/>
    </row>
    <row r="8" spans="1:12" x14ac:dyDescent="0.3">
      <c r="A8" s="122" t="s">
        <v>6</v>
      </c>
      <c r="B8" s="122"/>
      <c r="C8" s="122"/>
      <c r="D8" s="122"/>
      <c r="E8" s="138" t="s">
        <v>180</v>
      </c>
      <c r="F8" s="138"/>
      <c r="G8" s="138"/>
      <c r="H8" s="138"/>
      <c r="I8" s="22" t="s">
        <v>207</v>
      </c>
    </row>
    <row r="9" spans="1:12" x14ac:dyDescent="0.3">
      <c r="A9" s="122" t="s">
        <v>176</v>
      </c>
      <c r="B9" s="122"/>
      <c r="C9" s="122"/>
      <c r="D9" s="122"/>
      <c r="E9" s="122" t="s">
        <v>182</v>
      </c>
      <c r="F9" s="122"/>
      <c r="G9" s="122"/>
      <c r="H9" s="122"/>
    </row>
    <row r="10" spans="1:12" x14ac:dyDescent="0.3">
      <c r="A10" s="122" t="s">
        <v>177</v>
      </c>
      <c r="B10" s="122"/>
      <c r="C10" s="122"/>
      <c r="D10" s="122"/>
      <c r="E10" s="122" t="s">
        <v>223</v>
      </c>
      <c r="F10" s="122"/>
      <c r="G10" s="122"/>
      <c r="H10" s="122"/>
      <c r="I10" s="122" t="s">
        <v>220</v>
      </c>
      <c r="J10" s="122"/>
      <c r="K10" s="122"/>
      <c r="L10" s="122"/>
    </row>
    <row r="11" spans="1:12" x14ac:dyDescent="0.3">
      <c r="A11" s="122" t="s">
        <v>7</v>
      </c>
      <c r="B11" s="122"/>
      <c r="C11" s="122"/>
      <c r="D11" s="122"/>
      <c r="E11" s="122" t="s">
        <v>129</v>
      </c>
      <c r="F11" s="122"/>
      <c r="G11" s="122"/>
      <c r="H11" s="122"/>
    </row>
    <row r="12" spans="1:12" x14ac:dyDescent="0.3">
      <c r="A12" s="79" t="s">
        <v>8</v>
      </c>
      <c r="B12" s="79"/>
      <c r="C12" s="79"/>
      <c r="D12" s="79"/>
      <c r="E12" s="77" t="s">
        <v>205</v>
      </c>
      <c r="F12" s="77"/>
      <c r="G12" s="77"/>
      <c r="H12" s="77"/>
    </row>
    <row r="13" spans="1:12" x14ac:dyDescent="0.3">
      <c r="A13" s="79" t="s">
        <v>9</v>
      </c>
      <c r="B13" s="79"/>
      <c r="C13" s="79"/>
      <c r="D13" s="79"/>
      <c r="E13" s="77" t="s">
        <v>183</v>
      </c>
      <c r="F13" s="122"/>
      <c r="G13" s="122"/>
      <c r="H13" s="122"/>
    </row>
    <row r="14" spans="1:12" ht="33.75" customHeight="1" x14ac:dyDescent="0.3">
      <c r="A14" s="77" t="s">
        <v>10</v>
      </c>
      <c r="B14" s="77"/>
      <c r="C14" s="7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Vaishnavi Pride, Survey No.36, H. No. 6, near Govindham Chs / Saket Clg, Internal Rd, Chinchpada, Chinchpada, Kalyan East, Kalyan, Thane - 421306.</v>
      </c>
      <c r="D14" s="77"/>
      <c r="E14" s="77"/>
      <c r="F14" s="77"/>
      <c r="G14" s="77"/>
      <c r="H14" s="77"/>
    </row>
    <row r="15" spans="1:12" x14ac:dyDescent="0.3">
      <c r="A15" s="77" t="s">
        <v>184</v>
      </c>
      <c r="B15" s="77"/>
      <c r="C15" s="77" t="s">
        <v>185</v>
      </c>
      <c r="D15" s="77"/>
      <c r="E15" s="77"/>
      <c r="F15" s="77"/>
      <c r="G15" s="77"/>
      <c r="H15" s="77"/>
    </row>
    <row r="16" spans="1:12" ht="15.75" customHeight="1" x14ac:dyDescent="0.3">
      <c r="A16" s="77" t="s">
        <v>175</v>
      </c>
      <c r="B16" s="77"/>
      <c r="C16" s="77" t="s">
        <v>186</v>
      </c>
      <c r="D16" s="77"/>
      <c r="E16" s="77"/>
      <c r="F16" s="77"/>
      <c r="G16" s="77"/>
      <c r="H16" s="77"/>
    </row>
    <row r="17" spans="1:8" ht="15.75" customHeight="1" x14ac:dyDescent="0.3">
      <c r="A17" s="77" t="s">
        <v>11</v>
      </c>
      <c r="B17" s="77"/>
      <c r="C17" s="122" t="s">
        <v>195</v>
      </c>
      <c r="D17" s="122"/>
      <c r="E17" s="77" t="s">
        <v>77</v>
      </c>
      <c r="F17" s="77"/>
      <c r="G17" s="77" t="s">
        <v>186</v>
      </c>
      <c r="H17" s="77"/>
    </row>
    <row r="18" spans="1:8" x14ac:dyDescent="0.3">
      <c r="A18" s="122" t="s">
        <v>13</v>
      </c>
      <c r="B18" s="122"/>
      <c r="C18" s="77" t="s">
        <v>197</v>
      </c>
      <c r="D18" s="77"/>
      <c r="E18" s="77" t="s">
        <v>12</v>
      </c>
      <c r="F18" s="77"/>
      <c r="G18" s="140" t="s">
        <v>187</v>
      </c>
      <c r="H18" s="140"/>
    </row>
    <row r="19" spans="1:8" x14ac:dyDescent="0.3">
      <c r="A19" s="122" t="s">
        <v>78</v>
      </c>
      <c r="B19" s="122"/>
      <c r="C19" s="77" t="s">
        <v>188</v>
      </c>
      <c r="D19" s="77"/>
      <c r="E19" s="77" t="s">
        <v>14</v>
      </c>
      <c r="F19" s="77"/>
      <c r="G19" s="77">
        <v>421306</v>
      </c>
      <c r="H19" s="77"/>
    </row>
    <row r="20" spans="1:8" ht="32.25" customHeight="1" x14ac:dyDescent="0.3">
      <c r="A20" s="122" t="s">
        <v>130</v>
      </c>
      <c r="B20" s="122"/>
      <c r="C20" s="77" t="s">
        <v>202</v>
      </c>
      <c r="D20" s="77"/>
      <c r="E20" s="77" t="s">
        <v>15</v>
      </c>
      <c r="F20" s="77"/>
      <c r="G20" s="77" t="s">
        <v>196</v>
      </c>
      <c r="H20" s="77"/>
    </row>
    <row r="21" spans="1:8" ht="15" customHeight="1" x14ac:dyDescent="0.3">
      <c r="A21" s="121" t="s">
        <v>81</v>
      </c>
      <c r="B21" s="121"/>
      <c r="C21" s="121"/>
      <c r="D21" s="121"/>
      <c r="E21" s="122" t="s">
        <v>16</v>
      </c>
      <c r="F21" s="122"/>
      <c r="G21" s="122"/>
      <c r="H21" s="122"/>
    </row>
    <row r="22" spans="1:8" ht="18.75" customHeight="1" x14ac:dyDescent="0.3">
      <c r="A22" s="121"/>
      <c r="B22" s="121"/>
      <c r="C22" s="121"/>
      <c r="D22" s="121"/>
      <c r="E22" s="122"/>
      <c r="F22" s="122"/>
      <c r="G22" s="122"/>
      <c r="H22" s="122"/>
    </row>
    <row r="23" spans="1:8" ht="15" customHeight="1" x14ac:dyDescent="0.3">
      <c r="A23" s="121" t="s">
        <v>17</v>
      </c>
      <c r="B23" s="121"/>
      <c r="C23" s="121"/>
      <c r="D23" s="121"/>
      <c r="E23" s="77" t="s">
        <v>18</v>
      </c>
      <c r="F23" s="77"/>
      <c r="G23" s="77"/>
      <c r="H23" s="77"/>
    </row>
    <row r="24" spans="1:8" ht="15" customHeight="1" x14ac:dyDescent="0.3">
      <c r="A24" s="79" t="s">
        <v>19</v>
      </c>
      <c r="B24" s="79"/>
      <c r="C24" s="79"/>
      <c r="D24" s="79"/>
      <c r="E24" s="77" t="str">
        <f>IF(AND(G18="Mumbai"),"Upper Class","Middle Class")</f>
        <v>Middle Class</v>
      </c>
      <c r="F24" s="77"/>
      <c r="G24" s="77"/>
      <c r="H24" s="77"/>
    </row>
    <row r="25" spans="1:8" x14ac:dyDescent="0.3">
      <c r="A25" s="79" t="s">
        <v>20</v>
      </c>
      <c r="B25" s="79"/>
      <c r="C25" s="79"/>
      <c r="D25" s="79"/>
      <c r="E25" s="77" t="s">
        <v>21</v>
      </c>
      <c r="F25" s="77"/>
      <c r="G25" s="77"/>
      <c r="H25" s="77"/>
    </row>
    <row r="26" spans="1:8" ht="15.75" customHeight="1" x14ac:dyDescent="0.3">
      <c r="A26" s="79" t="s">
        <v>22</v>
      </c>
      <c r="B26" s="79"/>
      <c r="C26" s="79"/>
      <c r="D26" s="79"/>
      <c r="E26" s="77" t="str">
        <f>IF(AND(G18="Mumbai"),"Developed","Developing")</f>
        <v>Developing</v>
      </c>
      <c r="F26" s="77"/>
      <c r="G26" s="77"/>
      <c r="H26" s="77"/>
    </row>
    <row r="27" spans="1:8" x14ac:dyDescent="0.3">
      <c r="A27" s="79" t="s">
        <v>23</v>
      </c>
      <c r="B27" s="79"/>
      <c r="C27" s="79"/>
      <c r="D27" s="79"/>
      <c r="E27" s="77" t="s">
        <v>24</v>
      </c>
      <c r="F27" s="77"/>
      <c r="G27" s="77"/>
      <c r="H27" s="77"/>
    </row>
    <row r="28" spans="1:8" ht="15.75" customHeight="1" x14ac:dyDescent="0.3">
      <c r="A28" s="79" t="s">
        <v>86</v>
      </c>
      <c r="B28" s="79"/>
      <c r="C28" s="79"/>
      <c r="D28" s="79"/>
      <c r="E28" s="77" t="s">
        <v>87</v>
      </c>
      <c r="F28" s="77"/>
      <c r="G28" s="77"/>
      <c r="H28" s="77"/>
    </row>
    <row r="29" spans="1:8" ht="15" customHeight="1" x14ac:dyDescent="0.3">
      <c r="A29" s="79" t="s">
        <v>35</v>
      </c>
      <c r="B29" s="79"/>
      <c r="C29" s="79"/>
      <c r="D29" s="79"/>
      <c r="E29" s="7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77"/>
      <c r="G29" s="77"/>
      <c r="H29" s="77"/>
    </row>
    <row r="30" spans="1:8" ht="15.75" customHeight="1" x14ac:dyDescent="0.3">
      <c r="A30" s="79" t="s">
        <v>98</v>
      </c>
      <c r="B30" s="79"/>
      <c r="C30" s="79"/>
      <c r="D30" s="79"/>
      <c r="E30" s="77" t="s">
        <v>36</v>
      </c>
      <c r="F30" s="77"/>
      <c r="G30" s="77"/>
      <c r="H30" s="77"/>
    </row>
    <row r="31" spans="1:8" s="23" customFormat="1" x14ac:dyDescent="0.3">
      <c r="A31" s="144" t="s">
        <v>99</v>
      </c>
      <c r="B31" s="144"/>
      <c r="C31" s="143" t="s">
        <v>29</v>
      </c>
      <c r="D31" s="143"/>
      <c r="E31" s="143"/>
      <c r="F31" s="143" t="s">
        <v>31</v>
      </c>
      <c r="G31" s="143"/>
      <c r="H31" s="143"/>
    </row>
    <row r="32" spans="1:8" s="23" customFormat="1" x14ac:dyDescent="0.3">
      <c r="A32" s="141" t="s">
        <v>25</v>
      </c>
      <c r="B32" s="141" t="s">
        <v>30</v>
      </c>
      <c r="C32" s="142" t="s">
        <v>30</v>
      </c>
      <c r="D32" s="142"/>
      <c r="E32" s="142"/>
      <c r="F32" s="142" t="s">
        <v>198</v>
      </c>
      <c r="G32" s="142"/>
      <c r="H32" s="142"/>
    </row>
    <row r="33" spans="1:8" x14ac:dyDescent="0.3">
      <c r="A33" s="141" t="s">
        <v>26</v>
      </c>
      <c r="B33" s="141" t="s">
        <v>30</v>
      </c>
      <c r="C33" s="142" t="s">
        <v>30</v>
      </c>
      <c r="D33" s="142"/>
      <c r="E33" s="142"/>
      <c r="F33" s="142" t="s">
        <v>199</v>
      </c>
      <c r="G33" s="142"/>
      <c r="H33" s="142"/>
    </row>
    <row r="34" spans="1:8" s="23" customFormat="1" x14ac:dyDescent="0.3">
      <c r="A34" s="141" t="s">
        <v>28</v>
      </c>
      <c r="B34" s="141" t="s">
        <v>30</v>
      </c>
      <c r="C34" s="142" t="s">
        <v>30</v>
      </c>
      <c r="D34" s="142"/>
      <c r="E34" s="142"/>
      <c r="F34" s="142" t="s">
        <v>200</v>
      </c>
      <c r="G34" s="142"/>
      <c r="H34" s="142"/>
    </row>
    <row r="35" spans="1:8" x14ac:dyDescent="0.3">
      <c r="A35" s="141" t="s">
        <v>27</v>
      </c>
      <c r="B35" s="141" t="s">
        <v>30</v>
      </c>
      <c r="C35" s="142" t="s">
        <v>30</v>
      </c>
      <c r="D35" s="142"/>
      <c r="E35" s="142"/>
      <c r="F35" s="142" t="s">
        <v>201</v>
      </c>
      <c r="G35" s="142"/>
      <c r="H35" s="142"/>
    </row>
    <row r="36" spans="1:8" x14ac:dyDescent="0.3">
      <c r="A36" s="79" t="s">
        <v>32</v>
      </c>
      <c r="B36" s="79"/>
      <c r="C36" s="79"/>
      <c r="D36" s="79"/>
      <c r="E36" s="79"/>
      <c r="F36" s="79"/>
      <c r="G36" s="79"/>
      <c r="H36" s="79"/>
    </row>
    <row r="37" spans="1:8" ht="15.75" customHeight="1" x14ac:dyDescent="0.3">
      <c r="A37" s="137" t="s">
        <v>33</v>
      </c>
      <c r="B37" s="137"/>
      <c r="C37" s="146">
        <v>19.216412299999998</v>
      </c>
      <c r="D37" s="146"/>
      <c r="E37" s="137" t="s">
        <v>34</v>
      </c>
      <c r="F37" s="137"/>
      <c r="G37" s="147">
        <v>73.142898799999998</v>
      </c>
      <c r="H37" s="147"/>
    </row>
    <row r="38" spans="1:8" x14ac:dyDescent="0.3">
      <c r="A38" s="137" t="s">
        <v>174</v>
      </c>
      <c r="B38" s="137"/>
      <c r="C38" s="148" t="s">
        <v>203</v>
      </c>
      <c r="D38" s="77"/>
      <c r="E38" s="77"/>
      <c r="F38" s="77"/>
      <c r="G38" s="77"/>
      <c r="H38" s="77"/>
    </row>
    <row r="39" spans="1:8" x14ac:dyDescent="0.3">
      <c r="A39" s="133" t="s">
        <v>37</v>
      </c>
      <c r="B39" s="133"/>
      <c r="C39" s="133"/>
      <c r="D39" s="133"/>
      <c r="E39" s="133"/>
      <c r="F39" s="133"/>
      <c r="G39" s="133"/>
      <c r="H39" s="133"/>
    </row>
    <row r="40" spans="1:8" x14ac:dyDescent="0.3">
      <c r="A40" s="79" t="s">
        <v>38</v>
      </c>
      <c r="B40" s="79"/>
      <c r="C40" s="79"/>
      <c r="D40" s="79"/>
      <c r="E40" s="145">
        <v>2442</v>
      </c>
      <c r="F40" s="145"/>
      <c r="G40" s="145"/>
      <c r="H40" s="145"/>
    </row>
    <row r="41" spans="1:8" x14ac:dyDescent="0.3">
      <c r="A41" s="79" t="s">
        <v>39</v>
      </c>
      <c r="B41" s="79"/>
      <c r="C41" s="79"/>
      <c r="D41" s="79"/>
      <c r="E41" s="78">
        <v>1.1000000000000001</v>
      </c>
      <c r="F41" s="78"/>
      <c r="G41" s="78"/>
      <c r="H41" s="78"/>
    </row>
    <row r="42" spans="1:8" x14ac:dyDescent="0.3">
      <c r="A42" s="79" t="s">
        <v>40</v>
      </c>
      <c r="B42" s="79"/>
      <c r="C42" s="79"/>
      <c r="D42" s="79"/>
      <c r="E42" s="78">
        <f>E44/E40-E41</f>
        <v>2.8778501228501225</v>
      </c>
      <c r="F42" s="78"/>
      <c r="G42" s="78"/>
      <c r="H42" s="78"/>
    </row>
    <row r="43" spans="1:8" x14ac:dyDescent="0.3">
      <c r="A43" s="79" t="s">
        <v>41</v>
      </c>
      <c r="B43" s="79"/>
      <c r="C43" s="79"/>
      <c r="D43" s="79"/>
      <c r="E43" s="78">
        <f>E41+E42</f>
        <v>3.9778501228501226</v>
      </c>
      <c r="F43" s="78"/>
      <c r="G43" s="78"/>
      <c r="H43" s="78"/>
    </row>
    <row r="44" spans="1:8" x14ac:dyDescent="0.3">
      <c r="A44" s="79" t="s">
        <v>97</v>
      </c>
      <c r="B44" s="79"/>
      <c r="C44" s="79"/>
      <c r="D44" s="79"/>
      <c r="E44" s="166">
        <v>9713.91</v>
      </c>
      <c r="F44" s="166"/>
      <c r="G44" s="166"/>
      <c r="H44" s="166"/>
    </row>
    <row r="45" spans="1:8" x14ac:dyDescent="0.3">
      <c r="A45" s="122" t="s">
        <v>42</v>
      </c>
      <c r="B45" s="122"/>
      <c r="C45" s="122"/>
      <c r="D45" s="122"/>
      <c r="E45" s="122" t="s">
        <v>129</v>
      </c>
      <c r="F45" s="122"/>
      <c r="G45" s="122"/>
      <c r="H45" s="122"/>
    </row>
    <row r="46" spans="1:8" x14ac:dyDescent="0.3">
      <c r="A46" s="133" t="s">
        <v>43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">
      <c r="A47" s="104" t="s">
        <v>161</v>
      </c>
      <c r="B47" s="105"/>
      <c r="C47" s="167" t="s">
        <v>189</v>
      </c>
      <c r="D47" s="168"/>
      <c r="E47" s="168"/>
      <c r="F47" s="168"/>
      <c r="G47" s="168"/>
      <c r="H47" s="169"/>
    </row>
    <row r="48" spans="1:8" ht="30" customHeight="1" x14ac:dyDescent="0.3">
      <c r="A48" s="104" t="s">
        <v>44</v>
      </c>
      <c r="B48" s="105"/>
      <c r="C48" s="104" t="s">
        <v>209</v>
      </c>
      <c r="D48" s="106"/>
      <c r="E48" s="105"/>
      <c r="F48" s="19" t="s">
        <v>45</v>
      </c>
      <c r="G48" s="107">
        <v>45230</v>
      </c>
      <c r="H48" s="105"/>
    </row>
    <row r="49" spans="1:14" ht="31.5" customHeight="1" x14ac:dyDescent="0.3">
      <c r="A49" s="104" t="s">
        <v>46</v>
      </c>
      <c r="B49" s="105"/>
      <c r="C49" s="104" t="str">
        <f>C48</f>
        <v>KDMC/TPD/BP/27 Village/2022-23/04/242</v>
      </c>
      <c r="D49" s="106"/>
      <c r="E49" s="105"/>
      <c r="F49" s="19" t="s">
        <v>45</v>
      </c>
      <c r="G49" s="107">
        <f>G48</f>
        <v>45230</v>
      </c>
      <c r="H49" s="105"/>
    </row>
    <row r="50" spans="1:14" s="24" customFormat="1" ht="30.9" customHeight="1" x14ac:dyDescent="0.3">
      <c r="A50" s="150" t="s">
        <v>165</v>
      </c>
      <c r="B50" s="151"/>
      <c r="C50" s="104" t="s">
        <v>209</v>
      </c>
      <c r="D50" s="106"/>
      <c r="E50" s="105"/>
      <c r="F50" s="19" t="s">
        <v>45</v>
      </c>
      <c r="G50" s="107">
        <v>45230</v>
      </c>
      <c r="H50" s="105"/>
    </row>
    <row r="51" spans="1:14" s="24" customFormat="1" x14ac:dyDescent="0.3">
      <c r="A51" s="152"/>
      <c r="B51" s="153"/>
      <c r="C51" s="104" t="s">
        <v>210</v>
      </c>
      <c r="D51" s="106"/>
      <c r="E51" s="106"/>
      <c r="F51" s="106"/>
      <c r="G51" s="106"/>
      <c r="H51" s="105"/>
    </row>
    <row r="52" spans="1:14" x14ac:dyDescent="0.3">
      <c r="A52" s="117" t="s">
        <v>47</v>
      </c>
      <c r="B52" s="118"/>
      <c r="C52" s="117" t="s">
        <v>110</v>
      </c>
      <c r="D52" s="119"/>
      <c r="E52" s="118"/>
      <c r="F52" s="46" t="s">
        <v>45</v>
      </c>
      <c r="G52" s="123" t="s">
        <v>30</v>
      </c>
      <c r="H52" s="124"/>
    </row>
    <row r="53" spans="1:14" x14ac:dyDescent="0.3">
      <c r="A53" s="120" t="s">
        <v>49</v>
      </c>
      <c r="B53" s="120"/>
      <c r="C53" s="120"/>
      <c r="D53" s="120"/>
      <c r="E53" s="120"/>
      <c r="F53" s="120"/>
      <c r="G53" s="120"/>
      <c r="H53" s="120"/>
    </row>
    <row r="54" spans="1:14" x14ac:dyDescent="0.3">
      <c r="A54" s="121" t="s">
        <v>96</v>
      </c>
      <c r="B54" s="121"/>
      <c r="C54" s="121"/>
      <c r="D54" s="79">
        <f>E44</f>
        <v>9713.91</v>
      </c>
      <c r="E54" s="79"/>
      <c r="F54" s="79"/>
      <c r="G54" s="79"/>
      <c r="H54" s="79"/>
    </row>
    <row r="55" spans="1:14" x14ac:dyDescent="0.3">
      <c r="A55" s="77" t="s">
        <v>50</v>
      </c>
      <c r="B55" s="122"/>
      <c r="C55" s="122"/>
      <c r="D55" s="122" t="s">
        <v>217</v>
      </c>
      <c r="E55" s="122"/>
      <c r="F55" s="122"/>
      <c r="G55" s="122"/>
      <c r="H55" s="122"/>
      <c r="I55" s="25"/>
    </row>
    <row r="56" spans="1:14" x14ac:dyDescent="0.3">
      <c r="A56" s="108" t="s">
        <v>51</v>
      </c>
      <c r="B56" s="109"/>
      <c r="C56" s="149"/>
      <c r="D56" s="114" t="s">
        <v>212</v>
      </c>
      <c r="E56" s="115"/>
      <c r="F56" s="115"/>
      <c r="G56" s="115"/>
      <c r="H56" s="115"/>
    </row>
    <row r="57" spans="1:14" ht="15.75" customHeight="1" x14ac:dyDescent="0.3">
      <c r="A57" s="108" t="s">
        <v>94</v>
      </c>
      <c r="B57" s="109"/>
      <c r="C57" s="109"/>
      <c r="D57" s="114" t="s">
        <v>212</v>
      </c>
      <c r="E57" s="115"/>
      <c r="F57" s="115"/>
      <c r="G57" s="115"/>
      <c r="H57" s="115"/>
    </row>
    <row r="58" spans="1:14" ht="15.75" hidden="1" customHeight="1" x14ac:dyDescent="0.3">
      <c r="A58" s="110"/>
      <c r="B58" s="111"/>
      <c r="C58" s="111"/>
      <c r="D58" s="116" t="s">
        <v>156</v>
      </c>
      <c r="E58" s="116"/>
      <c r="F58" s="116"/>
      <c r="G58" s="116"/>
      <c r="H58" s="116"/>
    </row>
    <row r="59" spans="1:14" ht="15.75" hidden="1" customHeight="1" x14ac:dyDescent="0.3">
      <c r="A59" s="112"/>
      <c r="B59" s="113"/>
      <c r="C59" s="113"/>
      <c r="D59" s="116" t="s">
        <v>157</v>
      </c>
      <c r="E59" s="116"/>
      <c r="F59" s="116"/>
      <c r="G59" s="116"/>
      <c r="H59" s="116"/>
    </row>
    <row r="60" spans="1:14" ht="15.75" customHeight="1" x14ac:dyDescent="0.3">
      <c r="A60" s="79" t="s">
        <v>48</v>
      </c>
      <c r="B60" s="79"/>
      <c r="C60" s="79"/>
      <c r="D60" s="121" t="s">
        <v>190</v>
      </c>
      <c r="E60" s="121"/>
      <c r="F60" s="121"/>
      <c r="G60" s="121"/>
      <c r="H60" s="121"/>
      <c r="J60" s="26"/>
      <c r="K60" s="25"/>
      <c r="N60" s="25"/>
    </row>
    <row r="61" spans="1:14" ht="15.75" customHeight="1" x14ac:dyDescent="0.3">
      <c r="A61" s="79" t="s">
        <v>92</v>
      </c>
      <c r="B61" s="79"/>
      <c r="C61" s="79"/>
      <c r="D61" s="165" t="str">
        <f>(IF(G52="NA","60 Years After Completion",IF(G52&lt;&gt;"NA",""&amp;60-ROUNDDOWN((E3-G52)/360,0)&amp;" Years"," ")))</f>
        <v>60 Years After Completion</v>
      </c>
      <c r="E61" s="165"/>
      <c r="F61" s="165"/>
      <c r="G61" s="165"/>
      <c r="H61" s="165"/>
      <c r="N61" s="25"/>
    </row>
    <row r="62" spans="1:14" ht="15.75" customHeight="1" x14ac:dyDescent="0.3">
      <c r="A62" s="79" t="s">
        <v>93</v>
      </c>
      <c r="B62" s="79"/>
      <c r="C62" s="79"/>
      <c r="D62" s="121" t="s">
        <v>24</v>
      </c>
      <c r="E62" s="121"/>
      <c r="F62" s="121"/>
      <c r="G62" s="121"/>
      <c r="H62" s="121"/>
      <c r="J62" s="27"/>
      <c r="K62" s="27"/>
    </row>
    <row r="63" spans="1:14" x14ac:dyDescent="0.3">
      <c r="A63" s="79" t="s">
        <v>79</v>
      </c>
      <c r="B63" s="79"/>
      <c r="C63" s="79"/>
      <c r="D63" s="77" t="s">
        <v>213</v>
      </c>
      <c r="E63" s="121"/>
      <c r="F63" s="121"/>
      <c r="G63" s="121"/>
      <c r="H63" s="121"/>
    </row>
    <row r="64" spans="1:14" x14ac:dyDescent="0.3">
      <c r="A64" s="121" t="s">
        <v>158</v>
      </c>
      <c r="B64" s="121"/>
      <c r="C64" s="121"/>
      <c r="D64" s="121" t="s">
        <v>30</v>
      </c>
      <c r="E64" s="121"/>
      <c r="F64" s="121"/>
      <c r="G64" s="121"/>
      <c r="H64" s="121"/>
      <c r="I64" s="28"/>
      <c r="J64" s="28"/>
      <c r="K64" s="28"/>
      <c r="L64" s="28"/>
      <c r="M64" s="28"/>
      <c r="N64" s="28"/>
    </row>
    <row r="65" spans="1:10" ht="15.75" customHeight="1" x14ac:dyDescent="0.3">
      <c r="A65" s="135" t="s">
        <v>91</v>
      </c>
      <c r="B65" s="135"/>
      <c r="C65" s="135"/>
      <c r="D65" s="114" t="str">
        <f ca="1">(IF(G71&gt;95%,"Nothing",IF(G71&gt;0%,"Cement, Aggregate, Steel, etc",IF(G71=0%,"Work not yet Started"))))</f>
        <v>Cement, Aggregate, Steel, etc</v>
      </c>
      <c r="E65" s="114"/>
      <c r="F65" s="114"/>
      <c r="G65" s="114"/>
      <c r="H65" s="114"/>
      <c r="J65" s="27"/>
    </row>
    <row r="66" spans="1:10" ht="33.75" customHeight="1" thickBot="1" x14ac:dyDescent="0.35">
      <c r="A66" s="121" t="s">
        <v>123</v>
      </c>
      <c r="B66" s="121"/>
      <c r="C66" s="121"/>
      <c r="D66" s="77" t="str">
        <f ca="1">(IF(D65="Nothing","Yes",IF(D65="Cement, Aggregate, Steel, etc","Under Construction",IF(D65="Work not yet Started","Work not yet Started"))))</f>
        <v>Under Construction</v>
      </c>
      <c r="E66" s="77"/>
      <c r="F66" s="77" t="str">
        <f ca="1">(IF(D65="Nothing","Yes",IF(D65="Cement, Aggregate, Steel, etc","Under Construction",IF(D65="Work not yet Started","Work not yet Started"))))</f>
        <v>Under Construction</v>
      </c>
      <c r="G66" s="77"/>
      <c r="H66" s="77"/>
    </row>
    <row r="67" spans="1:10" ht="15.75" customHeight="1" x14ac:dyDescent="0.3">
      <c r="A67" s="134" t="s">
        <v>148</v>
      </c>
      <c r="B67" s="134"/>
      <c r="C67" s="134" t="str">
        <f>D57</f>
        <v>Gr/Stilt + 1st to 22nd Floor</v>
      </c>
      <c r="D67" s="134"/>
      <c r="E67" s="134"/>
      <c r="F67" s="134"/>
      <c r="G67" s="134"/>
      <c r="H67" s="134"/>
      <c r="I67" s="6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19 Floor, Painting upto 18 Floor, Finishing upto 8 Floor Completed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19 Floor, Painting upto 18 Floor, Finishing upto 8 Floor</v>
      </c>
    </row>
    <row r="68" spans="1:10" x14ac:dyDescent="0.3">
      <c r="A68" s="48" t="s">
        <v>150</v>
      </c>
      <c r="B68" s="48">
        <v>0</v>
      </c>
      <c r="C68" s="48" t="s">
        <v>76</v>
      </c>
      <c r="D68" s="48">
        <v>1</v>
      </c>
      <c r="E68" s="48" t="s">
        <v>75</v>
      </c>
      <c r="F68" s="48">
        <v>0</v>
      </c>
      <c r="G68" s="48" t="s">
        <v>85</v>
      </c>
      <c r="H68" s="48">
        <f ca="1">--TRIM(RIGHT(SUBSTITUTE(LEFT(C67,_xlfn.AGGREGATE(16,6,FIND({0,1,2,3,4,5,6,7,8,9},C67,ROW(INDIRECT("1:"&amp;LEN(C67)))),1))," ",REPT(" ",LEN(C67))),LEN(C67)))</f>
        <v>22</v>
      </c>
      <c r="I68" s="6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" customHeight="1" x14ac:dyDescent="0.3">
      <c r="A69" s="138" t="s">
        <v>95</v>
      </c>
      <c r="B69" s="138"/>
      <c r="C69" s="134" t="str">
        <f ca="1">I67</f>
        <v>Excavation, Plinth, RCC Slab, Brickwork, Internal Plaster, External Plaster Completed, Flooring upto 19 Floor, Painting upto 18 Floor, Finishing upto 8 Floor Completed</v>
      </c>
      <c r="D69" s="134"/>
      <c r="E69" s="134"/>
      <c r="F69" s="134"/>
      <c r="G69" s="134"/>
      <c r="H69" s="134"/>
      <c r="I69" s="66" t="str">
        <f ca="1">IF(I68&lt;&gt;""," Completed","")</f>
        <v xml:space="preserve"> Completed</v>
      </c>
      <c r="J69" s="54" t="str">
        <f ca="1">IF(J67&lt;&gt;"","Completed","")</f>
        <v>Completed</v>
      </c>
    </row>
    <row r="70" spans="1:10" ht="15.75" customHeight="1" x14ac:dyDescent="0.3">
      <c r="A70" s="98" t="s">
        <v>52</v>
      </c>
      <c r="B70" s="98"/>
      <c r="C70" s="56" t="s">
        <v>147</v>
      </c>
      <c r="D70" s="56" t="s">
        <v>88</v>
      </c>
      <c r="E70" s="98" t="s">
        <v>90</v>
      </c>
      <c r="F70" s="98"/>
      <c r="G70" s="98" t="s">
        <v>89</v>
      </c>
      <c r="H70" s="98"/>
      <c r="I70" s="14" t="s">
        <v>149</v>
      </c>
      <c r="J70" s="29">
        <f ca="1">H68*25%</f>
        <v>5.5</v>
      </c>
    </row>
    <row r="71" spans="1:10" x14ac:dyDescent="0.3">
      <c r="A71" s="97" t="s">
        <v>136</v>
      </c>
      <c r="B71" s="98"/>
      <c r="C71" s="56">
        <f ca="1">J72</f>
        <v>22</v>
      </c>
      <c r="D71" s="57">
        <f ca="1">((100/H68)*C71)/100</f>
        <v>1.0000000000000002</v>
      </c>
      <c r="E71" s="154">
        <f ca="1">(((C72/H68*10)+(40/(D68+F68+H68)*C73)+(7.5/(H68)*C74)+(7.5/(H68)*C75)+(10/H68*C76)+(10/H68*C77)+(5/H68*C78)+(5/H68*C79)+(5/H68*C80))/100)</f>
        <v>0.8954545454545455</v>
      </c>
      <c r="F71" s="155"/>
      <c r="G71" s="154">
        <f ca="1">((((C71/H68)*20)+((C72/H68)*25)+(30/(H68+F68+D68)*C73)+(5/H68*C74)+(5/H68*C75)+(5/H68*C76)+(5/H68*C77)+(0/H68*C78)+(0/H68*C79)+(5/H68*C80))/100)</f>
        <v>0.94318181818181812</v>
      </c>
      <c r="H71" s="160"/>
      <c r="I71" s="14" t="s">
        <v>105</v>
      </c>
      <c r="J71" s="30">
        <f ca="1">H68*50%</f>
        <v>11</v>
      </c>
    </row>
    <row r="72" spans="1:10" x14ac:dyDescent="0.3">
      <c r="A72" s="97" t="s">
        <v>53</v>
      </c>
      <c r="B72" s="98"/>
      <c r="C72" s="60">
        <f ca="1">J80</f>
        <v>22</v>
      </c>
      <c r="D72" s="57">
        <f ca="1">((100/H68)*C72)/100</f>
        <v>1.0000000000000002</v>
      </c>
      <c r="E72" s="156"/>
      <c r="F72" s="157"/>
      <c r="G72" s="156"/>
      <c r="H72" s="161"/>
      <c r="I72" s="14" t="s">
        <v>106</v>
      </c>
      <c r="J72" s="30">
        <f ca="1">H68</f>
        <v>22</v>
      </c>
    </row>
    <row r="73" spans="1:10" ht="15.75" customHeight="1" x14ac:dyDescent="0.3">
      <c r="A73" s="97" t="s">
        <v>137</v>
      </c>
      <c r="B73" s="98"/>
      <c r="C73" s="56">
        <v>23</v>
      </c>
      <c r="D73" s="57">
        <f ca="1">((100/(D68+F68+H68))*C73)/100</f>
        <v>1</v>
      </c>
      <c r="E73" s="156"/>
      <c r="F73" s="157"/>
      <c r="G73" s="156"/>
      <c r="H73" s="161"/>
      <c r="I73" s="14" t="s">
        <v>107</v>
      </c>
      <c r="J73" s="31">
        <f ca="1">(IF(B68&gt;1,(H68/(B68+2)),H68/4))</f>
        <v>5.5</v>
      </c>
    </row>
    <row r="74" spans="1:10" ht="15.75" customHeight="1" x14ac:dyDescent="0.3">
      <c r="A74" s="97" t="s">
        <v>144</v>
      </c>
      <c r="B74" s="98" t="s">
        <v>138</v>
      </c>
      <c r="C74" s="56">
        <v>22</v>
      </c>
      <c r="D74" s="57">
        <f ca="1">((100/H68)*C74)/100</f>
        <v>1.0000000000000002</v>
      </c>
      <c r="E74" s="156"/>
      <c r="F74" s="157"/>
      <c r="G74" s="156"/>
      <c r="H74" s="161"/>
      <c r="I74" s="14" t="s">
        <v>108</v>
      </c>
      <c r="J74" s="31">
        <f ca="1">(IF(B68&gt;1,(H68/(B68+2)+J73),H68/4+J73))</f>
        <v>11</v>
      </c>
    </row>
    <row r="75" spans="1:10" ht="15.75" customHeight="1" x14ac:dyDescent="0.3">
      <c r="A75" s="97" t="s">
        <v>145</v>
      </c>
      <c r="B75" s="98" t="s">
        <v>138</v>
      </c>
      <c r="C75" s="56">
        <v>22</v>
      </c>
      <c r="D75" s="57">
        <f ca="1">((100/H68)*C75)/100</f>
        <v>1.0000000000000002</v>
      </c>
      <c r="E75" s="156"/>
      <c r="F75" s="157"/>
      <c r="G75" s="156"/>
      <c r="H75" s="161"/>
      <c r="I75" s="14" t="s">
        <v>154</v>
      </c>
      <c r="J75" s="31">
        <f>(IF(B68&gt;1,(H68/(B68+2)+J74),0))</f>
        <v>0</v>
      </c>
    </row>
    <row r="76" spans="1:10" ht="15" customHeight="1" x14ac:dyDescent="0.3">
      <c r="A76" s="97" t="s">
        <v>143</v>
      </c>
      <c r="B76" s="98" t="s">
        <v>140</v>
      </c>
      <c r="C76" s="56">
        <v>22</v>
      </c>
      <c r="D76" s="57">
        <f ca="1">((100/(H68))*C76)/100</f>
        <v>1.0000000000000002</v>
      </c>
      <c r="E76" s="156"/>
      <c r="F76" s="157"/>
      <c r="G76" s="156"/>
      <c r="H76" s="161"/>
      <c r="I76" s="14" t="s">
        <v>151</v>
      </c>
      <c r="J76" s="31">
        <f>(IF(B68&gt;2,(H68/(B68+2)+J75),0))</f>
        <v>0</v>
      </c>
    </row>
    <row r="77" spans="1:10" ht="15.75" customHeight="1" x14ac:dyDescent="0.3">
      <c r="A77" s="97" t="s">
        <v>139</v>
      </c>
      <c r="B77" s="98" t="s">
        <v>139</v>
      </c>
      <c r="C77" s="56">
        <v>19</v>
      </c>
      <c r="D77" s="57">
        <f ca="1">((100/H68)*C77)/100</f>
        <v>0.86363636363636376</v>
      </c>
      <c r="E77" s="156"/>
      <c r="F77" s="157"/>
      <c r="G77" s="156"/>
      <c r="H77" s="161"/>
      <c r="I77" s="14" t="s">
        <v>152</v>
      </c>
      <c r="J77" s="32">
        <f>(IF(B68&gt;3,(H68/(B68+2)+J76),0))</f>
        <v>0</v>
      </c>
    </row>
    <row r="78" spans="1:10" ht="15.75" customHeight="1" x14ac:dyDescent="0.3">
      <c r="A78" s="97" t="s">
        <v>146</v>
      </c>
      <c r="B78" s="98"/>
      <c r="C78" s="56">
        <v>18</v>
      </c>
      <c r="D78" s="57">
        <f ca="1">((100/H68)*C78)/100</f>
        <v>0.81818181818181823</v>
      </c>
      <c r="E78" s="156"/>
      <c r="F78" s="157"/>
      <c r="G78" s="156"/>
      <c r="H78" s="161"/>
      <c r="I78" s="14" t="s">
        <v>153</v>
      </c>
      <c r="J78" s="31">
        <f>(IF(B68&gt;4,(H68/(B68+2)+J77),0))</f>
        <v>0</v>
      </c>
    </row>
    <row r="79" spans="1:10" ht="15.75" customHeight="1" x14ac:dyDescent="0.3">
      <c r="A79" s="97" t="s">
        <v>141</v>
      </c>
      <c r="B79" s="98" t="s">
        <v>141</v>
      </c>
      <c r="C79" s="56">
        <v>8</v>
      </c>
      <c r="D79" s="57">
        <f ca="1">((100/(H68))*C79)/100</f>
        <v>0.36363636363636365</v>
      </c>
      <c r="E79" s="156"/>
      <c r="F79" s="157"/>
      <c r="G79" s="156"/>
      <c r="H79" s="161"/>
      <c r="I79" s="14" t="s">
        <v>155</v>
      </c>
      <c r="J79" s="31">
        <f ca="1">(IF(B68=1,(H68/(B68+3)+J74),IF(B68=0,(H68/4+J74),IF(B68&gt;1,0))))</f>
        <v>16.5</v>
      </c>
    </row>
    <row r="80" spans="1:10" ht="16.2" thickBot="1" x14ac:dyDescent="0.35">
      <c r="A80" s="163" t="s">
        <v>142</v>
      </c>
      <c r="B80" s="164"/>
      <c r="C80" s="58">
        <v>0</v>
      </c>
      <c r="D80" s="59">
        <f ca="1">((100/(H68))*C80)/100</f>
        <v>0</v>
      </c>
      <c r="E80" s="158"/>
      <c r="F80" s="159"/>
      <c r="G80" s="158"/>
      <c r="H80" s="162"/>
      <c r="I80" s="16" t="s">
        <v>109</v>
      </c>
      <c r="J80" s="33">
        <f ca="1">(IF(B68&gt;1.5,(H68/(B68+2)+J74+MAX(0,J75-J74)+MAX(0,J76-J75)+MAX(0,J77-J76)+MAX(0,J78-J77)+MAX(0,J79-J78)),IF(B68=1,(H68/(B68+3)+J79),IF(B68=0,H68/4+J79))))</f>
        <v>22</v>
      </c>
    </row>
    <row r="81" spans="1:10" ht="15.75" hidden="1" customHeight="1" x14ac:dyDescent="0.3">
      <c r="A81" s="92" t="s">
        <v>148</v>
      </c>
      <c r="B81" s="93"/>
      <c r="C81" s="94" t="str">
        <f>D58</f>
        <v>B Wing = G + 1st to 20th Floor</v>
      </c>
      <c r="D81" s="95"/>
      <c r="E81" s="95"/>
      <c r="F81" s="95"/>
      <c r="G81" s="95"/>
      <c r="H81" s="96"/>
      <c r="I81" s="51" t="str">
        <f ca="1">IF(D94=100%,"All work Completed. Possession granted to the Building.",IF(D93=100%,"All work Completed, Waiting for OC",I82&amp;""&amp;I83&amp;""&amp;J82&amp;""&amp;J81&amp;" "&amp;J83))</f>
        <v xml:space="preserve">Excavation, Plinth, RCC Slab Completed 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">
      <c r="A82" s="17" t="s">
        <v>150</v>
      </c>
      <c r="B82" s="15">
        <v>0</v>
      </c>
      <c r="C82" s="48" t="s">
        <v>76</v>
      </c>
      <c r="D82" s="48">
        <v>1</v>
      </c>
      <c r="E82" s="48" t="s">
        <v>75</v>
      </c>
      <c r="F82" s="15">
        <v>0</v>
      </c>
      <c r="G82" s="49" t="s">
        <v>85</v>
      </c>
      <c r="H82" s="18">
        <f ca="1">--TRIM(RIGHT(SUBSTITUTE(LEFT(C81,_xlfn.AGGREGATE(16,6,FIND({0,1,2,3,4,5,6,7,8,9},C81,ROW(INDIRECT("1:"&amp;LEN(C81)))),1))," ",REPT(" ",LEN(C81))),LEN(C81)))</f>
        <v>20</v>
      </c>
      <c r="I82" s="5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</v>
      </c>
      <c r="J82" s="5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75" hidden="1" customHeight="1" x14ac:dyDescent="0.3">
      <c r="A83" s="185" t="s">
        <v>95</v>
      </c>
      <c r="B83" s="138"/>
      <c r="C83" s="134" t="str">
        <f ca="1">(IF($G$52="NA",I81,"All work Completed. OC Received."))</f>
        <v xml:space="preserve">Excavation, Plinth, RCC Slab Completed </v>
      </c>
      <c r="D83" s="134"/>
      <c r="E83" s="134"/>
      <c r="F83" s="134"/>
      <c r="G83" s="134"/>
      <c r="H83" s="186"/>
      <c r="I83" s="53" t="str">
        <f ca="1">IF(I82&lt;&gt;""," Completed","")</f>
        <v xml:space="preserve"> Completed</v>
      </c>
      <c r="J83" s="54" t="str">
        <f ca="1">IF(J81&lt;&gt;"","Completed","")</f>
        <v/>
      </c>
    </row>
    <row r="84" spans="1:10" ht="15.75" hidden="1" customHeight="1" x14ac:dyDescent="0.3">
      <c r="A84" s="90" t="s">
        <v>52</v>
      </c>
      <c r="B84" s="91"/>
      <c r="C84" s="44" t="s">
        <v>147</v>
      </c>
      <c r="D84" s="44" t="s">
        <v>88</v>
      </c>
      <c r="E84" s="91" t="s">
        <v>90</v>
      </c>
      <c r="F84" s="91"/>
      <c r="G84" s="91" t="s">
        <v>89</v>
      </c>
      <c r="H84" s="187"/>
      <c r="I84" s="14" t="s">
        <v>149</v>
      </c>
      <c r="J84" s="29">
        <f ca="1">H82*25%</f>
        <v>5</v>
      </c>
    </row>
    <row r="85" spans="1:10" hidden="1" x14ac:dyDescent="0.3">
      <c r="A85" s="90" t="s">
        <v>136</v>
      </c>
      <c r="B85" s="91"/>
      <c r="C85" s="44">
        <f ca="1">J86</f>
        <v>20</v>
      </c>
      <c r="D85" s="20">
        <f ca="1">((100/H82)*C85)/100</f>
        <v>1</v>
      </c>
      <c r="E85" s="171">
        <f ca="1">(((C86/H82*10)+(40/(D82+F82+H82)*C87)+(7.5/(H82)*C88)+(7.5/(H82)*C89)+(10/H82*C90)+(10/H82*C91)+(5/H82*C92)+(5/H82*C93)+(5/H82*C94))/100)</f>
        <v>0.5</v>
      </c>
      <c r="F85" s="172"/>
      <c r="G85" s="171">
        <f ca="1">((((C85/H82)*20)+((C86/H82)*25)+(30/(H82+F82+D82)*C87)+(5/H82*C88)+(5/H82*C89)+(5/H82*C90)+(5/H82*C91)+(0/H82*C92)+(0/H82*C93)+(5/H82*C94))/100)</f>
        <v>0.75</v>
      </c>
      <c r="H85" s="189"/>
      <c r="I85" s="14" t="s">
        <v>105</v>
      </c>
      <c r="J85" s="30">
        <f ca="1">H82*50%</f>
        <v>10</v>
      </c>
    </row>
    <row r="86" spans="1:10" hidden="1" x14ac:dyDescent="0.3">
      <c r="A86" s="90" t="s">
        <v>53</v>
      </c>
      <c r="B86" s="91"/>
      <c r="C86" s="44">
        <f ca="1">J94</f>
        <v>20</v>
      </c>
      <c r="D86" s="20">
        <f ca="1">((100/H82)*C86)/100</f>
        <v>1</v>
      </c>
      <c r="E86" s="173"/>
      <c r="F86" s="174"/>
      <c r="G86" s="173"/>
      <c r="H86" s="190"/>
      <c r="I86" s="14" t="s">
        <v>106</v>
      </c>
      <c r="J86" s="30">
        <f ca="1">H82</f>
        <v>20</v>
      </c>
    </row>
    <row r="87" spans="1:10" ht="15.75" hidden="1" customHeight="1" x14ac:dyDescent="0.3">
      <c r="A87" s="90" t="s">
        <v>137</v>
      </c>
      <c r="B87" s="91"/>
      <c r="C87" s="44">
        <f ca="1">D82+H82</f>
        <v>21</v>
      </c>
      <c r="D87" s="20">
        <f ca="1">((100/(D82+F82+H82))*C87)/100</f>
        <v>1</v>
      </c>
      <c r="E87" s="173"/>
      <c r="F87" s="174"/>
      <c r="G87" s="173"/>
      <c r="H87" s="190"/>
      <c r="I87" s="14" t="s">
        <v>107</v>
      </c>
      <c r="J87" s="31">
        <f ca="1">(IF(B82&gt;1,(H82/(B82+2)),H82/4))</f>
        <v>5</v>
      </c>
    </row>
    <row r="88" spans="1:10" ht="15.75" hidden="1" customHeight="1" x14ac:dyDescent="0.3">
      <c r="A88" s="90" t="s">
        <v>144</v>
      </c>
      <c r="B88" s="91" t="s">
        <v>138</v>
      </c>
      <c r="C88" s="44">
        <v>0</v>
      </c>
      <c r="D88" s="20">
        <f ca="1">((100/H82)*C88)/100</f>
        <v>0</v>
      </c>
      <c r="E88" s="173"/>
      <c r="F88" s="174"/>
      <c r="G88" s="173"/>
      <c r="H88" s="190"/>
      <c r="I88" s="14" t="s">
        <v>108</v>
      </c>
      <c r="J88" s="31">
        <f ca="1">(IF(B82&gt;1,(H82/(B82+2)+J87),H82/4+J87))</f>
        <v>10</v>
      </c>
    </row>
    <row r="89" spans="1:10" ht="15.75" hidden="1" customHeight="1" x14ac:dyDescent="0.3">
      <c r="A89" s="90" t="s">
        <v>145</v>
      </c>
      <c r="B89" s="91" t="s">
        <v>138</v>
      </c>
      <c r="C89" s="44">
        <v>0</v>
      </c>
      <c r="D89" s="20">
        <f ca="1">((100/H82)*C89)/100</f>
        <v>0</v>
      </c>
      <c r="E89" s="173"/>
      <c r="F89" s="174"/>
      <c r="G89" s="173"/>
      <c r="H89" s="190"/>
      <c r="I89" s="14" t="s">
        <v>154</v>
      </c>
      <c r="J89" s="31">
        <f>(IF(B82&gt;1,(H82/(B82+2)+J88),0))</f>
        <v>0</v>
      </c>
    </row>
    <row r="90" spans="1:10" ht="15" hidden="1" customHeight="1" x14ac:dyDescent="0.3">
      <c r="A90" s="90" t="s">
        <v>143</v>
      </c>
      <c r="B90" s="91" t="s">
        <v>140</v>
      </c>
      <c r="C90" s="44">
        <v>0</v>
      </c>
      <c r="D90" s="20">
        <f ca="1">((100/(H82))*C90)/100</f>
        <v>0</v>
      </c>
      <c r="E90" s="173"/>
      <c r="F90" s="174"/>
      <c r="G90" s="173"/>
      <c r="H90" s="190"/>
      <c r="I90" s="14" t="s">
        <v>151</v>
      </c>
      <c r="J90" s="31">
        <f>(IF(B82&gt;2,(H82/(B82+2)+J89),0))</f>
        <v>0</v>
      </c>
    </row>
    <row r="91" spans="1:10" ht="15.75" hidden="1" customHeight="1" x14ac:dyDescent="0.3">
      <c r="A91" s="90" t="s">
        <v>139</v>
      </c>
      <c r="B91" s="91" t="s">
        <v>139</v>
      </c>
      <c r="C91" s="44">
        <v>0</v>
      </c>
      <c r="D91" s="20">
        <f ca="1">((100/H82)*C91)/100</f>
        <v>0</v>
      </c>
      <c r="E91" s="173"/>
      <c r="F91" s="174"/>
      <c r="G91" s="173"/>
      <c r="H91" s="190"/>
      <c r="I91" s="14" t="s">
        <v>152</v>
      </c>
      <c r="J91" s="32">
        <f>(IF(B82&gt;3,(H82/(B82+2)+J90),0))</f>
        <v>0</v>
      </c>
    </row>
    <row r="92" spans="1:10" ht="15.75" hidden="1" customHeight="1" x14ac:dyDescent="0.3">
      <c r="A92" s="90" t="s">
        <v>146</v>
      </c>
      <c r="B92" s="91"/>
      <c r="C92" s="44">
        <v>0</v>
      </c>
      <c r="D92" s="20">
        <f ca="1">((100/H82)*C92)/100</f>
        <v>0</v>
      </c>
      <c r="E92" s="173"/>
      <c r="F92" s="174"/>
      <c r="G92" s="173"/>
      <c r="H92" s="190"/>
      <c r="I92" s="14" t="s">
        <v>153</v>
      </c>
      <c r="J92" s="31">
        <f>(IF(B82&gt;4,(H82/(B82+2)+J91),0))</f>
        <v>0</v>
      </c>
    </row>
    <row r="93" spans="1:10" ht="15.75" hidden="1" customHeight="1" x14ac:dyDescent="0.3">
      <c r="A93" s="90" t="s">
        <v>141</v>
      </c>
      <c r="B93" s="91" t="s">
        <v>141</v>
      </c>
      <c r="C93" s="44">
        <v>0</v>
      </c>
      <c r="D93" s="20">
        <f ca="1">((100/(H82))*C93)/100</f>
        <v>0</v>
      </c>
      <c r="E93" s="173"/>
      <c r="F93" s="174"/>
      <c r="G93" s="173"/>
      <c r="H93" s="190"/>
      <c r="I93" s="14" t="s">
        <v>155</v>
      </c>
      <c r="J93" s="31">
        <f ca="1">(IF(B82=1,(H82/(B82+3)+J88),IF(B82=0,(H82/4+J88),IF(B82&gt;1,0))))</f>
        <v>15</v>
      </c>
    </row>
    <row r="94" spans="1:10" ht="16.2" hidden="1" thickBot="1" x14ac:dyDescent="0.35">
      <c r="A94" s="101" t="s">
        <v>142</v>
      </c>
      <c r="B94" s="102"/>
      <c r="C94" s="45">
        <v>0</v>
      </c>
      <c r="D94" s="21">
        <f ca="1">((100/(H82))*C94)/100</f>
        <v>0</v>
      </c>
      <c r="E94" s="175"/>
      <c r="F94" s="176"/>
      <c r="G94" s="175"/>
      <c r="H94" s="191"/>
      <c r="I94" s="16" t="s">
        <v>109</v>
      </c>
      <c r="J94" s="33">
        <f ca="1">(IF(B82&gt;1.5,(H82/(B82+2)+J88+MAX(0,J89-J88)+MAX(0,J90-J89)+MAX(0,J91-J90)+MAX(0,J92-J91)+MAX(0,J93-J92)),IF(B82=1,(H82/(B82+3)+J93),IF(B82=0,H82/4+J93))))</f>
        <v>20</v>
      </c>
    </row>
    <row r="95" spans="1:10" ht="15.75" hidden="1" customHeight="1" x14ac:dyDescent="0.3">
      <c r="A95" s="92" t="s">
        <v>148</v>
      </c>
      <c r="B95" s="93"/>
      <c r="C95" s="94" t="str">
        <f>D59</f>
        <v>C Wing = G + 1st to 20th Floor</v>
      </c>
      <c r="D95" s="95"/>
      <c r="E95" s="95"/>
      <c r="F95" s="95"/>
      <c r="G95" s="95"/>
      <c r="H95" s="96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">
      <c r="A96" s="17" t="s">
        <v>150</v>
      </c>
      <c r="B96" s="15">
        <v>0</v>
      </c>
      <c r="C96" s="48" t="s">
        <v>76</v>
      </c>
      <c r="D96" s="48">
        <v>1</v>
      </c>
      <c r="E96" s="48" t="s">
        <v>75</v>
      </c>
      <c r="F96" s="15">
        <v>0</v>
      </c>
      <c r="G96" s="49" t="s">
        <v>85</v>
      </c>
      <c r="H96" s="18">
        <f ca="1">--TRIM(RIGHT(SUBSTITUTE(LEFT(C95,_xlfn.AGGREGATE(16,6,FIND({0,1,2,3,4,5,6,7,8,9},C95,ROW(INDIRECT("1:"&amp;LEN(C95)))),1))," ",REPT(" ",LEN(C95))),LEN(C95)))</f>
        <v>20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" hidden="1" customHeight="1" x14ac:dyDescent="0.3">
      <c r="A97" s="185" t="s">
        <v>95</v>
      </c>
      <c r="B97" s="138"/>
      <c r="C97" s="134" t="str">
        <f ca="1">(IF($G$52="NA",I95,"All work Completed. OC Received."))</f>
        <v xml:space="preserve">Excavation, Plinth, RCC Slab Completed </v>
      </c>
      <c r="D97" s="134"/>
      <c r="E97" s="134"/>
      <c r="F97" s="134"/>
      <c r="G97" s="134"/>
      <c r="H97" s="186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0" ht="15.75" hidden="1" customHeight="1" x14ac:dyDescent="0.3">
      <c r="A98" s="90" t="s">
        <v>52</v>
      </c>
      <c r="B98" s="91"/>
      <c r="C98" s="44" t="s">
        <v>147</v>
      </c>
      <c r="D98" s="44" t="s">
        <v>88</v>
      </c>
      <c r="E98" s="91" t="s">
        <v>90</v>
      </c>
      <c r="F98" s="91"/>
      <c r="G98" s="91" t="s">
        <v>89</v>
      </c>
      <c r="H98" s="187"/>
      <c r="I98" s="14" t="s">
        <v>149</v>
      </c>
      <c r="J98" s="29">
        <f ca="1">H96*25%</f>
        <v>5</v>
      </c>
    </row>
    <row r="99" spans="1:10" hidden="1" x14ac:dyDescent="0.3">
      <c r="A99" s="90" t="s">
        <v>136</v>
      </c>
      <c r="B99" s="91"/>
      <c r="C99" s="44">
        <f ca="1">J100</f>
        <v>20</v>
      </c>
      <c r="D99" s="20">
        <f ca="1">((100/H96)*C99)/100</f>
        <v>1</v>
      </c>
      <c r="E99" s="171">
        <f ca="1">(((C100/H96*10)+(40/(D96+F96+H96)*C101)+(7.5/(H96)*C102)+(7.5/(H96)*C103)+(10/H96*C104)+(10/H96*C105)+(5/H96*C106)+(5/H96*C107)+(5/H96*C108))/100)</f>
        <v>0.5</v>
      </c>
      <c r="F99" s="172"/>
      <c r="G99" s="171">
        <f ca="1">((((C99/H96)*20)+((C100/H96)*25)+(30/(H96+F96+D96)*C101)+(5/H96*C102)+(5/H96*C103)+(5/H96*C104)+(5/H96*C105)+(0/H96*C106)+(0/H96*C107)+(5/H96*C108))/100)</f>
        <v>0.75</v>
      </c>
      <c r="H99" s="189"/>
      <c r="I99" s="14" t="s">
        <v>105</v>
      </c>
      <c r="J99" s="30">
        <f ca="1">H96*50%</f>
        <v>10</v>
      </c>
    </row>
    <row r="100" spans="1:10" hidden="1" x14ac:dyDescent="0.3">
      <c r="A100" s="90" t="s">
        <v>53</v>
      </c>
      <c r="B100" s="91"/>
      <c r="C100" s="44">
        <f ca="1">J108</f>
        <v>20</v>
      </c>
      <c r="D100" s="20">
        <f ca="1">((100/H96)*C100)/100</f>
        <v>1</v>
      </c>
      <c r="E100" s="173"/>
      <c r="F100" s="174"/>
      <c r="G100" s="173"/>
      <c r="H100" s="190"/>
      <c r="I100" s="14" t="s">
        <v>106</v>
      </c>
      <c r="J100" s="30">
        <f ca="1">H96</f>
        <v>20</v>
      </c>
    </row>
    <row r="101" spans="1:10" ht="15.75" hidden="1" customHeight="1" x14ac:dyDescent="0.3">
      <c r="A101" s="90" t="s">
        <v>137</v>
      </c>
      <c r="B101" s="91"/>
      <c r="C101" s="44">
        <f ca="1">D96+H96</f>
        <v>21</v>
      </c>
      <c r="D101" s="20">
        <f ca="1">((100/(D96+F96+H96))*C101)/100</f>
        <v>1</v>
      </c>
      <c r="E101" s="173"/>
      <c r="F101" s="174"/>
      <c r="G101" s="173"/>
      <c r="H101" s="190"/>
      <c r="I101" s="14" t="s">
        <v>107</v>
      </c>
      <c r="J101" s="31">
        <f ca="1">(IF(B96&gt;1,(H96/(B96+2)),H96/4))</f>
        <v>5</v>
      </c>
    </row>
    <row r="102" spans="1:10" ht="15.75" hidden="1" customHeight="1" x14ac:dyDescent="0.3">
      <c r="A102" s="90" t="s">
        <v>144</v>
      </c>
      <c r="B102" s="91" t="s">
        <v>138</v>
      </c>
      <c r="C102" s="44">
        <v>0</v>
      </c>
      <c r="D102" s="20">
        <f ca="1">((100/H96)*C102)/100</f>
        <v>0</v>
      </c>
      <c r="E102" s="173"/>
      <c r="F102" s="174"/>
      <c r="G102" s="173"/>
      <c r="H102" s="190"/>
      <c r="I102" s="14" t="s">
        <v>108</v>
      </c>
      <c r="J102" s="31">
        <f ca="1">(IF(B96&gt;1,(H96/(B96+2)+J101),H96/4+J101))</f>
        <v>10</v>
      </c>
    </row>
    <row r="103" spans="1:10" ht="15.75" hidden="1" customHeight="1" x14ac:dyDescent="0.3">
      <c r="A103" s="90" t="s">
        <v>145</v>
      </c>
      <c r="B103" s="91" t="s">
        <v>138</v>
      </c>
      <c r="C103" s="44">
        <v>0</v>
      </c>
      <c r="D103" s="20">
        <f ca="1">((100/H96)*C103)/100</f>
        <v>0</v>
      </c>
      <c r="E103" s="173"/>
      <c r="F103" s="174"/>
      <c r="G103" s="173"/>
      <c r="H103" s="190"/>
      <c r="I103" s="14" t="s">
        <v>154</v>
      </c>
      <c r="J103" s="31">
        <f>(IF(B96&gt;1,(H96/(B96+2)+J102),0))</f>
        <v>0</v>
      </c>
    </row>
    <row r="104" spans="1:10" ht="15" hidden="1" customHeight="1" x14ac:dyDescent="0.3">
      <c r="A104" s="90" t="s">
        <v>143</v>
      </c>
      <c r="B104" s="91" t="s">
        <v>140</v>
      </c>
      <c r="C104" s="44">
        <v>0</v>
      </c>
      <c r="D104" s="20">
        <f ca="1">((100/(H96))*C104)/100</f>
        <v>0</v>
      </c>
      <c r="E104" s="173"/>
      <c r="F104" s="174"/>
      <c r="G104" s="173"/>
      <c r="H104" s="190"/>
      <c r="I104" s="14" t="s">
        <v>151</v>
      </c>
      <c r="J104" s="31">
        <f>(IF(B96&gt;2,(H96/(B96+2)+J103),0))</f>
        <v>0</v>
      </c>
    </row>
    <row r="105" spans="1:10" ht="15.75" hidden="1" customHeight="1" x14ac:dyDescent="0.3">
      <c r="A105" s="90" t="s">
        <v>139</v>
      </c>
      <c r="B105" s="91" t="s">
        <v>139</v>
      </c>
      <c r="C105" s="44">
        <v>0</v>
      </c>
      <c r="D105" s="20">
        <f ca="1">((100/H96)*C105)/100</f>
        <v>0</v>
      </c>
      <c r="E105" s="173"/>
      <c r="F105" s="174"/>
      <c r="G105" s="173"/>
      <c r="H105" s="190"/>
      <c r="I105" s="14" t="s">
        <v>152</v>
      </c>
      <c r="J105" s="32">
        <f>(IF(B96&gt;3,(H96/(B96+2)+J104),0))</f>
        <v>0</v>
      </c>
    </row>
    <row r="106" spans="1:10" ht="15.75" hidden="1" customHeight="1" x14ac:dyDescent="0.3">
      <c r="A106" s="90" t="s">
        <v>146</v>
      </c>
      <c r="B106" s="91"/>
      <c r="C106" s="44">
        <v>0</v>
      </c>
      <c r="D106" s="20">
        <f ca="1">((100/H96)*C106)/100</f>
        <v>0</v>
      </c>
      <c r="E106" s="173"/>
      <c r="F106" s="174"/>
      <c r="G106" s="173"/>
      <c r="H106" s="190"/>
      <c r="I106" s="14" t="s">
        <v>153</v>
      </c>
      <c r="J106" s="31">
        <f>(IF(B96&gt;4,(H96/(B96+2)+J105),0))</f>
        <v>0</v>
      </c>
    </row>
    <row r="107" spans="1:10" ht="15.75" hidden="1" customHeight="1" x14ac:dyDescent="0.3">
      <c r="A107" s="90" t="s">
        <v>141</v>
      </c>
      <c r="B107" s="91" t="s">
        <v>141</v>
      </c>
      <c r="C107" s="44">
        <v>0</v>
      </c>
      <c r="D107" s="20">
        <f ca="1">((100/(H96))*C107)/100</f>
        <v>0</v>
      </c>
      <c r="E107" s="173"/>
      <c r="F107" s="174"/>
      <c r="G107" s="173"/>
      <c r="H107" s="190"/>
      <c r="I107" s="14" t="s">
        <v>155</v>
      </c>
      <c r="J107" s="31">
        <f ca="1">(IF(B96=1,(H96/(B96+3)+J102),IF(B96=0,(H96/4+J102),IF(B96&gt;1,0))))</f>
        <v>15</v>
      </c>
    </row>
    <row r="108" spans="1:10" ht="16.2" hidden="1" thickBot="1" x14ac:dyDescent="0.35">
      <c r="A108" s="101" t="s">
        <v>142</v>
      </c>
      <c r="B108" s="102"/>
      <c r="C108" s="45">
        <v>0</v>
      </c>
      <c r="D108" s="21">
        <f ca="1">((100/(H96))*C108)/100</f>
        <v>0</v>
      </c>
      <c r="E108" s="175"/>
      <c r="F108" s="176"/>
      <c r="G108" s="175"/>
      <c r="H108" s="191"/>
      <c r="I108" s="16" t="s">
        <v>109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0" x14ac:dyDescent="0.3">
      <c r="A109" s="188" t="s">
        <v>167</v>
      </c>
      <c r="B109" s="188"/>
      <c r="C109" s="188"/>
      <c r="D109" s="188"/>
      <c r="E109" s="188"/>
      <c r="F109" s="177" t="s">
        <v>172</v>
      </c>
      <c r="G109" s="177"/>
      <c r="H109" s="177"/>
    </row>
    <row r="110" spans="1:10" x14ac:dyDescent="0.3">
      <c r="A110" s="79" t="s">
        <v>170</v>
      </c>
      <c r="B110" s="79"/>
      <c r="C110" s="79"/>
      <c r="D110" s="79"/>
      <c r="E110" s="79"/>
      <c r="F110" s="99">
        <v>5000</v>
      </c>
      <c r="G110" s="99"/>
      <c r="H110" s="99"/>
    </row>
    <row r="111" spans="1:10" hidden="1" x14ac:dyDescent="0.3">
      <c r="A111" s="79" t="s">
        <v>169</v>
      </c>
      <c r="B111" s="79"/>
      <c r="C111" s="79"/>
      <c r="D111" s="79"/>
      <c r="E111" s="79"/>
      <c r="F111" s="99"/>
      <c r="G111" s="99"/>
      <c r="H111" s="99"/>
    </row>
    <row r="112" spans="1:10" hidden="1" x14ac:dyDescent="0.3">
      <c r="A112" s="79" t="s">
        <v>171</v>
      </c>
      <c r="B112" s="79"/>
      <c r="C112" s="79"/>
      <c r="D112" s="79"/>
      <c r="E112" s="79"/>
      <c r="F112" s="99"/>
      <c r="G112" s="99"/>
      <c r="H112" s="99"/>
    </row>
    <row r="113" spans="1:8" s="34" customFormat="1" hidden="1" x14ac:dyDescent="0.25">
      <c r="A113" s="79" t="s">
        <v>168</v>
      </c>
      <c r="B113" s="79"/>
      <c r="C113" s="79"/>
      <c r="D113" s="79"/>
      <c r="E113" s="79"/>
      <c r="F113" s="99"/>
      <c r="G113" s="99"/>
      <c r="H113" s="99"/>
    </row>
    <row r="114" spans="1:8" s="34" customFormat="1" x14ac:dyDescent="0.25">
      <c r="A114" s="79" t="s">
        <v>100</v>
      </c>
      <c r="B114" s="79"/>
      <c r="C114" s="79"/>
      <c r="D114" s="79"/>
      <c r="E114" s="79"/>
      <c r="F114" s="99">
        <v>375000</v>
      </c>
      <c r="G114" s="99"/>
      <c r="H114" s="99"/>
    </row>
    <row r="115" spans="1:8" s="34" customFormat="1" hidden="1" x14ac:dyDescent="0.25">
      <c r="A115" s="79" t="s">
        <v>101</v>
      </c>
      <c r="B115" s="79"/>
      <c r="C115" s="79"/>
      <c r="D115" s="79"/>
      <c r="E115" s="79"/>
      <c r="F115" s="99"/>
      <c r="G115" s="99"/>
      <c r="H115" s="99"/>
    </row>
    <row r="116" spans="1:8" s="34" customFormat="1" hidden="1" x14ac:dyDescent="0.25">
      <c r="A116" s="79" t="s">
        <v>173</v>
      </c>
      <c r="B116" s="79"/>
      <c r="C116" s="79"/>
      <c r="D116" s="79"/>
      <c r="E116" s="79"/>
      <c r="F116" s="99"/>
      <c r="G116" s="99"/>
      <c r="H116" s="99"/>
    </row>
    <row r="117" spans="1:8" s="34" customFormat="1" hidden="1" x14ac:dyDescent="0.25">
      <c r="A117" s="79" t="s">
        <v>102</v>
      </c>
      <c r="B117" s="79"/>
      <c r="C117" s="79"/>
      <c r="D117" s="79"/>
      <c r="E117" s="79"/>
      <c r="F117" s="99"/>
      <c r="G117" s="99"/>
      <c r="H117" s="99"/>
    </row>
    <row r="118" spans="1:8" s="34" customFormat="1" hidden="1" x14ac:dyDescent="0.25">
      <c r="A118" s="79" t="s">
        <v>103</v>
      </c>
      <c r="B118" s="79"/>
      <c r="C118" s="79"/>
      <c r="D118" s="79"/>
      <c r="E118" s="79"/>
      <c r="F118" s="99"/>
      <c r="G118" s="99"/>
      <c r="H118" s="99"/>
    </row>
    <row r="119" spans="1:8" s="34" customFormat="1" hidden="1" x14ac:dyDescent="0.25">
      <c r="A119" s="79" t="s">
        <v>104</v>
      </c>
      <c r="B119" s="79"/>
      <c r="C119" s="79"/>
      <c r="D119" s="79"/>
      <c r="E119" s="79"/>
      <c r="F119" s="99"/>
      <c r="G119" s="99"/>
      <c r="H119" s="99"/>
    </row>
    <row r="120" spans="1:8" s="34" customFormat="1" x14ac:dyDescent="0.25">
      <c r="A120" s="79" t="s">
        <v>204</v>
      </c>
      <c r="B120" s="79"/>
      <c r="C120" s="79"/>
      <c r="D120" s="79"/>
      <c r="E120" s="79"/>
      <c r="F120" s="99">
        <v>60000</v>
      </c>
      <c r="G120" s="99"/>
      <c r="H120" s="99"/>
    </row>
    <row r="121" spans="1:8" x14ac:dyDescent="0.3">
      <c r="A121" s="79" t="s">
        <v>54</v>
      </c>
      <c r="B121" s="79"/>
      <c r="C121" s="79"/>
      <c r="D121" s="79"/>
      <c r="E121" s="79"/>
      <c r="F121" s="99">
        <v>300000</v>
      </c>
      <c r="G121" s="99"/>
      <c r="H121" s="99"/>
    </row>
    <row r="122" spans="1:8" s="35" customFormat="1" x14ac:dyDescent="0.3">
      <c r="A122" s="133" t="s">
        <v>55</v>
      </c>
      <c r="B122" s="133"/>
      <c r="C122" s="133"/>
      <c r="D122" s="133"/>
      <c r="E122" s="133"/>
      <c r="F122" s="99">
        <f>F110*0.8</f>
        <v>4000</v>
      </c>
      <c r="G122" s="99"/>
      <c r="H122" s="99"/>
    </row>
    <row r="123" spans="1:8" s="36" customFormat="1" ht="15.75" hidden="1" customHeight="1" x14ac:dyDescent="0.3">
      <c r="A123" s="129" t="s">
        <v>80</v>
      </c>
      <c r="B123" s="129"/>
      <c r="C123" s="129"/>
      <c r="D123" s="129"/>
      <c r="E123" s="129"/>
      <c r="F123" s="129"/>
      <c r="G123" s="129"/>
      <c r="H123" s="129"/>
    </row>
    <row r="124" spans="1:8" s="36" customFormat="1" ht="15.75" hidden="1" customHeight="1" x14ac:dyDescent="0.3">
      <c r="A124" s="81" t="s">
        <v>56</v>
      </c>
      <c r="B124" s="81"/>
      <c r="C124" s="130" t="s">
        <v>83</v>
      </c>
      <c r="D124" s="130"/>
      <c r="E124" s="127" t="s">
        <v>57</v>
      </c>
      <c r="F124" s="127"/>
      <c r="G124" s="81" t="s">
        <v>58</v>
      </c>
      <c r="H124" s="81"/>
    </row>
    <row r="125" spans="1:8" s="36" customFormat="1" hidden="1" x14ac:dyDescent="0.3">
      <c r="A125" s="128"/>
      <c r="B125" s="128"/>
      <c r="C125" s="125"/>
      <c r="D125" s="125"/>
      <c r="E125" s="126"/>
      <c r="F125" s="126"/>
      <c r="G125" s="100"/>
      <c r="H125" s="100"/>
    </row>
    <row r="126" spans="1:8" s="36" customFormat="1" hidden="1" x14ac:dyDescent="0.3">
      <c r="A126" s="128"/>
      <c r="B126" s="128"/>
      <c r="C126" s="125"/>
      <c r="D126" s="125"/>
      <c r="E126" s="126"/>
      <c r="F126" s="126"/>
      <c r="G126" s="100"/>
      <c r="H126" s="100"/>
    </row>
    <row r="127" spans="1:8" s="36" customFormat="1" hidden="1" x14ac:dyDescent="0.3">
      <c r="A127" s="129" t="s">
        <v>160</v>
      </c>
      <c r="B127" s="129"/>
      <c r="C127" s="130"/>
      <c r="D127" s="130"/>
      <c r="E127" s="127"/>
      <c r="F127" s="127"/>
      <c r="G127" s="81"/>
      <c r="H127" s="81"/>
    </row>
    <row r="128" spans="1:8" s="36" customFormat="1" x14ac:dyDescent="0.3">
      <c r="A128" s="129" t="s">
        <v>74</v>
      </c>
      <c r="B128" s="129"/>
      <c r="C128" s="129"/>
      <c r="D128" s="129"/>
      <c r="E128" s="129"/>
      <c r="F128" s="129"/>
      <c r="G128" s="129"/>
      <c r="H128" s="129"/>
    </row>
    <row r="129" spans="1:14" s="36" customFormat="1" ht="15.75" customHeight="1" x14ac:dyDescent="0.3">
      <c r="A129" s="81" t="s">
        <v>56</v>
      </c>
      <c r="B129" s="81"/>
      <c r="C129" s="130" t="s">
        <v>83</v>
      </c>
      <c r="D129" s="130"/>
      <c r="E129" s="127" t="s">
        <v>57</v>
      </c>
      <c r="F129" s="127"/>
      <c r="G129" s="81" t="s">
        <v>58</v>
      </c>
      <c r="H129" s="81"/>
    </row>
    <row r="130" spans="1:14" s="36" customFormat="1" x14ac:dyDescent="0.3">
      <c r="A130" s="128" t="s">
        <v>194</v>
      </c>
      <c r="B130" s="128"/>
      <c r="C130" s="170">
        <f>COUNT(D145:D151)*19+COUNT(D153:D159)*3</f>
        <v>154</v>
      </c>
      <c r="D130" s="170"/>
      <c r="E130" s="170">
        <f>SUM(D145:D151)*19+SUM(D153:D159)*3</f>
        <v>78639.200639999981</v>
      </c>
      <c r="F130" s="170"/>
      <c r="G130" s="170">
        <f>SUM(F145:F151)*19+SUM(F153:F159)*3</f>
        <v>121890.76099199998</v>
      </c>
      <c r="H130" s="170"/>
    </row>
    <row r="131" spans="1:14" s="35" customFormat="1" x14ac:dyDescent="0.3">
      <c r="A131" s="137" t="s">
        <v>59</v>
      </c>
      <c r="B131" s="137"/>
      <c r="C131" s="137"/>
      <c r="D131" s="137"/>
      <c r="E131" s="137"/>
      <c r="F131" s="137"/>
      <c r="G131" s="137"/>
      <c r="H131" s="137"/>
    </row>
    <row r="132" spans="1:14" x14ac:dyDescent="0.3">
      <c r="A132" s="137" t="s">
        <v>60</v>
      </c>
      <c r="B132" s="137"/>
      <c r="C132" s="137"/>
      <c r="D132" s="137"/>
      <c r="E132" s="137"/>
      <c r="F132" s="137"/>
      <c r="G132" s="137"/>
      <c r="H132" s="137"/>
    </row>
    <row r="133" spans="1:14" ht="47.25" hidden="1" customHeight="1" x14ac:dyDescent="0.3">
      <c r="A133" s="82" t="s">
        <v>126</v>
      </c>
      <c r="B133" s="82" t="s">
        <v>125</v>
      </c>
      <c r="C133" s="82" t="s">
        <v>61</v>
      </c>
      <c r="D133" s="82" t="s">
        <v>62</v>
      </c>
      <c r="E133" s="84" t="s">
        <v>166</v>
      </c>
      <c r="F133" s="43" t="s">
        <v>159</v>
      </c>
      <c r="G133" s="86" t="s">
        <v>64</v>
      </c>
      <c r="H133" s="87"/>
    </row>
    <row r="134" spans="1:14" s="50" customFormat="1" hidden="1" x14ac:dyDescent="0.3">
      <c r="A134" s="83"/>
      <c r="B134" s="83"/>
      <c r="C134" s="83"/>
      <c r="D134" s="83"/>
      <c r="E134" s="85"/>
      <c r="F134" s="13">
        <v>0.6</v>
      </c>
      <c r="G134" s="88"/>
      <c r="H134" s="89"/>
    </row>
    <row r="135" spans="1:14" s="50" customFormat="1" hidden="1" x14ac:dyDescent="0.3">
      <c r="A135" s="72" t="s">
        <v>124</v>
      </c>
      <c r="B135" s="73"/>
      <c r="C135" s="73"/>
      <c r="D135" s="73"/>
      <c r="E135" s="73"/>
      <c r="F135" s="73"/>
      <c r="G135" s="73"/>
      <c r="H135" s="74"/>
      <c r="J135" s="37"/>
    </row>
    <row r="136" spans="1:14" s="50" customFormat="1" hidden="1" x14ac:dyDescent="0.3">
      <c r="A136" s="75">
        <v>1</v>
      </c>
      <c r="B136" s="76"/>
      <c r="C136" s="42"/>
      <c r="D136" s="42"/>
      <c r="E136" s="42">
        <v>0</v>
      </c>
      <c r="F136" s="42">
        <f>(D136+E136)*(($F$134)+1)</f>
        <v>0</v>
      </c>
      <c r="G136" s="75" t="str">
        <f>A135</f>
        <v>Ground Floor</v>
      </c>
      <c r="H136" s="76"/>
      <c r="I136" s="37"/>
      <c r="L136" s="67"/>
      <c r="M136" s="67"/>
      <c r="N136" s="37"/>
    </row>
    <row r="137" spans="1:14" s="50" customFormat="1" hidden="1" x14ac:dyDescent="0.3">
      <c r="A137" s="75">
        <f t="shared" ref="A137:A139" si="0">A136+1</f>
        <v>2</v>
      </c>
      <c r="B137" s="76"/>
      <c r="C137" s="42"/>
      <c r="D137" s="42"/>
      <c r="E137" s="42">
        <v>0</v>
      </c>
      <c r="F137" s="42">
        <f t="shared" ref="F137:F139" si="1">(D137+E137)*(($F$134)+1)</f>
        <v>0</v>
      </c>
      <c r="G137" s="75" t="str">
        <f t="shared" ref="G137:G139" si="2">G136</f>
        <v>Ground Floor</v>
      </c>
      <c r="H137" s="76"/>
      <c r="I137" s="37"/>
      <c r="L137" s="67"/>
      <c r="M137" s="67"/>
      <c r="N137" s="37"/>
    </row>
    <row r="138" spans="1:14" s="50" customFormat="1" hidden="1" x14ac:dyDescent="0.3">
      <c r="A138" s="75">
        <f t="shared" si="0"/>
        <v>3</v>
      </c>
      <c r="B138" s="76"/>
      <c r="C138" s="42"/>
      <c r="D138" s="42"/>
      <c r="E138" s="42">
        <v>0</v>
      </c>
      <c r="F138" s="42">
        <f t="shared" si="1"/>
        <v>0</v>
      </c>
      <c r="G138" s="75" t="str">
        <f t="shared" si="2"/>
        <v>Ground Floor</v>
      </c>
      <c r="H138" s="76"/>
      <c r="I138" s="37"/>
      <c r="L138" s="67"/>
      <c r="M138" s="67"/>
      <c r="N138" s="37"/>
    </row>
    <row r="139" spans="1:14" s="50" customFormat="1" hidden="1" x14ac:dyDescent="0.3">
      <c r="A139" s="75">
        <f t="shared" si="0"/>
        <v>4</v>
      </c>
      <c r="B139" s="76"/>
      <c r="C139" s="42"/>
      <c r="D139" s="42"/>
      <c r="E139" s="42">
        <v>0</v>
      </c>
      <c r="F139" s="42">
        <f t="shared" si="1"/>
        <v>0</v>
      </c>
      <c r="G139" s="75" t="str">
        <f t="shared" si="2"/>
        <v>Ground Floor</v>
      </c>
      <c r="H139" s="76"/>
      <c r="I139" s="37"/>
      <c r="L139" s="67"/>
      <c r="M139" s="67"/>
      <c r="N139" s="37"/>
    </row>
    <row r="140" spans="1:14" s="50" customFormat="1" hidden="1" x14ac:dyDescent="0.3">
      <c r="A140" s="75"/>
      <c r="B140" s="184"/>
      <c r="C140" s="184"/>
      <c r="D140" s="184"/>
      <c r="E140" s="184"/>
      <c r="F140" s="184"/>
      <c r="G140" s="184"/>
      <c r="H140" s="76"/>
      <c r="I140" s="37"/>
      <c r="N140" s="37"/>
    </row>
    <row r="141" spans="1:14" ht="47.25" customHeight="1" x14ac:dyDescent="0.3">
      <c r="A141" s="86" t="s">
        <v>127</v>
      </c>
      <c r="B141" s="86" t="s">
        <v>128</v>
      </c>
      <c r="C141" s="82" t="s">
        <v>61</v>
      </c>
      <c r="D141" s="82" t="s">
        <v>62</v>
      </c>
      <c r="E141" s="84" t="s">
        <v>63</v>
      </c>
      <c r="F141" s="43" t="s">
        <v>159</v>
      </c>
      <c r="G141" s="86" t="s">
        <v>64</v>
      </c>
      <c r="H141" s="87"/>
      <c r="I141" s="37"/>
    </row>
    <row r="142" spans="1:14" s="50" customFormat="1" x14ac:dyDescent="0.3">
      <c r="A142" s="88"/>
      <c r="B142" s="88"/>
      <c r="C142" s="83"/>
      <c r="D142" s="83"/>
      <c r="E142" s="85"/>
      <c r="F142" s="13">
        <v>0.55000000000000004</v>
      </c>
      <c r="G142" s="88"/>
      <c r="H142" s="89"/>
      <c r="I142" s="37"/>
    </row>
    <row r="143" spans="1:14" s="50" customFormat="1" x14ac:dyDescent="0.3">
      <c r="A143" s="72" t="s">
        <v>214</v>
      </c>
      <c r="B143" s="73"/>
      <c r="C143" s="73"/>
      <c r="D143" s="73"/>
      <c r="E143" s="73"/>
      <c r="F143" s="73"/>
      <c r="G143" s="73"/>
      <c r="H143" s="74"/>
      <c r="J143" s="37"/>
    </row>
    <row r="144" spans="1:14" s="50" customFormat="1" x14ac:dyDescent="0.3">
      <c r="A144" s="72" t="s">
        <v>215</v>
      </c>
      <c r="B144" s="73"/>
      <c r="C144" s="73"/>
      <c r="D144" s="73"/>
      <c r="E144" s="73"/>
      <c r="F144" s="73"/>
      <c r="G144" s="73"/>
      <c r="H144" s="74"/>
      <c r="J144" s="37"/>
    </row>
    <row r="145" spans="1:14" s="50" customFormat="1" ht="15.6" customHeight="1" x14ac:dyDescent="0.3">
      <c r="A145" s="75">
        <v>1</v>
      </c>
      <c r="B145" s="76"/>
      <c r="C145" s="42" t="s">
        <v>191</v>
      </c>
      <c r="D145" s="55">
        <f>(29.68+11.28)*10.764</f>
        <v>440.89344</v>
      </c>
      <c r="E145" s="42">
        <v>0</v>
      </c>
      <c r="F145" s="42">
        <f t="shared" ref="F145:F151" si="3">D145*(($F$142)+1)+(IF(E145&lt;101,E145,IF(E145&lt;201,E145/2,IF(E145&lt;=301,E145/3,E145/4))))</f>
        <v>683.38483199999996</v>
      </c>
      <c r="G145" s="178" t="str">
        <f>A144</f>
        <v>1st to 7th &amp; 9th to 12th, 14th to 17th, 19th to 22nd Floor For Residential</v>
      </c>
      <c r="H145" s="179"/>
      <c r="I145" s="62">
        <f>4.25*3.05+2.25*1.4+2.75*2.9+1.8*1.2+1.4*0.9+1.2*0.9</f>
        <v>28.587499999999999</v>
      </c>
      <c r="J145" s="50">
        <f>1.8*1.8+2*2.25+2.75*1</f>
        <v>10.49</v>
      </c>
      <c r="K145" s="55">
        <v>10.763999999999999</v>
      </c>
      <c r="L145" s="67"/>
      <c r="M145" s="67"/>
      <c r="N145" s="37"/>
    </row>
    <row r="146" spans="1:14" s="50" customFormat="1" ht="15.6" customHeight="1" x14ac:dyDescent="0.3">
      <c r="A146" s="75">
        <f t="shared" ref="A146:A151" si="4">A145+1</f>
        <v>2</v>
      </c>
      <c r="B146" s="76"/>
      <c r="C146" s="42" t="s">
        <v>192</v>
      </c>
      <c r="D146" s="55">
        <f>(48.01+18.5)*10.764</f>
        <v>715.91363999999987</v>
      </c>
      <c r="E146" s="42">
        <v>0</v>
      </c>
      <c r="F146" s="42">
        <f t="shared" si="3"/>
        <v>1109.6661419999998</v>
      </c>
      <c r="G146" s="180"/>
      <c r="H146" s="181"/>
      <c r="I146" s="37">
        <f>5450000/F146</f>
        <v>4911.3871224161412</v>
      </c>
      <c r="J146" s="50">
        <f>1.8*1.5+2*2.25+1*(3.05+3.05+3.05+3.05)</f>
        <v>19.399999999999999</v>
      </c>
      <c r="L146" s="67"/>
      <c r="M146" s="67"/>
      <c r="N146" s="37"/>
    </row>
    <row r="147" spans="1:14" s="50" customFormat="1" ht="15.6" customHeight="1" x14ac:dyDescent="0.3">
      <c r="A147" s="75">
        <f t="shared" si="4"/>
        <v>3</v>
      </c>
      <c r="B147" s="76"/>
      <c r="C147" s="42" t="s">
        <v>192</v>
      </c>
      <c r="D147" s="55">
        <f>(48.41+18.5)*10.764</f>
        <v>720.2192399999999</v>
      </c>
      <c r="E147" s="42">
        <v>0</v>
      </c>
      <c r="F147" s="42">
        <f t="shared" si="3"/>
        <v>1116.3398219999999</v>
      </c>
      <c r="G147" s="180"/>
      <c r="H147" s="181"/>
      <c r="I147" s="37"/>
      <c r="L147" s="67"/>
      <c r="M147" s="67"/>
      <c r="N147" s="37"/>
    </row>
    <row r="148" spans="1:14" s="50" customFormat="1" ht="15.6" customHeight="1" x14ac:dyDescent="0.3">
      <c r="A148" s="75">
        <f t="shared" si="4"/>
        <v>4</v>
      </c>
      <c r="B148" s="76"/>
      <c r="C148" s="42" t="s">
        <v>191</v>
      </c>
      <c r="D148" s="55">
        <f>(29.21+9.02)*10.764</f>
        <v>411.50772000000001</v>
      </c>
      <c r="E148" s="42">
        <v>0</v>
      </c>
      <c r="F148" s="42">
        <f t="shared" si="3"/>
        <v>637.83696600000007</v>
      </c>
      <c r="G148" s="180"/>
      <c r="H148" s="181"/>
      <c r="I148" s="37">
        <f>4.25*3.05</f>
        <v>12.962499999999999</v>
      </c>
      <c r="L148" s="67"/>
      <c r="M148" s="67"/>
      <c r="N148" s="37"/>
    </row>
    <row r="149" spans="1:14" s="50" customFormat="1" ht="15.6" customHeight="1" x14ac:dyDescent="0.3">
      <c r="A149" s="75">
        <f t="shared" si="4"/>
        <v>5</v>
      </c>
      <c r="B149" s="76"/>
      <c r="C149" s="42" t="s">
        <v>191</v>
      </c>
      <c r="D149" s="55">
        <f>(29.85+10.41)*10.764</f>
        <v>433.35864000000004</v>
      </c>
      <c r="E149" s="42">
        <v>0</v>
      </c>
      <c r="F149" s="42">
        <f t="shared" si="3"/>
        <v>671.70589200000006</v>
      </c>
      <c r="G149" s="180"/>
      <c r="H149" s="181"/>
      <c r="I149" s="37"/>
      <c r="L149" s="67"/>
      <c r="M149" s="67"/>
      <c r="N149" s="37"/>
    </row>
    <row r="150" spans="1:14" s="50" customFormat="1" ht="15.6" customHeight="1" x14ac:dyDescent="0.3">
      <c r="A150" s="75">
        <f t="shared" si="4"/>
        <v>6</v>
      </c>
      <c r="B150" s="76"/>
      <c r="C150" s="42" t="s">
        <v>191</v>
      </c>
      <c r="D150" s="55">
        <f>(29.63+8.56)*10.764</f>
        <v>411.07715999999994</v>
      </c>
      <c r="E150" s="42">
        <v>0</v>
      </c>
      <c r="F150" s="42">
        <f t="shared" si="3"/>
        <v>637.16959799999995</v>
      </c>
      <c r="G150" s="180"/>
      <c r="H150" s="181"/>
      <c r="I150" s="37">
        <f>3250000/F150</f>
        <v>5100.682785558768</v>
      </c>
      <c r="L150" s="67"/>
      <c r="M150" s="67"/>
      <c r="N150" s="37"/>
    </row>
    <row r="151" spans="1:14" s="50" customFormat="1" ht="15.6" customHeight="1" x14ac:dyDescent="0.3">
      <c r="A151" s="75">
        <f t="shared" si="4"/>
        <v>7</v>
      </c>
      <c r="B151" s="76"/>
      <c r="C151" s="42" t="s">
        <v>191</v>
      </c>
      <c r="D151" s="55">
        <f>(29.9+11.12)*10.764</f>
        <v>441.53927999999991</v>
      </c>
      <c r="E151" s="42">
        <v>0</v>
      </c>
      <c r="F151" s="42">
        <f t="shared" si="3"/>
        <v>684.38588399999992</v>
      </c>
      <c r="G151" s="182"/>
      <c r="H151" s="183"/>
      <c r="I151" s="37"/>
      <c r="J151" s="61"/>
      <c r="K151" s="61"/>
      <c r="L151" s="61"/>
      <c r="M151" s="61"/>
      <c r="N151" s="37"/>
    </row>
    <row r="152" spans="1:14" s="50" customFormat="1" x14ac:dyDescent="0.3">
      <c r="A152" s="103" t="s">
        <v>216</v>
      </c>
      <c r="B152" s="103"/>
      <c r="C152" s="103"/>
      <c r="D152" s="103"/>
      <c r="E152" s="103"/>
      <c r="F152" s="103"/>
      <c r="G152" s="103"/>
      <c r="H152" s="103"/>
      <c r="J152" s="37"/>
    </row>
    <row r="153" spans="1:14" s="50" customFormat="1" ht="15.6" customHeight="1" x14ac:dyDescent="0.3">
      <c r="A153" s="68">
        <v>1</v>
      </c>
      <c r="B153" s="68"/>
      <c r="C153" s="42" t="s">
        <v>191</v>
      </c>
      <c r="D153" s="55">
        <f>(29.68+11.28)*10.764</f>
        <v>440.89344</v>
      </c>
      <c r="E153" s="42">
        <v>0</v>
      </c>
      <c r="F153" s="42">
        <f t="shared" ref="F153:F159" si="5">D153*(($F$142)+1)+(IF(E153&lt;101,E153,IF(E153&lt;201,E153/2,IF(E153&lt;=301,E153/3,E153/4))))</f>
        <v>683.38483199999996</v>
      </c>
      <c r="G153" s="68" t="str">
        <f>A152</f>
        <v>8th, 13th, 18th Floor (Part Refuge Area)</v>
      </c>
      <c r="H153" s="68"/>
      <c r="I153" s="63"/>
      <c r="J153" s="64"/>
      <c r="K153" s="64"/>
      <c r="L153" s="67"/>
      <c r="M153" s="67"/>
      <c r="N153" s="37"/>
    </row>
    <row r="154" spans="1:14" s="50" customFormat="1" ht="15.6" customHeight="1" x14ac:dyDescent="0.3">
      <c r="A154" s="68">
        <f t="shared" ref="A154:A159" si="6">A153+1</f>
        <v>2</v>
      </c>
      <c r="B154" s="68"/>
      <c r="C154" s="42" t="s">
        <v>192</v>
      </c>
      <c r="D154" s="55">
        <f>(48.01+18.5)*10.764</f>
        <v>715.91363999999987</v>
      </c>
      <c r="E154" s="42">
        <v>0</v>
      </c>
      <c r="F154" s="42">
        <f t="shared" si="5"/>
        <v>1109.6661419999998</v>
      </c>
      <c r="G154" s="68"/>
      <c r="H154" s="68"/>
      <c r="I154" s="63"/>
      <c r="J154" s="64"/>
      <c r="K154" s="64"/>
      <c r="L154" s="67"/>
      <c r="M154" s="67"/>
      <c r="N154" s="37"/>
    </row>
    <row r="155" spans="1:14" s="50" customFormat="1" ht="15.6" customHeight="1" x14ac:dyDescent="0.3">
      <c r="A155" s="68">
        <f t="shared" si="6"/>
        <v>3</v>
      </c>
      <c r="B155" s="68"/>
      <c r="C155" s="42" t="s">
        <v>192</v>
      </c>
      <c r="D155" s="55">
        <f>(48.41+18.5)*10.764</f>
        <v>720.2192399999999</v>
      </c>
      <c r="E155" s="42">
        <v>0</v>
      </c>
      <c r="F155" s="42">
        <f t="shared" si="5"/>
        <v>1116.3398219999999</v>
      </c>
      <c r="G155" s="68"/>
      <c r="H155" s="68"/>
      <c r="I155" s="63"/>
      <c r="J155" s="64"/>
      <c r="K155" s="64"/>
      <c r="L155" s="67"/>
      <c r="M155" s="67"/>
      <c r="N155" s="37"/>
    </row>
    <row r="156" spans="1:14" s="50" customFormat="1" ht="15.6" customHeight="1" x14ac:dyDescent="0.3">
      <c r="A156" s="68">
        <f t="shared" si="6"/>
        <v>4</v>
      </c>
      <c r="B156" s="68"/>
      <c r="C156" s="42" t="s">
        <v>191</v>
      </c>
      <c r="D156" s="55">
        <f>(29.21+9.02)*10.764</f>
        <v>411.50772000000001</v>
      </c>
      <c r="E156" s="42">
        <v>0</v>
      </c>
      <c r="F156" s="42">
        <f t="shared" si="5"/>
        <v>637.83696600000007</v>
      </c>
      <c r="G156" s="68"/>
      <c r="H156" s="68"/>
      <c r="I156" s="63"/>
      <c r="J156" s="64"/>
      <c r="K156" s="64"/>
      <c r="L156" s="67"/>
      <c r="M156" s="67"/>
      <c r="N156" s="37"/>
    </row>
    <row r="157" spans="1:14" s="50" customFormat="1" ht="15.6" customHeight="1" x14ac:dyDescent="0.3">
      <c r="A157" s="68">
        <f t="shared" si="6"/>
        <v>5</v>
      </c>
      <c r="B157" s="68"/>
      <c r="C157" s="42" t="s">
        <v>191</v>
      </c>
      <c r="D157" s="55">
        <f>(29.85+10.41)*10.764</f>
        <v>433.35864000000004</v>
      </c>
      <c r="E157" s="42">
        <v>0</v>
      </c>
      <c r="F157" s="42">
        <f t="shared" si="5"/>
        <v>671.70589200000006</v>
      </c>
      <c r="G157" s="68"/>
      <c r="H157" s="68"/>
      <c r="I157" s="63"/>
      <c r="J157" s="64"/>
      <c r="K157" s="64"/>
      <c r="L157" s="67"/>
      <c r="M157" s="67"/>
      <c r="N157" s="37"/>
    </row>
    <row r="158" spans="1:14" s="50" customFormat="1" ht="15.6" customHeight="1" x14ac:dyDescent="0.3">
      <c r="A158" s="68">
        <f t="shared" si="6"/>
        <v>6</v>
      </c>
      <c r="B158" s="68"/>
      <c r="C158" s="42" t="s">
        <v>191</v>
      </c>
      <c r="D158" s="55">
        <f>(29.63+8.56)*10.764</f>
        <v>411.07715999999994</v>
      </c>
      <c r="E158" s="42">
        <v>0</v>
      </c>
      <c r="F158" s="42">
        <f t="shared" si="5"/>
        <v>637.16959799999995</v>
      </c>
      <c r="G158" s="68"/>
      <c r="H158" s="68"/>
      <c r="I158" s="63"/>
      <c r="J158" s="64"/>
      <c r="K158" s="64"/>
      <c r="L158" s="67"/>
      <c r="M158" s="67"/>
      <c r="N158" s="37"/>
    </row>
    <row r="159" spans="1:14" s="50" customFormat="1" ht="15.6" customHeight="1" x14ac:dyDescent="0.3">
      <c r="A159" s="68">
        <f t="shared" si="6"/>
        <v>7</v>
      </c>
      <c r="B159" s="68"/>
      <c r="C159" s="42" t="s">
        <v>191</v>
      </c>
      <c r="D159" s="55">
        <f>(29.9+11.12)*10.764</f>
        <v>441.53927999999991</v>
      </c>
      <c r="E159" s="42">
        <v>0</v>
      </c>
      <c r="F159" s="42">
        <f t="shared" si="5"/>
        <v>684.38588399999992</v>
      </c>
      <c r="G159" s="68"/>
      <c r="H159" s="68"/>
      <c r="I159" s="37"/>
      <c r="J159" s="61"/>
      <c r="K159" s="61"/>
      <c r="L159" s="61"/>
      <c r="M159" s="61"/>
      <c r="N159" s="37"/>
    </row>
    <row r="160" spans="1:14" s="50" customFormat="1" hidden="1" x14ac:dyDescent="0.3">
      <c r="A160" s="72" t="s">
        <v>206</v>
      </c>
      <c r="B160" s="73"/>
      <c r="C160" s="73"/>
      <c r="D160" s="73"/>
      <c r="E160" s="73"/>
      <c r="F160" s="73"/>
      <c r="G160" s="73"/>
      <c r="H160" s="74"/>
      <c r="J160" s="61"/>
      <c r="K160" s="61"/>
      <c r="L160" s="61"/>
      <c r="M160" s="61"/>
    </row>
    <row r="161" spans="1:14" s="50" customFormat="1" hidden="1" x14ac:dyDescent="0.3">
      <c r="A161" s="75">
        <v>1</v>
      </c>
      <c r="B161" s="76"/>
      <c r="C161" s="42" t="s">
        <v>191</v>
      </c>
      <c r="D161" s="55">
        <f>(30.91+10.11)*10.764</f>
        <v>441.53927999999991</v>
      </c>
      <c r="E161" s="42">
        <v>0</v>
      </c>
      <c r="F161" s="42">
        <f t="shared" ref="F161:F167" si="7">D161*(($F$142)+1)+(IF(E161&lt;101,E161,IF(E161&lt;201,E161/2,IF(E161&lt;=301,E161/3,E161/4))))</f>
        <v>684.38588399999992</v>
      </c>
      <c r="G161" s="75" t="str">
        <f>A160</f>
        <v>8th Floor (Part Refuge Area)</v>
      </c>
      <c r="H161" s="76"/>
      <c r="I161" s="37"/>
      <c r="J161" s="61"/>
      <c r="K161" s="61"/>
      <c r="L161" s="61"/>
      <c r="M161" s="61"/>
      <c r="N161" s="37"/>
    </row>
    <row r="162" spans="1:14" s="50" customFormat="1" hidden="1" x14ac:dyDescent="0.3">
      <c r="A162" s="75">
        <f t="shared" ref="A162:A167" si="8">A161+1</f>
        <v>2</v>
      </c>
      <c r="B162" s="76"/>
      <c r="C162" s="42" t="s">
        <v>192</v>
      </c>
      <c r="D162" s="55">
        <f>(48.08+18.58)*10.764</f>
        <v>717.52823999999987</v>
      </c>
      <c r="E162" s="42">
        <v>0</v>
      </c>
      <c r="F162" s="42">
        <f t="shared" si="7"/>
        <v>1112.1687719999998</v>
      </c>
      <c r="G162" s="75" t="str">
        <f t="shared" ref="G162:G167" si="9">G161</f>
        <v>8th Floor (Part Refuge Area)</v>
      </c>
      <c r="H162" s="76"/>
      <c r="I162" s="37"/>
      <c r="J162" s="61"/>
      <c r="K162" s="61"/>
      <c r="L162" s="61"/>
      <c r="M162" s="61"/>
      <c r="N162" s="37"/>
    </row>
    <row r="163" spans="1:14" s="50" customFormat="1" hidden="1" x14ac:dyDescent="0.3">
      <c r="A163" s="75">
        <f t="shared" si="8"/>
        <v>3</v>
      </c>
      <c r="B163" s="76"/>
      <c r="C163" s="42" t="s">
        <v>192</v>
      </c>
      <c r="D163" s="55">
        <f>(48.49+18.58)*10.764</f>
        <v>721.94147999999984</v>
      </c>
      <c r="E163" s="42">
        <v>0</v>
      </c>
      <c r="F163" s="42">
        <f t="shared" si="7"/>
        <v>1119.0092939999997</v>
      </c>
      <c r="G163" s="75" t="str">
        <f t="shared" si="9"/>
        <v>8th Floor (Part Refuge Area)</v>
      </c>
      <c r="H163" s="76"/>
      <c r="I163" s="37"/>
      <c r="L163" s="67"/>
      <c r="M163" s="67"/>
      <c r="N163" s="37"/>
    </row>
    <row r="164" spans="1:14" s="50" customFormat="1" hidden="1" x14ac:dyDescent="0.3">
      <c r="A164" s="75">
        <f t="shared" si="8"/>
        <v>4</v>
      </c>
      <c r="B164" s="76"/>
      <c r="C164" s="42" t="s">
        <v>191</v>
      </c>
      <c r="D164" s="55">
        <f>(28.77+9.68)*10.764</f>
        <v>413.87580000000003</v>
      </c>
      <c r="E164" s="42">
        <v>0</v>
      </c>
      <c r="F164" s="42">
        <f t="shared" si="7"/>
        <v>641.50749000000008</v>
      </c>
      <c r="G164" s="75" t="str">
        <f t="shared" si="9"/>
        <v>8th Floor (Part Refuge Area)</v>
      </c>
      <c r="H164" s="76"/>
      <c r="I164" s="37"/>
      <c r="L164" s="67"/>
      <c r="M164" s="67"/>
      <c r="N164" s="37"/>
    </row>
    <row r="165" spans="1:14" s="50" customFormat="1" hidden="1" x14ac:dyDescent="0.3">
      <c r="A165" s="75">
        <f t="shared" si="8"/>
        <v>5</v>
      </c>
      <c r="B165" s="76"/>
      <c r="C165" s="42" t="s">
        <v>191</v>
      </c>
      <c r="D165" s="55">
        <f>(30.22+10.27)*10.764</f>
        <v>435.83435999999989</v>
      </c>
      <c r="E165" s="42">
        <v>0</v>
      </c>
      <c r="F165" s="42">
        <f t="shared" si="7"/>
        <v>675.54325799999981</v>
      </c>
      <c r="G165" s="75" t="str">
        <f t="shared" si="9"/>
        <v>8th Floor (Part Refuge Area)</v>
      </c>
      <c r="H165" s="76"/>
      <c r="I165" s="37"/>
      <c r="L165" s="67"/>
      <c r="M165" s="67"/>
      <c r="N165" s="37"/>
    </row>
    <row r="166" spans="1:14" s="50" customFormat="1" hidden="1" x14ac:dyDescent="0.3">
      <c r="A166" s="75">
        <f t="shared" si="8"/>
        <v>6</v>
      </c>
      <c r="B166" s="76"/>
      <c r="C166" s="42" t="s">
        <v>191</v>
      </c>
      <c r="D166" s="55">
        <f>(29.7+8.56)*10.764</f>
        <v>411.83063999999996</v>
      </c>
      <c r="E166" s="42">
        <v>0</v>
      </c>
      <c r="F166" s="42">
        <f t="shared" si="7"/>
        <v>638.337492</v>
      </c>
      <c r="G166" s="75" t="str">
        <f t="shared" si="9"/>
        <v>8th Floor (Part Refuge Area)</v>
      </c>
      <c r="H166" s="76"/>
      <c r="I166" s="37">
        <f>3250000/F166</f>
        <v>5091.3506424592088</v>
      </c>
      <c r="L166" s="67"/>
      <c r="M166" s="67"/>
      <c r="N166" s="37"/>
    </row>
    <row r="167" spans="1:14" s="50" customFormat="1" hidden="1" x14ac:dyDescent="0.3">
      <c r="A167" s="75">
        <f t="shared" si="8"/>
        <v>7</v>
      </c>
      <c r="B167" s="76"/>
      <c r="C167" s="42" t="s">
        <v>191</v>
      </c>
      <c r="D167" s="55">
        <f>(30.97+10.11)*10.764</f>
        <v>442.18511999999993</v>
      </c>
      <c r="E167" s="42">
        <v>0</v>
      </c>
      <c r="F167" s="42">
        <f t="shared" si="7"/>
        <v>685.38693599999988</v>
      </c>
      <c r="G167" s="75" t="str">
        <f t="shared" si="9"/>
        <v>8th Floor (Part Refuge Area)</v>
      </c>
      <c r="H167" s="76"/>
      <c r="I167" s="37"/>
      <c r="L167" s="67"/>
      <c r="M167" s="67"/>
      <c r="N167" s="37"/>
    </row>
    <row r="168" spans="1:14" s="50" customFormat="1" hidden="1" x14ac:dyDescent="0.3">
      <c r="A168" s="72" t="s">
        <v>193</v>
      </c>
      <c r="B168" s="73"/>
      <c r="C168" s="73"/>
      <c r="D168" s="73"/>
      <c r="E168" s="73"/>
      <c r="F168" s="73"/>
      <c r="G168" s="73"/>
      <c r="H168" s="74"/>
      <c r="J168" s="37"/>
    </row>
    <row r="169" spans="1:14" s="50" customFormat="1" hidden="1" x14ac:dyDescent="0.3">
      <c r="A169" s="75">
        <v>1</v>
      </c>
      <c r="B169" s="76"/>
      <c r="C169" s="42" t="s">
        <v>191</v>
      </c>
      <c r="D169" s="55">
        <f>(30.91+10.11)*10.764</f>
        <v>441.53927999999991</v>
      </c>
      <c r="E169" s="42">
        <v>0</v>
      </c>
      <c r="F169" s="42">
        <f t="shared" ref="F169:F174" si="10">D169*(($F$142)+1)+(IF(E169&lt;101,E169,IF(E169&lt;201,E169/2,IF(E169&lt;=301,E169/3,E169/4))))</f>
        <v>684.38588399999992</v>
      </c>
      <c r="G169" s="75" t="str">
        <f>A168</f>
        <v>10th Floor (Part Terrace Area)</v>
      </c>
      <c r="H169" s="76"/>
      <c r="I169" s="37"/>
      <c r="L169" s="67"/>
      <c r="M169" s="67"/>
      <c r="N169" s="37"/>
    </row>
    <row r="170" spans="1:14" s="50" customFormat="1" hidden="1" x14ac:dyDescent="0.3">
      <c r="A170" s="75">
        <f t="shared" ref="A170:A174" si="11">A169+1</f>
        <v>2</v>
      </c>
      <c r="B170" s="76"/>
      <c r="C170" s="42" t="s">
        <v>192</v>
      </c>
      <c r="D170" s="55">
        <f>(48.08+18.58)*10.764</f>
        <v>717.52823999999987</v>
      </c>
      <c r="E170" s="42">
        <v>0</v>
      </c>
      <c r="F170" s="42">
        <f t="shared" si="10"/>
        <v>1112.1687719999998</v>
      </c>
      <c r="G170" s="75" t="str">
        <f t="shared" ref="G170:G174" si="12">G169</f>
        <v>10th Floor (Part Terrace Area)</v>
      </c>
      <c r="H170" s="76"/>
      <c r="I170" s="37">
        <f>5450000/F170</f>
        <v>4900.3353962180854</v>
      </c>
      <c r="L170" s="67"/>
      <c r="M170" s="67"/>
      <c r="N170" s="37"/>
    </row>
    <row r="171" spans="1:14" s="50" customFormat="1" hidden="1" x14ac:dyDescent="0.3">
      <c r="A171" s="75">
        <v>4</v>
      </c>
      <c r="B171" s="76"/>
      <c r="C171" s="42" t="s">
        <v>191</v>
      </c>
      <c r="D171" s="55">
        <f>(28.77+9.68)*10.764</f>
        <v>413.87580000000003</v>
      </c>
      <c r="E171" s="42">
        <v>0</v>
      </c>
      <c r="F171" s="42">
        <f t="shared" si="10"/>
        <v>641.50749000000008</v>
      </c>
      <c r="G171" s="75" t="str">
        <f>G170</f>
        <v>10th Floor (Part Terrace Area)</v>
      </c>
      <c r="H171" s="76"/>
      <c r="I171" s="37"/>
      <c r="L171" s="67"/>
      <c r="M171" s="67"/>
      <c r="N171" s="37"/>
    </row>
    <row r="172" spans="1:14" s="50" customFormat="1" hidden="1" x14ac:dyDescent="0.3">
      <c r="A172" s="75">
        <v>5</v>
      </c>
      <c r="B172" s="76"/>
      <c r="C172" s="42" t="s">
        <v>191</v>
      </c>
      <c r="D172" s="55">
        <f>(30.22+10.27)*10.764</f>
        <v>435.83435999999989</v>
      </c>
      <c r="E172" s="42">
        <v>0</v>
      </c>
      <c r="F172" s="42">
        <f t="shared" si="10"/>
        <v>675.54325799999981</v>
      </c>
      <c r="G172" s="75" t="str">
        <f t="shared" si="12"/>
        <v>10th Floor (Part Terrace Area)</v>
      </c>
      <c r="H172" s="76"/>
      <c r="I172" s="37"/>
      <c r="L172" s="67"/>
      <c r="M172" s="67"/>
      <c r="N172" s="37"/>
    </row>
    <row r="173" spans="1:14" s="50" customFormat="1" hidden="1" x14ac:dyDescent="0.3">
      <c r="A173" s="75">
        <f t="shared" si="11"/>
        <v>6</v>
      </c>
      <c r="B173" s="76"/>
      <c r="C173" s="42" t="s">
        <v>191</v>
      </c>
      <c r="D173" s="55">
        <f>(29.7+8.56)*10.764</f>
        <v>411.83063999999996</v>
      </c>
      <c r="E173" s="42">
        <v>0</v>
      </c>
      <c r="F173" s="42">
        <f t="shared" si="10"/>
        <v>638.337492</v>
      </c>
      <c r="G173" s="75" t="str">
        <f t="shared" si="12"/>
        <v>10th Floor (Part Terrace Area)</v>
      </c>
      <c r="H173" s="76"/>
      <c r="I173" s="37"/>
      <c r="L173" s="67"/>
      <c r="M173" s="67"/>
      <c r="N173" s="37"/>
    </row>
    <row r="174" spans="1:14" s="50" customFormat="1" hidden="1" x14ac:dyDescent="0.3">
      <c r="A174" s="75">
        <f t="shared" si="11"/>
        <v>7</v>
      </c>
      <c r="B174" s="76"/>
      <c r="C174" s="42" t="s">
        <v>191</v>
      </c>
      <c r="D174" s="55">
        <f>(30.97+10.11)*10.764</f>
        <v>442.18511999999993</v>
      </c>
      <c r="E174" s="42">
        <v>0</v>
      </c>
      <c r="F174" s="42">
        <f t="shared" si="10"/>
        <v>685.38693599999988</v>
      </c>
      <c r="G174" s="75" t="str">
        <f t="shared" si="12"/>
        <v>10th Floor (Part Terrace Area)</v>
      </c>
      <c r="H174" s="76"/>
      <c r="I174" s="37"/>
      <c r="L174" s="67"/>
      <c r="M174" s="67"/>
      <c r="N174" s="37"/>
    </row>
    <row r="175" spans="1:14" s="36" customFormat="1" x14ac:dyDescent="0.3">
      <c r="A175" s="192" t="s">
        <v>72</v>
      </c>
      <c r="B175" s="192"/>
      <c r="C175" s="192"/>
      <c r="D175" s="192"/>
      <c r="E175" s="192"/>
      <c r="F175" s="192"/>
      <c r="G175" s="192"/>
      <c r="H175" s="192"/>
    </row>
    <row r="176" spans="1:14" s="36" customFormat="1" x14ac:dyDescent="0.3">
      <c r="A176" s="47" t="s">
        <v>163</v>
      </c>
      <c r="B176" s="193" t="s">
        <v>221</v>
      </c>
      <c r="C176" s="194"/>
      <c r="D176" s="194"/>
      <c r="E176" s="194"/>
      <c r="F176" s="194"/>
      <c r="G176" s="194"/>
      <c r="H176" s="195"/>
    </row>
    <row r="177" spans="1:8" s="36" customFormat="1" x14ac:dyDescent="0.3">
      <c r="A177" s="47" t="s">
        <v>163</v>
      </c>
      <c r="B177" s="193" t="str">
        <f>(IF(F141="Saleable area Loading :","We have considered Saleable area of Flats as per our Calculation.","We considered Saleable area of Flat as per Builder area Sheet."))</f>
        <v>We have considered Saleable area of Flats as per our Calculation.</v>
      </c>
      <c r="C177" s="194"/>
      <c r="D177" s="194"/>
      <c r="E177" s="194"/>
      <c r="F177" s="194"/>
      <c r="G177" s="194"/>
      <c r="H177" s="195"/>
    </row>
    <row r="178" spans="1:8" s="36" customFormat="1" x14ac:dyDescent="0.3">
      <c r="A178" s="47" t="s">
        <v>163</v>
      </c>
      <c r="B178" s="193" t="str">
        <f>(IF(F133="Saleable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8" s="194"/>
      <c r="D178" s="194"/>
      <c r="E178" s="194"/>
      <c r="F178" s="194"/>
      <c r="G178" s="194"/>
      <c r="H178" s="195"/>
    </row>
    <row r="179" spans="1:8" s="36" customFormat="1" x14ac:dyDescent="0.3">
      <c r="A179" s="47" t="s">
        <v>163</v>
      </c>
      <c r="B179" s="69" t="s">
        <v>131</v>
      </c>
      <c r="C179" s="70"/>
      <c r="D179" s="70"/>
      <c r="E179" s="70"/>
      <c r="F179" s="70"/>
      <c r="G179" s="70"/>
      <c r="H179" s="71"/>
    </row>
    <row r="180" spans="1:8" s="36" customFormat="1" x14ac:dyDescent="0.3">
      <c r="A180" s="47" t="s">
        <v>163</v>
      </c>
      <c r="B180" s="69" t="s">
        <v>219</v>
      </c>
      <c r="C180" s="70"/>
      <c r="D180" s="70"/>
      <c r="E180" s="70"/>
      <c r="F180" s="70"/>
      <c r="G180" s="70"/>
      <c r="H180" s="71"/>
    </row>
    <row r="181" spans="1:8" s="36" customFormat="1" x14ac:dyDescent="0.3">
      <c r="A181" s="47" t="s">
        <v>163</v>
      </c>
      <c r="B181" s="69" t="s">
        <v>162</v>
      </c>
      <c r="C181" s="70"/>
      <c r="D181" s="70"/>
      <c r="E181" s="70"/>
      <c r="F181" s="70"/>
      <c r="G181" s="70"/>
      <c r="H181" s="71"/>
    </row>
    <row r="182" spans="1:8" s="36" customFormat="1" x14ac:dyDescent="0.3">
      <c r="A182" s="47" t="s">
        <v>163</v>
      </c>
      <c r="B182" s="69" t="s">
        <v>132</v>
      </c>
      <c r="C182" s="70"/>
      <c r="D182" s="70"/>
      <c r="E182" s="70"/>
      <c r="F182" s="70"/>
      <c r="G182" s="70"/>
      <c r="H182" s="71"/>
    </row>
    <row r="183" spans="1:8" s="36" customFormat="1" ht="34.5" customHeight="1" x14ac:dyDescent="0.3">
      <c r="A183" s="47" t="s">
        <v>163</v>
      </c>
      <c r="B183" s="69" t="s">
        <v>164</v>
      </c>
      <c r="C183" s="70"/>
      <c r="D183" s="70"/>
      <c r="E183" s="70"/>
      <c r="F183" s="70"/>
      <c r="G183" s="70"/>
      <c r="H183" s="71"/>
    </row>
    <row r="184" spans="1:8" s="36" customFormat="1" x14ac:dyDescent="0.3">
      <c r="A184" s="47" t="s">
        <v>163</v>
      </c>
      <c r="B184" s="69" t="s">
        <v>133</v>
      </c>
      <c r="C184" s="70"/>
      <c r="D184" s="70"/>
      <c r="E184" s="70"/>
      <c r="F184" s="70"/>
      <c r="G184" s="70"/>
      <c r="H184" s="71"/>
    </row>
    <row r="185" spans="1:8" s="36" customFormat="1" x14ac:dyDescent="0.3">
      <c r="A185" s="47" t="s">
        <v>163</v>
      </c>
      <c r="B185" s="69" t="s">
        <v>211</v>
      </c>
      <c r="C185" s="70"/>
      <c r="D185" s="70"/>
      <c r="E185" s="70"/>
      <c r="F185" s="70"/>
      <c r="G185" s="70"/>
      <c r="H185" s="71"/>
    </row>
    <row r="186" spans="1:8" s="36" customFormat="1" x14ac:dyDescent="0.3">
      <c r="A186" s="47" t="s">
        <v>163</v>
      </c>
      <c r="B186" s="69" t="s">
        <v>218</v>
      </c>
      <c r="C186" s="70"/>
      <c r="D186" s="70"/>
      <c r="E186" s="70"/>
      <c r="F186" s="70"/>
      <c r="G186" s="70"/>
      <c r="H186" s="71"/>
    </row>
    <row r="187" spans="1:8" x14ac:dyDescent="0.3">
      <c r="A187" s="120" t="s">
        <v>65</v>
      </c>
      <c r="B187" s="120"/>
      <c r="C187" s="120"/>
      <c r="D187" s="120"/>
      <c r="E187" s="120"/>
      <c r="F187" s="120"/>
      <c r="G187" s="120"/>
      <c r="H187" s="120"/>
    </row>
    <row r="188" spans="1:8" x14ac:dyDescent="0.3">
      <c r="A188" s="79" t="s">
        <v>66</v>
      </c>
      <c r="B188" s="79"/>
      <c r="C188" s="79"/>
      <c r="D188" s="79"/>
      <c r="E188" s="79"/>
      <c r="F188" s="79"/>
      <c r="G188" s="79"/>
      <c r="H188" s="79"/>
    </row>
    <row r="189" spans="1:8" ht="15.75" customHeight="1" x14ac:dyDescent="0.3">
      <c r="A189" s="80" t="s">
        <v>67</v>
      </c>
      <c r="B189" s="80"/>
      <c r="C189" s="80"/>
      <c r="D189" s="80"/>
      <c r="E189" s="80"/>
      <c r="F189" s="80"/>
      <c r="G189" s="80"/>
      <c r="H189" s="80"/>
    </row>
    <row r="190" spans="1:8" x14ac:dyDescent="0.3">
      <c r="A190" s="79" t="s">
        <v>68</v>
      </c>
      <c r="B190" s="79"/>
      <c r="C190" s="79"/>
      <c r="D190" s="79"/>
      <c r="E190" s="79"/>
      <c r="F190" s="79"/>
      <c r="G190" s="79"/>
      <c r="H190" s="79"/>
    </row>
    <row r="191" spans="1:8" x14ac:dyDescent="0.3">
      <c r="A191" s="79" t="s">
        <v>69</v>
      </c>
      <c r="B191" s="79"/>
      <c r="C191" s="79"/>
      <c r="D191" s="79"/>
      <c r="E191" s="79"/>
      <c r="F191" s="79"/>
      <c r="G191" s="79"/>
      <c r="H191" s="79"/>
    </row>
    <row r="192" spans="1:8" x14ac:dyDescent="0.3">
      <c r="A192" s="79" t="s">
        <v>134</v>
      </c>
      <c r="B192" s="79"/>
      <c r="C192" s="79"/>
      <c r="D192" s="79"/>
      <c r="E192" s="79"/>
      <c r="F192" s="79"/>
      <c r="G192" s="79"/>
      <c r="H192" s="79"/>
    </row>
    <row r="193" spans="1:8" x14ac:dyDescent="0.3">
      <c r="A193" s="121" t="s">
        <v>135</v>
      </c>
      <c r="B193" s="121"/>
      <c r="C193" s="121"/>
      <c r="D193" s="121"/>
      <c r="E193" s="121"/>
      <c r="F193" s="121"/>
      <c r="G193" s="121"/>
      <c r="H193" s="121"/>
    </row>
    <row r="194" spans="1:8" x14ac:dyDescent="0.3">
      <c r="A194" s="132" t="s">
        <v>82</v>
      </c>
      <c r="B194" s="132"/>
      <c r="C194" s="132" t="s">
        <v>222</v>
      </c>
      <c r="D194" s="132"/>
      <c r="E194" s="132" t="s">
        <v>111</v>
      </c>
      <c r="F194" s="132"/>
      <c r="G194" s="132" t="s">
        <v>224</v>
      </c>
      <c r="H194" s="132"/>
    </row>
    <row r="195" spans="1:8" x14ac:dyDescent="0.3">
      <c r="A195" s="131" t="s">
        <v>84</v>
      </c>
      <c r="B195" s="131"/>
      <c r="C195" s="131"/>
      <c r="D195" s="131"/>
      <c r="E195" s="131"/>
      <c r="F195" s="131"/>
      <c r="G195" s="131"/>
      <c r="H195" s="131"/>
    </row>
    <row r="196" spans="1:8" x14ac:dyDescent="0.3">
      <c r="A196" s="131"/>
      <c r="B196" s="131"/>
      <c r="C196" s="131"/>
      <c r="D196" s="131"/>
      <c r="E196" s="131"/>
      <c r="F196" s="131"/>
      <c r="G196" s="131"/>
      <c r="H196" s="131"/>
    </row>
    <row r="197" spans="1:8" x14ac:dyDescent="0.3">
      <c r="A197" s="131"/>
      <c r="B197" s="131"/>
      <c r="C197" s="131"/>
      <c r="D197" s="131"/>
      <c r="E197" s="131"/>
      <c r="F197" s="131"/>
      <c r="G197" s="131"/>
      <c r="H197" s="131"/>
    </row>
    <row r="198" spans="1:8" x14ac:dyDescent="0.3">
      <c r="A198" s="131"/>
      <c r="B198" s="131"/>
      <c r="C198" s="131"/>
      <c r="D198" s="131"/>
      <c r="E198" s="131"/>
      <c r="F198" s="131"/>
      <c r="G198" s="131"/>
      <c r="H198" s="131"/>
    </row>
    <row r="199" spans="1:8" x14ac:dyDescent="0.3">
      <c r="A199" s="38" t="s">
        <v>70</v>
      </c>
      <c r="B199" s="39"/>
      <c r="C199" s="39"/>
      <c r="D199" s="38" t="str">
        <f>E8</f>
        <v>Vaishnavi Pride</v>
      </c>
      <c r="F199" s="39"/>
      <c r="G199" s="39"/>
      <c r="H199" s="39"/>
    </row>
    <row r="200" spans="1:8" x14ac:dyDescent="0.3">
      <c r="A200" s="39"/>
      <c r="B200" s="39"/>
      <c r="C200" s="39"/>
      <c r="D200" s="39"/>
      <c r="E200" s="39"/>
      <c r="F200" s="39"/>
      <c r="G200" s="39"/>
      <c r="H200" s="39"/>
    </row>
    <row r="201" spans="1:8" x14ac:dyDescent="0.3">
      <c r="A201" s="39"/>
      <c r="B201" s="39"/>
      <c r="C201" s="39"/>
      <c r="D201" s="39"/>
      <c r="E201" s="39"/>
      <c r="F201" s="39"/>
      <c r="G201" s="39"/>
      <c r="H201" s="39"/>
    </row>
    <row r="202" spans="1:8" ht="15" customHeight="1" x14ac:dyDescent="0.3"/>
    <row r="241" spans="1:1" x14ac:dyDescent="0.3">
      <c r="A241" s="41" t="s">
        <v>178</v>
      </c>
    </row>
    <row r="283" spans="1:1" x14ac:dyDescent="0.3">
      <c r="A283" s="41" t="s">
        <v>71</v>
      </c>
    </row>
  </sheetData>
  <mergeCells count="374">
    <mergeCell ref="I10:L10"/>
    <mergeCell ref="B185:H185"/>
    <mergeCell ref="L173:M173"/>
    <mergeCell ref="A174:B174"/>
    <mergeCell ref="G174:H174"/>
    <mergeCell ref="L174:M174"/>
    <mergeCell ref="L170:M170"/>
    <mergeCell ref="A171:B171"/>
    <mergeCell ref="G171:H171"/>
    <mergeCell ref="L171:M171"/>
    <mergeCell ref="A172:B172"/>
    <mergeCell ref="G172:H172"/>
    <mergeCell ref="L172:M172"/>
    <mergeCell ref="B179:H179"/>
    <mergeCell ref="B180:H180"/>
    <mergeCell ref="A175:H175"/>
    <mergeCell ref="B183:H183"/>
    <mergeCell ref="B181:H181"/>
    <mergeCell ref="B178:H178"/>
    <mergeCell ref="B176:H176"/>
    <mergeCell ref="B177:H177"/>
    <mergeCell ref="A170:B170"/>
    <mergeCell ref="G170:H170"/>
    <mergeCell ref="A173:B173"/>
    <mergeCell ref="G173:H173"/>
    <mergeCell ref="A165:B165"/>
    <mergeCell ref="G165:H165"/>
    <mergeCell ref="L165:M165"/>
    <mergeCell ref="A166:B166"/>
    <mergeCell ref="G166:H166"/>
    <mergeCell ref="A168:H168"/>
    <mergeCell ref="A169:B169"/>
    <mergeCell ref="G169:H169"/>
    <mergeCell ref="L166:M166"/>
    <mergeCell ref="A167:B167"/>
    <mergeCell ref="G167:H167"/>
    <mergeCell ref="L167:M167"/>
    <mergeCell ref="G85:H94"/>
    <mergeCell ref="A86:B86"/>
    <mergeCell ref="A87:B87"/>
    <mergeCell ref="A88:B88"/>
    <mergeCell ref="F111:H111"/>
    <mergeCell ref="A111:E111"/>
    <mergeCell ref="D133:D134"/>
    <mergeCell ref="A113:E113"/>
    <mergeCell ref="A136:B136"/>
    <mergeCell ref="A114:E114"/>
    <mergeCell ref="A120:E120"/>
    <mergeCell ref="C126:D126"/>
    <mergeCell ref="A98:B98"/>
    <mergeCell ref="E98:F98"/>
    <mergeCell ref="G99:H108"/>
    <mergeCell ref="E129:F129"/>
    <mergeCell ref="F117:H117"/>
    <mergeCell ref="C124:D124"/>
    <mergeCell ref="F120:H120"/>
    <mergeCell ref="F118:H118"/>
    <mergeCell ref="A131:H131"/>
    <mergeCell ref="A132:H132"/>
    <mergeCell ref="G129:H129"/>
    <mergeCell ref="C133:C134"/>
    <mergeCell ref="A83:B83"/>
    <mergeCell ref="C83:H83"/>
    <mergeCell ref="A84:B84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  <mergeCell ref="A97:B97"/>
    <mergeCell ref="C97:H97"/>
    <mergeCell ref="A100:B100"/>
    <mergeCell ref="A101:B101"/>
    <mergeCell ref="L148:M148"/>
    <mergeCell ref="L145:M145"/>
    <mergeCell ref="A146:B146"/>
    <mergeCell ref="L146:M146"/>
    <mergeCell ref="A147:B147"/>
    <mergeCell ref="L147:M147"/>
    <mergeCell ref="G145:H151"/>
    <mergeCell ref="A140:H140"/>
    <mergeCell ref="A141:A142"/>
    <mergeCell ref="L149:M149"/>
    <mergeCell ref="L150:M150"/>
    <mergeCell ref="C141:C142"/>
    <mergeCell ref="A144:H144"/>
    <mergeCell ref="B141:B142"/>
    <mergeCell ref="A148:B148"/>
    <mergeCell ref="A145:B145"/>
    <mergeCell ref="A143:H143"/>
    <mergeCell ref="A149:B149"/>
    <mergeCell ref="A150:B150"/>
    <mergeCell ref="A151:B151"/>
    <mergeCell ref="L139:M139"/>
    <mergeCell ref="L138:M138"/>
    <mergeCell ref="L137:M137"/>
    <mergeCell ref="L136:M136"/>
    <mergeCell ref="A78:B78"/>
    <mergeCell ref="C130:D130"/>
    <mergeCell ref="E130:F130"/>
    <mergeCell ref="G130:H130"/>
    <mergeCell ref="F116:H116"/>
    <mergeCell ref="A110:E110"/>
    <mergeCell ref="A95:B95"/>
    <mergeCell ref="C95:H95"/>
    <mergeCell ref="A135:H135"/>
    <mergeCell ref="E133:E134"/>
    <mergeCell ref="G133:H134"/>
    <mergeCell ref="A85:B85"/>
    <mergeCell ref="E85:F94"/>
    <mergeCell ref="A92:B92"/>
    <mergeCell ref="A93:B93"/>
    <mergeCell ref="A94:B94"/>
    <mergeCell ref="A99:B99"/>
    <mergeCell ref="E99:F108"/>
    <mergeCell ref="F109:H109"/>
    <mergeCell ref="F114:H114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47:B47"/>
    <mergeCell ref="C47:H47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D54:H54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195:H198"/>
    <mergeCell ref="A194:B194"/>
    <mergeCell ref="E194:F194"/>
    <mergeCell ref="C194:D194"/>
    <mergeCell ref="G194:H194"/>
    <mergeCell ref="A123:H123"/>
    <mergeCell ref="A121:E121"/>
    <mergeCell ref="F121:H121"/>
    <mergeCell ref="A122:E122"/>
    <mergeCell ref="F122:H122"/>
    <mergeCell ref="A130:B130"/>
    <mergeCell ref="A125:B125"/>
    <mergeCell ref="A190:H190"/>
    <mergeCell ref="A128:H128"/>
    <mergeCell ref="A193:H193"/>
    <mergeCell ref="A191:H191"/>
    <mergeCell ref="A187:H187"/>
    <mergeCell ref="A188:H188"/>
    <mergeCell ref="B184:H184"/>
    <mergeCell ref="G138:H138"/>
    <mergeCell ref="G136:H136"/>
    <mergeCell ref="G137:H137"/>
    <mergeCell ref="G139:H139"/>
    <mergeCell ref="B182:H182"/>
    <mergeCell ref="A137:B137"/>
    <mergeCell ref="A138:B138"/>
    <mergeCell ref="A139:B139"/>
    <mergeCell ref="G124:H124"/>
    <mergeCell ref="A119:E119"/>
    <mergeCell ref="C125:D125"/>
    <mergeCell ref="E125:F125"/>
    <mergeCell ref="B133:B134"/>
    <mergeCell ref="A133:A134"/>
    <mergeCell ref="F119:H119"/>
    <mergeCell ref="E124:F124"/>
    <mergeCell ref="A124:B124"/>
    <mergeCell ref="A126:B126"/>
    <mergeCell ref="E126:F126"/>
    <mergeCell ref="G126:H126"/>
    <mergeCell ref="A127:B127"/>
    <mergeCell ref="C127:D127"/>
    <mergeCell ref="E127:F127"/>
    <mergeCell ref="G127:H127"/>
    <mergeCell ref="C129:D129"/>
    <mergeCell ref="A48:B48"/>
    <mergeCell ref="C48:E48"/>
    <mergeCell ref="G48:H48"/>
    <mergeCell ref="G50:H50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A16:B16"/>
    <mergeCell ref="C16:H16"/>
    <mergeCell ref="E41:H41"/>
    <mergeCell ref="A41:D41"/>
    <mergeCell ref="A192:H192"/>
    <mergeCell ref="A189:H189"/>
    <mergeCell ref="A129:B129"/>
    <mergeCell ref="D141:D142"/>
    <mergeCell ref="E141:E142"/>
    <mergeCell ref="G141:H142"/>
    <mergeCell ref="A89:B89"/>
    <mergeCell ref="A90:B90"/>
    <mergeCell ref="A91:B91"/>
    <mergeCell ref="A81:B81"/>
    <mergeCell ref="C81:H81"/>
    <mergeCell ref="A105:B105"/>
    <mergeCell ref="A76:B76"/>
    <mergeCell ref="F110:H110"/>
    <mergeCell ref="G125:H125"/>
    <mergeCell ref="A108:B108"/>
    <mergeCell ref="A152:H152"/>
    <mergeCell ref="A153:B153"/>
    <mergeCell ref="G153:H159"/>
    <mergeCell ref="A158:B158"/>
    <mergeCell ref="L158:M158"/>
    <mergeCell ref="A159:B159"/>
    <mergeCell ref="B186:H186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60:H160"/>
    <mergeCell ref="A161:B161"/>
    <mergeCell ref="G161:H161"/>
    <mergeCell ref="A162:B162"/>
    <mergeCell ref="G162:H162"/>
    <mergeCell ref="L169:M169"/>
    <mergeCell ref="A163:B163"/>
    <mergeCell ref="G163:H163"/>
    <mergeCell ref="L163:M163"/>
    <mergeCell ref="A164:B164"/>
    <mergeCell ref="G164:H164"/>
    <mergeCell ref="L164:M164"/>
  </mergeCells>
  <dataValidations count="1">
    <dataValidation type="list" allowBlank="1" showInputMessage="1" showErrorMessage="1" sqref="G194:H194" xr:uid="{00000000-0002-0000-0000-000000000000}">
      <formula1>"Kunal Kadam,Pranita Mhatre,Shruti Fule,Pooja Kawale,Gaurav Panchal,Shruti Tathare, Hitakshi Mhatre, Sachin Sawant"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198" max="16383" man="1"/>
    <brk id="240" max="16383" man="1"/>
    <brk id="28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31" zoomScale="85" zoomScaleNormal="85" workbookViewId="0">
      <selection activeCell="B16" sqref="B16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6" t="s">
        <v>112</v>
      </c>
      <c r="C3" s="196"/>
      <c r="D3" s="196"/>
      <c r="E3" s="196"/>
      <c r="F3" s="196"/>
      <c r="G3" s="196"/>
      <c r="H3" s="196"/>
    </row>
    <row r="4" spans="1:9" x14ac:dyDescent="0.3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2025-09-13T01:49:49Z</cp:lastPrinted>
  <dcterms:created xsi:type="dcterms:W3CDTF">2019-07-16T09:29:46Z</dcterms:created>
  <dcterms:modified xsi:type="dcterms:W3CDTF">2025-09-13T01:55:48Z</dcterms:modified>
</cp:coreProperties>
</file>