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9" i="1" l="1"/>
  <c r="D169" i="1"/>
  <c r="E168" i="1"/>
  <c r="D168" i="1"/>
  <c r="F168" i="1" s="1"/>
  <c r="H168" i="1" s="1"/>
  <c r="E167" i="1"/>
  <c r="D167" i="1"/>
  <c r="E166" i="1"/>
  <c r="D166" i="1"/>
  <c r="A166" i="1"/>
  <c r="A167" i="1" s="1"/>
  <c r="A168" i="1" s="1"/>
  <c r="A169" i="1" s="1"/>
  <c r="E165" i="1"/>
  <c r="D165" i="1"/>
  <c r="A142" i="1"/>
  <c r="A143" i="1" s="1"/>
  <c r="A144" i="1" s="1"/>
  <c r="A145" i="1" s="1"/>
  <c r="E163" i="1"/>
  <c r="D163" i="1"/>
  <c r="E162" i="1"/>
  <c r="D162" i="1"/>
  <c r="E161" i="1"/>
  <c r="D161" i="1"/>
  <c r="E160" i="1"/>
  <c r="D160" i="1"/>
  <c r="A160" i="1"/>
  <c r="A161" i="1" s="1"/>
  <c r="A162" i="1" s="1"/>
  <c r="A163" i="1" s="1"/>
  <c r="E159" i="1"/>
  <c r="D159" i="1"/>
  <c r="A154" i="1"/>
  <c r="A155" i="1" s="1"/>
  <c r="A156" i="1" s="1"/>
  <c r="A157" i="1" s="1"/>
  <c r="E151" i="1"/>
  <c r="D151" i="1"/>
  <c r="E150" i="1"/>
  <c r="D150" i="1"/>
  <c r="F150" i="1" s="1"/>
  <c r="H150" i="1" s="1"/>
  <c r="E148" i="1"/>
  <c r="D148" i="1"/>
  <c r="A148" i="1"/>
  <c r="A149" i="1" s="1"/>
  <c r="A150" i="1" s="1"/>
  <c r="A151" i="1" s="1"/>
  <c r="E147" i="1"/>
  <c r="D147" i="1"/>
  <c r="E154" i="1"/>
  <c r="D154" i="1"/>
  <c r="E156" i="1"/>
  <c r="D156" i="1"/>
  <c r="D131" i="1"/>
  <c r="A136" i="1"/>
  <c r="A137" i="1" s="1"/>
  <c r="A138" i="1" s="1"/>
  <c r="A139" i="1" s="1"/>
  <c r="E139" i="1"/>
  <c r="D139" i="1"/>
  <c r="E138" i="1"/>
  <c r="D138" i="1"/>
  <c r="E137" i="1"/>
  <c r="D137" i="1"/>
  <c r="E136" i="1"/>
  <c r="D136" i="1"/>
  <c r="E135" i="1"/>
  <c r="D135" i="1"/>
  <c r="F147" i="1" l="1"/>
  <c r="H147" i="1" s="1"/>
  <c r="F138" i="1"/>
  <c r="H138" i="1" s="1"/>
  <c r="F162" i="1"/>
  <c r="H162" i="1" s="1"/>
  <c r="F148" i="1"/>
  <c r="H148" i="1" s="1"/>
  <c r="F167" i="1"/>
  <c r="H167" i="1" s="1"/>
  <c r="F161" i="1"/>
  <c r="H161" i="1" s="1"/>
  <c r="F139" i="1"/>
  <c r="H139" i="1" s="1"/>
  <c r="F163" i="1"/>
  <c r="H163" i="1" s="1"/>
  <c r="K163" i="1" s="1"/>
  <c r="F169" i="1"/>
  <c r="H169" i="1" s="1"/>
  <c r="K169" i="1" s="1"/>
  <c r="F136" i="1"/>
  <c r="H136" i="1" s="1"/>
  <c r="F159" i="1"/>
  <c r="H159" i="1" s="1"/>
  <c r="F166" i="1"/>
  <c r="H166" i="1" s="1"/>
  <c r="F165" i="1"/>
  <c r="H165" i="1" s="1"/>
  <c r="F160" i="1"/>
  <c r="H160" i="1" s="1"/>
  <c r="F137" i="1"/>
  <c r="H137" i="1" s="1"/>
  <c r="F135" i="1"/>
  <c r="H135" i="1" s="1"/>
  <c r="F151" i="1"/>
  <c r="H151" i="1" s="1"/>
  <c r="K62" i="1"/>
  <c r="D153" i="1" l="1"/>
  <c r="D144" i="1"/>
  <c r="D143" i="1"/>
  <c r="D142" i="1"/>
  <c r="D141" i="1"/>
  <c r="D132" i="1"/>
  <c r="D130" i="1"/>
  <c r="D129" i="1"/>
  <c r="E157" i="1"/>
  <c r="D157" i="1"/>
  <c r="E153" i="1"/>
  <c r="E133" i="1"/>
  <c r="E132" i="1"/>
  <c r="E131" i="1"/>
  <c r="E130" i="1"/>
  <c r="E129" i="1"/>
  <c r="E145" i="1"/>
  <c r="E144" i="1"/>
  <c r="F144" i="1" s="1"/>
  <c r="H144" i="1" s="1"/>
  <c r="E143" i="1"/>
  <c r="E142" i="1"/>
  <c r="E141" i="1"/>
  <c r="D145" i="1"/>
  <c r="F156" i="1"/>
  <c r="H156" i="1" s="1"/>
  <c r="F154" i="1"/>
  <c r="H154" i="1" s="1"/>
  <c r="D133" i="1"/>
  <c r="E43" i="1"/>
  <c r="F157" i="1" l="1"/>
  <c r="H157" i="1" s="1"/>
  <c r="F145" i="1"/>
  <c r="H145" i="1" s="1"/>
  <c r="K152" i="1" s="1"/>
  <c r="F153" i="1"/>
  <c r="H153" i="1" s="1"/>
  <c r="C107" i="1"/>
  <c r="C109" i="1"/>
  <c r="F143" i="1"/>
  <c r="H143" i="1" s="1"/>
  <c r="F141" i="1"/>
  <c r="H141" i="1" s="1"/>
  <c r="F142" i="1"/>
  <c r="H142" i="1" s="1"/>
  <c r="F133" i="1"/>
  <c r="F117" i="1"/>
  <c r="F129" i="1"/>
  <c r="K145" i="1" l="1"/>
  <c r="C110" i="1"/>
  <c r="H133" i="1"/>
  <c r="G109" i="1" s="1"/>
  <c r="E109" i="1"/>
  <c r="H129" i="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L42" i="7"/>
  <c r="K42" i="7" s="1"/>
  <c r="I42" i="7"/>
  <c r="H42" i="7" s="1"/>
  <c r="D42" i="7"/>
  <c r="D44" i="7" s="1"/>
  <c r="E44" i="7" l="1"/>
  <c r="E31" i="1"/>
  <c r="B172" i="1" l="1"/>
  <c r="F118" i="1" l="1"/>
  <c r="H118" i="1" s="1"/>
  <c r="F119" i="1"/>
  <c r="H119" i="1" s="1"/>
  <c r="F120" i="1"/>
  <c r="H120" i="1" s="1"/>
  <c r="H117" i="1"/>
  <c r="S33" i="1" l="1"/>
  <c r="F11" i="5" l="1"/>
  <c r="G11" i="5" s="1"/>
  <c r="F10" i="5"/>
  <c r="G10" i="5" s="1"/>
  <c r="F9" i="5"/>
  <c r="G9" i="5" s="1"/>
  <c r="G8" i="5"/>
  <c r="F8" i="5"/>
  <c r="F7" i="5"/>
  <c r="G7" i="5" s="1"/>
  <c r="G6" i="5"/>
  <c r="F6" i="5"/>
  <c r="F5" i="5"/>
  <c r="G5" i="5" s="1"/>
  <c r="G12" i="5" s="1"/>
  <c r="D194" i="1"/>
  <c r="B173" i="1"/>
  <c r="K146" i="1"/>
  <c r="F132" i="1"/>
  <c r="H132" i="1" s="1"/>
  <c r="F131" i="1"/>
  <c r="F130" i="1"/>
  <c r="A130" i="1"/>
  <c r="A131" i="1" s="1"/>
  <c r="A132" i="1" s="1"/>
  <c r="A133" i="1" s="1"/>
  <c r="A118" i="1"/>
  <c r="A119" i="1" s="1"/>
  <c r="A120" i="1" s="1"/>
  <c r="C111" i="1"/>
  <c r="F99" i="1"/>
  <c r="C73" i="1"/>
  <c r="D67" i="1"/>
  <c r="E44" i="1"/>
  <c r="E45" i="1" s="1"/>
  <c r="E28" i="1"/>
  <c r="E26" i="1"/>
  <c r="C16" i="1"/>
  <c r="I15" i="1"/>
  <c r="Z13" i="1"/>
  <c r="E8" i="1"/>
  <c r="E3" i="1"/>
  <c r="H74" i="1"/>
  <c r="E107" i="1" l="1"/>
  <c r="H131" i="1"/>
  <c r="E110" i="1"/>
  <c r="E111" i="1" s="1"/>
  <c r="H130" i="1"/>
  <c r="G107" i="1" s="1"/>
  <c r="J73" i="1"/>
  <c r="J75" i="1" s="1"/>
  <c r="J76" i="1"/>
  <c r="J77" i="1"/>
  <c r="J78" i="1"/>
  <c r="C77" i="1" s="1"/>
  <c r="D81" i="1"/>
  <c r="D83" i="1"/>
  <c r="D82" i="1"/>
  <c r="D86" i="1"/>
  <c r="D80" i="1"/>
  <c r="D85" i="1"/>
  <c r="D79" i="1"/>
  <c r="D84" i="1"/>
  <c r="B74" i="1"/>
  <c r="J79" i="1" s="1"/>
  <c r="G110" i="1" l="1"/>
  <c r="G111" i="1" s="1"/>
  <c r="D77" i="1"/>
  <c r="J83" i="1"/>
  <c r="J81" i="1"/>
  <c r="J82" i="1"/>
  <c r="J80" i="1"/>
  <c r="J85" i="1" s="1"/>
  <c r="J86" i="1" s="1"/>
  <c r="C78" i="1" s="1"/>
  <c r="J84" i="1"/>
  <c r="J74" i="1" l="1"/>
  <c r="E77" i="1"/>
  <c r="D78" i="1"/>
  <c r="I74" i="1" s="1"/>
  <c r="G77" i="1"/>
  <c r="D71" i="1" s="1"/>
  <c r="F72" i="1" l="1"/>
  <c r="D72" i="1"/>
  <c r="I75" i="1"/>
  <c r="I73" i="1" s="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0"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H12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<sst xmlns="http://schemas.openxmlformats.org/spreadsheetml/2006/main" count="638" uniqueCount="395">
  <si>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</si>
  <si>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</si>
  <si>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</si>
  <si>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</si>
  <si>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</si>
  <si>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</si>
  <si>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</si>
  <si>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</si>
  <si>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</si>
  <si>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</si>
  <si>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</si>
  <si>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</si>
  <si>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</si>
  <si>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</si>
  <si>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</si>
  <si>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</si>
  <si>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</si>
  <si>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</si>
  <si>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</si>
  <si>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</si>
  <si>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</si>
  <si>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</si>
  <si>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</si>
  <si>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</si>
  <si>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</si>
  <si>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</si>
  <si>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</si>
  <si>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</si>
  <si>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</si>
  <si>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</si>
  <si>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</si>
  <si>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</si>
  <si>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</si>
  <si>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</si>
  <si>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</si>
  <si>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</si>
  <si>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</si>
  <si>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</si>
  <si>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</si>
  <si>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</si>
  <si>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</si>
  <si>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</si>
  <si>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</si>
  <si>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</si>
  <si>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</si>
  <si>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</si>
  <si>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</si>
  <si>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</si>
  <si>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</si>
  <si>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</si>
  <si>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</si>
  <si>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</si>
  <si>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</si>
  <si>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</si>
  <si>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</si>
  <si>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</si>
  <si>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</si>
  <si>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</si>
  <si>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</si>
  <si>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</si>
  <si>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</si>
  <si>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</si>
  <si>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</si>
  <si>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</si>
  <si>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</si>
  <si>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</si>
  <si>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</si>
  <si>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</si>
  <si>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</si>
  <si>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</si>
  <si>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</si>
  <si>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</si>
  <si>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</si>
  <si>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</si>
  <si>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</si>
  <si>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</si>
  <si>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</si>
  <si>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</si>
  <si>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</si>
  <si>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</si>
  <si>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</si>
  <si>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</si>
  <si>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</si>
  <si>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</si>
  <si>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</si>
  <si>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</si>
  <si>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</si>
  <si>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</si>
  <si>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</si>
  <si>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</si>
  <si>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</si>
  <si>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</si>
  <si>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</si>
  <si>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</si>
  <si>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</si>
  <si>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</si>
  <si>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</si>
  <si>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</si>
  <si>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</si>
  <si>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</si>
  <si>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</si>
  <si>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</si>
  <si>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</si>
  <si>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</si>
  <si>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</si>
  <si>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</si>
  <si>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</si>
  <si>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</si>
  <si>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</si>
  <si>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</si>
  <si>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</si>
  <si>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</si>
  <si>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</si>
  <si>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</si>
  <si>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</si>
  <si>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</si>
  <si>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</si>
  <si>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</si>
  <si>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</si>
  <si>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</si>
  <si>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</si>
  <si>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</si>
  <si>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</si>
  <si>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</si>
  <si>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</si>
  <si>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</si>
  <si>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</si>
  <si>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</si>
  <si>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</si>
  <si>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</si>
  <si>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</si>
  <si>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</si>
  <si>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</si>
  <si>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</si>
  <si>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</si>
  <si>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</si>
  <si>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</si>
  <si>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</si>
  <si>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</si>
  <si>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</si>
  <si>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</si>
  <si>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</si>
  <si>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</si>
  <si>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</si>
  <si>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</si>
  <si>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</si>
  <si>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</si>
  <si>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</si>
  <si>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</si>
  <si>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</si>
  <si>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</si>
  <si>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</si>
  <si>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</si>
  <si>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</si>
  <si>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</si>
  <si>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</si>
  <si>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</si>
  <si>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</si>
  <si>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</si>
  <si>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</si>
  <si>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</si>
  <si>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</si>
  <si>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</si>
  <si>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</si>
  <si>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</si>
  <si>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</si>
  <si>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</si>
  <si>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</si>
  <si>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</si>
  <si>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</si>
  <si>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</si>
  <si>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</si>
  <si>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</si>
  <si>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</si>
  <si>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</si>
  <si>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</si>
  <si>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</si>
  <si>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</si>
  <si>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</si>
  <si>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</si>
  <si>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</si>
  <si>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</si>
  <si>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</si>
  <si>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</si>
  <si>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</si>
  <si>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</si>
  <si>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</si>
  <si>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</si>
  <si>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</si>
  <si>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</si>
  <si>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</si>
  <si>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</si>
  <si>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</si>
  <si>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</si>
  <si>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</si>
  <si>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</si>
  <si>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</si>
  <si>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</si>
  <si>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</si>
  <si>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</si>
  <si>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</si>
  <si>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</si>
  <si>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</si>
  <si>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</si>
  <si>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</si>
  <si>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</si>
  <si>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</si>
  <si>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</si>
  <si>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</si>
  <si>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</si>
  <si>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</si>
  <si>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</si>
  <si>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</si>
  <si>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</si>
  <si>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</si>
  <si>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</si>
  <si>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</si>
  <si>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</si>
  <si>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</si>
  <si>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</si>
  <si>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</si>
  <si>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</si>
  <si>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</si>
  <si>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</si>
  <si>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</si>
  <si>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</si>
  <si>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</si>
  <si>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</si>
  <si>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</si>
  <si>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</si>
  <si>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</si>
  <si>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</si>
  <si>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</si>
  <si>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</si>
  <si>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</si>
  <si>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</si>
  <si>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</si>
  <si>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</si>
  <si>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</si>
  <si>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</si>
  <si>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</si>
  <si>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</si>
  <si>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</si>
  <si>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</si>
  <si>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</si>
  <si>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</si>
  <si>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</si>
  <si>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</si>
  <si>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</si>
  <si>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</si>
  <si>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</si>
  <si>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</si>
  <si>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</si>
  <si>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</si>
  <si>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</si>
  <si>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</si>
  <si>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</si>
  <si>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</si>
  <si>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</si>
  <si>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</si>
  <si>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</si>
  <si>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</si>
  <si>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</si>
  <si>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</si>
  <si>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</si>
  <si>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</si>
  <si>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</si>
  <si>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</si>
  <si>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</si>
  <si>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</si>
  <si>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</si>
  <si>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</si>
  <si>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</si>
  <si>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</si>
  <si>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</si>
  <si>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</si>
  <si>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</si>
  <si>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</si>
  <si>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</si>
  <si>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</si>
  <si>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</si>
  <si>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</si>
  <si>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</si>
  <si>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</si>
  <si>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</si>
  <si>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</si>
  <si>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</si>
  <si>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</si>
  <si>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</si>
  <si>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</si>
  <si>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</si>
  <si>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</si>
  <si>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</si>
  <si>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</si>
  <si>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</si>
  <si>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</si>
  <si>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</si>
  <si>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</si>
  <si>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</si>
  <si>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</si>
  <si>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</si>
  <si>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</si>
  <si>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</si>
  <si>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</si>
  <si>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</si>
  <si>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</si>
  <si>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</si>
  <si>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</si>
  <si>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</si>
  <si>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</si>
  <si>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</si>
  <si>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</si>
  <si>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</si>
  <si>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</si>
  <si>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</si>
  <si>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</si>
  <si>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</si>
  <si>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</si>
  <si>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</si>
  <si>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</si>
  <si>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</si>
  <si>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</si>
  <si>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</si>
  <si>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</si>
  <si>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</si>
  <si>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</si>
  <si>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</si>
  <si>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</si>
  <si>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</si>
  <si>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</si>
  <si>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P99000034120</t>
  </si>
  <si>
    <t>Vimal Infra</t>
  </si>
  <si>
    <t>Yashwant County</t>
  </si>
  <si>
    <t>Sandor</t>
  </si>
  <si>
    <t>As per RERA - 31/12/2025</t>
  </si>
  <si>
    <t>VVCMC/TR/AMEND/VP/0337/186/2021-22</t>
  </si>
  <si>
    <t>Mr. Jagdish 915899327</t>
  </si>
  <si>
    <t>Survey No</t>
  </si>
  <si>
    <t>Vasai West</t>
  </si>
  <si>
    <t>Mahatma Gandhi Road</t>
  </si>
  <si>
    <t>Shreenathji Apartment</t>
  </si>
  <si>
    <t>Kiravali</t>
  </si>
  <si>
    <t>3.7KM from Vasai Road Railway Station</t>
  </si>
  <si>
    <t>Under Construction Building</t>
  </si>
  <si>
    <t>Open Plot</t>
  </si>
  <si>
    <t>Residential Building/ Internal Road</t>
  </si>
  <si>
    <t>Building No.1 Wing G</t>
  </si>
  <si>
    <t>Building No.1 Wing E</t>
  </si>
  <si>
    <t>Paved Area</t>
  </si>
  <si>
    <t>Ground Floor For Entrance lobby &amp; Parking</t>
  </si>
  <si>
    <t>Podium Floor For Parking</t>
  </si>
  <si>
    <t>2BHK</t>
  </si>
  <si>
    <t>1BHK</t>
  </si>
  <si>
    <t>Refuge Area</t>
  </si>
  <si>
    <t>Recreational Garden Space, Children Play Area, Elegant Entrance, Power Back Up System for Elevators etc.</t>
  </si>
  <si>
    <t>Navnath Bhatkar</t>
  </si>
  <si>
    <t>We considered Gross carpet area = Net carpet + D.B Area + F.B Area.</t>
  </si>
  <si>
    <t>as per sale plan</t>
  </si>
  <si>
    <t>19.363092,72.812530</t>
  </si>
  <si>
    <t xml:space="preserve">Details of Residential in Building   </t>
  </si>
  <si>
    <r>
      <t xml:space="preserve">Proposed Amenities :                                                                                                                                                                                                                         </t>
    </r>
    <r>
      <rPr>
        <b/>
        <sz val="12"/>
        <rFont val="Times New Roman"/>
        <family val="1"/>
      </rPr>
      <t xml:space="preserve">                                               </t>
    </r>
  </si>
  <si>
    <t>230, H No.1, 2, 3, 5, 6, 7, 8, S No. 231 H No.1, 2, 3, 4, 5, 6, 7, 8, 9, S No. 235, H No.1/2, 2, 3, 4, 5, 6, 7, 8, 10, 11/1, 11/2, S No.236, H No.1, 2, 3, 7, 8, 11, 12, 13, 14, 15, 17, 18, 19, 20, 21, 22, 23(pt), 24, 25A, 25B, 27, 28, 29</t>
  </si>
  <si>
    <t>https://maps.app.goo.gl/KLFEe8THMAkwiWiH8</t>
  </si>
  <si>
    <t>Mhada</t>
  </si>
  <si>
    <t>Building No.1 Wing F = Stilt + Podium + 1st to 20th Floor</t>
  </si>
  <si>
    <t>VVCMC/TP/RDP/VP/0337/280/2022-23</t>
  </si>
  <si>
    <t>Building No.1 Wing F = Stilt + Podium + 1st to 20th Floor (Sale B.U.A = 7067.34 sqm &amp; Mhada B.U.A = 497.88sqm.)</t>
  </si>
  <si>
    <t>Sale / Mhada</t>
  </si>
  <si>
    <t>1st to 5th, 8th to 10th Floor For Residential</t>
  </si>
  <si>
    <t>13th to 15th, 18th Floor (Sale Flats)</t>
  </si>
  <si>
    <t>Sale</t>
  </si>
  <si>
    <t>FB + DB Area</t>
  </si>
  <si>
    <t>3.5BHK</t>
  </si>
  <si>
    <t>6th &amp; 11th Floor (Part Refuge Area)</t>
  </si>
  <si>
    <t>16th Floor (Part Refuge Area)</t>
  </si>
  <si>
    <t>17th Floor</t>
  </si>
  <si>
    <t>7th &amp; 12th Floor</t>
  </si>
  <si>
    <t>19th &amp; 20th Floor</t>
  </si>
  <si>
    <t xml:space="preserve">We have updated revised plans &amp; CC (on 16/07/2024).
</t>
  </si>
  <si>
    <t xml:space="preserve">Sale Flat - 85, Mhada Flats - 12 </t>
  </si>
  <si>
    <t>Building No 1 F Wing (Falcon)</t>
  </si>
  <si>
    <t xml:space="preserve">Wing F Sale </t>
  </si>
  <si>
    <t>Wing F Mhada</t>
  </si>
  <si>
    <t>Building No.1</t>
  </si>
  <si>
    <t>Wing F (Falcon)</t>
  </si>
  <si>
    <t>VVCMC/FIRE/HQ/1199/2023-24</t>
  </si>
  <si>
    <t>Building No.1 Wing F = Stilt + Podium + 1st to 20th Floor (Ht = 69.95m)</t>
  </si>
  <si>
    <t>SIA/MH/INFRA2/422345/2023</t>
  </si>
  <si>
    <t xml:space="preserve">Environment Clearance Certificate &amp; Fire Noc are updated from the document provided on Mail by Bank Official on 12/08/2024.
</t>
  </si>
  <si>
    <t>Floor Rise Rate from 8th Floor</t>
  </si>
  <si>
    <t>Amenties Charges</t>
  </si>
  <si>
    <t>6500 to 7200 + OC + FR(100) by Nilesh &amp; Trupti Visit on 16/09/2024</t>
  </si>
  <si>
    <t>Mr. Sanjay : 915899327</t>
  </si>
  <si>
    <t>Pranita Mhatre</t>
  </si>
  <si>
    <t>Construction work is in process at the time of visit. (labour found)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</si>
</sst>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25" xfId="0" applyFont="1" applyFill="1" applyBorder="1"/>
    <xf numFmtId="0" fontId="26" fillId="0" borderId="26"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9" fontId="17" fillId="0" borderId="13"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0"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9" fontId="13" fillId="0" borderId="13"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wrapText="1"/>
      <protection locked="0"/>
    </xf>
    <xf numFmtId="0" fontId="7" fillId="0" borderId="0" xfId="1" applyFont="1" applyAlignment="1">
      <alignment horizontal="center" vertical="center"/>
    </xf>
    <xf numFmtId="0" fontId="12" fillId="0" borderId="1" xfId="1" applyFont="1" applyBorder="1" applyAlignment="1" applyProtection="1">
      <alignment vertical="top"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7" fillId="2" borderId="20" xfId="1" applyFont="1" applyFill="1" applyBorder="1" applyAlignment="1">
      <alignment horizontal="center"/>
    </xf>
    <xf numFmtId="0" fontId="7" fillId="2" borderId="0" xfId="1" applyFont="1" applyFill="1" applyBorder="1" applyAlignment="1">
      <alignment horizontal="center"/>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17" fillId="0" borderId="3" xfId="1" applyNumberFormat="1" applyFont="1" applyBorder="1" applyAlignment="1" applyProtection="1">
      <alignment horizontal="center" vertical="top" wrapText="1"/>
      <protection locked="0"/>
    </xf>
    <xf numFmtId="1" fontId="17" fillId="0" borderId="13" xfId="1" applyNumberFormat="1" applyFont="1" applyBorder="1" applyAlignment="1" applyProtection="1">
      <alignment horizontal="center" vertical="top" wrapText="1"/>
      <protection locked="0"/>
    </xf>
    <xf numFmtId="0" fontId="13" fillId="0" borderId="8"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7" fillId="0" borderId="4" xfId="1" applyFont="1" applyBorder="1" applyAlignment="1" applyProtection="1">
      <alignment horizontal="center" vertical="top"/>
      <protection locked="0"/>
    </xf>
    <xf numFmtId="0" fontId="7" fillId="0" borderId="1" xfId="1" applyFont="1" applyBorder="1" applyAlignment="1" applyProtection="1">
      <alignment horizontal="center"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3"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0" fontId="8" fillId="0" borderId="13" xfId="1" applyFont="1" applyBorder="1" applyAlignment="1" applyProtection="1">
      <alignment horizontal="center" vertical="top"/>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28" xfId="0" applyNumberFormat="1" applyFont="1" applyBorder="1" applyAlignment="1" applyProtection="1">
      <alignment horizontal="center" vertical="center"/>
      <protection locked="0"/>
    </xf>
    <xf numFmtId="1" fontId="10" fillId="0" borderId="28"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27" fillId="0" borderId="1" xfId="10" applyFill="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1" fontId="8" fillId="0" borderId="28" xfId="0" applyNumberFormat="1" applyFont="1" applyBorder="1" applyAlignment="1" applyProtection="1">
      <alignment horizontal="center" vertical="top" wrapText="1"/>
      <protection locked="0"/>
    </xf>
    <xf numFmtId="1" fontId="8" fillId="0" borderId="29" xfId="0" applyNumberFormat="1" applyFont="1" applyBorder="1" applyAlignment="1" applyProtection="1">
      <alignment horizontal="center" vertical="top" wrapText="1"/>
      <protection locked="0"/>
    </xf>
    <xf numFmtId="0" fontId="12" fillId="0" borderId="8" xfId="1" applyFont="1" applyBorder="1" applyAlignment="1" applyProtection="1">
      <alignment vertical="top" wrapText="1"/>
      <protection locked="0"/>
    </xf>
    <xf numFmtId="0" fontId="12" fillId="0" borderId="18" xfId="1" applyFont="1" applyBorder="1" applyAlignment="1" applyProtection="1">
      <alignment vertical="top" wrapText="1"/>
      <protection locked="0"/>
    </xf>
    <xf numFmtId="0" fontId="12" fillId="0" borderId="9" xfId="1" applyFont="1" applyBorder="1" applyAlignment="1" applyProtection="1">
      <alignmen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30"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2" xfId="1" applyFont="1" applyBorder="1" applyAlignment="1" applyProtection="1">
      <alignment horizontal="left" vertical="top" wrapText="1"/>
      <protection locked="0"/>
    </xf>
    <xf numFmtId="0" fontId="8" fillId="0" borderId="3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14"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15" xfId="1" applyFont="1" applyBorder="1" applyAlignment="1" applyProtection="1">
      <alignment horizontal="left" vertical="top"/>
      <protection locked="0"/>
    </xf>
    <xf numFmtId="0" fontId="12" fillId="0" borderId="19" xfId="1" applyFont="1" applyBorder="1" applyAlignment="1" applyProtection="1">
      <alignment horizontal="left" vertical="top" wrapText="1"/>
      <protection locked="0"/>
    </xf>
    <xf numFmtId="9" fontId="7" fillId="0" borderId="14" xfId="8" applyFont="1" applyFill="1" applyBorder="1" applyAlignment="1" applyProtection="1">
      <alignment horizontal="center" vertical="center" wrapText="1"/>
      <protection locked="0"/>
    </xf>
    <xf numFmtId="9" fontId="7" fillId="0" borderId="15" xfId="8" applyFont="1" applyFill="1" applyBorder="1" applyAlignment="1" applyProtection="1">
      <alignment horizontal="center" vertical="center" wrapText="1"/>
      <protection locked="0"/>
    </xf>
    <xf numFmtId="9" fontId="7" fillId="0" borderId="20" xfId="8" applyFont="1" applyFill="1" applyBorder="1" applyAlignment="1" applyProtection="1">
      <alignment horizontal="center" vertical="center" wrapText="1"/>
      <protection locked="0"/>
    </xf>
    <xf numFmtId="9" fontId="7" fillId="0" borderId="21" xfId="8" applyFont="1" applyFill="1" applyBorder="1" applyAlignment="1" applyProtection="1">
      <alignment horizontal="center" vertical="center" wrapText="1"/>
      <protection locked="0"/>
    </xf>
    <xf numFmtId="9" fontId="7" fillId="0" borderId="23"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2"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protection locked="0"/>
    </xf>
    <xf numFmtId="0" fontId="7" fillId="0" borderId="7"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18"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1" xfId="1" applyFont="1" applyBorder="1" applyAlignment="1" applyProtection="1">
      <alignment horizontal="left" vertical="top"/>
      <protection locked="0"/>
    </xf>
    <xf numFmtId="0" fontId="6"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6" fillId="0" borderId="18"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14"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13" fillId="0" borderId="1"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3"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 fontId="13" fillId="0" borderId="8"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27" xfId="0" applyNumberFormat="1" applyFont="1" applyBorder="1" applyAlignment="1" applyProtection="1">
      <alignment horizontal="center" vertical="center" wrapText="1"/>
      <protection locked="0"/>
    </xf>
    <xf numFmtId="1" fontId="8" fillId="0" borderId="28" xfId="0" applyNumberFormat="1" applyFont="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15" fillId="0" borderId="16"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17" xfId="1" applyFont="1" applyBorder="1" applyAlignment="1" applyProtection="1">
      <alignment horizontal="left" vertical="top"/>
      <protection locked="0"/>
    </xf>
    <xf numFmtId="0" fontId="12" fillId="0" borderId="20"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20" xfId="1" applyFont="1" applyBorder="1" applyAlignment="1">
      <alignment horizontal="center"/>
    </xf>
    <xf numFmtId="0" fontId="7" fillId="0" borderId="0" xfId="1" applyFont="1" applyAlignment="1">
      <alignment horizontal="center"/>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4" fontId="6" fillId="0" borderId="1" xfId="1" applyNumberFormat="1" applyFont="1" applyBorder="1" applyAlignment="1" applyProtection="1">
      <alignment horizontal="left"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emf"/><Relationship Id="rId11" Type="http://schemas.openxmlformats.org/officeDocument/2006/relationships/image" Target="../media/image11.jpeg"/><Relationship Id="rId5" Type="http://schemas.openxmlformats.org/officeDocument/2006/relationships/image" Target="../media/image5.emf"/><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8</xdr:col>
      <xdr:colOff>180975</xdr:colOff>
      <xdr:row>15</xdr:row>
      <xdr:rowOff>295275</xdr:rowOff>
    </xdr:from>
    <xdr:to>
      <xdr:col>14</xdr:col>
      <xdr:colOff>399375</xdr:colOff>
      <xdr:row>15</xdr:row>
      <xdr:rowOff>884795</xdr:rowOff>
    </xdr:to>
    <xdr:pic>
      <xdr:nvPicPr>
        <xdr:cNvPr id="5" name="Picture 4"/>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496050" y="3676650"/>
          <a:ext cx="5400000" cy="589520"/>
        </a:xfrm>
        <a:prstGeom prst="rect">
          <a:avLst/>
        </a:prstGeom>
        <a:ln>
          <a:solidFill>
            <a:schemeClr val="tx1"/>
          </a:solidFill>
        </a:ln>
      </xdr:spPr>
    </xdr:pic>
    <xdr:clientData/>
  </xdr:twoCellAnchor>
  <xdr:twoCellAnchor editAs="oneCell">
    <xdr:from>
      <xdr:col>1</xdr:col>
      <xdr:colOff>533580</xdr:colOff>
      <xdr:row>281</xdr:row>
      <xdr:rowOff>28575</xdr:rowOff>
    </xdr:from>
    <xdr:to>
      <xdr:col>6</xdr:col>
      <xdr:colOff>47355</xdr:colOff>
      <xdr:row>298</xdr:row>
      <xdr:rowOff>24760</xdr:rowOff>
    </xdr:to>
    <xdr:pic>
      <xdr:nvPicPr>
        <xdr:cNvPr id="6" name="Picture 5"/>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295580" y="52263675"/>
          <a:ext cx="3600000" cy="3396610"/>
        </a:xfrm>
        <a:prstGeom prst="rect">
          <a:avLst/>
        </a:prstGeom>
        <a:ln>
          <a:solidFill>
            <a:schemeClr val="tx1"/>
          </a:solidFill>
        </a:ln>
      </xdr:spPr>
    </xdr:pic>
    <xdr:clientData/>
  </xdr:twoCellAnchor>
  <xdr:twoCellAnchor>
    <xdr:from>
      <xdr:col>1</xdr:col>
      <xdr:colOff>523876</xdr:colOff>
      <xdr:row>236</xdr:row>
      <xdr:rowOff>171450</xdr:rowOff>
    </xdr:from>
    <xdr:to>
      <xdr:col>6</xdr:col>
      <xdr:colOff>104776</xdr:colOff>
      <xdr:row>255</xdr:row>
      <xdr:rowOff>150975</xdr:rowOff>
    </xdr:to>
    <xdr:grpSp>
      <xdr:nvGrpSpPr>
        <xdr:cNvPr id="39" name="Group 38"/>
        <xdr:cNvGrpSpPr/>
      </xdr:nvGrpSpPr>
      <xdr:grpSpPr>
        <a:xfrm>
          <a:off x="1285876" y="47424975"/>
          <a:ext cx="3667125" cy="3780000"/>
          <a:chOff x="1911509" y="415686"/>
          <a:chExt cx="3667125" cy="4171950"/>
        </a:xfrm>
      </xdr:grpSpPr>
      <xdr:pic>
        <xdr:nvPicPr>
          <xdr:cNvPr id="44" name="Picture 43"/>
          <xdr:cNvPicPr>
            <a:picLocks noChangeAspect="1"/>
          </xdr:cNvPicPr>
        </xdr:nvPicPr>
        <xdr:blipFill>
          <a:blip xmlns:r="http://schemas.openxmlformats.org/officeDocument/2006/relationships" r:embed="rId3"/>
          <a:stretch>
            <a:fillRect/>
          </a:stretch>
        </xdr:blipFill>
        <xdr:spPr>
          <a:xfrm>
            <a:off x="1911509" y="415686"/>
            <a:ext cx="3667125" cy="4171950"/>
          </a:xfrm>
          <a:prstGeom prst="rect">
            <a:avLst/>
          </a:prstGeom>
          <a:ln>
            <a:solidFill>
              <a:schemeClr val="tx1"/>
            </a:solidFill>
          </a:ln>
        </xdr:spPr>
      </xdr:pic>
      <xdr:sp macro="" textlink="">
        <xdr:nvSpPr>
          <xdr:cNvPr id="45" name="Rectangle 44"/>
          <xdr:cNvSpPr/>
        </xdr:nvSpPr>
        <xdr:spPr>
          <a:xfrm>
            <a:off x="4606506" y="2241109"/>
            <a:ext cx="552090" cy="117000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6" name="TextBox 42"/>
          <xdr:cNvSpPr txBox="1"/>
        </xdr:nvSpPr>
        <xdr:spPr>
          <a:xfrm>
            <a:off x="3313340" y="1879925"/>
            <a:ext cx="2178802"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Building No.1 Wing F</a:t>
            </a:r>
            <a:endParaRPr lang="en-IN" b="1">
              <a:solidFill>
                <a:srgbClr val="FFFF00"/>
              </a:solidFill>
            </a:endParaRPr>
          </a:p>
        </xdr:txBody>
      </xdr:sp>
    </xdr:grpSp>
    <xdr:clientData/>
  </xdr:twoCellAnchor>
  <xdr:twoCellAnchor editAs="oneCell">
    <xdr:from>
      <xdr:col>8</xdr:col>
      <xdr:colOff>276224</xdr:colOff>
      <xdr:row>48</xdr:row>
      <xdr:rowOff>28575</xdr:rowOff>
    </xdr:from>
    <xdr:to>
      <xdr:col>13</xdr:col>
      <xdr:colOff>262175</xdr:colOff>
      <xdr:row>48</xdr:row>
      <xdr:rowOff>388575</xdr:rowOff>
    </xdr:to>
    <xdr:pic>
      <xdr:nvPicPr>
        <xdr:cNvPr id="48" name="Picture 47"/>
        <xdr:cNvPicPr>
          <a:picLocks noChangeAspect="1" noChangeArrowheads="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t="29633" b="29621"/>
        <a:stretch/>
      </xdr:blipFill>
      <xdr:spPr bwMode="auto">
        <a:xfrm>
          <a:off x="6591299" y="11496675"/>
          <a:ext cx="4329351"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476249</xdr:colOff>
      <xdr:row>52</xdr:row>
      <xdr:rowOff>66675</xdr:rowOff>
    </xdr:from>
    <xdr:to>
      <xdr:col>15</xdr:col>
      <xdr:colOff>2800</xdr:colOff>
      <xdr:row>54</xdr:row>
      <xdr:rowOff>158025</xdr:rowOff>
    </xdr:to>
    <xdr:pic>
      <xdr:nvPicPr>
        <xdr:cNvPr id="49" name="Picture 4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6791324" y="12963525"/>
          <a:ext cx="5514975"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247650</xdr:colOff>
      <xdr:row>37</xdr:row>
      <xdr:rowOff>66675</xdr:rowOff>
    </xdr:from>
    <xdr:to>
      <xdr:col>13</xdr:col>
      <xdr:colOff>131680</xdr:colOff>
      <xdr:row>47</xdr:row>
      <xdr:rowOff>104775</xdr:rowOff>
    </xdr:to>
    <xdr:pic>
      <xdr:nvPicPr>
        <xdr:cNvPr id="50" name="Picture 49"/>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8486775" y="9334500"/>
          <a:ext cx="2303380" cy="203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323850</xdr:colOff>
      <xdr:row>256</xdr:row>
      <xdr:rowOff>86745</xdr:rowOff>
    </xdr:from>
    <xdr:to>
      <xdr:col>6</xdr:col>
      <xdr:colOff>329777</xdr:colOff>
      <xdr:row>278</xdr:row>
      <xdr:rowOff>6195</xdr:rowOff>
    </xdr:to>
    <xdr:grpSp>
      <xdr:nvGrpSpPr>
        <xdr:cNvPr id="17" name="Group 16"/>
        <xdr:cNvGrpSpPr/>
      </xdr:nvGrpSpPr>
      <xdr:grpSpPr>
        <a:xfrm>
          <a:off x="1085850" y="51340770"/>
          <a:ext cx="4092152" cy="4320000"/>
          <a:chOff x="1085850" y="50912145"/>
          <a:chExt cx="4092152" cy="4320000"/>
        </a:xfrm>
      </xdr:grpSpPr>
      <xdr:pic>
        <xdr:nvPicPr>
          <xdr:cNvPr id="41" name="Picture 40"/>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085850" y="50912145"/>
            <a:ext cx="4092152" cy="4320000"/>
          </a:xfrm>
          <a:prstGeom prst="rect">
            <a:avLst/>
          </a:prstGeom>
          <a:ln>
            <a:solidFill>
              <a:schemeClr val="tx1"/>
            </a:solidFill>
          </a:ln>
        </xdr:spPr>
      </xdr:pic>
      <xdr:sp macro="" textlink="">
        <xdr:nvSpPr>
          <xdr:cNvPr id="42" name="Rectangle 41"/>
          <xdr:cNvSpPr/>
        </xdr:nvSpPr>
        <xdr:spPr>
          <a:xfrm>
            <a:off x="4265440" y="53438664"/>
            <a:ext cx="487536" cy="63246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3" name="TextBox 45"/>
          <xdr:cNvSpPr txBox="1"/>
        </xdr:nvSpPr>
        <xdr:spPr>
          <a:xfrm rot="2765861">
            <a:off x="2203537" y="53807586"/>
            <a:ext cx="1739579" cy="31149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Building No.1 </a:t>
            </a:r>
            <a:endParaRPr lang="en-IN" sz="1400" b="1">
              <a:solidFill>
                <a:srgbClr val="FFFF00"/>
              </a:solidFill>
            </a:endParaRPr>
          </a:p>
        </xdr:txBody>
      </xdr:sp>
      <xdr:sp macro="" textlink="">
        <xdr:nvSpPr>
          <xdr:cNvPr id="11" name="TextBox 10"/>
          <xdr:cNvSpPr txBox="1"/>
        </xdr:nvSpPr>
        <xdr:spPr>
          <a:xfrm>
            <a:off x="3114675" y="52225575"/>
            <a:ext cx="324512"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800" b="1">
                <a:solidFill>
                  <a:srgbClr val="FFFF00"/>
                </a:solidFill>
              </a:rPr>
              <a:t>A</a:t>
            </a:r>
          </a:p>
        </xdr:txBody>
      </xdr:sp>
      <xdr:sp macro="" textlink="">
        <xdr:nvSpPr>
          <xdr:cNvPr id="13" name="TextBox 12"/>
          <xdr:cNvSpPr txBox="1"/>
        </xdr:nvSpPr>
        <xdr:spPr>
          <a:xfrm>
            <a:off x="4210050" y="53597175"/>
            <a:ext cx="58637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rgbClr val="FFFF00"/>
                </a:solidFill>
                <a:effectLst/>
                <a:latin typeface="+mn-lt"/>
                <a:ea typeface="+mn-ea"/>
                <a:cs typeface="+mn-cs"/>
              </a:rPr>
              <a:t>Wing F</a:t>
            </a:r>
            <a:endParaRPr lang="en-IN">
              <a:solidFill>
                <a:srgbClr val="FFFF00"/>
              </a:solidFill>
              <a:effectLst/>
            </a:endParaRPr>
          </a:p>
          <a:p>
            <a:endParaRPr lang="en-IN" sz="1100">
              <a:solidFill>
                <a:srgbClr val="FFFF00"/>
              </a:solidFill>
            </a:endParaRPr>
          </a:p>
        </xdr:txBody>
      </xdr:sp>
      <xdr:sp macro="" textlink="">
        <xdr:nvSpPr>
          <xdr:cNvPr id="52" name="TextBox 51"/>
          <xdr:cNvSpPr txBox="1"/>
        </xdr:nvSpPr>
        <xdr:spPr>
          <a:xfrm>
            <a:off x="4133850" y="54264945"/>
            <a:ext cx="29726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800" b="1">
                <a:solidFill>
                  <a:srgbClr val="FFFF00"/>
                </a:solidFill>
              </a:rPr>
              <a:t>E</a:t>
            </a:r>
          </a:p>
        </xdr:txBody>
      </xdr:sp>
      <xdr:sp macro="" textlink="">
        <xdr:nvSpPr>
          <xdr:cNvPr id="53" name="TextBox 52"/>
          <xdr:cNvSpPr txBox="1"/>
        </xdr:nvSpPr>
        <xdr:spPr>
          <a:xfrm>
            <a:off x="3486150" y="53693445"/>
            <a:ext cx="330155"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800" b="1">
                <a:solidFill>
                  <a:srgbClr val="FFFF00"/>
                </a:solidFill>
              </a:rPr>
              <a:t>D</a:t>
            </a:r>
          </a:p>
        </xdr:txBody>
      </xdr:sp>
      <xdr:sp macro="" textlink="">
        <xdr:nvSpPr>
          <xdr:cNvPr id="54" name="TextBox 53"/>
          <xdr:cNvSpPr txBox="1"/>
        </xdr:nvSpPr>
        <xdr:spPr>
          <a:xfrm>
            <a:off x="2990850" y="53198145"/>
            <a:ext cx="306815"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800" b="1">
                <a:solidFill>
                  <a:srgbClr val="FFFF00"/>
                </a:solidFill>
              </a:rPr>
              <a:t>C</a:t>
            </a:r>
          </a:p>
        </xdr:txBody>
      </xdr:sp>
      <xdr:sp macro="" textlink="">
        <xdr:nvSpPr>
          <xdr:cNvPr id="55" name="TextBox 54"/>
          <xdr:cNvSpPr txBox="1"/>
        </xdr:nvSpPr>
        <xdr:spPr>
          <a:xfrm>
            <a:off x="2609850" y="52645695"/>
            <a:ext cx="324512"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800" b="1">
                <a:solidFill>
                  <a:srgbClr val="FFFF00"/>
                </a:solidFill>
              </a:rPr>
              <a:t>B</a:t>
            </a:r>
          </a:p>
        </xdr:txBody>
      </xdr:sp>
      <xdr:sp macro="" textlink="">
        <xdr:nvSpPr>
          <xdr:cNvPr id="56" name="TextBox 55"/>
          <xdr:cNvSpPr txBox="1"/>
        </xdr:nvSpPr>
        <xdr:spPr>
          <a:xfrm>
            <a:off x="4314825" y="52950495"/>
            <a:ext cx="33175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800" b="1">
                <a:solidFill>
                  <a:srgbClr val="FFFF00"/>
                </a:solidFill>
              </a:rPr>
              <a:t>G</a:t>
            </a:r>
          </a:p>
        </xdr:txBody>
      </xdr:sp>
    </xdr:grpSp>
    <xdr:clientData/>
  </xdr:twoCellAnchor>
  <xdr:twoCellAnchor>
    <xdr:from>
      <xdr:col>0</xdr:col>
      <xdr:colOff>542925</xdr:colOff>
      <xdr:row>298</xdr:row>
      <xdr:rowOff>122647</xdr:rowOff>
    </xdr:from>
    <xdr:to>
      <xdr:col>7</xdr:col>
      <xdr:colOff>206135</xdr:colOff>
      <xdr:row>313</xdr:row>
      <xdr:rowOff>89759</xdr:rowOff>
    </xdr:to>
    <xdr:grpSp>
      <xdr:nvGrpSpPr>
        <xdr:cNvPr id="16" name="Group 15"/>
        <xdr:cNvGrpSpPr/>
      </xdr:nvGrpSpPr>
      <xdr:grpSpPr>
        <a:xfrm>
          <a:off x="542925" y="59777722"/>
          <a:ext cx="5244860" cy="2967487"/>
          <a:chOff x="542925" y="59844397"/>
          <a:chExt cx="5244860" cy="2967487"/>
        </a:xfrm>
      </xdr:grpSpPr>
      <xdr:pic>
        <xdr:nvPicPr>
          <xdr:cNvPr id="8" name="Picture 7"/>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542925" y="59844397"/>
            <a:ext cx="5244860" cy="2967487"/>
          </a:xfrm>
          <a:prstGeom prst="rect">
            <a:avLst/>
          </a:prstGeom>
          <a:ln>
            <a:solidFill>
              <a:schemeClr val="tx1"/>
            </a:solidFill>
          </a:ln>
        </xdr:spPr>
      </xdr:pic>
      <xdr:sp macro="" textlink="">
        <xdr:nvSpPr>
          <xdr:cNvPr id="9" name="Rectangle 8"/>
          <xdr:cNvSpPr/>
        </xdr:nvSpPr>
        <xdr:spPr>
          <a:xfrm rot="21013580">
            <a:off x="2538017" y="61149120"/>
            <a:ext cx="428872" cy="740708"/>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0" name="TextBox 5"/>
          <xdr:cNvSpPr txBox="1"/>
        </xdr:nvSpPr>
        <xdr:spPr>
          <a:xfrm rot="4432575">
            <a:off x="2842732" y="61290872"/>
            <a:ext cx="593873" cy="248851"/>
          </a:xfrm>
          <a:prstGeom prst="rect">
            <a:avLst/>
          </a:prstGeom>
          <a:solidFill>
            <a:schemeClr val="bg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7030A0"/>
                </a:solidFill>
              </a:rPr>
              <a:t>Falcon</a:t>
            </a:r>
            <a:endParaRPr lang="en-IN" sz="1000" b="1">
              <a:solidFill>
                <a:srgbClr val="7030A0"/>
              </a:solidFill>
            </a:endParaRPr>
          </a:p>
        </xdr:txBody>
      </xdr:sp>
      <xdr:sp macro="" textlink="">
        <xdr:nvSpPr>
          <xdr:cNvPr id="57" name="TextBox 5"/>
          <xdr:cNvSpPr txBox="1"/>
        </xdr:nvSpPr>
        <xdr:spPr>
          <a:xfrm rot="3097074">
            <a:off x="1483768" y="62144076"/>
            <a:ext cx="531209" cy="269245"/>
          </a:xfrm>
          <a:prstGeom prst="rect">
            <a:avLst/>
          </a:prstGeom>
          <a:solidFill>
            <a:schemeClr val="bg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7030A0"/>
                </a:solidFill>
              </a:rPr>
              <a:t>Dunlin</a:t>
            </a:r>
            <a:endParaRPr lang="en-IN" sz="1000" b="1">
              <a:solidFill>
                <a:srgbClr val="7030A0"/>
              </a:solidFill>
            </a:endParaRPr>
          </a:p>
        </xdr:txBody>
      </xdr:sp>
      <xdr:sp macro="" textlink="">
        <xdr:nvSpPr>
          <xdr:cNvPr id="58" name="TextBox 5"/>
          <xdr:cNvSpPr txBox="1"/>
        </xdr:nvSpPr>
        <xdr:spPr>
          <a:xfrm rot="19124233">
            <a:off x="2445866" y="62418046"/>
            <a:ext cx="629865" cy="279576"/>
          </a:xfrm>
          <a:prstGeom prst="rect">
            <a:avLst/>
          </a:prstGeom>
          <a:solidFill>
            <a:schemeClr val="bg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7030A0"/>
                </a:solidFill>
              </a:rPr>
              <a:t>Emerald</a:t>
            </a:r>
            <a:endParaRPr lang="en-IN" sz="1000" b="1">
              <a:solidFill>
                <a:srgbClr val="7030A0"/>
              </a:solidFill>
            </a:endParaRPr>
          </a:p>
        </xdr:txBody>
      </xdr:sp>
    </xdr:grpSp>
    <xdr:clientData/>
  </xdr:twoCellAnchor>
  <xdr:twoCellAnchor editAs="oneCell">
    <xdr:from>
      <xdr:col>8</xdr:col>
      <xdr:colOff>447675</xdr:colOff>
      <xdr:row>55</xdr:row>
      <xdr:rowOff>200025</xdr:rowOff>
    </xdr:from>
    <xdr:to>
      <xdr:col>22</xdr:col>
      <xdr:colOff>190500</xdr:colOff>
      <xdr:row>58</xdr:row>
      <xdr:rowOff>123825</xdr:rowOff>
    </xdr:to>
    <xdr:pic>
      <xdr:nvPicPr>
        <xdr:cNvPr id="47" name="Picture 46"/>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762750" y="13925550"/>
          <a:ext cx="1039177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1039586</xdr:colOff>
      <xdr:row>193</xdr:row>
      <xdr:rowOff>12246</xdr:rowOff>
    </xdr:from>
    <xdr:to>
      <xdr:col>15</xdr:col>
      <xdr:colOff>611113</xdr:colOff>
      <xdr:row>234</xdr:row>
      <xdr:rowOff>95796</xdr:rowOff>
    </xdr:to>
    <xdr:grpSp>
      <xdr:nvGrpSpPr>
        <xdr:cNvPr id="19" name="Group 18"/>
        <xdr:cNvGrpSpPr/>
      </xdr:nvGrpSpPr>
      <xdr:grpSpPr>
        <a:xfrm>
          <a:off x="7354661" y="38674221"/>
          <a:ext cx="5562752" cy="8275050"/>
          <a:chOff x="400050" y="39138225"/>
          <a:chExt cx="5574998" cy="8275050"/>
        </a:xfrm>
      </xdr:grpSpPr>
      <xdr:grpSp>
        <xdr:nvGrpSpPr>
          <xdr:cNvPr id="3" name="Group 2"/>
          <xdr:cNvGrpSpPr/>
        </xdr:nvGrpSpPr>
        <xdr:grpSpPr>
          <a:xfrm>
            <a:off x="400050" y="39176325"/>
            <a:ext cx="5574998" cy="8236950"/>
            <a:chOff x="390525" y="39147750"/>
            <a:chExt cx="5574998" cy="8236950"/>
          </a:xfrm>
        </xdr:grpSpPr>
        <xdr:pic>
          <xdr:nvPicPr>
            <xdr:cNvPr id="36" name="Picture 35" descr="https://vsjcllp.vsjadon.com/upload/insp-236434-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352675" y="452247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36434-84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533400" y="39147750"/>
              <a:ext cx="2626162" cy="3505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36434-847.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90525" y="42729150"/>
              <a:ext cx="1812623" cy="2419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36434-849.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3248025" y="39147750"/>
              <a:ext cx="2626162" cy="3505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https://vsjcllp.vsjadon.com/upload/insp-236434-862.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4152900" y="42729150"/>
              <a:ext cx="1812623" cy="2419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3" name="Picture 62" descr="https://vsjcllp.vsjadon.com/upload/insp-236434-931.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2266950" y="42729150"/>
              <a:ext cx="1812623" cy="24193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64" name="TextBox 63"/>
          <xdr:cNvSpPr txBox="1"/>
        </xdr:nvSpPr>
        <xdr:spPr>
          <a:xfrm>
            <a:off x="1533525" y="39138225"/>
            <a:ext cx="1099188" cy="284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200" b="0" cap="none" spc="0">
                <a:ln w="0"/>
                <a:solidFill>
                  <a:sysClr val="windowText" lastClr="000000"/>
                </a:solidFill>
                <a:effectLst>
                  <a:outerShdw blurRad="38100" dist="25400" dir="5400000" algn="ctr" rotWithShape="0">
                    <a:srgbClr val="6E747A">
                      <a:alpha val="43000"/>
                    </a:srgbClr>
                  </a:outerShdw>
                </a:effectLst>
              </a:rPr>
              <a:t>Wing F (Falcon)</a:t>
            </a:r>
          </a:p>
        </xdr:txBody>
      </xdr:sp>
      <xdr:cxnSp macro="">
        <xdr:nvCxnSpPr>
          <xdr:cNvPr id="65" name="Straight Arrow Connector 64"/>
          <xdr:cNvCxnSpPr/>
        </xdr:nvCxnSpPr>
        <xdr:spPr>
          <a:xfrm flipH="1">
            <a:off x="1743075" y="39414450"/>
            <a:ext cx="190500" cy="2095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509915</xdr:colOff>
      <xdr:row>194</xdr:row>
      <xdr:rowOff>145596</xdr:rowOff>
    </xdr:from>
    <xdr:to>
      <xdr:col>6</xdr:col>
      <xdr:colOff>661593</xdr:colOff>
      <xdr:row>233</xdr:row>
      <xdr:rowOff>112940</xdr:rowOff>
    </xdr:to>
    <xdr:grpSp>
      <xdr:nvGrpSpPr>
        <xdr:cNvPr id="51" name="Group 50"/>
        <xdr:cNvGrpSpPr/>
      </xdr:nvGrpSpPr>
      <xdr:grpSpPr>
        <a:xfrm>
          <a:off x="509915" y="39007596"/>
          <a:ext cx="4999903" cy="7758794"/>
          <a:chOff x="491778" y="382675"/>
          <a:chExt cx="5788467" cy="8325668"/>
        </a:xfrm>
      </xdr:grpSpPr>
      <xdr:pic>
        <xdr:nvPicPr>
          <xdr:cNvPr id="59" name="Picture 58" descr="https://vsjcllp.vsjadon.com/upload/insp-246884-1525.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324244" y="6548343"/>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https://vsjcllp.vsjadon.com/upload/insp-246884-844.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08827" y="4277319"/>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46884-851.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91778" y="382675"/>
            <a:ext cx="2808378" cy="374840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7" name="Picture 66" descr="https://vsjcllp.vsjadon.com/upload/insp-246884-871.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471867" y="382675"/>
            <a:ext cx="2808378" cy="374840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https://vsjcllp.vsjadon.com/upload/insp-246884-874.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559298" y="4269934"/>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46884-919.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315030" y="4259713"/>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0" name="Picture 69" descr="https://vsjcllp.vsjadon.com/upload/insp-246884-925.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555987" y="6548343"/>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15</xdr:row>
      <xdr:rowOff>0</xdr:rowOff>
    </xdr:from>
    <xdr:to>
      <xdr:col>15</xdr:col>
      <xdr:colOff>101974</xdr:colOff>
      <xdr:row>53</xdr:row>
      <xdr:rowOff>76200</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6" y="28687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KLFEe8THMAkwiWiH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80"/>
  <sheetViews>
    <sheetView tabSelected="1" view="pageBreakPreview" topLeftCell="A196" zoomScaleNormal="100" zoomScaleSheetLayoutView="100" zoomScalePageLayoutView="85" workbookViewId="0">
      <selection activeCell="I206" sqref="I206"/>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0.57031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193" t="s">
        <v>163</v>
      </c>
      <c r="B1" s="193"/>
      <c r="C1" s="193"/>
      <c r="D1" s="193"/>
      <c r="E1" s="193"/>
      <c r="F1" s="193"/>
      <c r="G1" s="193"/>
      <c r="H1" s="193"/>
    </row>
    <row r="2" spans="1:26" ht="16.5" customHeight="1" x14ac:dyDescent="0.25">
      <c r="A2" s="194" t="s">
        <v>0</v>
      </c>
      <c r="B2" s="194"/>
      <c r="C2" s="194"/>
      <c r="D2" s="194"/>
      <c r="E2" s="194"/>
      <c r="F2" s="194"/>
      <c r="G2" s="194"/>
      <c r="H2" s="194"/>
    </row>
    <row r="3" spans="1:26" x14ac:dyDescent="0.25">
      <c r="A3" s="119" t="s">
        <v>1</v>
      </c>
      <c r="B3" s="119"/>
      <c r="C3" s="119"/>
      <c r="D3" s="119"/>
      <c r="E3" s="119" t="str">
        <f ca="1">TEXT(TODAY(),"DD/MM/YYYY")</f>
        <v>15/09/2025</v>
      </c>
      <c r="F3" s="119"/>
      <c r="G3" s="119"/>
      <c r="H3" s="119"/>
      <c r="K3" s="60" t="s">
        <v>232</v>
      </c>
      <c r="L3" s="56" t="s">
        <v>230</v>
      </c>
      <c r="M3" s="56" t="s">
        <v>235</v>
      </c>
      <c r="N3" s="56" t="s">
        <v>233</v>
      </c>
      <c r="O3" s="56" t="s">
        <v>234</v>
      </c>
      <c r="P3" s="56" t="s">
        <v>236</v>
      </c>
    </row>
    <row r="4" spans="1:26" ht="15" customHeight="1" x14ac:dyDescent="0.25">
      <c r="A4" s="119" t="s">
        <v>229</v>
      </c>
      <c r="B4" s="119"/>
      <c r="C4" s="119"/>
      <c r="D4" s="119"/>
      <c r="E4" s="119" t="s">
        <v>230</v>
      </c>
      <c r="F4" s="119"/>
      <c r="G4" s="119"/>
      <c r="H4" s="119"/>
      <c r="K4" s="55" t="s">
        <v>231</v>
      </c>
      <c r="L4" s="56" t="s">
        <v>170</v>
      </c>
      <c r="M4" s="56" t="s">
        <v>240</v>
      </c>
      <c r="N4" s="56" t="s">
        <v>242</v>
      </c>
      <c r="O4" s="56" t="s">
        <v>244</v>
      </c>
      <c r="P4" s="56"/>
    </row>
    <row r="5" spans="1:26" ht="15" customHeight="1" x14ac:dyDescent="0.25">
      <c r="A5" s="119" t="s">
        <v>2</v>
      </c>
      <c r="B5" s="119"/>
      <c r="C5" s="119"/>
      <c r="D5" s="119"/>
      <c r="E5" s="119" t="s">
        <v>170</v>
      </c>
      <c r="F5" s="119"/>
      <c r="G5" s="119"/>
      <c r="H5" s="119"/>
      <c r="K5" s="55"/>
      <c r="L5" s="56" t="s">
        <v>237</v>
      </c>
      <c r="M5" s="56" t="s">
        <v>241</v>
      </c>
      <c r="N5" s="56" t="s">
        <v>243</v>
      </c>
      <c r="O5" s="56" t="s">
        <v>245</v>
      </c>
      <c r="P5" s="56"/>
    </row>
    <row r="6" spans="1:26" x14ac:dyDescent="0.25">
      <c r="A6" s="119" t="s">
        <v>3</v>
      </c>
      <c r="B6" s="119"/>
      <c r="C6" s="119"/>
      <c r="D6" s="119"/>
      <c r="E6" s="195">
        <v>45908</v>
      </c>
      <c r="F6" s="119"/>
      <c r="G6" s="119"/>
      <c r="H6" s="119"/>
      <c r="K6" s="55"/>
      <c r="L6" s="56" t="s">
        <v>238</v>
      </c>
      <c r="M6" s="56"/>
      <c r="N6" s="56"/>
      <c r="O6" s="56" t="s">
        <v>246</v>
      </c>
      <c r="P6" s="56"/>
    </row>
    <row r="7" spans="1:26" ht="16.5" customHeight="1" x14ac:dyDescent="0.25">
      <c r="A7" s="119" t="s">
        <v>4</v>
      </c>
      <c r="B7" s="119"/>
      <c r="C7" s="119"/>
      <c r="D7" s="119"/>
      <c r="E7" s="119" t="s">
        <v>331</v>
      </c>
      <c r="F7" s="119"/>
      <c r="G7" s="119"/>
      <c r="H7" s="119"/>
      <c r="K7" s="55"/>
      <c r="L7" s="56" t="s">
        <v>239</v>
      </c>
      <c r="M7" s="56"/>
      <c r="N7" s="56"/>
      <c r="O7" s="56" t="s">
        <v>246</v>
      </c>
      <c r="P7" s="56"/>
    </row>
    <row r="8" spans="1:26" ht="15" customHeight="1" x14ac:dyDescent="0.25">
      <c r="A8" s="119" t="s">
        <v>5</v>
      </c>
      <c r="B8" s="119"/>
      <c r="C8" s="119"/>
      <c r="D8" s="119"/>
      <c r="E8" s="119" t="str">
        <f>E7</f>
        <v>Vimal Infra</v>
      </c>
      <c r="F8" s="119"/>
      <c r="G8" s="119"/>
      <c r="H8" s="119"/>
      <c r="K8" s="55"/>
      <c r="L8" s="56"/>
      <c r="M8" s="56"/>
      <c r="N8" s="56"/>
      <c r="O8" s="56" t="s">
        <v>247</v>
      </c>
      <c r="P8" s="56"/>
    </row>
    <row r="9" spans="1:26" x14ac:dyDescent="0.25">
      <c r="A9" s="119" t="s">
        <v>6</v>
      </c>
      <c r="B9" s="119"/>
      <c r="C9" s="119"/>
      <c r="D9" s="119"/>
      <c r="E9" s="153" t="s">
        <v>332</v>
      </c>
      <c r="F9" s="153"/>
      <c r="G9" s="153"/>
      <c r="H9" s="153"/>
      <c r="K9" s="55"/>
      <c r="L9" s="56"/>
      <c r="M9" s="56"/>
      <c r="N9" s="56"/>
      <c r="O9" s="56" t="s">
        <v>248</v>
      </c>
      <c r="P9" s="56"/>
    </row>
    <row r="10" spans="1:26" x14ac:dyDescent="0.25">
      <c r="A10" s="119" t="s">
        <v>166</v>
      </c>
      <c r="B10" s="119"/>
      <c r="C10" s="119"/>
      <c r="D10" s="119"/>
      <c r="E10" s="119" t="s">
        <v>336</v>
      </c>
      <c r="F10" s="119"/>
      <c r="G10" s="119"/>
      <c r="H10" s="119"/>
      <c r="K10" s="55"/>
      <c r="L10" s="56"/>
      <c r="M10" s="56"/>
      <c r="N10" s="56"/>
      <c r="O10" s="56"/>
      <c r="P10" s="56"/>
    </row>
    <row r="11" spans="1:26" x14ac:dyDescent="0.25">
      <c r="A11" s="119" t="s">
        <v>167</v>
      </c>
      <c r="B11" s="119"/>
      <c r="C11" s="119"/>
      <c r="D11" s="119"/>
      <c r="E11" s="119" t="s">
        <v>392</v>
      </c>
      <c r="F11" s="119"/>
      <c r="G11" s="119"/>
      <c r="H11" s="119"/>
    </row>
    <row r="12" spans="1:26" x14ac:dyDescent="0.25">
      <c r="A12" s="119" t="s">
        <v>7</v>
      </c>
      <c r="B12" s="119"/>
      <c r="C12" s="119"/>
      <c r="D12" s="119"/>
      <c r="E12" s="119" t="s">
        <v>380</v>
      </c>
      <c r="F12" s="119"/>
      <c r="G12" s="119"/>
      <c r="H12" s="119"/>
    </row>
    <row r="13" spans="1:26" x14ac:dyDescent="0.25">
      <c r="A13" s="119" t="s">
        <v>171</v>
      </c>
      <c r="B13" s="119"/>
      <c r="C13" s="119"/>
      <c r="D13" s="119"/>
      <c r="E13" s="119" t="s">
        <v>28</v>
      </c>
      <c r="F13" s="119"/>
      <c r="G13" s="119"/>
      <c r="H13" s="119"/>
      <c r="S13" s="56" t="s">
        <v>176</v>
      </c>
      <c r="T13" s="56" t="s">
        <v>185</v>
      </c>
      <c r="U13" s="56" t="s">
        <v>172</v>
      </c>
      <c r="V13" s="56" t="s">
        <v>190</v>
      </c>
      <c r="W13" s="56" t="s">
        <v>208</v>
      </c>
      <c r="X13"/>
      <c r="Y13" t="s">
        <v>190</v>
      </c>
      <c r="Z13" t="e">
        <f ca="1">OFFSET($S$13,1,MATCH($G20,$S$13:$W$13,0)-1,15,1)</f>
        <v>#VALUE!</v>
      </c>
    </row>
    <row r="14" spans="1:26" ht="15.75" customHeight="1" x14ac:dyDescent="0.25">
      <c r="A14" s="103" t="s">
        <v>275</v>
      </c>
      <c r="B14" s="103"/>
      <c r="C14" s="103"/>
      <c r="D14" s="103"/>
      <c r="E14" s="112" t="s">
        <v>224</v>
      </c>
      <c r="F14" s="112"/>
      <c r="G14" s="112"/>
      <c r="H14" s="112"/>
      <c r="S14" s="56" t="s">
        <v>176</v>
      </c>
      <c r="T14" s="56" t="s">
        <v>183</v>
      </c>
      <c r="U14" s="56" t="s">
        <v>205</v>
      </c>
      <c r="V14" s="56" t="s">
        <v>191</v>
      </c>
      <c r="W14" s="56" t="s">
        <v>209</v>
      </c>
      <c r="X14"/>
      <c r="Y14"/>
      <c r="Z14"/>
    </row>
    <row r="15" spans="1:26" x14ac:dyDescent="0.25">
      <c r="A15" s="103" t="s">
        <v>8</v>
      </c>
      <c r="B15" s="103"/>
      <c r="C15" s="103"/>
      <c r="D15" s="103"/>
      <c r="E15" s="112" t="s">
        <v>330</v>
      </c>
      <c r="F15" s="119"/>
      <c r="G15" s="119"/>
      <c r="H15" s="119"/>
      <c r="I15" s="224" t="e">
        <f ca="1">OFFSET($D$5,1,MATCH($J13,$D$5:$H$5,0)-1,15,1)</f>
        <v>#N/A</v>
      </c>
      <c r="J15" s="225"/>
      <c r="K15" s="225"/>
      <c r="L15" s="225"/>
      <c r="M15" s="225"/>
      <c r="N15" s="225"/>
      <c r="O15" s="225"/>
      <c r="P15" s="225"/>
      <c r="S15" s="56" t="s">
        <v>177</v>
      </c>
      <c r="T15" s="56" t="s">
        <v>184</v>
      </c>
      <c r="U15" s="56" t="s">
        <v>206</v>
      </c>
      <c r="V15" s="56" t="s">
        <v>192</v>
      </c>
      <c r="W15" s="56" t="s">
        <v>222</v>
      </c>
      <c r="X15"/>
      <c r="Y15"/>
      <c r="Z15"/>
    </row>
    <row r="16" spans="1:26" ht="79.5" customHeight="1" x14ac:dyDescent="0.25">
      <c r="A16" s="111" t="s">
        <v>9</v>
      </c>
      <c r="B16" s="111"/>
      <c r="C16" s="111" t="str">
        <f>CONCATENATE((IF(OR(E9="",E9="NA"),"",E9)),", ",(IF(OR(A17="",A17="NA"),"",A17)),".",(IF(OR(C17="",C17="NA"),"",C17)),", near ",(IF(OR(C22="",C22="NA"),"",C22)),", ",(IF(OR(C19="",C19="NA"),"",C19)),", ",(IF(OR(C18="",C18="NA"),"",C18)),", ",(IF(OR(G19="",G19="NA"),"",G19)),", ",(IF(OR(C20="",C20="NA"),"",C20)),", ",(IF(OR(C21="",C21="NA"),"",C21)),", ",(IF(OR(G20="",G20="NA"),"",G20))," - ",(IF(OR(G21="",G21="NA"),"",G21)),".")</f>
        <v>Yashwant County, Survey No.230, H No.1, 2, 3, 5, 6, 7, 8, S No. 231 H No.1, 2, 3, 4, 5, 6, 7, 8, 9, S No. 235, H No.1/2, 2, 3, 4, 5, 6, 7, 8, 10, 11/1, 11/2, S No.236, H No.1, 2, 3, 7, 8, 11, 12, 13, 14, 15, 17, 18, 19, 20, 21, 22, 23(pt), 24, 25A, 25B, 27, 28, 29, near Shreenathji Apartment, Mahatma Gandhi Road, Kiravali, Sandor, Vasai West, Vasai, Palghar - 401202.</v>
      </c>
      <c r="D16" s="111"/>
      <c r="E16" s="111"/>
      <c r="F16" s="111"/>
      <c r="G16" s="111"/>
      <c r="H16" s="111"/>
      <c r="S16" s="56" t="s">
        <v>178</v>
      </c>
      <c r="T16" s="56" t="s">
        <v>186</v>
      </c>
      <c r="U16" s="56" t="s">
        <v>207</v>
      </c>
      <c r="V16" s="56" t="s">
        <v>193</v>
      </c>
      <c r="W16" s="56" t="s">
        <v>210</v>
      </c>
      <c r="X16"/>
      <c r="Y16"/>
      <c r="Z16"/>
    </row>
    <row r="17" spans="1:26" ht="52.5" customHeight="1" x14ac:dyDescent="0.25">
      <c r="A17" s="112" t="s">
        <v>337</v>
      </c>
      <c r="B17" s="112"/>
      <c r="C17" s="112" t="s">
        <v>361</v>
      </c>
      <c r="D17" s="112"/>
      <c r="E17" s="112"/>
      <c r="F17" s="112"/>
      <c r="G17" s="112"/>
      <c r="H17" s="112"/>
      <c r="S17" s="56" t="s">
        <v>179</v>
      </c>
      <c r="T17" s="56" t="s">
        <v>187</v>
      </c>
      <c r="U17" s="56" t="s">
        <v>172</v>
      </c>
      <c r="V17" s="56" t="s">
        <v>194</v>
      </c>
      <c r="W17" s="56" t="s">
        <v>211</v>
      </c>
      <c r="X17"/>
      <c r="Y17"/>
      <c r="Z17"/>
    </row>
    <row r="18" spans="1:26" ht="15.75" customHeight="1" x14ac:dyDescent="0.25">
      <c r="A18" s="112" t="s">
        <v>161</v>
      </c>
      <c r="B18" s="112"/>
      <c r="C18" s="112" t="s">
        <v>341</v>
      </c>
      <c r="D18" s="112"/>
      <c r="E18" s="112"/>
      <c r="F18" s="112"/>
      <c r="G18" s="112"/>
      <c r="H18" s="112"/>
      <c r="S18" s="56" t="s">
        <v>180</v>
      </c>
      <c r="T18" s="56" t="s">
        <v>185</v>
      </c>
      <c r="U18" s="56"/>
      <c r="V18" s="56" t="s">
        <v>195</v>
      </c>
      <c r="W18" s="56" t="s">
        <v>212</v>
      </c>
      <c r="X18"/>
      <c r="Y18"/>
      <c r="Z18"/>
    </row>
    <row r="19" spans="1:26" ht="15.75" customHeight="1" x14ac:dyDescent="0.25">
      <c r="A19" s="111" t="s">
        <v>10</v>
      </c>
      <c r="B19" s="111"/>
      <c r="C19" s="119" t="s">
        <v>339</v>
      </c>
      <c r="D19" s="119"/>
      <c r="E19" s="111" t="s">
        <v>70</v>
      </c>
      <c r="F19" s="111"/>
      <c r="G19" s="112" t="s">
        <v>333</v>
      </c>
      <c r="H19" s="112"/>
      <c r="S19" s="56" t="s">
        <v>181</v>
      </c>
      <c r="T19" s="56" t="s">
        <v>188</v>
      </c>
      <c r="U19" s="56"/>
      <c r="V19" s="56" t="s">
        <v>196</v>
      </c>
      <c r="W19" s="56" t="s">
        <v>213</v>
      </c>
      <c r="X19"/>
      <c r="Y19"/>
      <c r="Z19"/>
    </row>
    <row r="20" spans="1:26" x14ac:dyDescent="0.25">
      <c r="A20" s="103" t="s">
        <v>12</v>
      </c>
      <c r="B20" s="103"/>
      <c r="C20" s="112" t="s">
        <v>338</v>
      </c>
      <c r="D20" s="112"/>
      <c r="E20" s="111" t="s">
        <v>11</v>
      </c>
      <c r="F20" s="111"/>
      <c r="G20" s="192" t="s">
        <v>185</v>
      </c>
      <c r="H20" s="192"/>
      <c r="S20" s="56" t="s">
        <v>182</v>
      </c>
      <c r="T20" s="56" t="s">
        <v>189</v>
      </c>
      <c r="U20" s="56"/>
      <c r="V20" s="56" t="s">
        <v>197</v>
      </c>
      <c r="W20" s="56" t="s">
        <v>214</v>
      </c>
      <c r="X20"/>
      <c r="Y20"/>
      <c r="Z20"/>
    </row>
    <row r="21" spans="1:26" x14ac:dyDescent="0.25">
      <c r="A21" s="103" t="s">
        <v>71</v>
      </c>
      <c r="B21" s="103"/>
      <c r="C21" s="112" t="s">
        <v>186</v>
      </c>
      <c r="D21" s="112"/>
      <c r="E21" s="111" t="s">
        <v>13</v>
      </c>
      <c r="F21" s="111"/>
      <c r="G21" s="112">
        <v>401202</v>
      </c>
      <c r="H21" s="112"/>
      <c r="S21" s="56"/>
      <c r="T21" s="56"/>
      <c r="U21" s="56"/>
      <c r="V21" s="56" t="s">
        <v>198</v>
      </c>
      <c r="W21" s="56" t="s">
        <v>215</v>
      </c>
      <c r="X21"/>
      <c r="Y21"/>
      <c r="Z21"/>
    </row>
    <row r="22" spans="1:26" ht="32.25" customHeight="1" x14ac:dyDescent="0.25">
      <c r="A22" s="103" t="s">
        <v>120</v>
      </c>
      <c r="B22" s="103"/>
      <c r="C22" s="112" t="s">
        <v>340</v>
      </c>
      <c r="D22" s="112"/>
      <c r="E22" s="111" t="s">
        <v>14</v>
      </c>
      <c r="F22" s="111"/>
      <c r="G22" s="112" t="s">
        <v>342</v>
      </c>
      <c r="H22" s="112"/>
      <c r="S22" s="56"/>
      <c r="T22" s="56"/>
      <c r="U22" s="56"/>
      <c r="V22" s="56" t="s">
        <v>199</v>
      </c>
      <c r="W22" s="56" t="s">
        <v>216</v>
      </c>
      <c r="X22"/>
      <c r="Y22"/>
      <c r="Z22"/>
    </row>
    <row r="23" spans="1:26" ht="15" customHeight="1" x14ac:dyDescent="0.25">
      <c r="A23" s="111" t="s">
        <v>73</v>
      </c>
      <c r="B23" s="111"/>
      <c r="C23" s="111"/>
      <c r="D23" s="111"/>
      <c r="E23" s="119" t="s">
        <v>15</v>
      </c>
      <c r="F23" s="119"/>
      <c r="G23" s="119"/>
      <c r="H23" s="119"/>
      <c r="S23" s="56"/>
      <c r="T23" s="56"/>
      <c r="U23" s="56"/>
      <c r="V23" s="56" t="s">
        <v>200</v>
      </c>
      <c r="W23" s="56" t="s">
        <v>217</v>
      </c>
      <c r="X23"/>
      <c r="Y23"/>
      <c r="Z23"/>
    </row>
    <row r="24" spans="1:26" ht="18.75" customHeight="1" x14ac:dyDescent="0.25">
      <c r="A24" s="111"/>
      <c r="B24" s="111"/>
      <c r="C24" s="111"/>
      <c r="D24" s="111"/>
      <c r="E24" s="119"/>
      <c r="F24" s="119"/>
      <c r="G24" s="119"/>
      <c r="H24" s="119"/>
      <c r="S24" s="56"/>
      <c r="T24" s="56"/>
      <c r="U24" s="56"/>
      <c r="V24" s="56" t="s">
        <v>201</v>
      </c>
      <c r="W24" s="56" t="s">
        <v>218</v>
      </c>
      <c r="X24"/>
      <c r="Y24"/>
      <c r="Z24"/>
    </row>
    <row r="25" spans="1:26" ht="15" customHeight="1" x14ac:dyDescent="0.25">
      <c r="A25" s="111" t="s">
        <v>16</v>
      </c>
      <c r="B25" s="111"/>
      <c r="C25" s="111"/>
      <c r="D25" s="111"/>
      <c r="E25" s="112" t="s">
        <v>17</v>
      </c>
      <c r="F25" s="112"/>
      <c r="G25" s="112"/>
      <c r="H25" s="112"/>
      <c r="S25" s="56"/>
      <c r="T25" s="56"/>
      <c r="U25" s="56"/>
      <c r="V25" s="56" t="s">
        <v>202</v>
      </c>
      <c r="W25" s="56" t="s">
        <v>219</v>
      </c>
      <c r="X25"/>
      <c r="Y25"/>
      <c r="Z25"/>
    </row>
    <row r="26" spans="1:26" ht="15" customHeight="1" x14ac:dyDescent="0.25">
      <c r="A26" s="103" t="s">
        <v>18</v>
      </c>
      <c r="B26" s="103"/>
      <c r="C26" s="103"/>
      <c r="D26" s="103"/>
      <c r="E26" s="112" t="str">
        <f>IF(AND(G20="Mumbai"),"Upper Class","Middle Class")</f>
        <v>Middle Class</v>
      </c>
      <c r="F26" s="112"/>
      <c r="G26" s="112"/>
      <c r="H26" s="112"/>
      <c r="S26" s="56"/>
      <c r="T26" s="56"/>
      <c r="U26" s="56"/>
      <c r="V26" s="56" t="s">
        <v>203</v>
      </c>
      <c r="W26" s="56" t="s">
        <v>220</v>
      </c>
      <c r="X26"/>
      <c r="Y26"/>
      <c r="Z26"/>
    </row>
    <row r="27" spans="1:26" x14ac:dyDescent="0.25">
      <c r="A27" s="103" t="s">
        <v>19</v>
      </c>
      <c r="B27" s="103"/>
      <c r="C27" s="103"/>
      <c r="D27" s="103"/>
      <c r="E27" s="112" t="s">
        <v>20</v>
      </c>
      <c r="F27" s="112"/>
      <c r="G27" s="112"/>
      <c r="H27" s="112"/>
      <c r="S27" s="56"/>
      <c r="T27" s="56"/>
      <c r="U27" s="56"/>
      <c r="V27" s="56" t="s">
        <v>204</v>
      </c>
      <c r="W27" s="56" t="s">
        <v>221</v>
      </c>
      <c r="X27"/>
      <c r="Y27"/>
      <c r="Z27"/>
    </row>
    <row r="28" spans="1:26" ht="15.75" customHeight="1" x14ac:dyDescent="0.25">
      <c r="A28" s="103" t="s">
        <v>21</v>
      </c>
      <c r="B28" s="103"/>
      <c r="C28" s="103"/>
      <c r="D28" s="103"/>
      <c r="E28" s="112" t="str">
        <f>IF(AND(G20="Mumbai"),"Developed","Developing")</f>
        <v>Developing</v>
      </c>
      <c r="F28" s="112"/>
      <c r="G28" s="112"/>
      <c r="H28" s="112"/>
    </row>
    <row r="29" spans="1:26" x14ac:dyDescent="0.25">
      <c r="A29" s="103" t="s">
        <v>22</v>
      </c>
      <c r="B29" s="103"/>
      <c r="C29" s="103"/>
      <c r="D29" s="103"/>
      <c r="E29" s="112" t="s">
        <v>23</v>
      </c>
      <c r="F29" s="112"/>
      <c r="G29" s="112"/>
      <c r="H29" s="112"/>
    </row>
    <row r="30" spans="1:26" ht="15.75" customHeight="1" x14ac:dyDescent="0.25">
      <c r="A30" s="103" t="s">
        <v>78</v>
      </c>
      <c r="B30" s="103"/>
      <c r="C30" s="103"/>
      <c r="D30" s="103"/>
      <c r="E30" s="112" t="s">
        <v>79</v>
      </c>
      <c r="F30" s="112"/>
      <c r="G30" s="112"/>
      <c r="H30" s="112"/>
    </row>
    <row r="31" spans="1:26" ht="15" customHeight="1" x14ac:dyDescent="0.25">
      <c r="A31" s="103" t="s">
        <v>30</v>
      </c>
      <c r="B31" s="103"/>
      <c r="C31" s="103"/>
      <c r="D31" s="103"/>
      <c r="E31" s="112" t="str">
        <f>IF(AND(ISNUMBER(SEARCH("Flat",D61)),ISNUMBER(SEARCH("Shop",D61)),ISNUMBER(SEARCH("Office",D61))),"Residential + Commercial",IF(AND(ISNUMBER(SEARCH("Flat",D61)),ISNUMBER(SEARCH("Shop",D61))),"Residential + Commercial",IF(AND(ISNUMBER(SEARCH("Flat",D61)),ISNUMBER(SEARCH("Office",D61))),"Residential + Commercial",IF(AND(ISNUMBER(SEARCH("Shop",D61)),ISNUMBER(SEARCH("Office",D61))),"Commercial",IF(ISNUMBER(SEARCH("Shop",D61)),"Commercial",IF(ISNUMBER(SEARCH("Office",D61)),"Commercial",IF(ISNUMBER(SEARCH("Flat",D61)),"Residential")))))))</f>
        <v>Residential</v>
      </c>
      <c r="F31" s="112"/>
      <c r="G31" s="112"/>
      <c r="H31" s="112"/>
    </row>
    <row r="32" spans="1:26" ht="15.75" customHeight="1" x14ac:dyDescent="0.25">
      <c r="A32" s="103" t="s">
        <v>90</v>
      </c>
      <c r="B32" s="103"/>
      <c r="C32" s="103"/>
      <c r="D32" s="103"/>
      <c r="E32" s="112" t="s">
        <v>31</v>
      </c>
      <c r="F32" s="112"/>
      <c r="G32" s="112"/>
      <c r="H32" s="112"/>
    </row>
    <row r="33" spans="1:19" s="21" customFormat="1" x14ac:dyDescent="0.25">
      <c r="A33" s="191" t="s">
        <v>91</v>
      </c>
      <c r="B33" s="191"/>
      <c r="C33" s="190" t="s">
        <v>173</v>
      </c>
      <c r="D33" s="190"/>
      <c r="E33" s="190"/>
      <c r="F33" s="190" t="s">
        <v>29</v>
      </c>
      <c r="G33" s="190"/>
      <c r="H33" s="190"/>
      <c r="S33" s="21" t="e">
        <f ca="1">OFFSET($S$13,1,MATCH($G20,$S$13:$W$13,0)-1,15,1)</f>
        <v>#VALUE!</v>
      </c>
    </row>
    <row r="34" spans="1:19" s="21" customFormat="1" x14ac:dyDescent="0.25">
      <c r="A34" s="177" t="s">
        <v>24</v>
      </c>
      <c r="B34" s="177" t="s">
        <v>28</v>
      </c>
      <c r="C34" s="189" t="s">
        <v>348</v>
      </c>
      <c r="D34" s="189"/>
      <c r="E34" s="189"/>
      <c r="F34" s="189" t="s">
        <v>345</v>
      </c>
      <c r="G34" s="189"/>
      <c r="H34" s="189"/>
    </row>
    <row r="35" spans="1:19" x14ac:dyDescent="0.25">
      <c r="A35" s="177" t="s">
        <v>25</v>
      </c>
      <c r="B35" s="177" t="s">
        <v>28</v>
      </c>
      <c r="C35" s="189" t="s">
        <v>348</v>
      </c>
      <c r="D35" s="189"/>
      <c r="E35" s="189"/>
      <c r="F35" s="189" t="s">
        <v>343</v>
      </c>
      <c r="G35" s="189"/>
      <c r="H35" s="189"/>
    </row>
    <row r="36" spans="1:19" s="21" customFormat="1" x14ac:dyDescent="0.25">
      <c r="A36" s="177" t="s">
        <v>27</v>
      </c>
      <c r="B36" s="177" t="s">
        <v>28</v>
      </c>
      <c r="C36" s="189" t="s">
        <v>346</v>
      </c>
      <c r="D36" s="189"/>
      <c r="E36" s="189"/>
      <c r="F36" s="189" t="s">
        <v>344</v>
      </c>
      <c r="G36" s="189"/>
      <c r="H36" s="189"/>
    </row>
    <row r="37" spans="1:19" x14ac:dyDescent="0.25">
      <c r="A37" s="177" t="s">
        <v>26</v>
      </c>
      <c r="B37" s="177" t="s">
        <v>28</v>
      </c>
      <c r="C37" s="178" t="s">
        <v>347</v>
      </c>
      <c r="D37" s="179"/>
      <c r="E37" s="180"/>
      <c r="F37" s="178" t="s">
        <v>343</v>
      </c>
      <c r="G37" s="179"/>
      <c r="H37" s="180"/>
    </row>
    <row r="38" spans="1:19" x14ac:dyDescent="0.25">
      <c r="A38" s="103" t="s">
        <v>276</v>
      </c>
      <c r="B38" s="103"/>
      <c r="C38" s="103"/>
      <c r="D38" s="103"/>
      <c r="E38" s="103"/>
      <c r="F38" s="103"/>
      <c r="G38" s="103"/>
      <c r="H38" s="103"/>
    </row>
    <row r="39" spans="1:19" ht="15.75" customHeight="1" x14ac:dyDescent="0.25">
      <c r="A39" s="103" t="s">
        <v>164</v>
      </c>
      <c r="B39" s="103"/>
      <c r="C39" s="161" t="s">
        <v>358</v>
      </c>
      <c r="D39" s="161"/>
      <c r="E39" s="161"/>
      <c r="F39" s="161"/>
      <c r="G39" s="161"/>
      <c r="H39" s="161"/>
    </row>
    <row r="40" spans="1:19" x14ac:dyDescent="0.25">
      <c r="A40" s="103" t="s">
        <v>160</v>
      </c>
      <c r="B40" s="103"/>
      <c r="C40" s="144" t="s">
        <v>362</v>
      </c>
      <c r="D40" s="112"/>
      <c r="E40" s="112"/>
      <c r="F40" s="112"/>
      <c r="G40" s="112"/>
      <c r="H40" s="112"/>
    </row>
    <row r="41" spans="1:19" x14ac:dyDescent="0.25">
      <c r="A41" s="161" t="s">
        <v>32</v>
      </c>
      <c r="B41" s="161"/>
      <c r="C41" s="161"/>
      <c r="D41" s="161"/>
      <c r="E41" s="161"/>
      <c r="F41" s="161"/>
      <c r="G41" s="161"/>
      <c r="H41" s="161"/>
    </row>
    <row r="42" spans="1:19" x14ac:dyDescent="0.25">
      <c r="A42" s="103" t="s">
        <v>33</v>
      </c>
      <c r="B42" s="103"/>
      <c r="C42" s="103"/>
      <c r="D42" s="103"/>
      <c r="E42" s="181">
        <v>18874.98</v>
      </c>
      <c r="F42" s="181"/>
      <c r="G42" s="181"/>
      <c r="H42" s="181"/>
    </row>
    <row r="43" spans="1:19" x14ac:dyDescent="0.25">
      <c r="A43" s="103" t="s">
        <v>34</v>
      </c>
      <c r="B43" s="103"/>
      <c r="C43" s="103"/>
      <c r="D43" s="103"/>
      <c r="E43" s="183">
        <f>20762.48/E42</f>
        <v>1.1000001059603772</v>
      </c>
      <c r="F43" s="183"/>
      <c r="G43" s="183"/>
      <c r="H43" s="183"/>
    </row>
    <row r="44" spans="1:19" x14ac:dyDescent="0.25">
      <c r="A44" s="103" t="s">
        <v>35</v>
      </c>
      <c r="B44" s="103"/>
      <c r="C44" s="103"/>
      <c r="D44" s="103"/>
      <c r="E44" s="183">
        <f>E46/E42-E43</f>
        <v>0.64652571817294646</v>
      </c>
      <c r="F44" s="183"/>
      <c r="G44" s="183"/>
      <c r="H44" s="183"/>
    </row>
    <row r="45" spans="1:19" x14ac:dyDescent="0.25">
      <c r="A45" s="103" t="s">
        <v>36</v>
      </c>
      <c r="B45" s="103"/>
      <c r="C45" s="103"/>
      <c r="D45" s="103"/>
      <c r="E45" s="183">
        <f>E43+E44</f>
        <v>1.7465258241333237</v>
      </c>
      <c r="F45" s="183"/>
      <c r="G45" s="183"/>
      <c r="H45" s="183"/>
    </row>
    <row r="46" spans="1:19" x14ac:dyDescent="0.25">
      <c r="A46" s="103" t="s">
        <v>89</v>
      </c>
      <c r="B46" s="103"/>
      <c r="C46" s="103"/>
      <c r="D46" s="103"/>
      <c r="E46" s="184">
        <v>32965.64</v>
      </c>
      <c r="F46" s="184"/>
      <c r="G46" s="184"/>
      <c r="H46" s="184"/>
    </row>
    <row r="47" spans="1:19" x14ac:dyDescent="0.25">
      <c r="A47" s="119" t="s">
        <v>37</v>
      </c>
      <c r="B47" s="119"/>
      <c r="C47" s="119"/>
      <c r="D47" s="119"/>
      <c r="E47" s="119" t="s">
        <v>119</v>
      </c>
      <c r="F47" s="119"/>
      <c r="G47" s="119"/>
      <c r="H47" s="119"/>
    </row>
    <row r="48" spans="1:19" x14ac:dyDescent="0.25">
      <c r="A48" s="161" t="s">
        <v>38</v>
      </c>
      <c r="B48" s="161"/>
      <c r="C48" s="161"/>
      <c r="D48" s="161"/>
      <c r="E48" s="161"/>
      <c r="F48" s="161"/>
      <c r="G48" s="161"/>
      <c r="H48" s="161"/>
    </row>
    <row r="49" spans="1:24" ht="33.75" customHeight="1" x14ac:dyDescent="0.25">
      <c r="A49" s="116" t="s">
        <v>149</v>
      </c>
      <c r="B49" s="117"/>
      <c r="C49" s="106" t="s">
        <v>271</v>
      </c>
      <c r="D49" s="107"/>
      <c r="E49" s="107"/>
      <c r="F49" s="107"/>
      <c r="G49" s="107"/>
      <c r="H49" s="108"/>
      <c r="R49" t="s">
        <v>249</v>
      </c>
      <c r="S49" t="s">
        <v>172</v>
      </c>
      <c r="T49" t="s">
        <v>175</v>
      </c>
      <c r="U49" t="s">
        <v>190</v>
      </c>
      <c r="V49" t="s">
        <v>185</v>
      </c>
    </row>
    <row r="50" spans="1:24" ht="30" customHeight="1" x14ac:dyDescent="0.25">
      <c r="A50" s="116" t="s">
        <v>39</v>
      </c>
      <c r="B50" s="117"/>
      <c r="C50" s="116" t="s">
        <v>335</v>
      </c>
      <c r="D50" s="188"/>
      <c r="E50" s="117"/>
      <c r="F50" s="17" t="s">
        <v>40</v>
      </c>
      <c r="G50" s="130">
        <v>44362</v>
      </c>
      <c r="H50" s="117"/>
      <c r="R50"/>
      <c r="S50" t="s">
        <v>250</v>
      </c>
      <c r="T50" t="s">
        <v>255</v>
      </c>
      <c r="U50" t="s">
        <v>266</v>
      </c>
      <c r="V50" t="s">
        <v>271</v>
      </c>
    </row>
    <row r="51" spans="1:24" ht="30.75" customHeight="1" x14ac:dyDescent="0.25">
      <c r="A51" s="116" t="s">
        <v>41</v>
      </c>
      <c r="B51" s="117"/>
      <c r="C51" s="116" t="s">
        <v>365</v>
      </c>
      <c r="D51" s="188"/>
      <c r="E51" s="117"/>
      <c r="F51" s="17" t="s">
        <v>40</v>
      </c>
      <c r="G51" s="130">
        <v>44777</v>
      </c>
      <c r="H51" s="117"/>
      <c r="R51"/>
      <c r="S51" t="s">
        <v>251</v>
      </c>
      <c r="T51" t="s">
        <v>256</v>
      </c>
      <c r="U51" t="s">
        <v>264</v>
      </c>
      <c r="V51" t="s">
        <v>272</v>
      </c>
    </row>
    <row r="52" spans="1:24" s="22" customFormat="1" ht="18" customHeight="1" x14ac:dyDescent="0.25">
      <c r="A52" s="122" t="s">
        <v>153</v>
      </c>
      <c r="B52" s="123"/>
      <c r="C52" s="126" t="s">
        <v>365</v>
      </c>
      <c r="D52" s="127"/>
      <c r="E52" s="128"/>
      <c r="F52" s="89" t="s">
        <v>40</v>
      </c>
      <c r="G52" s="129">
        <v>44777</v>
      </c>
      <c r="H52" s="128"/>
      <c r="R52"/>
      <c r="S52" t="s">
        <v>252</v>
      </c>
      <c r="T52" t="s">
        <v>257</v>
      </c>
      <c r="U52" t="s">
        <v>254</v>
      </c>
      <c r="V52" t="s">
        <v>273</v>
      </c>
    </row>
    <row r="53" spans="1:24" s="22" customFormat="1" ht="33.75" customHeight="1" x14ac:dyDescent="0.25">
      <c r="A53" s="124"/>
      <c r="B53" s="125"/>
      <c r="C53" s="126" t="s">
        <v>366</v>
      </c>
      <c r="D53" s="127"/>
      <c r="E53" s="127"/>
      <c r="F53" s="127"/>
      <c r="G53" s="127"/>
      <c r="H53" s="128"/>
      <c r="R53"/>
      <c r="S53" t="s">
        <v>253</v>
      </c>
      <c r="T53" t="s">
        <v>260</v>
      </c>
      <c r="U53" t="s">
        <v>267</v>
      </c>
    </row>
    <row r="54" spans="1:24" s="22" customFormat="1" x14ac:dyDescent="0.25">
      <c r="A54" s="122" t="s">
        <v>277</v>
      </c>
      <c r="B54" s="123"/>
      <c r="C54" s="126" t="s">
        <v>385</v>
      </c>
      <c r="D54" s="127"/>
      <c r="E54" s="128"/>
      <c r="F54" s="89" t="s">
        <v>40</v>
      </c>
      <c r="G54" s="129">
        <v>45169</v>
      </c>
      <c r="H54" s="128"/>
      <c r="R54"/>
      <c r="S54" t="s">
        <v>252</v>
      </c>
      <c r="T54" t="s">
        <v>257</v>
      </c>
      <c r="U54" t="s">
        <v>254</v>
      </c>
      <c r="V54" t="s">
        <v>273</v>
      </c>
    </row>
    <row r="55" spans="1:24" s="22" customFormat="1" x14ac:dyDescent="0.25">
      <c r="A55" s="124"/>
      <c r="B55" s="125"/>
      <c r="C55" s="149" t="s">
        <v>386</v>
      </c>
      <c r="D55" s="150"/>
      <c r="E55" s="150"/>
      <c r="F55" s="150"/>
      <c r="G55" s="150"/>
      <c r="H55" s="151"/>
      <c r="R55"/>
      <c r="S55" t="s">
        <v>254</v>
      </c>
      <c r="T55" t="s">
        <v>258</v>
      </c>
      <c r="U55" t="s">
        <v>268</v>
      </c>
      <c r="V55" s="20"/>
      <c r="W55" s="20"/>
      <c r="X55" s="20"/>
    </row>
    <row r="56" spans="1:24" s="22" customFormat="1" ht="34.5" customHeight="1" x14ac:dyDescent="0.25">
      <c r="A56" s="122" t="s">
        <v>278</v>
      </c>
      <c r="B56" s="123"/>
      <c r="C56" s="126" t="s">
        <v>387</v>
      </c>
      <c r="D56" s="127"/>
      <c r="E56" s="128"/>
      <c r="F56" s="89" t="s">
        <v>40</v>
      </c>
      <c r="G56" s="129">
        <v>45496</v>
      </c>
      <c r="H56" s="128"/>
      <c r="R56"/>
      <c r="S56" s="20"/>
      <c r="T56" t="s">
        <v>259</v>
      </c>
      <c r="U56" t="s">
        <v>269</v>
      </c>
      <c r="V56" s="20"/>
      <c r="W56" s="20"/>
      <c r="X56" s="20"/>
    </row>
    <row r="57" spans="1:24" s="22" customFormat="1" x14ac:dyDescent="0.25">
      <c r="A57" s="124"/>
      <c r="B57" s="125"/>
      <c r="C57" s="126" t="s">
        <v>364</v>
      </c>
      <c r="D57" s="127"/>
      <c r="E57" s="127"/>
      <c r="F57" s="127"/>
      <c r="G57" s="127"/>
      <c r="H57" s="128"/>
      <c r="R57"/>
      <c r="S57" s="20"/>
      <c r="T57" t="s">
        <v>261</v>
      </c>
      <c r="U57" t="s">
        <v>270</v>
      </c>
      <c r="V57" s="20"/>
      <c r="W57" s="20"/>
      <c r="X57" s="20"/>
    </row>
    <row r="58" spans="1:24" x14ac:dyDescent="0.25">
      <c r="A58" s="226" t="s">
        <v>42</v>
      </c>
      <c r="B58" s="227"/>
      <c r="C58" s="226" t="s">
        <v>102</v>
      </c>
      <c r="D58" s="228"/>
      <c r="E58" s="227"/>
      <c r="F58" s="44" t="s">
        <v>40</v>
      </c>
      <c r="G58" s="120" t="s">
        <v>28</v>
      </c>
      <c r="H58" s="121"/>
      <c r="R58"/>
      <c r="T58" t="s">
        <v>265</v>
      </c>
    </row>
    <row r="59" spans="1:24" x14ac:dyDescent="0.25">
      <c r="A59" s="118" t="s">
        <v>44</v>
      </c>
      <c r="B59" s="118"/>
      <c r="C59" s="118"/>
      <c r="D59" s="118"/>
      <c r="E59" s="118"/>
      <c r="F59" s="118"/>
      <c r="G59" s="118"/>
      <c r="H59" s="118"/>
      <c r="T59" t="s">
        <v>274</v>
      </c>
    </row>
    <row r="60" spans="1:24" x14ac:dyDescent="0.25">
      <c r="A60" s="111" t="s">
        <v>88</v>
      </c>
      <c r="B60" s="111"/>
      <c r="C60" s="111"/>
      <c r="D60" s="229">
        <v>7565.22</v>
      </c>
      <c r="E60" s="103"/>
      <c r="F60" s="103"/>
      <c r="G60" s="103"/>
      <c r="H60" s="103"/>
      <c r="R60"/>
    </row>
    <row r="61" spans="1:24" x14ac:dyDescent="0.25">
      <c r="A61" s="112" t="s">
        <v>45</v>
      </c>
      <c r="B61" s="119"/>
      <c r="C61" s="119"/>
      <c r="D61" s="119" t="s">
        <v>379</v>
      </c>
      <c r="E61" s="119"/>
      <c r="F61" s="119"/>
      <c r="G61" s="119"/>
      <c r="H61" s="119"/>
      <c r="I61" s="23"/>
      <c r="R61"/>
    </row>
    <row r="62" spans="1:24" ht="18" customHeight="1" x14ac:dyDescent="0.25">
      <c r="A62" s="122" t="s">
        <v>46</v>
      </c>
      <c r="B62" s="165"/>
      <c r="C62" s="123"/>
      <c r="D62" s="162" t="s">
        <v>364</v>
      </c>
      <c r="E62" s="163"/>
      <c r="F62" s="163"/>
      <c r="G62" s="163"/>
      <c r="H62" s="164"/>
      <c r="K62" s="20">
        <f>5708.74+758.7</f>
        <v>6467.44</v>
      </c>
      <c r="R62"/>
    </row>
    <row r="63" spans="1:24" ht="15.75" customHeight="1" x14ac:dyDescent="0.25">
      <c r="A63" s="122" t="s">
        <v>86</v>
      </c>
      <c r="B63" s="165"/>
      <c r="C63" s="165"/>
      <c r="D63" s="162" t="s">
        <v>364</v>
      </c>
      <c r="E63" s="163"/>
      <c r="F63" s="163"/>
      <c r="G63" s="163"/>
      <c r="H63" s="164"/>
      <c r="I63" s="20" t="s">
        <v>357</v>
      </c>
      <c r="R63"/>
    </row>
    <row r="64" spans="1:24" ht="15.75" hidden="1" customHeight="1" x14ac:dyDescent="0.25">
      <c r="A64" s="221"/>
      <c r="B64" s="222"/>
      <c r="C64" s="222"/>
      <c r="D64" s="185" t="s">
        <v>292</v>
      </c>
      <c r="E64" s="186"/>
      <c r="F64" s="186"/>
      <c r="G64" s="186"/>
      <c r="H64" s="187"/>
      <c r="R64"/>
    </row>
    <row r="65" spans="1:19" ht="15.75" hidden="1" customHeight="1" x14ac:dyDescent="0.25">
      <c r="A65" s="124"/>
      <c r="B65" s="223"/>
      <c r="C65" s="223"/>
      <c r="D65" s="218" t="s">
        <v>168</v>
      </c>
      <c r="E65" s="219"/>
      <c r="F65" s="219"/>
      <c r="G65" s="219"/>
      <c r="H65" s="220"/>
      <c r="S65"/>
    </row>
    <row r="66" spans="1:19" ht="15.75" customHeight="1" x14ac:dyDescent="0.25">
      <c r="A66" s="103" t="s">
        <v>43</v>
      </c>
      <c r="B66" s="103"/>
      <c r="C66" s="103"/>
      <c r="D66" s="111" t="s">
        <v>334</v>
      </c>
      <c r="E66" s="111"/>
      <c r="F66" s="111"/>
      <c r="G66" s="111"/>
      <c r="H66" s="111"/>
      <c r="J66" s="24"/>
      <c r="K66" s="23"/>
      <c r="N66" s="23"/>
      <c r="S66"/>
    </row>
    <row r="67" spans="1:19" ht="15.75" customHeight="1" x14ac:dyDescent="0.25">
      <c r="A67" s="103" t="s">
        <v>84</v>
      </c>
      <c r="B67" s="103"/>
      <c r="C67" s="103"/>
      <c r="D67" s="182" t="str">
        <f>(IF(G58="NA","60 Years After Completion",IF(G58&lt;&gt;"NA",""&amp;60-ROUNDDOWN((E3-G58)/360,0)&amp;" Years"," ")))</f>
        <v>60 Years After Completion</v>
      </c>
      <c r="E67" s="182"/>
      <c r="F67" s="182"/>
      <c r="G67" s="182"/>
      <c r="H67" s="182"/>
      <c r="N67" s="23"/>
      <c r="S67"/>
    </row>
    <row r="68" spans="1:19" ht="15.75" customHeight="1" x14ac:dyDescent="0.25">
      <c r="A68" s="103" t="s">
        <v>85</v>
      </c>
      <c r="B68" s="103"/>
      <c r="C68" s="103"/>
      <c r="D68" s="111" t="s">
        <v>23</v>
      </c>
      <c r="E68" s="111"/>
      <c r="F68" s="111"/>
      <c r="G68" s="111"/>
      <c r="H68" s="111"/>
      <c r="J68" s="25"/>
      <c r="K68" s="25"/>
      <c r="S68"/>
    </row>
    <row r="69" spans="1:19" ht="38.450000000000003" customHeight="1" x14ac:dyDescent="0.25">
      <c r="A69" s="119" t="s">
        <v>360</v>
      </c>
      <c r="B69" s="119"/>
      <c r="C69" s="119"/>
      <c r="D69" s="112" t="s">
        <v>354</v>
      </c>
      <c r="E69" s="111"/>
      <c r="F69" s="111"/>
      <c r="G69" s="111"/>
      <c r="H69" s="111"/>
      <c r="I69" s="20" t="s">
        <v>357</v>
      </c>
      <c r="S69"/>
    </row>
    <row r="70" spans="1:19" x14ac:dyDescent="0.25">
      <c r="A70" s="111" t="s">
        <v>146</v>
      </c>
      <c r="B70" s="111"/>
      <c r="C70" s="111"/>
      <c r="D70" s="111" t="s">
        <v>28</v>
      </c>
      <c r="E70" s="111"/>
      <c r="F70" s="111"/>
      <c r="G70" s="111"/>
      <c r="H70" s="111"/>
      <c r="I70" s="26"/>
      <c r="J70" s="26"/>
      <c r="K70" s="26"/>
      <c r="L70" s="26"/>
      <c r="M70" s="26"/>
      <c r="N70" s="26"/>
    </row>
    <row r="71" spans="1:19" ht="15.75" customHeight="1" x14ac:dyDescent="0.25">
      <c r="A71" s="103" t="s">
        <v>83</v>
      </c>
      <c r="B71" s="103"/>
      <c r="C71" s="103"/>
      <c r="D71" s="112" t="str">
        <f ca="1">(IF(G77&gt;95%,"Nothing",IF(G77&gt;0%,"Cement, Aggregate, Steel, etc",IF(G77=0%,"Work not yet Started"))))</f>
        <v>Cement, Aggregate, Steel, etc</v>
      </c>
      <c r="E71" s="112"/>
      <c r="F71" s="112"/>
      <c r="G71" s="112"/>
      <c r="H71" s="112"/>
      <c r="J71" s="25"/>
      <c r="S71"/>
    </row>
    <row r="72" spans="1:19" ht="33.75" customHeight="1" thickBot="1" x14ac:dyDescent="0.3">
      <c r="A72" s="111" t="s">
        <v>115</v>
      </c>
      <c r="B72" s="111"/>
      <c r="C72" s="111"/>
      <c r="D72" s="112" t="str">
        <f ca="1">(IF(D71="Nothing","Yes",IF(D71="Cement, Aggregate, Steel, etc","Under Construction",IF(D71="Work not yet Started","Work not yet Started"))))</f>
        <v>Under Construction</v>
      </c>
      <c r="E72" s="112"/>
      <c r="F72" s="112" t="str">
        <f ca="1">(IF(D71="Nothing","Yes",IF(D71="Cement, Aggregate, Steel, etc","Under Construction",IF(D71="Work not yet Started","Work not yet Started"))))</f>
        <v>Under Construction</v>
      </c>
      <c r="G72" s="112"/>
      <c r="H72" s="112"/>
      <c r="S72"/>
    </row>
    <row r="73" spans="1:19" ht="15.75" customHeight="1" x14ac:dyDescent="0.25">
      <c r="A73" s="154" t="s">
        <v>138</v>
      </c>
      <c r="B73" s="155"/>
      <c r="C73" s="156" t="str">
        <f>D63</f>
        <v>Building No.1 Wing F = Stilt + Podium + 1st to 20th Floor</v>
      </c>
      <c r="D73" s="157"/>
      <c r="E73" s="157"/>
      <c r="F73" s="157"/>
      <c r="G73" s="157"/>
      <c r="H73" s="158"/>
      <c r="I73" s="48" t="str">
        <f ca="1">IF(D86=100%,"All work Completed. Possession granted to the Building.",IF(D85=100%,"All work Completed, Waiting for OC",I74&amp;""&amp;I75&amp;""&amp;J74&amp;""&amp;J73&amp;" "&amp;J75))</f>
        <v>Excavation, Plinth, RCC Slab, Brickwork Completed, Internal Plaster upto 18 Floor, External Plaster upto 14 Floor, Flooring upto 11 Floor Completed</v>
      </c>
      <c r="J73" s="4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Internal Plaster upto 18 Floor, External Plaster upto 14 Floor, Flooring upto 11 Floor</v>
      </c>
      <c r="S73"/>
    </row>
    <row r="74" spans="1:19" x14ac:dyDescent="0.25">
      <c r="A74" s="15" t="s">
        <v>140</v>
      </c>
      <c r="B74" s="52">
        <f>IF(AND(ISNUMBER(SEARCH("1B",C73))),1,IF(AND(ISNUMBER(SEARCH("2B",C73))),2,IF(AND(ISNUMBER(SEARCH("3B",C73))),3,IF(AND(ISNUMBER(SEARCH("4B",C73))),4,IF(ISNUMBER(SEARCH("5B",C73)),5,0)))))</f>
        <v>0</v>
      </c>
      <c r="C74" s="46" t="s">
        <v>69</v>
      </c>
      <c r="D74" s="46">
        <v>1</v>
      </c>
      <c r="E74" s="46" t="s">
        <v>68</v>
      </c>
      <c r="F74" s="53">
        <v>1</v>
      </c>
      <c r="G74" s="47" t="s">
        <v>77</v>
      </c>
      <c r="H74" s="16">
        <f ca="1">--TRIM(RIGHT(SUBSTITUTE(LEFT(C73,_xlfn.AGGREGATE(16,6,FIND({0,1,2,3,4,5,6,7,8,9},C73,ROW(INDIRECT("1:"&amp;LEN(C73)))),1))," ",REPT(" ",LEN(C73))),LEN(C73)))</f>
        <v>20</v>
      </c>
      <c r="I74" s="50" t="str">
        <f ca="1">IF(D77=100%,"Excavation","")&amp;IF(D78=100%,", Plinth","")&amp;IF(D79=100%,", RCC Slab","")&amp;IF(D80=100%,", Brickwork","")&amp;IF(D81=100%,", Internal Plaster","")&amp;IF(D82=100%,", External Plaster","")&amp;IF(D83=100%,", Flooring","")&amp;IF(D84=100%,", Painting","")&amp;IF(D85=100%,", Building common Amenities","")</f>
        <v>Excavation, Plinth, RCC Slab, Brickwork</v>
      </c>
      <c r="J74" s="5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3.75" customHeight="1" x14ac:dyDescent="0.25">
      <c r="A75" s="152" t="s">
        <v>87</v>
      </c>
      <c r="B75" s="153"/>
      <c r="C75" s="159" t="str">
        <f ca="1">I73</f>
        <v>Excavation, Plinth, RCC Slab, Brickwork Completed, Internal Plaster upto 18 Floor, External Plaster upto 14 Floor, Flooring upto 11 Floor Completed</v>
      </c>
      <c r="D75" s="159"/>
      <c r="E75" s="159"/>
      <c r="F75" s="159"/>
      <c r="G75" s="159"/>
      <c r="H75" s="160"/>
      <c r="I75" s="50" t="str">
        <f ca="1">IF(I74&lt;&gt;""," Completed","")</f>
        <v xml:space="preserve"> Completed</v>
      </c>
      <c r="J75" s="51" t="str">
        <f ca="1">IF(J73&lt;&gt;"","Completed","")</f>
        <v>Completed</v>
      </c>
      <c r="S75"/>
    </row>
    <row r="76" spans="1:19" ht="15.75" customHeight="1" x14ac:dyDescent="0.25">
      <c r="A76" s="113" t="s">
        <v>47</v>
      </c>
      <c r="B76" s="114"/>
      <c r="C76" s="42" t="s">
        <v>137</v>
      </c>
      <c r="D76" s="42" t="s">
        <v>80</v>
      </c>
      <c r="E76" s="114" t="s">
        <v>82</v>
      </c>
      <c r="F76" s="114"/>
      <c r="G76" s="114" t="s">
        <v>81</v>
      </c>
      <c r="H76" s="115"/>
      <c r="I76" s="13" t="s">
        <v>139</v>
      </c>
      <c r="J76" s="27">
        <f ca="1">H74*25%</f>
        <v>5</v>
      </c>
      <c r="S76"/>
    </row>
    <row r="77" spans="1:19" x14ac:dyDescent="0.25">
      <c r="A77" s="113" t="s">
        <v>126</v>
      </c>
      <c r="B77" s="114"/>
      <c r="C77" s="86">
        <f ca="1">J78</f>
        <v>20</v>
      </c>
      <c r="D77" s="18">
        <f ca="1">((100/H74)*C77)/100</f>
        <v>1</v>
      </c>
      <c r="E77" s="166">
        <f ca="1">(((C78/H74*10)+(40/(D74+F74+H74)*C79)+(7.5/(H74)*C80)+(7.5/(H74)*C81)+(10/H74*C82)+(10/H74*C83)+(5/H74*C84)+(5/H74*C85)+(5/H74*C86))/100)</f>
        <v>0.76749999999999996</v>
      </c>
      <c r="F77" s="167"/>
      <c r="G77" s="166">
        <f ca="1">((((C77/H74)*20)+((C78/H74)*25)+(30/(H74+F74+D74)*C79)+(5/H74*C80)+(5/H74*C81)+(5/H74*C82)+(5/H74*C83)+(0/H74*C84)+(0/H74*C85)+(5/H74*C86))/100)</f>
        <v>0.90749999999999997</v>
      </c>
      <c r="H77" s="172"/>
      <c r="I77" s="13" t="s">
        <v>97</v>
      </c>
      <c r="J77" s="28">
        <f ca="1">H74*50%</f>
        <v>10</v>
      </c>
    </row>
    <row r="78" spans="1:19" x14ac:dyDescent="0.25">
      <c r="A78" s="113" t="s">
        <v>48</v>
      </c>
      <c r="B78" s="114"/>
      <c r="C78" s="86">
        <f ca="1">J86</f>
        <v>20</v>
      </c>
      <c r="D78" s="18">
        <f ca="1">((100/H74)*C78)/100</f>
        <v>1</v>
      </c>
      <c r="E78" s="168"/>
      <c r="F78" s="169"/>
      <c r="G78" s="168"/>
      <c r="H78" s="173"/>
      <c r="I78" s="13" t="s">
        <v>98</v>
      </c>
      <c r="J78" s="28">
        <f ca="1">H74</f>
        <v>20</v>
      </c>
      <c r="S78"/>
    </row>
    <row r="79" spans="1:19" ht="15.75" customHeight="1" x14ac:dyDescent="0.25">
      <c r="A79" s="109" t="s">
        <v>127</v>
      </c>
      <c r="B79" s="110"/>
      <c r="C79" s="86">
        <v>22</v>
      </c>
      <c r="D79" s="18">
        <f ca="1">((100/(D74+F74+H74))*C79)/100</f>
        <v>1.0000000000000002</v>
      </c>
      <c r="E79" s="168"/>
      <c r="F79" s="169"/>
      <c r="G79" s="168"/>
      <c r="H79" s="173"/>
      <c r="I79" s="13" t="s">
        <v>99</v>
      </c>
      <c r="J79" s="29">
        <f ca="1">(IF(B74&gt;1,(H74/(B74+2)),H74/4))</f>
        <v>5</v>
      </c>
      <c r="S79"/>
    </row>
    <row r="80" spans="1:19" ht="15.75" customHeight="1" x14ac:dyDescent="0.25">
      <c r="A80" s="109" t="s">
        <v>134</v>
      </c>
      <c r="B80" s="110" t="s">
        <v>128</v>
      </c>
      <c r="C80" s="86">
        <v>20</v>
      </c>
      <c r="D80" s="18">
        <f ca="1">((100/H74)*C80)/100</f>
        <v>1</v>
      </c>
      <c r="E80" s="168"/>
      <c r="F80" s="169"/>
      <c r="G80" s="168"/>
      <c r="H80" s="173"/>
      <c r="I80" s="13" t="s">
        <v>100</v>
      </c>
      <c r="J80" s="29">
        <f ca="1">(IF(B74&gt;1,(H74/(B74+2)+J79),H74/4+J79))</f>
        <v>10</v>
      </c>
    </row>
    <row r="81" spans="1:22" ht="15.75" customHeight="1" x14ac:dyDescent="0.25">
      <c r="A81" s="109" t="s">
        <v>135</v>
      </c>
      <c r="B81" s="110" t="s">
        <v>128</v>
      </c>
      <c r="C81" s="86">
        <v>18</v>
      </c>
      <c r="D81" s="18">
        <f ca="1">((100/H74)*C81)/100</f>
        <v>0.9</v>
      </c>
      <c r="E81" s="168"/>
      <c r="F81" s="169"/>
      <c r="G81" s="168"/>
      <c r="H81" s="173"/>
      <c r="I81" s="13" t="s">
        <v>144</v>
      </c>
      <c r="J81" s="29">
        <f>(IF(B74&gt;1,(H74/(B74+2)+J80),0))</f>
        <v>0</v>
      </c>
    </row>
    <row r="82" spans="1:22" ht="15" customHeight="1" x14ac:dyDescent="0.25">
      <c r="A82" s="109" t="s">
        <v>133</v>
      </c>
      <c r="B82" s="110" t="s">
        <v>130</v>
      </c>
      <c r="C82" s="86">
        <v>14</v>
      </c>
      <c r="D82" s="18">
        <f ca="1">((100/(H74))*C82)/100</f>
        <v>0.7</v>
      </c>
      <c r="E82" s="168"/>
      <c r="F82" s="169"/>
      <c r="G82" s="168"/>
      <c r="H82" s="173"/>
      <c r="I82" s="13" t="s">
        <v>141</v>
      </c>
      <c r="J82" s="29">
        <f>(IF(B74&gt;2,(H74/(B74+2)+J81),0))</f>
        <v>0</v>
      </c>
    </row>
    <row r="83" spans="1:22" ht="15.75" customHeight="1" x14ac:dyDescent="0.25">
      <c r="A83" s="109" t="s">
        <v>129</v>
      </c>
      <c r="B83" s="110" t="s">
        <v>129</v>
      </c>
      <c r="C83" s="86">
        <v>11</v>
      </c>
      <c r="D83" s="18">
        <f ca="1">((100/H74)*C83)/100</f>
        <v>0.55000000000000004</v>
      </c>
      <c r="E83" s="168"/>
      <c r="F83" s="169"/>
      <c r="G83" s="168"/>
      <c r="H83" s="173"/>
      <c r="I83" s="13" t="s">
        <v>142</v>
      </c>
      <c r="J83" s="30">
        <f>(IF(B74&gt;3,(H74/(B74+2)+J82),0))</f>
        <v>0</v>
      </c>
    </row>
    <row r="84" spans="1:22" ht="15.75" customHeight="1" x14ac:dyDescent="0.25">
      <c r="A84" s="109" t="s">
        <v>136</v>
      </c>
      <c r="B84" s="110"/>
      <c r="C84" s="86">
        <v>0</v>
      </c>
      <c r="D84" s="18">
        <f ca="1">((100/H74)*C84)/100</f>
        <v>0</v>
      </c>
      <c r="E84" s="168"/>
      <c r="F84" s="169"/>
      <c r="G84" s="168"/>
      <c r="H84" s="173"/>
      <c r="I84" s="13" t="s">
        <v>143</v>
      </c>
      <c r="J84" s="29">
        <f>(IF(B74&gt;4,(H74/(B74+2)+J83),0))</f>
        <v>0</v>
      </c>
    </row>
    <row r="85" spans="1:22" ht="15.75" customHeight="1" x14ac:dyDescent="0.25">
      <c r="A85" s="109" t="s">
        <v>131</v>
      </c>
      <c r="B85" s="110" t="s">
        <v>131</v>
      </c>
      <c r="C85" s="42">
        <v>0</v>
      </c>
      <c r="D85" s="18">
        <f ca="1">((100/(H74))*C85)/100</f>
        <v>0</v>
      </c>
      <c r="E85" s="168"/>
      <c r="F85" s="169"/>
      <c r="G85" s="168"/>
      <c r="H85" s="173"/>
      <c r="I85" s="13" t="s">
        <v>145</v>
      </c>
      <c r="J85" s="29">
        <f ca="1">(IF(B74=1,(H74/(B74+3)+J80),IF(B74=0,(H74/4+J80),IF(B74&gt;1,0))))</f>
        <v>15</v>
      </c>
    </row>
    <row r="86" spans="1:22" ht="16.5" thickBot="1" x14ac:dyDescent="0.3">
      <c r="A86" s="175" t="s">
        <v>132</v>
      </c>
      <c r="B86" s="176"/>
      <c r="C86" s="43">
        <v>0</v>
      </c>
      <c r="D86" s="19">
        <f ca="1">((100/(H74))*C86)/100</f>
        <v>0</v>
      </c>
      <c r="E86" s="170"/>
      <c r="F86" s="171"/>
      <c r="G86" s="170"/>
      <c r="H86" s="174"/>
      <c r="I86" s="14" t="s">
        <v>101</v>
      </c>
      <c r="J86" s="31">
        <f ca="1">(IF(B74&gt;1.5,(H74/(B74+2)+J80+MAX(0,J81-J80)+MAX(0,J82-J81)+MAX(0,J83-J82)+MAX(0,J84-J83)+MAX(0,J85-J84)),IF(B74=1,(H74/(B74+3)+J85),IF(B74=0,H74/4+J85))))</f>
        <v>20</v>
      </c>
    </row>
    <row r="87" spans="1:22" x14ac:dyDescent="0.25">
      <c r="A87" s="131" t="s">
        <v>155</v>
      </c>
      <c r="B87" s="131"/>
      <c r="C87" s="131"/>
      <c r="D87" s="131"/>
      <c r="E87" s="131"/>
      <c r="F87" s="134" t="s">
        <v>159</v>
      </c>
      <c r="G87" s="134"/>
      <c r="H87" s="134"/>
      <c r="R87" t="s">
        <v>249</v>
      </c>
      <c r="S87" t="s">
        <v>172</v>
      </c>
      <c r="T87" t="s">
        <v>175</v>
      </c>
      <c r="U87" t="s">
        <v>190</v>
      </c>
      <c r="V87" t="s">
        <v>185</v>
      </c>
    </row>
    <row r="88" spans="1:22" x14ac:dyDescent="0.25">
      <c r="A88" s="103" t="s">
        <v>157</v>
      </c>
      <c r="B88" s="103"/>
      <c r="C88" s="103"/>
      <c r="D88" s="103"/>
      <c r="E88" s="103"/>
      <c r="F88" s="102">
        <v>7200</v>
      </c>
      <c r="G88" s="102"/>
      <c r="H88" s="102"/>
      <c r="I88" s="100" t="s">
        <v>391</v>
      </c>
      <c r="J88" s="101"/>
      <c r="K88" s="101"/>
      <c r="L88" s="101"/>
      <c r="M88" s="101"/>
      <c r="N88" s="101"/>
      <c r="O88" s="24">
        <v>45552</v>
      </c>
      <c r="R88"/>
      <c r="S88">
        <v>800000</v>
      </c>
      <c r="T88">
        <v>150000</v>
      </c>
      <c r="U88">
        <v>100000</v>
      </c>
      <c r="V88">
        <v>100000</v>
      </c>
    </row>
    <row r="89" spans="1:22" hidden="1" x14ac:dyDescent="0.25">
      <c r="A89" s="103" t="s">
        <v>156</v>
      </c>
      <c r="B89" s="103"/>
      <c r="C89" s="103"/>
      <c r="D89" s="103"/>
      <c r="E89" s="103"/>
      <c r="F89" s="102"/>
      <c r="G89" s="102"/>
      <c r="H89" s="102"/>
      <c r="R89"/>
      <c r="S89">
        <v>900000</v>
      </c>
      <c r="T89">
        <v>200000</v>
      </c>
      <c r="U89">
        <v>150000</v>
      </c>
      <c r="V89">
        <v>150000</v>
      </c>
    </row>
    <row r="90" spans="1:22" hidden="1" x14ac:dyDescent="0.25">
      <c r="A90" s="103" t="s">
        <v>158</v>
      </c>
      <c r="B90" s="103"/>
      <c r="C90" s="103"/>
      <c r="D90" s="103"/>
      <c r="E90" s="103"/>
      <c r="F90" s="102"/>
      <c r="G90" s="102"/>
      <c r="H90" s="102"/>
      <c r="R90"/>
      <c r="S90">
        <v>1000000</v>
      </c>
      <c r="T90">
        <v>250000</v>
      </c>
      <c r="U90">
        <v>200000</v>
      </c>
      <c r="V90">
        <v>200000</v>
      </c>
    </row>
    <row r="91" spans="1:22" s="32" customFormat="1" x14ac:dyDescent="0.25">
      <c r="A91" s="103" t="s">
        <v>389</v>
      </c>
      <c r="B91" s="103"/>
      <c r="C91" s="103"/>
      <c r="D91" s="103"/>
      <c r="E91" s="103"/>
      <c r="F91" s="102">
        <v>100</v>
      </c>
      <c r="G91" s="102"/>
      <c r="H91" s="102"/>
      <c r="R91"/>
      <c r="S91">
        <v>1100000</v>
      </c>
      <c r="T91">
        <v>300000</v>
      </c>
      <c r="U91">
        <v>250000</v>
      </c>
      <c r="V91" s="22">
        <v>250000</v>
      </c>
    </row>
    <row r="92" spans="1:22" s="32" customFormat="1" x14ac:dyDescent="0.25">
      <c r="A92" s="103" t="s">
        <v>390</v>
      </c>
      <c r="B92" s="103"/>
      <c r="C92" s="103"/>
      <c r="D92" s="103"/>
      <c r="E92" s="103"/>
      <c r="F92" s="102">
        <v>400000</v>
      </c>
      <c r="G92" s="102"/>
      <c r="H92" s="102"/>
      <c r="R92"/>
      <c r="S92">
        <v>1200000</v>
      </c>
      <c r="T92">
        <v>350000</v>
      </c>
      <c r="U92">
        <v>300000</v>
      </c>
      <c r="V92">
        <v>300000</v>
      </c>
    </row>
    <row r="93" spans="1:22" s="32" customFormat="1" hidden="1" x14ac:dyDescent="0.25">
      <c r="A93" s="103" t="s">
        <v>92</v>
      </c>
      <c r="B93" s="103"/>
      <c r="C93" s="103"/>
      <c r="D93" s="103"/>
      <c r="E93" s="103"/>
      <c r="F93" s="102"/>
      <c r="G93" s="102"/>
      <c r="H93" s="102"/>
      <c r="R93"/>
      <c r="S93">
        <v>1300000</v>
      </c>
      <c r="T93">
        <v>400000</v>
      </c>
      <c r="U93">
        <v>350000</v>
      </c>
      <c r="V93" s="22">
        <v>400000</v>
      </c>
    </row>
    <row r="94" spans="1:22" s="32" customFormat="1" hidden="1" x14ac:dyDescent="0.25">
      <c r="A94" s="103" t="s">
        <v>93</v>
      </c>
      <c r="B94" s="103"/>
      <c r="C94" s="103"/>
      <c r="D94" s="103"/>
      <c r="E94" s="103"/>
      <c r="F94" s="102"/>
      <c r="G94" s="102"/>
      <c r="H94" s="102"/>
      <c r="R94"/>
      <c r="S94">
        <v>1400000</v>
      </c>
      <c r="T94">
        <v>500000</v>
      </c>
      <c r="U94">
        <v>400000</v>
      </c>
      <c r="V94"/>
    </row>
    <row r="95" spans="1:22" s="32" customFormat="1" hidden="1" x14ac:dyDescent="0.25">
      <c r="A95" s="103" t="s">
        <v>94</v>
      </c>
      <c r="B95" s="103"/>
      <c r="C95" s="103"/>
      <c r="D95" s="103"/>
      <c r="E95" s="103"/>
      <c r="F95" s="102"/>
      <c r="G95" s="102"/>
      <c r="H95" s="102"/>
      <c r="R95"/>
      <c r="S95">
        <v>1500000</v>
      </c>
      <c r="T95">
        <v>600000</v>
      </c>
      <c r="U95">
        <v>500000</v>
      </c>
      <c r="V95" s="22"/>
    </row>
    <row r="96" spans="1:22" s="32" customFormat="1" hidden="1" x14ac:dyDescent="0.25">
      <c r="A96" s="103" t="s">
        <v>95</v>
      </c>
      <c r="B96" s="103"/>
      <c r="C96" s="103"/>
      <c r="D96" s="103"/>
      <c r="E96" s="103"/>
      <c r="F96" s="102"/>
      <c r="G96" s="102"/>
      <c r="H96" s="102"/>
      <c r="R96"/>
      <c r="S96">
        <v>1600000</v>
      </c>
      <c r="T96">
        <v>700000</v>
      </c>
      <c r="U96">
        <v>600000</v>
      </c>
      <c r="V96"/>
    </row>
    <row r="97" spans="1:22" s="32" customFormat="1" x14ac:dyDescent="0.25">
      <c r="A97" s="103" t="s">
        <v>96</v>
      </c>
      <c r="B97" s="103"/>
      <c r="C97" s="103"/>
      <c r="D97" s="103"/>
      <c r="E97" s="103"/>
      <c r="F97" s="102">
        <v>100000</v>
      </c>
      <c r="G97" s="102"/>
      <c r="H97" s="102"/>
      <c r="R97"/>
      <c r="S97">
        <v>1700000</v>
      </c>
      <c r="T97">
        <v>800000</v>
      </c>
      <c r="U97"/>
      <c r="V97" s="22"/>
    </row>
    <row r="98" spans="1:22" x14ac:dyDescent="0.25">
      <c r="A98" s="103" t="s">
        <v>49</v>
      </c>
      <c r="B98" s="103"/>
      <c r="C98" s="103"/>
      <c r="D98" s="103"/>
      <c r="E98" s="103"/>
      <c r="F98" s="102">
        <v>400000</v>
      </c>
      <c r="G98" s="102"/>
      <c r="H98" s="102"/>
      <c r="R98"/>
      <c r="S98">
        <v>1800000</v>
      </c>
      <c r="T98">
        <v>900000</v>
      </c>
      <c r="U98"/>
    </row>
    <row r="99" spans="1:22" s="33" customFormat="1" x14ac:dyDescent="0.25">
      <c r="A99" s="161" t="s">
        <v>50</v>
      </c>
      <c r="B99" s="161"/>
      <c r="C99" s="161"/>
      <c r="D99" s="161"/>
      <c r="E99" s="161"/>
      <c r="F99" s="102">
        <f>F88*0.8</f>
        <v>5760</v>
      </c>
      <c r="G99" s="102"/>
      <c r="H99" s="102"/>
      <c r="R99" s="20"/>
      <c r="S99" s="20"/>
      <c r="T99">
        <v>1000000</v>
      </c>
      <c r="U99"/>
      <c r="V99" s="20"/>
    </row>
    <row r="100" spans="1:22" s="34" customFormat="1" ht="15.75" hidden="1" customHeight="1" x14ac:dyDescent="0.25">
      <c r="A100" s="140" t="s">
        <v>72</v>
      </c>
      <c r="B100" s="140"/>
      <c r="C100" s="140"/>
      <c r="D100" s="140"/>
      <c r="E100" s="140"/>
      <c r="F100" s="140"/>
      <c r="G100" s="140"/>
      <c r="H100" s="140"/>
      <c r="R100"/>
      <c r="S100" s="20"/>
      <c r="T100"/>
      <c r="U100"/>
      <c r="V100" s="20"/>
    </row>
    <row r="101" spans="1:22" s="34" customFormat="1" ht="15.75" hidden="1" customHeight="1" x14ac:dyDescent="0.25">
      <c r="A101" s="205" t="s">
        <v>51</v>
      </c>
      <c r="B101" s="205"/>
      <c r="C101" s="138" t="s">
        <v>75</v>
      </c>
      <c r="D101" s="138"/>
      <c r="E101" s="199" t="s">
        <v>52</v>
      </c>
      <c r="F101" s="199"/>
      <c r="G101" s="205" t="s">
        <v>53</v>
      </c>
      <c r="H101" s="205"/>
      <c r="R101"/>
      <c r="S101" s="20"/>
      <c r="T101"/>
      <c r="U101" s="20"/>
      <c r="V101" s="20"/>
    </row>
    <row r="102" spans="1:22" s="34" customFormat="1" hidden="1" x14ac:dyDescent="0.25">
      <c r="A102" s="94"/>
      <c r="B102" s="94"/>
      <c r="C102" s="143"/>
      <c r="D102" s="143"/>
      <c r="E102" s="139"/>
      <c r="F102" s="139"/>
      <c r="G102" s="137"/>
      <c r="H102" s="137"/>
      <c r="R102"/>
      <c r="S102" s="20"/>
      <c r="T102"/>
      <c r="U102" s="20"/>
      <c r="V102" s="20"/>
    </row>
    <row r="103" spans="1:22" s="34" customFormat="1" hidden="1" x14ac:dyDescent="0.25">
      <c r="A103" s="94"/>
      <c r="B103" s="94"/>
      <c r="C103" s="143"/>
      <c r="D103" s="143"/>
      <c r="E103" s="139"/>
      <c r="F103" s="139"/>
      <c r="G103" s="137"/>
      <c r="H103" s="137"/>
      <c r="R103"/>
      <c r="S103" s="20"/>
      <c r="T103"/>
      <c r="U103" s="20"/>
      <c r="V103" s="20"/>
    </row>
    <row r="104" spans="1:22" s="34" customFormat="1" hidden="1" x14ac:dyDescent="0.25">
      <c r="A104" s="140" t="s">
        <v>148</v>
      </c>
      <c r="B104" s="140"/>
      <c r="C104" s="138"/>
      <c r="D104" s="138"/>
      <c r="E104" s="199"/>
      <c r="F104" s="199"/>
      <c r="G104" s="205"/>
      <c r="H104" s="205"/>
      <c r="R104"/>
      <c r="S104" s="20"/>
      <c r="T104"/>
      <c r="U104" s="20"/>
      <c r="V104" s="20"/>
    </row>
    <row r="105" spans="1:22" s="34" customFormat="1" x14ac:dyDescent="0.25">
      <c r="A105" s="140" t="s">
        <v>67</v>
      </c>
      <c r="B105" s="140"/>
      <c r="C105" s="140"/>
      <c r="D105" s="140"/>
      <c r="E105" s="140"/>
      <c r="F105" s="140"/>
      <c r="G105" s="140"/>
      <c r="H105" s="140"/>
      <c r="T105"/>
    </row>
    <row r="106" spans="1:22" s="34" customFormat="1" ht="15.75" customHeight="1" x14ac:dyDescent="0.25">
      <c r="A106" s="205" t="s">
        <v>51</v>
      </c>
      <c r="B106" s="205"/>
      <c r="C106" s="138" t="s">
        <v>75</v>
      </c>
      <c r="D106" s="138"/>
      <c r="E106" s="199" t="s">
        <v>52</v>
      </c>
      <c r="F106" s="199"/>
      <c r="G106" s="205" t="s">
        <v>53</v>
      </c>
      <c r="H106" s="205"/>
      <c r="T106"/>
    </row>
    <row r="107" spans="1:22" s="34" customFormat="1" x14ac:dyDescent="0.25">
      <c r="A107" s="94" t="s">
        <v>381</v>
      </c>
      <c r="B107" s="94"/>
      <c r="C107" s="95">
        <f>COUNT(D129:D132)*8+COUNT(D135:D139)*4+COUNT(D141:D144,D147:D148,D150)*2+COUNT(D153:D154,D156:D157,D159:D163)+COUNT(D165:D169)*2</f>
        <v>85</v>
      </c>
      <c r="D107" s="95"/>
      <c r="E107" s="95">
        <f>SUM(F129:F132)*8+SUM(F135:F139)*4+SUM(F141:F144,F147:F148,F150)*2+SUM(F153:F154,F156:F157,F159:F163)+SUM(F165:F169)*2</f>
        <v>54146.79503999999</v>
      </c>
      <c r="F107" s="95"/>
      <c r="G107" s="95">
        <f>SUM(H129:H132)*8+SUM(H135:H139)*4+SUM(H141:H144,H147:H148,H150)*2+SUM(H153:H154,H156:H157,H159:H163)+SUM(H165:H169)*2</f>
        <v>81220.192559999996</v>
      </c>
      <c r="H107" s="95"/>
      <c r="T107"/>
    </row>
    <row r="108" spans="1:22" s="34" customFormat="1" ht="15.75" hidden="1" customHeight="1" x14ac:dyDescent="0.25">
      <c r="A108" s="94"/>
      <c r="B108" s="94"/>
      <c r="C108" s="139"/>
      <c r="D108" s="139"/>
      <c r="E108" s="139"/>
      <c r="F108" s="139"/>
      <c r="G108" s="137"/>
      <c r="H108" s="137"/>
      <c r="T108"/>
    </row>
    <row r="109" spans="1:22" s="34" customFormat="1" x14ac:dyDescent="0.25">
      <c r="A109" s="94" t="s">
        <v>382</v>
      </c>
      <c r="B109" s="94"/>
      <c r="C109" s="95">
        <f>COUNT(D133)*8+COUNT(D145,D151)*2</f>
        <v>12</v>
      </c>
      <c r="D109" s="95"/>
      <c r="E109" s="95">
        <f>SUM(F133)*8+SUM(F145,F151)*2</f>
        <v>5341.7426399999995</v>
      </c>
      <c r="F109" s="95"/>
      <c r="G109" s="95">
        <f>SUM(H133)*8+SUM(H145,H151)*2</f>
        <v>8012.6139600000006</v>
      </c>
      <c r="H109" s="95"/>
      <c r="T109"/>
    </row>
    <row r="110" spans="1:22" s="34" customFormat="1" ht="16.5" thickBot="1" x14ac:dyDescent="0.3">
      <c r="A110" s="217" t="s">
        <v>148</v>
      </c>
      <c r="B110" s="217"/>
      <c r="C110" s="135">
        <f>C109+C107</f>
        <v>97</v>
      </c>
      <c r="D110" s="136"/>
      <c r="E110" s="135">
        <f t="shared" ref="E110" si="0">E109+E107</f>
        <v>59488.537679999987</v>
      </c>
      <c r="F110" s="136"/>
      <c r="G110" s="135">
        <f t="shared" ref="G110" si="1">G109+G107</f>
        <v>89232.806519999998</v>
      </c>
      <c r="H110" s="136"/>
      <c r="T110"/>
    </row>
    <row r="111" spans="1:22" s="34" customFormat="1" ht="16.5" thickBot="1" x14ac:dyDescent="0.3">
      <c r="A111" s="215" t="s">
        <v>165</v>
      </c>
      <c r="B111" s="216"/>
      <c r="C111" s="141">
        <f>C104+C110</f>
        <v>97</v>
      </c>
      <c r="D111" s="141"/>
      <c r="E111" s="142">
        <f>E104+E110</f>
        <v>59488.537679999987</v>
      </c>
      <c r="F111" s="142"/>
      <c r="G111" s="147">
        <f>G104+G110</f>
        <v>89232.806519999998</v>
      </c>
      <c r="H111" s="148"/>
      <c r="T111"/>
    </row>
    <row r="112" spans="1:22" s="33" customFormat="1" x14ac:dyDescent="0.25">
      <c r="A112" s="134" t="s">
        <v>54</v>
      </c>
      <c r="B112" s="134"/>
      <c r="C112" s="134"/>
      <c r="D112" s="134"/>
      <c r="E112" s="134"/>
      <c r="F112" s="134"/>
      <c r="G112" s="134"/>
      <c r="H112" s="134"/>
      <c r="T112" s="34"/>
    </row>
    <row r="113" spans="1:20" x14ac:dyDescent="0.25">
      <c r="A113" s="190" t="s">
        <v>359</v>
      </c>
      <c r="B113" s="190"/>
      <c r="C113" s="190"/>
      <c r="D113" s="190"/>
      <c r="E113" s="190"/>
      <c r="F113" s="190"/>
      <c r="G113" s="190"/>
      <c r="H113" s="190"/>
      <c r="T113" s="34"/>
    </row>
    <row r="114" spans="1:20" ht="47.25" hidden="1" customHeight="1" x14ac:dyDescent="0.25">
      <c r="A114" s="145" t="s">
        <v>117</v>
      </c>
      <c r="B114" s="145" t="s">
        <v>174</v>
      </c>
      <c r="C114" s="145" t="s">
        <v>55</v>
      </c>
      <c r="D114" s="104" t="s">
        <v>228</v>
      </c>
      <c r="E114" s="132" t="s">
        <v>154</v>
      </c>
      <c r="F114" s="145" t="s">
        <v>56</v>
      </c>
      <c r="G114" s="132" t="s">
        <v>57</v>
      </c>
      <c r="H114" s="72" t="s">
        <v>147</v>
      </c>
      <c r="T114" s="34"/>
    </row>
    <row r="115" spans="1:20" s="36" customFormat="1" hidden="1" x14ac:dyDescent="0.25">
      <c r="A115" s="146"/>
      <c r="B115" s="146"/>
      <c r="C115" s="146"/>
      <c r="D115" s="105"/>
      <c r="E115" s="133"/>
      <c r="F115" s="146"/>
      <c r="G115" s="133"/>
      <c r="H115" s="59">
        <v>0.45</v>
      </c>
      <c r="T115" s="34"/>
    </row>
    <row r="116" spans="1:20" s="36" customFormat="1" hidden="1" x14ac:dyDescent="0.25">
      <c r="A116" s="96" t="s">
        <v>116</v>
      </c>
      <c r="B116" s="97"/>
      <c r="C116" s="97"/>
      <c r="D116" s="97"/>
      <c r="E116" s="97"/>
      <c r="F116" s="97"/>
      <c r="G116" s="97"/>
      <c r="H116" s="98"/>
      <c r="J116" s="35"/>
      <c r="T116" s="34"/>
    </row>
    <row r="117" spans="1:20" s="36" customFormat="1" ht="15.75" hidden="1" customHeight="1" x14ac:dyDescent="0.25">
      <c r="A117" s="92">
        <v>1</v>
      </c>
      <c r="B117" s="93"/>
      <c r="C117" s="41"/>
      <c r="D117" s="41">
        <v>0</v>
      </c>
      <c r="E117" s="41">
        <v>0</v>
      </c>
      <c r="F117" s="65">
        <f>D117+(IF(E117&lt;201,E117,IF(E117&lt;301,E117/2,E117/3)))</f>
        <v>0</v>
      </c>
      <c r="G117" s="66">
        <v>0</v>
      </c>
      <c r="H117" s="65">
        <f>(F117+(IF(G117&lt;101,G117,IF(G117&lt;201,G117/2,IF(G117&lt;=301,G117/3,G117/4)))))*(($H$115)+1)</f>
        <v>0</v>
      </c>
      <c r="I117" s="35"/>
      <c r="L117" s="91"/>
      <c r="M117" s="91"/>
      <c r="N117" s="35"/>
      <c r="T117" s="34"/>
    </row>
    <row r="118" spans="1:20" s="36" customFormat="1" ht="15.75" hidden="1" customHeight="1" x14ac:dyDescent="0.25">
      <c r="A118" s="92">
        <f>A117+1</f>
        <v>2</v>
      </c>
      <c r="B118" s="93"/>
      <c r="C118" s="41"/>
      <c r="D118" s="41"/>
      <c r="E118" s="41">
        <v>0</v>
      </c>
      <c r="F118" s="65">
        <f t="shared" ref="F118:F120" si="2">D118+(IF(E118&lt;201,E118,IF(E118&lt;301,E118/2,E118/3)))</f>
        <v>0</v>
      </c>
      <c r="G118" s="57">
        <v>0</v>
      </c>
      <c r="H118" s="65">
        <f t="shared" ref="H118:H120" si="3">(F118+(IF(G118&lt;101,G118,IF(G118&lt;201,G118/2,IF(G118&lt;=301,G118/3,G118/4)))))*(($H$115)+1)</f>
        <v>0</v>
      </c>
      <c r="I118" s="35"/>
      <c r="L118" s="91"/>
      <c r="M118" s="91"/>
      <c r="N118" s="35"/>
      <c r="T118" s="33"/>
    </row>
    <row r="119" spans="1:20" s="36" customFormat="1" ht="15.75" hidden="1" customHeight="1" x14ac:dyDescent="0.25">
      <c r="A119" s="92">
        <f>A118+1</f>
        <v>3</v>
      </c>
      <c r="B119" s="93"/>
      <c r="C119" s="41"/>
      <c r="D119" s="41"/>
      <c r="E119" s="41">
        <v>0</v>
      </c>
      <c r="F119" s="65">
        <f t="shared" si="2"/>
        <v>0</v>
      </c>
      <c r="G119" s="57">
        <v>0</v>
      </c>
      <c r="H119" s="65">
        <f t="shared" si="3"/>
        <v>0</v>
      </c>
      <c r="I119" s="35"/>
      <c r="L119" s="91"/>
      <c r="M119" s="91"/>
      <c r="N119" s="35"/>
      <c r="T119" s="20"/>
    </row>
    <row r="120" spans="1:20" s="36" customFormat="1" ht="15.75" hidden="1" customHeight="1" x14ac:dyDescent="0.25">
      <c r="A120" s="92">
        <f>A119+1</f>
        <v>4</v>
      </c>
      <c r="B120" s="93"/>
      <c r="C120" s="41"/>
      <c r="D120" s="41"/>
      <c r="E120" s="41">
        <v>0</v>
      </c>
      <c r="F120" s="65">
        <f t="shared" si="2"/>
        <v>0</v>
      </c>
      <c r="G120" s="57">
        <v>0</v>
      </c>
      <c r="H120" s="65">
        <f t="shared" si="3"/>
        <v>0</v>
      </c>
      <c r="I120" s="35"/>
      <c r="L120" s="91"/>
      <c r="M120" s="91"/>
      <c r="N120" s="35"/>
      <c r="T120" s="20"/>
    </row>
    <row r="121" spans="1:20" s="36" customFormat="1" x14ac:dyDescent="0.25">
      <c r="A121" s="92"/>
      <c r="B121" s="198"/>
      <c r="C121" s="198"/>
      <c r="D121" s="198"/>
      <c r="E121" s="198"/>
      <c r="F121" s="198"/>
      <c r="G121" s="198"/>
      <c r="H121" s="93"/>
      <c r="I121" s="35"/>
      <c r="N121" s="35"/>
    </row>
    <row r="122" spans="1:20" ht="47.25" customHeight="1" x14ac:dyDescent="0.25">
      <c r="A122" s="203" t="s">
        <v>118</v>
      </c>
      <c r="B122" s="145" t="s">
        <v>367</v>
      </c>
      <c r="C122" s="145" t="s">
        <v>55</v>
      </c>
      <c r="D122" s="208" t="s">
        <v>228</v>
      </c>
      <c r="E122" s="145" t="s">
        <v>371</v>
      </c>
      <c r="F122" s="145" t="s">
        <v>56</v>
      </c>
      <c r="G122" s="132" t="s">
        <v>57</v>
      </c>
      <c r="H122" s="71" t="s">
        <v>147</v>
      </c>
      <c r="I122" s="35"/>
      <c r="T122" s="36"/>
    </row>
    <row r="123" spans="1:20" s="36" customFormat="1" x14ac:dyDescent="0.25">
      <c r="A123" s="204"/>
      <c r="B123" s="146"/>
      <c r="C123" s="146"/>
      <c r="D123" s="209"/>
      <c r="E123" s="146"/>
      <c r="F123" s="146"/>
      <c r="G123" s="133"/>
      <c r="H123" s="85">
        <v>0.5</v>
      </c>
      <c r="I123" s="35"/>
    </row>
    <row r="124" spans="1:20" s="88" customFormat="1" x14ac:dyDescent="0.25">
      <c r="A124" s="99" t="s">
        <v>383</v>
      </c>
      <c r="B124" s="99"/>
      <c r="C124" s="99"/>
      <c r="D124" s="99"/>
      <c r="E124" s="99"/>
      <c r="F124" s="99"/>
      <c r="G124" s="99"/>
      <c r="H124" s="99"/>
      <c r="J124" s="35"/>
    </row>
    <row r="125" spans="1:20" s="88" customFormat="1" x14ac:dyDescent="0.25">
      <c r="A125" s="99" t="s">
        <v>384</v>
      </c>
      <c r="B125" s="99"/>
      <c r="C125" s="99"/>
      <c r="D125" s="99"/>
      <c r="E125" s="99"/>
      <c r="F125" s="99"/>
      <c r="G125" s="99"/>
      <c r="H125" s="99"/>
      <c r="J125" s="35"/>
    </row>
    <row r="126" spans="1:20" s="84" customFormat="1" x14ac:dyDescent="0.25">
      <c r="A126" s="99" t="s">
        <v>349</v>
      </c>
      <c r="B126" s="99"/>
      <c r="C126" s="99"/>
      <c r="D126" s="99"/>
      <c r="E126" s="99"/>
      <c r="F126" s="99"/>
      <c r="G126" s="99"/>
      <c r="H126" s="99"/>
      <c r="J126" s="35"/>
    </row>
    <row r="127" spans="1:20" s="84" customFormat="1" x14ac:dyDescent="0.25">
      <c r="A127" s="99" t="s">
        <v>350</v>
      </c>
      <c r="B127" s="99"/>
      <c r="C127" s="99"/>
      <c r="D127" s="99"/>
      <c r="E127" s="99"/>
      <c r="F127" s="99"/>
      <c r="G127" s="99"/>
      <c r="H127" s="99"/>
      <c r="J127" s="35"/>
    </row>
    <row r="128" spans="1:20" s="36" customFormat="1" x14ac:dyDescent="0.25">
      <c r="A128" s="99" t="s">
        <v>368</v>
      </c>
      <c r="B128" s="99"/>
      <c r="C128" s="99"/>
      <c r="D128" s="99"/>
      <c r="E128" s="99"/>
      <c r="F128" s="99"/>
      <c r="G128" s="99"/>
      <c r="H128" s="99"/>
      <c r="J128" s="35"/>
    </row>
    <row r="129" spans="1:20" s="36" customFormat="1" ht="15.75" customHeight="1" x14ac:dyDescent="0.25">
      <c r="A129" s="83">
        <v>1</v>
      </c>
      <c r="B129" s="83" t="s">
        <v>370</v>
      </c>
      <c r="C129" s="83" t="s">
        <v>351</v>
      </c>
      <c r="D129" s="83">
        <f>(3.05*4.55+2.3*4.55+2.75*3.05+2.75*4.1+1.85*1.2+1.2*2+3.05*1.05)*10.764</f>
        <v>557.87120999999991</v>
      </c>
      <c r="E129" s="83">
        <f>((3.05+2.3+2.75+2.75)*0.75)*10.764</f>
        <v>87.592049999999986</v>
      </c>
      <c r="F129" s="83">
        <f>D129+E129</f>
        <v>645.46325999999988</v>
      </c>
      <c r="G129" s="83">
        <v>0</v>
      </c>
      <c r="H129" s="83">
        <f>F129*(($H$123)+1)+(IF(G129&lt;101,G129,IF(G129&lt;201,G129/2,IF(G129&lt;=301,G129/3,G129/4))))</f>
        <v>968.19488999999976</v>
      </c>
      <c r="I129" s="83">
        <v>10.763999999999999</v>
      </c>
      <c r="L129" s="91"/>
      <c r="M129" s="91"/>
      <c r="N129" s="35"/>
    </row>
    <row r="130" spans="1:20" s="36" customFormat="1" ht="15.75" customHeight="1" x14ac:dyDescent="0.25">
      <c r="A130" s="83">
        <f>A129+1</f>
        <v>2</v>
      </c>
      <c r="B130" s="83" t="s">
        <v>370</v>
      </c>
      <c r="C130" s="83" t="s">
        <v>351</v>
      </c>
      <c r="D130" s="83">
        <f>(3.05*4.55+2.3*4.55+2.75*3.05+2.75*4.1+1.85*1.2+1.2*2+3.05*1.05)*10.764</f>
        <v>557.87120999999991</v>
      </c>
      <c r="E130" s="83">
        <f>((3.05+2.3+2.75+2.75)*0.75)*10.764</f>
        <v>87.592049999999986</v>
      </c>
      <c r="F130" s="83">
        <f>D130+E130</f>
        <v>645.46325999999988</v>
      </c>
      <c r="G130" s="83">
        <v>0</v>
      </c>
      <c r="H130" s="83">
        <f>F130*(($H$123)+1)+(IF(G130&lt;101,G130,IF(G130&lt;201,G130/2,IF(G130&lt;=301,G130/3,G130/4))))</f>
        <v>968.19488999999976</v>
      </c>
      <c r="I130" s="35"/>
      <c r="L130" s="91"/>
      <c r="M130" s="91"/>
      <c r="N130" s="35"/>
    </row>
    <row r="131" spans="1:20" s="36" customFormat="1" ht="15.75" customHeight="1" x14ac:dyDescent="0.25">
      <c r="A131" s="83">
        <f>A130+1</f>
        <v>3</v>
      </c>
      <c r="B131" s="83" t="s">
        <v>370</v>
      </c>
      <c r="C131" s="83" t="s">
        <v>351</v>
      </c>
      <c r="D131" s="83">
        <f>(3.05*4.4+2.3*4.4+2.75*3.05+2.75*4.1+1.2*2.05+1.2*2.15+3.05*1.05)*10.764</f>
        <v>553.75397999999996</v>
      </c>
      <c r="E131" s="83">
        <f>((3.05+2.3+2.75+2.75)*0.75)*10.764</f>
        <v>87.592049999999986</v>
      </c>
      <c r="F131" s="83">
        <f>D131+E131</f>
        <v>641.34602999999993</v>
      </c>
      <c r="G131" s="83">
        <v>0</v>
      </c>
      <c r="H131" s="83">
        <f>F131*(($H$123)+1)+(IF(G131&lt;101,G131,IF(G131&lt;201,G131/2,IF(G131&lt;=301,G131/3,G131/4))))</f>
        <v>962.01904499999989</v>
      </c>
      <c r="I131" s="35"/>
      <c r="L131" s="91"/>
      <c r="M131" s="91"/>
      <c r="N131" s="35"/>
    </row>
    <row r="132" spans="1:20" s="36" customFormat="1" ht="15.75" customHeight="1" x14ac:dyDescent="0.25">
      <c r="A132" s="83">
        <f>A131+1</f>
        <v>4</v>
      </c>
      <c r="B132" s="83" t="s">
        <v>370</v>
      </c>
      <c r="C132" s="41" t="s">
        <v>351</v>
      </c>
      <c r="D132" s="83">
        <f>(2.9*4.7+2.3*4.7+2.75*3.05+2.75*4.1+1.85*1.2+2.15*1.2+3.05*1.05)*10.764</f>
        <v>560.85821999999996</v>
      </c>
      <c r="E132" s="83">
        <f>((2.9+2.3+2.75+2.75)*0.75)*10.764</f>
        <v>86.381099999999975</v>
      </c>
      <c r="F132" s="57">
        <f>D132+E132</f>
        <v>647.23931999999991</v>
      </c>
      <c r="G132" s="57">
        <v>0</v>
      </c>
      <c r="H132" s="57">
        <f>F132*(($H$123)+1)+(IF(G132&lt;101,G132,IF(G132&lt;201,G132/2,IF(G132&lt;=301,G132/3,G132/4))))</f>
        <v>970.85897999999986</v>
      </c>
      <c r="I132" s="35"/>
      <c r="L132" s="91"/>
      <c r="M132" s="91"/>
      <c r="N132" s="35"/>
      <c r="T132" s="20"/>
    </row>
    <row r="133" spans="1:20" s="84" customFormat="1" ht="15.75" customHeight="1" x14ac:dyDescent="0.25">
      <c r="A133" s="83">
        <f>A132+1</f>
        <v>5</v>
      </c>
      <c r="B133" s="87" t="s">
        <v>363</v>
      </c>
      <c r="C133" s="83" t="s">
        <v>352</v>
      </c>
      <c r="D133" s="83">
        <f>(2.9*4.55+2.3*3.2+2.75*3.65+1.2*2+1.2*2)*10.764</f>
        <v>380.96486999999996</v>
      </c>
      <c r="E133" s="83">
        <f>((2.9+2.75+2.3)*0.75)*10.764</f>
        <v>64.180350000000004</v>
      </c>
      <c r="F133" s="83">
        <f>D133+E133</f>
        <v>445.14521999999999</v>
      </c>
      <c r="G133" s="83">
        <v>0</v>
      </c>
      <c r="H133" s="83">
        <f>F133*(($H$123)+1)+(IF(G133&lt;101,G133,IF(G133&lt;201,G133/2,IF(G133&lt;=301,G133/3,G133/4))))</f>
        <v>667.71783000000005</v>
      </c>
      <c r="I133" s="35"/>
      <c r="L133" s="91"/>
      <c r="M133" s="91"/>
      <c r="N133" s="35"/>
      <c r="T133" s="20"/>
    </row>
    <row r="134" spans="1:20" s="88" customFormat="1" x14ac:dyDescent="0.25">
      <c r="A134" s="96" t="s">
        <v>369</v>
      </c>
      <c r="B134" s="97"/>
      <c r="C134" s="97"/>
      <c r="D134" s="97"/>
      <c r="E134" s="97"/>
      <c r="F134" s="97"/>
      <c r="G134" s="97"/>
      <c r="H134" s="98"/>
      <c r="J134" s="35"/>
    </row>
    <row r="135" spans="1:20" s="88" customFormat="1" ht="15.75" customHeight="1" x14ac:dyDescent="0.25">
      <c r="A135" s="92">
        <v>1</v>
      </c>
      <c r="B135" s="93"/>
      <c r="C135" s="83" t="s">
        <v>351</v>
      </c>
      <c r="D135" s="83">
        <f>(3.05*4.55+2.3*4.55+2.75*3.05+2.75*4.1+1.85*1.2+1.2*2+3.05*1.05)*10.764</f>
        <v>557.87120999999991</v>
      </c>
      <c r="E135" s="83">
        <f>((3.05+2.3+2.75+2.75)*0.75)*10.764</f>
        <v>87.592049999999986</v>
      </c>
      <c r="F135" s="83">
        <f>D135+E135</f>
        <v>645.46325999999988</v>
      </c>
      <c r="G135" s="83">
        <v>0</v>
      </c>
      <c r="H135" s="83">
        <f>F135*(($H$123)+1)+(IF(G135&lt;101,G135,IF(G135&lt;201,G135/2,IF(G135&lt;=301,G135/3,G135/4))))</f>
        <v>968.19488999999976</v>
      </c>
      <c r="I135" s="83">
        <v>10.763999999999999</v>
      </c>
      <c r="L135" s="91"/>
      <c r="M135" s="91"/>
      <c r="N135" s="35"/>
    </row>
    <row r="136" spans="1:20" s="88" customFormat="1" ht="15.75" customHeight="1" x14ac:dyDescent="0.25">
      <c r="A136" s="92">
        <f>A135+1</f>
        <v>2</v>
      </c>
      <c r="B136" s="93"/>
      <c r="C136" s="83" t="s">
        <v>351</v>
      </c>
      <c r="D136" s="83">
        <f>(3.05*4.55+2.3*4.55+2.75*3.05+2.75*4.1+1.85*1.2+1.2*2+3.05*1.05)*10.764</f>
        <v>557.87120999999991</v>
      </c>
      <c r="E136" s="83">
        <f>((3.05+2.3+2.75+2.75)*0.75)*10.764</f>
        <v>87.592049999999986</v>
      </c>
      <c r="F136" s="83">
        <f>D136+E136</f>
        <v>645.46325999999988</v>
      </c>
      <c r="G136" s="83">
        <v>0</v>
      </c>
      <c r="H136" s="83">
        <f>F136*(($H$123)+1)+(IF(G136&lt;101,G136,IF(G136&lt;201,G136/2,IF(G136&lt;=301,G136/3,G136/4))))</f>
        <v>968.19488999999976</v>
      </c>
      <c r="I136" s="35"/>
      <c r="L136" s="91"/>
      <c r="M136" s="91"/>
      <c r="N136" s="35"/>
    </row>
    <row r="137" spans="1:20" s="88" customFormat="1" ht="15.75" customHeight="1" x14ac:dyDescent="0.25">
      <c r="A137" s="92">
        <f>A136+1</f>
        <v>3</v>
      </c>
      <c r="B137" s="93"/>
      <c r="C137" s="83" t="s">
        <v>351</v>
      </c>
      <c r="D137" s="83">
        <f>(3.05*4.4+2.3*4.4+2.75*3.05+2.75*4.1+1.2*1.9+1.2*2.15+3.05*1.05)*10.764</f>
        <v>551.81646000000001</v>
      </c>
      <c r="E137" s="83">
        <f>((3.05+2.3+2.75+2.75)*0.75)*10.764</f>
        <v>87.592049999999986</v>
      </c>
      <c r="F137" s="83">
        <f>D137+E137</f>
        <v>639.40850999999998</v>
      </c>
      <c r="G137" s="83">
        <v>0</v>
      </c>
      <c r="H137" s="83">
        <f>F137*(($H$123)+1)+(IF(G137&lt;101,G137,IF(G137&lt;201,G137/2,IF(G137&lt;=301,G137/3,G137/4))))</f>
        <v>959.11276499999997</v>
      </c>
      <c r="I137" s="35"/>
      <c r="L137" s="91"/>
      <c r="M137" s="91"/>
      <c r="N137" s="35"/>
    </row>
    <row r="138" spans="1:20" s="88" customFormat="1" ht="15.75" customHeight="1" x14ac:dyDescent="0.25">
      <c r="A138" s="92">
        <f>A137+1</f>
        <v>4</v>
      </c>
      <c r="B138" s="93"/>
      <c r="C138" s="83" t="s">
        <v>351</v>
      </c>
      <c r="D138" s="83">
        <f>(2.9*4.7+2.3*4.7+2.75*3.05+2.75*4.1+1.85*1.2+2.15*1.2+3.05*1.05)*10.764</f>
        <v>560.85821999999996</v>
      </c>
      <c r="E138" s="83">
        <f>((2.9+2.3+2.75+2.75)*0.75)*10.764</f>
        <v>86.381099999999975</v>
      </c>
      <c r="F138" s="83">
        <f>D138+E138</f>
        <v>647.23931999999991</v>
      </c>
      <c r="G138" s="83">
        <v>0</v>
      </c>
      <c r="H138" s="83">
        <f>F138*(($H$123)+1)+(IF(G138&lt;101,G138,IF(G138&lt;201,G138/2,IF(G138&lt;=301,G138/3,G138/4))))</f>
        <v>970.85897999999986</v>
      </c>
      <c r="I138" s="35"/>
      <c r="L138" s="91"/>
      <c r="M138" s="91"/>
      <c r="N138" s="35"/>
      <c r="T138" s="20"/>
    </row>
    <row r="139" spans="1:20" s="88" customFormat="1" ht="15.75" customHeight="1" x14ac:dyDescent="0.25">
      <c r="A139" s="92">
        <f>A138+1</f>
        <v>5</v>
      </c>
      <c r="B139" s="93"/>
      <c r="C139" s="83" t="s">
        <v>352</v>
      </c>
      <c r="D139" s="83">
        <f>(2.9*4.55+2.3*3.2+2.75*3.65+1.2*2+1.2*2)*10.764</f>
        <v>380.96486999999996</v>
      </c>
      <c r="E139" s="83">
        <f>((2.9+2.75+2.3)*0.75)*10.764</f>
        <v>64.180350000000004</v>
      </c>
      <c r="F139" s="83">
        <f>D139+E139</f>
        <v>445.14521999999999</v>
      </c>
      <c r="G139" s="83">
        <v>0</v>
      </c>
      <c r="H139" s="83">
        <f>F139*(($H$123)+1)+(IF(G139&lt;101,G139,IF(G139&lt;201,G139/2,IF(G139&lt;=301,G139/3,G139/4))))</f>
        <v>667.71783000000005</v>
      </c>
      <c r="I139" s="35"/>
      <c r="L139" s="91"/>
      <c r="M139" s="91"/>
      <c r="N139" s="35"/>
      <c r="T139" s="20"/>
    </row>
    <row r="140" spans="1:20" s="84" customFormat="1" x14ac:dyDescent="0.25">
      <c r="A140" s="96" t="s">
        <v>376</v>
      </c>
      <c r="B140" s="97"/>
      <c r="C140" s="97"/>
      <c r="D140" s="97"/>
      <c r="E140" s="97"/>
      <c r="F140" s="97"/>
      <c r="G140" s="97"/>
      <c r="H140" s="98"/>
      <c r="J140" s="35"/>
    </row>
    <row r="141" spans="1:20" s="84" customFormat="1" ht="15.75" customHeight="1" x14ac:dyDescent="0.25">
      <c r="A141" s="83">
        <v>1</v>
      </c>
      <c r="B141" s="83" t="s">
        <v>370</v>
      </c>
      <c r="C141" s="83" t="s">
        <v>351</v>
      </c>
      <c r="D141" s="83">
        <f>(3.05*4.55+2.3*4.55+2.75*3.05+2.75*4.1+1.85*1.2+1.2*2+3.05*1.05)*10.764</f>
        <v>557.87120999999991</v>
      </c>
      <c r="E141" s="83">
        <f>((3.05+2.3+2.75+2.75)*0.75)*10.764</f>
        <v>87.592049999999986</v>
      </c>
      <c r="F141" s="83">
        <f>D141+E141</f>
        <v>645.46325999999988</v>
      </c>
      <c r="G141" s="83">
        <v>0</v>
      </c>
      <c r="H141" s="83">
        <f>F141*(($H$123)+1)+(IF(G141&lt;101,G141,IF(G141&lt;201,G141/2,IF(G141&lt;=301,G141/3,G141/4))))</f>
        <v>968.19488999999976</v>
      </c>
      <c r="I141" s="35"/>
      <c r="L141" s="91"/>
      <c r="M141" s="91"/>
      <c r="N141" s="35"/>
    </row>
    <row r="142" spans="1:20" s="84" customFormat="1" ht="15.75" customHeight="1" x14ac:dyDescent="0.25">
      <c r="A142" s="83">
        <f>A141+1</f>
        <v>2</v>
      </c>
      <c r="B142" s="83" t="s">
        <v>370</v>
      </c>
      <c r="C142" s="83" t="s">
        <v>351</v>
      </c>
      <c r="D142" s="83">
        <f>(3.05*4.55+2.3*4.55+2.75*3.05+2.75*4.1+1.85*1.2+1.2*2+3.05*1.05)*10.764</f>
        <v>557.87120999999991</v>
      </c>
      <c r="E142" s="83">
        <f>((3.05+2.3+2.75+2.75)*0.75)*10.764</f>
        <v>87.592049999999986</v>
      </c>
      <c r="F142" s="83">
        <f>D142+E142</f>
        <v>645.46325999999988</v>
      </c>
      <c r="G142" s="83">
        <v>0</v>
      </c>
      <c r="H142" s="83">
        <f>F142*(($H$123)+1)+(IF(G142&lt;101,G142,IF(G142&lt;201,G142/2,IF(G142&lt;=301,G142/3,G142/4))))</f>
        <v>968.19488999999976</v>
      </c>
      <c r="I142" s="35"/>
      <c r="L142" s="91"/>
      <c r="M142" s="91"/>
      <c r="N142" s="35"/>
    </row>
    <row r="143" spans="1:20" s="84" customFormat="1" ht="15.75" customHeight="1" x14ac:dyDescent="0.25">
      <c r="A143" s="83">
        <f>A142+1</f>
        <v>3</v>
      </c>
      <c r="B143" s="83" t="s">
        <v>370</v>
      </c>
      <c r="C143" s="83" t="s">
        <v>351</v>
      </c>
      <c r="D143" s="83">
        <f>(3.05*4.4+2.3*4.4+2.75*3.05+2.75*4.1+1.2*1.9+1.2*2.15+3.05*1.05)*10.764</f>
        <v>551.81646000000001</v>
      </c>
      <c r="E143" s="83">
        <f>((3.05+2.3+2.75+2.75)*0.75)*10.764</f>
        <v>87.592049999999986</v>
      </c>
      <c r="F143" s="83">
        <f>D143+E143</f>
        <v>639.40850999999998</v>
      </c>
      <c r="G143" s="83">
        <v>0</v>
      </c>
      <c r="H143" s="83">
        <f>F143*(($H$123)+1)+(IF(G143&lt;101,G143,IF(G143&lt;201,G143/2,IF(G143&lt;=301,G143/3,G143/4))))</f>
        <v>959.11276499999997</v>
      </c>
      <c r="I143" s="35"/>
      <c r="L143" s="91"/>
      <c r="M143" s="91"/>
      <c r="N143" s="35"/>
    </row>
    <row r="144" spans="1:20" s="84" customFormat="1" ht="15.75" customHeight="1" x14ac:dyDescent="0.25">
      <c r="A144" s="83">
        <f>A143+1</f>
        <v>4</v>
      </c>
      <c r="B144" s="83" t="s">
        <v>370</v>
      </c>
      <c r="C144" s="83" t="s">
        <v>351</v>
      </c>
      <c r="D144" s="83">
        <f>(2.9*4.7+2.3*4.7+2.75*3.05+2.75*4.1+1.85*1.2+2.15*1.2+3.05*1.05)*10.764</f>
        <v>560.85821999999996</v>
      </c>
      <c r="E144" s="83">
        <f>((2.9+2.3+2.75+2.75)*0.75)*10.764</f>
        <v>86.381099999999975</v>
      </c>
      <c r="F144" s="83">
        <f>D144+E144</f>
        <v>647.23931999999991</v>
      </c>
      <c r="G144" s="83">
        <v>0</v>
      </c>
      <c r="H144" s="83">
        <f>F144*(($H$123)+1)+(IF(G144&lt;101,G144,IF(G144&lt;201,G144/2,IF(G144&lt;=301,G144/3,G144/4))))</f>
        <v>970.85897999999986</v>
      </c>
      <c r="I144" s="35"/>
      <c r="L144" s="91"/>
      <c r="M144" s="91"/>
      <c r="N144" s="35"/>
      <c r="T144" s="20"/>
    </row>
    <row r="145" spans="1:20" s="84" customFormat="1" ht="15.75" customHeight="1" x14ac:dyDescent="0.25">
      <c r="A145" s="83">
        <f>A144+1</f>
        <v>5</v>
      </c>
      <c r="B145" s="87" t="s">
        <v>363</v>
      </c>
      <c r="C145" s="83" t="s">
        <v>352</v>
      </c>
      <c r="D145" s="83">
        <f>(2.9*4.55+2.3*3.2+2.75*3.65+1.2*2+1.2*2)*10.764</f>
        <v>380.96486999999996</v>
      </c>
      <c r="E145" s="83">
        <f>((2.9+2.3+2.75)*0.75)*10.764</f>
        <v>64.18034999999999</v>
      </c>
      <c r="F145" s="83">
        <f>D145+E145</f>
        <v>445.14521999999994</v>
      </c>
      <c r="G145" s="83">
        <v>0</v>
      </c>
      <c r="H145" s="83">
        <f>F145*(($H$123)+1)+(IF(G145&lt;101,G145,IF(G145&lt;201,G145/2,IF(G145&lt;=301,G145/3,G145/4))))</f>
        <v>667.71782999999994</v>
      </c>
      <c r="I145" s="35"/>
      <c r="K145" s="84">
        <f>4153000/H145</f>
        <v>6219.6931299558082</v>
      </c>
      <c r="L145" s="91"/>
      <c r="M145" s="91"/>
      <c r="N145" s="35"/>
      <c r="T145" s="20"/>
    </row>
    <row r="146" spans="1:20" s="88" customFormat="1" x14ac:dyDescent="0.25">
      <c r="A146" s="96" t="s">
        <v>373</v>
      </c>
      <c r="B146" s="97"/>
      <c r="C146" s="97"/>
      <c r="D146" s="97"/>
      <c r="E146" s="97"/>
      <c r="F146" s="97"/>
      <c r="G146" s="97"/>
      <c r="H146" s="98"/>
      <c r="J146" s="35"/>
      <c r="K146" s="88" t="e">
        <f>47000000/#REF!</f>
        <v>#REF!</v>
      </c>
    </row>
    <row r="147" spans="1:20" s="88" customFormat="1" ht="15.75" customHeight="1" x14ac:dyDescent="0.25">
      <c r="A147" s="83">
        <v>1</v>
      </c>
      <c r="B147" s="83" t="s">
        <v>370</v>
      </c>
      <c r="C147" s="83" t="s">
        <v>351</v>
      </c>
      <c r="D147" s="83">
        <f>(3.05*4.55+2.3*4.55+2.75*3.05+2.75*4.1+1.85*1.2+1.2*2+3.05*1.05)*10.764</f>
        <v>557.87120999999991</v>
      </c>
      <c r="E147" s="83">
        <f>((3.05+2.3+2.75+2.75)*0.75)*10.764</f>
        <v>87.592049999999986</v>
      </c>
      <c r="F147" s="83">
        <f>D147+E147</f>
        <v>645.46325999999988</v>
      </c>
      <c r="G147" s="83">
        <v>0</v>
      </c>
      <c r="H147" s="83">
        <f>F147*(($H$123)+1)+(IF(G147&lt;101,G147,IF(G147&lt;201,G147/2,IF(G147&lt;=301,G147/3,G147/4))))</f>
        <v>968.19488999999976</v>
      </c>
      <c r="I147" s="35"/>
      <c r="L147" s="91"/>
      <c r="M147" s="91"/>
      <c r="N147" s="35"/>
    </row>
    <row r="148" spans="1:20" s="88" customFormat="1" ht="15.75" customHeight="1" x14ac:dyDescent="0.25">
      <c r="A148" s="83">
        <f>A147+1</f>
        <v>2</v>
      </c>
      <c r="B148" s="83" t="s">
        <v>370</v>
      </c>
      <c r="C148" s="83" t="s">
        <v>372</v>
      </c>
      <c r="D148" s="83">
        <f>(3.05*4.55+2.3*4.55+2.75*3.05+2.75*4.1+1.85*1.2+1.2*2+3.05*1.05+2.45*3.05+3.05*4.1+2.05*1.2+2.45)*10.764</f>
        <v>825.76025999999979</v>
      </c>
      <c r="E148" s="83">
        <f>((3.05+2.3+2.75+2.75+3.05+2.45)*0.75)*10.764</f>
        <v>131.99354999999997</v>
      </c>
      <c r="F148" s="83">
        <f>D148+E148</f>
        <v>957.7538099999997</v>
      </c>
      <c r="G148" s="83">
        <v>0</v>
      </c>
      <c r="H148" s="83">
        <f>F148*(($H$123)+1)+(IF(G148&lt;101,G148,IF(G148&lt;201,G148/2,IF(G148&lt;=301,G148/3,G148/4))))</f>
        <v>1436.6307149999996</v>
      </c>
      <c r="I148" s="35"/>
      <c r="L148" s="91"/>
      <c r="M148" s="91"/>
      <c r="N148" s="35"/>
    </row>
    <row r="149" spans="1:20" s="88" customFormat="1" ht="15.75" customHeight="1" x14ac:dyDescent="0.25">
      <c r="A149" s="83">
        <f>A148+1</f>
        <v>3</v>
      </c>
      <c r="B149" s="83" t="s">
        <v>370</v>
      </c>
      <c r="C149" s="92" t="s">
        <v>353</v>
      </c>
      <c r="D149" s="198"/>
      <c r="E149" s="198"/>
      <c r="F149" s="198"/>
      <c r="G149" s="198"/>
      <c r="H149" s="93"/>
      <c r="I149" s="35"/>
      <c r="L149" s="91"/>
      <c r="M149" s="91"/>
      <c r="N149" s="35"/>
    </row>
    <row r="150" spans="1:20" s="88" customFormat="1" ht="15.75" customHeight="1" x14ac:dyDescent="0.25">
      <c r="A150" s="83">
        <f>A149+1</f>
        <v>4</v>
      </c>
      <c r="B150" s="83" t="s">
        <v>370</v>
      </c>
      <c r="C150" s="83" t="s">
        <v>351</v>
      </c>
      <c r="D150" s="83">
        <f>(2.9*4.7+2.3*4.7+2.75*3.05+2.75*4.1+1.85*1.2+2.15*1.2+3.05*1.05)*10.764</f>
        <v>560.85821999999996</v>
      </c>
      <c r="E150" s="83">
        <f>((2.9+2.3+2.75+2.75)*0.75)*10.764</f>
        <v>86.381099999999975</v>
      </c>
      <c r="F150" s="83">
        <f>D150+E150</f>
        <v>647.23931999999991</v>
      </c>
      <c r="G150" s="83">
        <v>0</v>
      </c>
      <c r="H150" s="83">
        <f>F150*(($H$123)+1)+(IF(G150&lt;101,G150,IF(G150&lt;201,G150/2,IF(G150&lt;=301,G150/3,G150/4))))</f>
        <v>970.85897999999986</v>
      </c>
      <c r="I150" s="35"/>
      <c r="L150" s="91"/>
      <c r="M150" s="91"/>
      <c r="N150" s="35"/>
      <c r="T150" s="20"/>
    </row>
    <row r="151" spans="1:20" s="88" customFormat="1" ht="15.75" customHeight="1" x14ac:dyDescent="0.25">
      <c r="A151" s="83">
        <f>A150+1</f>
        <v>5</v>
      </c>
      <c r="B151" s="87" t="s">
        <v>363</v>
      </c>
      <c r="C151" s="83" t="s">
        <v>352</v>
      </c>
      <c r="D151" s="83">
        <f>(2.9*4.55+2.3*3.2+2.75*3.65+1.2*2+1.2*2)*10.764</f>
        <v>380.96486999999996</v>
      </c>
      <c r="E151" s="83">
        <f>((2.9+2.3+2.75)*0.75)*10.764</f>
        <v>64.18034999999999</v>
      </c>
      <c r="F151" s="83">
        <f>D151+E151</f>
        <v>445.14521999999994</v>
      </c>
      <c r="G151" s="83">
        <v>0</v>
      </c>
      <c r="H151" s="83">
        <f>F151*(($H$123)+1)+(IF(G151&lt;101,G151,IF(G151&lt;201,G151/2,IF(G151&lt;=301,G151/3,G151/4))))</f>
        <v>667.71782999999994</v>
      </c>
      <c r="I151" s="35"/>
      <c r="L151" s="91"/>
      <c r="M151" s="91"/>
      <c r="N151" s="35"/>
      <c r="T151" s="20"/>
    </row>
    <row r="152" spans="1:20" s="84" customFormat="1" x14ac:dyDescent="0.25">
      <c r="A152" s="96" t="s">
        <v>374</v>
      </c>
      <c r="B152" s="97"/>
      <c r="C152" s="97"/>
      <c r="D152" s="97"/>
      <c r="E152" s="97"/>
      <c r="F152" s="97"/>
      <c r="G152" s="97"/>
      <c r="H152" s="98"/>
      <c r="J152" s="35"/>
      <c r="K152" s="84">
        <f>47000000/H145</f>
        <v>70389.014473374191</v>
      </c>
    </row>
    <row r="153" spans="1:20" s="84" customFormat="1" ht="15.75" customHeight="1" x14ac:dyDescent="0.25">
      <c r="A153" s="92">
        <v>1</v>
      </c>
      <c r="B153" s="93"/>
      <c r="C153" s="83" t="s">
        <v>351</v>
      </c>
      <c r="D153" s="83">
        <f>(3.05*4.55+2.3*4.55+2.75*3.05+2.75*4.1+1.85*1.2+1.2*2+3.05*1.05)*10.764</f>
        <v>557.87120999999991</v>
      </c>
      <c r="E153" s="83">
        <f>((3.05+2.3+2.75+2.75)*0.75)*10.764</f>
        <v>87.592049999999986</v>
      </c>
      <c r="F153" s="83">
        <f>D153+E153</f>
        <v>645.46325999999988</v>
      </c>
      <c r="G153" s="83">
        <v>0</v>
      </c>
      <c r="H153" s="83">
        <f>F153*(($H$123)+1)+(IF(G153&lt;101,G153,IF(G153&lt;201,G153/2,IF(G153&lt;=301,G153/3,G153/4))))</f>
        <v>968.19488999999976</v>
      </c>
      <c r="I153" s="35"/>
      <c r="L153" s="91"/>
      <c r="M153" s="91"/>
      <c r="N153" s="35"/>
    </row>
    <row r="154" spans="1:20" s="84" customFormat="1" ht="15.75" customHeight="1" x14ac:dyDescent="0.25">
      <c r="A154" s="92">
        <f>A153+1</f>
        <v>2</v>
      </c>
      <c r="B154" s="93"/>
      <c r="C154" s="83" t="s">
        <v>372</v>
      </c>
      <c r="D154" s="83">
        <f>(3.05*4.55+2.3*4.55+2.75*3.05+2.75*4.1+1.85*1.2+1.2*2+3.05*1.05+2.45*3.05+3.05*4.1+2.05*1.2+2.45)*10.764</f>
        <v>825.76025999999979</v>
      </c>
      <c r="E154" s="83">
        <f>((3.05+2.3+2.75+2.75+3.05+2.45)*0.75)*10.764</f>
        <v>131.99354999999997</v>
      </c>
      <c r="F154" s="83">
        <f>D154+E154</f>
        <v>957.7538099999997</v>
      </c>
      <c r="G154" s="83">
        <v>0</v>
      </c>
      <c r="H154" s="83">
        <f>F154*(($H$123)+1)+(IF(G154&lt;101,G154,IF(G154&lt;201,G154/2,IF(G154&lt;=301,G154/3,G154/4))))</f>
        <v>1436.6307149999996</v>
      </c>
      <c r="I154" s="35"/>
      <c r="L154" s="91"/>
      <c r="M154" s="91"/>
      <c r="N154" s="35"/>
    </row>
    <row r="155" spans="1:20" s="84" customFormat="1" ht="15.75" customHeight="1" x14ac:dyDescent="0.25">
      <c r="A155" s="92">
        <f>A154+1</f>
        <v>3</v>
      </c>
      <c r="B155" s="93"/>
      <c r="C155" s="92" t="s">
        <v>353</v>
      </c>
      <c r="D155" s="198"/>
      <c r="E155" s="198"/>
      <c r="F155" s="198"/>
      <c r="G155" s="198"/>
      <c r="H155" s="93"/>
      <c r="I155" s="35"/>
      <c r="L155" s="91"/>
      <c r="M155" s="91"/>
      <c r="N155" s="35"/>
    </row>
    <row r="156" spans="1:20" s="84" customFormat="1" ht="15.75" customHeight="1" x14ac:dyDescent="0.25">
      <c r="A156" s="92">
        <f>A155+1</f>
        <v>4</v>
      </c>
      <c r="B156" s="93"/>
      <c r="C156" s="83" t="s">
        <v>351</v>
      </c>
      <c r="D156" s="83">
        <f>(2.9*4.7+2.3*4.7+2.75*3.05+2.75*4.1+1.85*1.2+2.15*1.2+3.05*1.05)*10.764</f>
        <v>560.85821999999996</v>
      </c>
      <c r="E156" s="83">
        <f>((2.9+2.3+2.75+2.75)*0.75)*10.764</f>
        <v>86.381099999999975</v>
      </c>
      <c r="F156" s="83">
        <f>D156+E156</f>
        <v>647.23931999999991</v>
      </c>
      <c r="G156" s="83">
        <v>0</v>
      </c>
      <c r="H156" s="83">
        <f>F156*(($H$123)+1)+(IF(G156&lt;101,G156,IF(G156&lt;201,G156/2,IF(G156&lt;=301,G156/3,G156/4))))</f>
        <v>970.85897999999986</v>
      </c>
      <c r="I156" s="35"/>
      <c r="L156" s="91"/>
      <c r="M156" s="91"/>
      <c r="N156" s="35"/>
      <c r="T156" s="20"/>
    </row>
    <row r="157" spans="1:20" s="84" customFormat="1" ht="15.75" customHeight="1" x14ac:dyDescent="0.25">
      <c r="A157" s="92">
        <f>A156+1</f>
        <v>5</v>
      </c>
      <c r="B157" s="93"/>
      <c r="C157" s="83" t="s">
        <v>352</v>
      </c>
      <c r="D157" s="83">
        <f>(2.9*4.55+2.3*3.2+2.75*3.65+1.2*2+1.2*2)*10.764</f>
        <v>380.96486999999996</v>
      </c>
      <c r="E157" s="83">
        <f>((2.9+2.3+2.75)*0.75)*10.764</f>
        <v>64.18034999999999</v>
      </c>
      <c r="F157" s="83">
        <f>D157+E157</f>
        <v>445.14521999999994</v>
      </c>
      <c r="G157" s="83">
        <v>0</v>
      </c>
      <c r="H157" s="83">
        <f>F157*(($H$123)+1)+(IF(G157&lt;101,G157,IF(G157&lt;201,G157/2,IF(G157&lt;=301,G157/3,G157/4))))</f>
        <v>667.71782999999994</v>
      </c>
      <c r="I157" s="35"/>
      <c r="L157" s="91"/>
      <c r="M157" s="91"/>
      <c r="N157" s="35"/>
      <c r="T157" s="20"/>
    </row>
    <row r="158" spans="1:20" s="88" customFormat="1" x14ac:dyDescent="0.25">
      <c r="A158" s="96" t="s">
        <v>375</v>
      </c>
      <c r="B158" s="97"/>
      <c r="C158" s="97"/>
      <c r="D158" s="97"/>
      <c r="E158" s="97"/>
      <c r="F158" s="97"/>
      <c r="G158" s="97"/>
      <c r="H158" s="98"/>
      <c r="J158" s="35"/>
    </row>
    <row r="159" spans="1:20" s="88" customFormat="1" ht="15.75" customHeight="1" x14ac:dyDescent="0.25">
      <c r="A159" s="92">
        <v>1</v>
      </c>
      <c r="B159" s="93"/>
      <c r="C159" s="83" t="s">
        <v>351</v>
      </c>
      <c r="D159" s="83">
        <f>(3.05*4.55+2.3*4.55+2.75*3.05+2.75*4.1+1.85*1.2+1.2*2+3.05*1.05)*10.764</f>
        <v>557.87120999999991</v>
      </c>
      <c r="E159" s="83">
        <f>((3.05+2.3+2.75+2.75)*0.75)*10.764</f>
        <v>87.592049999999986</v>
      </c>
      <c r="F159" s="83">
        <f>D159+E159</f>
        <v>645.46325999999988</v>
      </c>
      <c r="G159" s="83">
        <v>0</v>
      </c>
      <c r="H159" s="83">
        <f>F159*(($H$123)+1)+(IF(G159&lt;101,G159,IF(G159&lt;201,G159/2,IF(G159&lt;=301,G159/3,G159/4))))</f>
        <v>968.19488999999976</v>
      </c>
      <c r="I159" s="35"/>
      <c r="L159" s="91"/>
      <c r="M159" s="91"/>
      <c r="N159" s="35"/>
    </row>
    <row r="160" spans="1:20" s="88" customFormat="1" ht="15.75" customHeight="1" x14ac:dyDescent="0.25">
      <c r="A160" s="92">
        <f>A159+1</f>
        <v>2</v>
      </c>
      <c r="B160" s="93"/>
      <c r="C160" s="83" t="s">
        <v>351</v>
      </c>
      <c r="D160" s="83">
        <f>(3.05*4.55+2.3*4.55+2.75*3.05+2.75*4.1+1.85*1.2+1.2*2+3.05*1.05)*10.764</f>
        <v>557.87120999999991</v>
      </c>
      <c r="E160" s="83">
        <f>((3.05+2.3+2.75+2.75)*0.75)*10.764</f>
        <v>87.592049999999986</v>
      </c>
      <c r="F160" s="83">
        <f>D160+E160</f>
        <v>645.46325999999988</v>
      </c>
      <c r="G160" s="83">
        <v>0</v>
      </c>
      <c r="H160" s="83">
        <f>F160*(($H$123)+1)+(IF(G160&lt;101,G160,IF(G160&lt;201,G160/2,IF(G160&lt;=301,G160/3,G160/4))))</f>
        <v>968.19488999999976</v>
      </c>
      <c r="I160" s="35"/>
      <c r="L160" s="91"/>
      <c r="M160" s="91"/>
      <c r="N160" s="35"/>
    </row>
    <row r="161" spans="1:20" s="88" customFormat="1" ht="15.75" customHeight="1" x14ac:dyDescent="0.25">
      <c r="A161" s="92">
        <f>A160+1</f>
        <v>3</v>
      </c>
      <c r="B161" s="93"/>
      <c r="C161" s="83" t="s">
        <v>351</v>
      </c>
      <c r="D161" s="83">
        <f>(3.05*4.4+2.3*4.4+2.75*3.05+2.75*4.1+1.2*1.9+1.2*2.15+3.05*1.05)*10.764</f>
        <v>551.81646000000001</v>
      </c>
      <c r="E161" s="83">
        <f>((3.05+2.3+2.75+2.75)*0.75)*10.764</f>
        <v>87.592049999999986</v>
      </c>
      <c r="F161" s="83">
        <f>D161+E161</f>
        <v>639.40850999999998</v>
      </c>
      <c r="G161" s="83">
        <v>0</v>
      </c>
      <c r="H161" s="83">
        <f>F161*(($H$123)+1)+(IF(G161&lt;101,G161,IF(G161&lt;201,G161/2,IF(G161&lt;=301,G161/3,G161/4))))</f>
        <v>959.11276499999997</v>
      </c>
      <c r="I161" s="35"/>
      <c r="L161" s="91"/>
      <c r="M161" s="91"/>
      <c r="N161" s="35"/>
    </row>
    <row r="162" spans="1:20" s="88" customFormat="1" ht="15.75" customHeight="1" x14ac:dyDescent="0.25">
      <c r="A162" s="92">
        <f>A161+1</f>
        <v>4</v>
      </c>
      <c r="B162" s="93"/>
      <c r="C162" s="83" t="s">
        <v>351</v>
      </c>
      <c r="D162" s="83">
        <f>(2.9*4.7+2.3*4.7+2.75*3.05+2.75*4.1+1.85*1.2+2.15*1.2+3.05*1.05)*10.764</f>
        <v>560.85821999999996</v>
      </c>
      <c r="E162" s="83">
        <f>((2.9+2.3+2.75+2.75)*0.75)*10.764</f>
        <v>86.381099999999975</v>
      </c>
      <c r="F162" s="83">
        <f>D162+E162</f>
        <v>647.23931999999991</v>
      </c>
      <c r="G162" s="83">
        <v>0</v>
      </c>
      <c r="H162" s="83">
        <f>F162*(($H$123)+1)+(IF(G162&lt;101,G162,IF(G162&lt;201,G162/2,IF(G162&lt;=301,G162/3,G162/4))))</f>
        <v>970.85897999999986</v>
      </c>
      <c r="I162" s="35"/>
      <c r="L162" s="91"/>
      <c r="M162" s="91"/>
      <c r="N162" s="35"/>
      <c r="T162" s="20"/>
    </row>
    <row r="163" spans="1:20" s="88" customFormat="1" ht="15.75" customHeight="1" x14ac:dyDescent="0.25">
      <c r="A163" s="92">
        <f>A162+1</f>
        <v>5</v>
      </c>
      <c r="B163" s="93"/>
      <c r="C163" s="83" t="s">
        <v>352</v>
      </c>
      <c r="D163" s="83">
        <f>(2.9*4.55+2.3*3.2+2.75*3.65+1.2*2+1.2*2)*10.764</f>
        <v>380.96486999999996</v>
      </c>
      <c r="E163" s="83">
        <f>((2.9+2.3+2.75)*0.75)*10.764</f>
        <v>64.18034999999999</v>
      </c>
      <c r="F163" s="83">
        <f>D163+E163</f>
        <v>445.14521999999994</v>
      </c>
      <c r="G163" s="83">
        <v>0</v>
      </c>
      <c r="H163" s="83">
        <f>F163*(($H$123)+1)+(IF(G163&lt;101,G163,IF(G163&lt;201,G163/2,IF(G163&lt;=301,G163/3,G163/4))))</f>
        <v>667.71782999999994</v>
      </c>
      <c r="I163" s="35"/>
      <c r="K163" s="88">
        <f>4153000/H163</f>
        <v>6219.6931299558082</v>
      </c>
      <c r="L163" s="91"/>
      <c r="M163" s="91"/>
      <c r="N163" s="35"/>
      <c r="T163" s="20"/>
    </row>
    <row r="164" spans="1:20" s="88" customFormat="1" x14ac:dyDescent="0.25">
      <c r="A164" s="96" t="s">
        <v>377</v>
      </c>
      <c r="B164" s="97"/>
      <c r="C164" s="97"/>
      <c r="D164" s="97"/>
      <c r="E164" s="97"/>
      <c r="F164" s="97"/>
      <c r="G164" s="97"/>
      <c r="H164" s="98"/>
      <c r="J164" s="35"/>
    </row>
    <row r="165" spans="1:20" s="88" customFormat="1" ht="15.75" customHeight="1" x14ac:dyDescent="0.25">
      <c r="A165" s="92">
        <v>1</v>
      </c>
      <c r="B165" s="93"/>
      <c r="C165" s="83" t="s">
        <v>351</v>
      </c>
      <c r="D165" s="83">
        <f>(3.05*4.55+2.3*4.55+2.75*3.05+2.75*4.1+1.85*1.2+1.2*2+3.05*1.05)*10.764</f>
        <v>557.87120999999991</v>
      </c>
      <c r="E165" s="83">
        <f>((3.05+2.3+2.75+2.75)*0.75)*10.764</f>
        <v>87.592049999999986</v>
      </c>
      <c r="F165" s="83">
        <f>D165+E165</f>
        <v>645.46325999999988</v>
      </c>
      <c r="G165" s="83">
        <v>0</v>
      </c>
      <c r="H165" s="83">
        <f>F165*(($H$123)+1)+(IF(G165&lt;101,G165,IF(G165&lt;201,G165/2,IF(G165&lt;=301,G165/3,G165/4))))</f>
        <v>968.19488999999976</v>
      </c>
      <c r="I165" s="35"/>
      <c r="L165" s="91"/>
      <c r="M165" s="91"/>
      <c r="N165" s="35"/>
    </row>
    <row r="166" spans="1:20" s="88" customFormat="1" ht="15.75" customHeight="1" x14ac:dyDescent="0.25">
      <c r="A166" s="92">
        <f>A165+1</f>
        <v>2</v>
      </c>
      <c r="B166" s="93"/>
      <c r="C166" s="83" t="s">
        <v>351</v>
      </c>
      <c r="D166" s="83">
        <f>(3.05*4.55+2.3*4.55+2.75*3.05+2.75*4.1+1.85*1.2+1.2*2+3.05*1.05)*10.764</f>
        <v>557.87120999999991</v>
      </c>
      <c r="E166" s="83">
        <f>((3.05+2.3+2.75+2.75)*0.75)*10.764</f>
        <v>87.592049999999986</v>
      </c>
      <c r="F166" s="83">
        <f>D166+E166</f>
        <v>645.46325999999988</v>
      </c>
      <c r="G166" s="83">
        <v>0</v>
      </c>
      <c r="H166" s="83">
        <f>F166*(($H$123)+1)+(IF(G166&lt;101,G166,IF(G166&lt;201,G166/2,IF(G166&lt;=301,G166/3,G166/4))))</f>
        <v>968.19488999999976</v>
      </c>
      <c r="I166" s="35"/>
      <c r="L166" s="91"/>
      <c r="M166" s="91"/>
      <c r="N166" s="35"/>
    </row>
    <row r="167" spans="1:20" s="88" customFormat="1" ht="15.75" customHeight="1" x14ac:dyDescent="0.25">
      <c r="A167" s="92">
        <f>A166+1</f>
        <v>3</v>
      </c>
      <c r="B167" s="93"/>
      <c r="C167" s="83" t="s">
        <v>351</v>
      </c>
      <c r="D167" s="83">
        <f>(3.05*4.4+2.3*4.4+2.75*3.05+2.75*4.1+1.2*1.9+1.2*2.15+3.05*1.05)*10.764</f>
        <v>551.81646000000001</v>
      </c>
      <c r="E167" s="83">
        <f>((3.05+2.3+2.75+2.75)*0.75)*10.764</f>
        <v>87.592049999999986</v>
      </c>
      <c r="F167" s="83">
        <f>D167+E167</f>
        <v>639.40850999999998</v>
      </c>
      <c r="G167" s="83">
        <v>0</v>
      </c>
      <c r="H167" s="83">
        <f>F167*(($H$123)+1)+(IF(G167&lt;101,G167,IF(G167&lt;201,G167/2,IF(G167&lt;=301,G167/3,G167/4))))</f>
        <v>959.11276499999997</v>
      </c>
      <c r="I167" s="35"/>
      <c r="L167" s="91"/>
      <c r="M167" s="91"/>
      <c r="N167" s="35"/>
    </row>
    <row r="168" spans="1:20" s="88" customFormat="1" ht="15.75" customHeight="1" x14ac:dyDescent="0.25">
      <c r="A168" s="92">
        <f>A167+1</f>
        <v>4</v>
      </c>
      <c r="B168" s="93"/>
      <c r="C168" s="83" t="s">
        <v>351</v>
      </c>
      <c r="D168" s="83">
        <f>(2.9*4.7+2.3*4.7+2.75*3.05+2.75*4.1+1.85*1.2+2.15*1.2+3.05*1.05)*10.764</f>
        <v>560.85821999999996</v>
      </c>
      <c r="E168" s="83">
        <f>((2.9+2.3+2.75+2.75)*0.75)*10.764</f>
        <v>86.381099999999975</v>
      </c>
      <c r="F168" s="83">
        <f>D168+E168</f>
        <v>647.23931999999991</v>
      </c>
      <c r="G168" s="83">
        <v>0</v>
      </c>
      <c r="H168" s="83">
        <f>F168*(($H$123)+1)+(IF(G168&lt;101,G168,IF(G168&lt;201,G168/2,IF(G168&lt;=301,G168/3,G168/4))))</f>
        <v>970.85897999999986</v>
      </c>
      <c r="I168" s="35"/>
      <c r="L168" s="91"/>
      <c r="M168" s="91"/>
      <c r="N168" s="35"/>
      <c r="T168" s="20"/>
    </row>
    <row r="169" spans="1:20" s="88" customFormat="1" ht="15.75" customHeight="1" x14ac:dyDescent="0.25">
      <c r="A169" s="92">
        <f>A168+1</f>
        <v>5</v>
      </c>
      <c r="B169" s="93"/>
      <c r="C169" s="83" t="s">
        <v>352</v>
      </c>
      <c r="D169" s="83">
        <f>(2.9*4.55+2.3*3.2+2.75*3.65+1.2*2+1.2*2)*10.764</f>
        <v>380.96486999999996</v>
      </c>
      <c r="E169" s="83">
        <f>((2.9+2.3+2.75)*0.75)*10.764</f>
        <v>64.18034999999999</v>
      </c>
      <c r="F169" s="83">
        <f>D169+E169</f>
        <v>445.14521999999994</v>
      </c>
      <c r="G169" s="83">
        <v>0</v>
      </c>
      <c r="H169" s="83">
        <f>F169*(($H$123)+1)+(IF(G169&lt;101,G169,IF(G169&lt;201,G169/2,IF(G169&lt;=301,G169/3,G169/4))))</f>
        <v>667.71782999999994</v>
      </c>
      <c r="I169" s="35"/>
      <c r="K169" s="88">
        <f>4153000/H169</f>
        <v>6219.6931299558082</v>
      </c>
      <c r="L169" s="91"/>
      <c r="M169" s="91"/>
      <c r="N169" s="35"/>
      <c r="T169" s="20"/>
    </row>
    <row r="170" spans="1:20" s="34" customFormat="1" x14ac:dyDescent="0.25">
      <c r="A170" s="211" t="s">
        <v>65</v>
      </c>
      <c r="B170" s="211"/>
      <c r="C170" s="211"/>
      <c r="D170" s="211"/>
      <c r="E170" s="211"/>
      <c r="F170" s="211"/>
      <c r="G170" s="211"/>
      <c r="H170" s="211"/>
      <c r="T170" s="36"/>
    </row>
    <row r="171" spans="1:20" s="34" customFormat="1" ht="17.25" customHeight="1" x14ac:dyDescent="0.25">
      <c r="A171" s="90" t="s">
        <v>151</v>
      </c>
      <c r="B171" s="206" t="s">
        <v>394</v>
      </c>
      <c r="C171" s="206"/>
      <c r="D171" s="206"/>
      <c r="E171" s="206"/>
      <c r="F171" s="206"/>
      <c r="G171" s="206"/>
      <c r="H171" s="206"/>
      <c r="T171" s="36"/>
    </row>
    <row r="172" spans="1:20" s="34" customFormat="1" x14ac:dyDescent="0.25">
      <c r="A172" s="90" t="s">
        <v>151</v>
      </c>
      <c r="B172" s="206" t="str">
        <f>(IF(H122="Saleable area Loading :","We have considered Saleable area of Flats as per our Calculation.","We considered Saleable area of Flat as per Builder area Sheet."))</f>
        <v>We have considered Saleable area of Flats as per our Calculation.</v>
      </c>
      <c r="C172" s="206"/>
      <c r="D172" s="206"/>
      <c r="E172" s="206"/>
      <c r="F172" s="206"/>
      <c r="G172" s="206"/>
      <c r="H172" s="206"/>
      <c r="T172" s="36"/>
    </row>
    <row r="173" spans="1:20" s="34" customFormat="1" hidden="1" x14ac:dyDescent="0.25">
      <c r="A173" s="90" t="s">
        <v>151</v>
      </c>
      <c r="B173" s="206" t="str">
        <f>(IF(H114="Saleable area Loading :","We have considered Saleable area of Commercial as per our Calculation.","We considered Saleable area of Commercial as per Builder area Sheet."))</f>
        <v>We have considered Saleable area of Commercial as per our Calculation.</v>
      </c>
      <c r="C173" s="206"/>
      <c r="D173" s="206"/>
      <c r="E173" s="206"/>
      <c r="F173" s="206"/>
      <c r="G173" s="206"/>
      <c r="H173" s="206"/>
      <c r="T173" s="36"/>
    </row>
    <row r="174" spans="1:20" s="34" customFormat="1" x14ac:dyDescent="0.25">
      <c r="A174" s="90" t="s">
        <v>151</v>
      </c>
      <c r="B174" s="210" t="s">
        <v>121</v>
      </c>
      <c r="C174" s="210"/>
      <c r="D174" s="210"/>
      <c r="E174" s="210"/>
      <c r="F174" s="210"/>
      <c r="G174" s="210"/>
      <c r="H174" s="210"/>
      <c r="T174" s="36"/>
    </row>
    <row r="175" spans="1:20" s="34" customFormat="1" x14ac:dyDescent="0.25">
      <c r="A175" s="45" t="s">
        <v>151</v>
      </c>
      <c r="B175" s="200" t="s">
        <v>356</v>
      </c>
      <c r="C175" s="201"/>
      <c r="D175" s="201"/>
      <c r="E175" s="201"/>
      <c r="F175" s="201"/>
      <c r="G175" s="201"/>
      <c r="H175" s="202"/>
      <c r="T175" s="36"/>
    </row>
    <row r="176" spans="1:20" s="34" customFormat="1" x14ac:dyDescent="0.25">
      <c r="A176" s="45" t="s">
        <v>151</v>
      </c>
      <c r="B176" s="200" t="s">
        <v>150</v>
      </c>
      <c r="C176" s="201"/>
      <c r="D176" s="201"/>
      <c r="E176" s="201"/>
      <c r="F176" s="201"/>
      <c r="G176" s="201"/>
      <c r="H176" s="202"/>
    </row>
    <row r="177" spans="1:20" s="34" customFormat="1" x14ac:dyDescent="0.25">
      <c r="A177" s="45" t="s">
        <v>151</v>
      </c>
      <c r="B177" s="200" t="s">
        <v>122</v>
      </c>
      <c r="C177" s="201"/>
      <c r="D177" s="201"/>
      <c r="E177" s="201"/>
      <c r="F177" s="201"/>
      <c r="G177" s="201"/>
      <c r="H177" s="202"/>
    </row>
    <row r="178" spans="1:20" s="34" customFormat="1" ht="34.5" hidden="1" customHeight="1" x14ac:dyDescent="0.25">
      <c r="A178" s="45" t="s">
        <v>151</v>
      </c>
      <c r="B178" s="200" t="s">
        <v>152</v>
      </c>
      <c r="C178" s="201"/>
      <c r="D178" s="201"/>
      <c r="E178" s="201"/>
      <c r="F178" s="201"/>
      <c r="G178" s="201"/>
      <c r="H178" s="202"/>
    </row>
    <row r="179" spans="1:20" s="34" customFormat="1" x14ac:dyDescent="0.25">
      <c r="A179" s="45" t="s">
        <v>151</v>
      </c>
      <c r="B179" s="200" t="s">
        <v>123</v>
      </c>
      <c r="C179" s="201"/>
      <c r="D179" s="201"/>
      <c r="E179" s="201"/>
      <c r="F179" s="201"/>
      <c r="G179" s="201"/>
      <c r="H179" s="202"/>
    </row>
    <row r="180" spans="1:20" s="34" customFormat="1" x14ac:dyDescent="0.25">
      <c r="A180" s="54" t="s">
        <v>151</v>
      </c>
      <c r="B180" s="212" t="s">
        <v>378</v>
      </c>
      <c r="C180" s="213"/>
      <c r="D180" s="213"/>
      <c r="E180" s="213"/>
      <c r="F180" s="213"/>
      <c r="G180" s="213"/>
      <c r="H180" s="214"/>
    </row>
    <row r="181" spans="1:20" s="34" customFormat="1" ht="36" customHeight="1" x14ac:dyDescent="0.25">
      <c r="A181" s="58" t="s">
        <v>151</v>
      </c>
      <c r="B181" s="212" t="s">
        <v>388</v>
      </c>
      <c r="C181" s="213"/>
      <c r="D181" s="213"/>
      <c r="E181" s="213"/>
      <c r="F181" s="213"/>
      <c r="G181" s="213"/>
      <c r="H181" s="214"/>
    </row>
    <row r="182" spans="1:20" x14ac:dyDescent="0.25">
      <c r="A182" s="118" t="s">
        <v>58</v>
      </c>
      <c r="B182" s="118"/>
      <c r="C182" s="118"/>
      <c r="D182" s="118"/>
      <c r="E182" s="118"/>
      <c r="F182" s="118"/>
      <c r="G182" s="118"/>
      <c r="H182" s="118"/>
      <c r="T182" s="34"/>
    </row>
    <row r="183" spans="1:20" x14ac:dyDescent="0.25">
      <c r="A183" s="103" t="s">
        <v>59</v>
      </c>
      <c r="B183" s="103"/>
      <c r="C183" s="103"/>
      <c r="D183" s="103"/>
      <c r="E183" s="103"/>
      <c r="F183" s="103"/>
      <c r="G183" s="103"/>
      <c r="H183" s="103"/>
      <c r="T183" s="34"/>
    </row>
    <row r="184" spans="1:20" ht="15.75" customHeight="1" x14ac:dyDescent="0.25">
      <c r="A184" s="207" t="s">
        <v>60</v>
      </c>
      <c r="B184" s="207"/>
      <c r="C184" s="207"/>
      <c r="D184" s="207"/>
      <c r="E184" s="207"/>
      <c r="F184" s="207"/>
      <c r="G184" s="207"/>
      <c r="H184" s="207"/>
      <c r="T184" s="34"/>
    </row>
    <row r="185" spans="1:20" x14ac:dyDescent="0.25">
      <c r="A185" s="103" t="s">
        <v>61</v>
      </c>
      <c r="B185" s="103"/>
      <c r="C185" s="103"/>
      <c r="D185" s="103"/>
      <c r="E185" s="103"/>
      <c r="F185" s="103"/>
      <c r="G185" s="103"/>
      <c r="H185" s="103"/>
      <c r="T185" s="34"/>
    </row>
    <row r="186" spans="1:20" x14ac:dyDescent="0.25">
      <c r="A186" s="103" t="s">
        <v>62</v>
      </c>
      <c r="B186" s="103"/>
      <c r="C186" s="103"/>
      <c r="D186" s="103"/>
      <c r="E186" s="103"/>
      <c r="F186" s="103"/>
      <c r="G186" s="103"/>
      <c r="H186" s="103"/>
      <c r="T186" s="34"/>
    </row>
    <row r="187" spans="1:20" x14ac:dyDescent="0.25">
      <c r="A187" s="103" t="s">
        <v>124</v>
      </c>
      <c r="B187" s="103"/>
      <c r="C187" s="103"/>
      <c r="D187" s="103"/>
      <c r="E187" s="103"/>
      <c r="F187" s="103"/>
      <c r="G187" s="103"/>
      <c r="H187" s="103"/>
      <c r="T187" s="34"/>
    </row>
    <row r="188" spans="1:20" ht="33.950000000000003" customHeight="1" x14ac:dyDescent="0.25">
      <c r="A188" s="111" t="s">
        <v>125</v>
      </c>
      <c r="B188" s="111"/>
      <c r="C188" s="111"/>
      <c r="D188" s="111"/>
      <c r="E188" s="111"/>
      <c r="F188" s="111"/>
      <c r="G188" s="111"/>
      <c r="H188" s="111"/>
    </row>
    <row r="189" spans="1:20" x14ac:dyDescent="0.25">
      <c r="A189" s="197" t="s">
        <v>74</v>
      </c>
      <c r="B189" s="197"/>
      <c r="C189" s="197" t="s">
        <v>355</v>
      </c>
      <c r="D189" s="197"/>
      <c r="E189" s="197" t="s">
        <v>103</v>
      </c>
      <c r="F189" s="197"/>
      <c r="G189" s="197" t="s">
        <v>393</v>
      </c>
      <c r="H189" s="197"/>
    </row>
    <row r="190" spans="1:20" x14ac:dyDescent="0.25">
      <c r="A190" s="196" t="s">
        <v>76</v>
      </c>
      <c r="B190" s="196"/>
      <c r="C190" s="196"/>
      <c r="D190" s="196"/>
      <c r="E190" s="196"/>
      <c r="F190" s="196"/>
      <c r="G190" s="196"/>
      <c r="H190" s="196"/>
    </row>
    <row r="191" spans="1:20" x14ac:dyDescent="0.25">
      <c r="A191" s="196"/>
      <c r="B191" s="196"/>
      <c r="C191" s="196"/>
      <c r="D191" s="196"/>
      <c r="E191" s="196"/>
      <c r="F191" s="196"/>
      <c r="G191" s="196"/>
      <c r="H191" s="196"/>
    </row>
    <row r="192" spans="1:20" x14ac:dyDescent="0.25">
      <c r="A192" s="196"/>
      <c r="B192" s="196"/>
      <c r="C192" s="196"/>
      <c r="D192" s="196"/>
      <c r="E192" s="196"/>
      <c r="F192" s="196"/>
      <c r="G192" s="196"/>
      <c r="H192" s="196"/>
    </row>
    <row r="193" spans="1:8" x14ac:dyDescent="0.25">
      <c r="A193" s="196"/>
      <c r="B193" s="196"/>
      <c r="C193" s="196"/>
      <c r="D193" s="196"/>
      <c r="E193" s="196"/>
      <c r="F193" s="196"/>
      <c r="G193" s="196"/>
      <c r="H193" s="196"/>
    </row>
    <row r="194" spans="1:8" x14ac:dyDescent="0.25">
      <c r="A194" s="37" t="s">
        <v>63</v>
      </c>
      <c r="B194" s="38"/>
      <c r="C194" s="38"/>
      <c r="D194" s="37" t="str">
        <f>E9</f>
        <v>Yashwant County</v>
      </c>
      <c r="F194" s="38"/>
      <c r="G194" s="38"/>
      <c r="H194" s="38"/>
    </row>
    <row r="195" spans="1:8" x14ac:dyDescent="0.25">
      <c r="A195" s="38"/>
      <c r="B195" s="38"/>
      <c r="C195" s="38"/>
      <c r="D195" s="38"/>
      <c r="E195" s="38"/>
      <c r="F195" s="38"/>
      <c r="G195" s="38"/>
      <c r="H195" s="38"/>
    </row>
    <row r="196" spans="1:8" x14ac:dyDescent="0.25">
      <c r="A196" s="38"/>
      <c r="B196" s="38"/>
      <c r="C196" s="38"/>
      <c r="D196" s="38"/>
      <c r="E196" s="38"/>
      <c r="F196" s="38"/>
      <c r="G196" s="38"/>
      <c r="H196" s="38"/>
    </row>
    <row r="197" spans="1:8" ht="15" customHeight="1" x14ac:dyDescent="0.25"/>
    <row r="237" spans="1:1" x14ac:dyDescent="0.25">
      <c r="A237" s="40" t="s">
        <v>162</v>
      </c>
    </row>
    <row r="280" spans="1:1" x14ac:dyDescent="0.25">
      <c r="A280" s="40" t="s">
        <v>64</v>
      </c>
    </row>
  </sheetData>
  <mergeCells count="357">
    <mergeCell ref="E43:H43"/>
    <mergeCell ref="A43:D43"/>
    <mergeCell ref="L165:M165"/>
    <mergeCell ref="L166:M166"/>
    <mergeCell ref="L167:M167"/>
    <mergeCell ref="L168:M168"/>
    <mergeCell ref="A169:B169"/>
    <mergeCell ref="L169:M169"/>
    <mergeCell ref="A138:B138"/>
    <mergeCell ref="A139:B139"/>
    <mergeCell ref="A146:H146"/>
    <mergeCell ref="L147:M147"/>
    <mergeCell ref="L148:M148"/>
    <mergeCell ref="C149:H149"/>
    <mergeCell ref="L149:M149"/>
    <mergeCell ref="L150:M150"/>
    <mergeCell ref="L151:M151"/>
    <mergeCell ref="C155:H155"/>
    <mergeCell ref="L155:M155"/>
    <mergeCell ref="L156:M156"/>
    <mergeCell ref="A153:B153"/>
    <mergeCell ref="A154:B154"/>
    <mergeCell ref="A155:B155"/>
    <mergeCell ref="A156:B156"/>
    <mergeCell ref="C51:E51"/>
    <mergeCell ref="D65:H65"/>
    <mergeCell ref="C52:E52"/>
    <mergeCell ref="A63:C65"/>
    <mergeCell ref="L163:M163"/>
    <mergeCell ref="A164:H164"/>
    <mergeCell ref="A165:B165"/>
    <mergeCell ref="I15:P15"/>
    <mergeCell ref="F97:H97"/>
    <mergeCell ref="F95:H95"/>
    <mergeCell ref="A113:H113"/>
    <mergeCell ref="G101:H101"/>
    <mergeCell ref="A96:E96"/>
    <mergeCell ref="A118:B118"/>
    <mergeCell ref="A58:B58"/>
    <mergeCell ref="C58:E58"/>
    <mergeCell ref="D60:H60"/>
    <mergeCell ref="F96:H96"/>
    <mergeCell ref="E101:F101"/>
    <mergeCell ref="A101:B101"/>
    <mergeCell ref="A103:B103"/>
    <mergeCell ref="C106:D106"/>
    <mergeCell ref="D70:H70"/>
    <mergeCell ref="A71:C71"/>
    <mergeCell ref="A187:H187"/>
    <mergeCell ref="A184:H184"/>
    <mergeCell ref="A106:B106"/>
    <mergeCell ref="D122:D123"/>
    <mergeCell ref="E122:E123"/>
    <mergeCell ref="C110:D110"/>
    <mergeCell ref="A128:H128"/>
    <mergeCell ref="A167:B167"/>
    <mergeCell ref="B174:H174"/>
    <mergeCell ref="B175:H175"/>
    <mergeCell ref="A170:H170"/>
    <mergeCell ref="A182:H182"/>
    <mergeCell ref="C114:C115"/>
    <mergeCell ref="B122:B123"/>
    <mergeCell ref="A163:B163"/>
    <mergeCell ref="B181:H181"/>
    <mergeCell ref="B178:H178"/>
    <mergeCell ref="A157:B157"/>
    <mergeCell ref="B180:H180"/>
    <mergeCell ref="A111:B111"/>
    <mergeCell ref="B179:H179"/>
    <mergeCell ref="B177:H177"/>
    <mergeCell ref="A110:B110"/>
    <mergeCell ref="E110:F110"/>
    <mergeCell ref="B176:H176"/>
    <mergeCell ref="A161:B161"/>
    <mergeCell ref="A122:A123"/>
    <mergeCell ref="F122:F123"/>
    <mergeCell ref="A117:B117"/>
    <mergeCell ref="A160:B160"/>
    <mergeCell ref="C104:D104"/>
    <mergeCell ref="E104:F104"/>
    <mergeCell ref="G104:H104"/>
    <mergeCell ref="C108:D108"/>
    <mergeCell ref="E108:F108"/>
    <mergeCell ref="G108:H108"/>
    <mergeCell ref="B173:H173"/>
    <mergeCell ref="B171:H171"/>
    <mergeCell ref="B172:H172"/>
    <mergeCell ref="G106:H106"/>
    <mergeCell ref="A168:B168"/>
    <mergeCell ref="A190:H193"/>
    <mergeCell ref="A189:B189"/>
    <mergeCell ref="E189:F189"/>
    <mergeCell ref="C189:D189"/>
    <mergeCell ref="G189:H189"/>
    <mergeCell ref="A100:H100"/>
    <mergeCell ref="A98:E98"/>
    <mergeCell ref="F98:H98"/>
    <mergeCell ref="A99:E99"/>
    <mergeCell ref="F99:H99"/>
    <mergeCell ref="A107:B107"/>
    <mergeCell ref="A166:B166"/>
    <mergeCell ref="A102:B102"/>
    <mergeCell ref="A185:H185"/>
    <mergeCell ref="A105:H105"/>
    <mergeCell ref="A188:H188"/>
    <mergeCell ref="A108:B108"/>
    <mergeCell ref="A186:H186"/>
    <mergeCell ref="A183:H183"/>
    <mergeCell ref="A120:B120"/>
    <mergeCell ref="A119:B119"/>
    <mergeCell ref="A121:H121"/>
    <mergeCell ref="E106:F106"/>
    <mergeCell ref="A112:H11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A39:B39"/>
    <mergeCell ref="F37:H37"/>
    <mergeCell ref="D63:H63"/>
    <mergeCell ref="D64:H64"/>
    <mergeCell ref="A50:B50"/>
    <mergeCell ref="C50:E50"/>
    <mergeCell ref="G50:H50"/>
    <mergeCell ref="G52:H52"/>
    <mergeCell ref="C39:H39"/>
    <mergeCell ref="A46:D46"/>
    <mergeCell ref="L120:M120"/>
    <mergeCell ref="L119:M119"/>
    <mergeCell ref="L118:M118"/>
    <mergeCell ref="L117:M117"/>
    <mergeCell ref="A84:B84"/>
    <mergeCell ref="C107:D107"/>
    <mergeCell ref="E107:F107"/>
    <mergeCell ref="G107:H107"/>
    <mergeCell ref="A88:E88"/>
    <mergeCell ref="A116:H116"/>
    <mergeCell ref="E114:E115"/>
    <mergeCell ref="A47:D47"/>
    <mergeCell ref="A48:H48"/>
    <mergeCell ref="D62:H62"/>
    <mergeCell ref="A62:C62"/>
    <mergeCell ref="A83:B83"/>
    <mergeCell ref="A45:D45"/>
    <mergeCell ref="A40:B40"/>
    <mergeCell ref="E77:F86"/>
    <mergeCell ref="G77:H86"/>
    <mergeCell ref="A85:B85"/>
    <mergeCell ref="A86:B86"/>
    <mergeCell ref="C40:H40"/>
    <mergeCell ref="F114:F115"/>
    <mergeCell ref="C102:D102"/>
    <mergeCell ref="E102:F102"/>
    <mergeCell ref="B114:B115"/>
    <mergeCell ref="A114:A115"/>
    <mergeCell ref="C122:C123"/>
    <mergeCell ref="G122:G123"/>
    <mergeCell ref="G111:H111"/>
    <mergeCell ref="C55:H55"/>
    <mergeCell ref="A76:B76"/>
    <mergeCell ref="A75:B75"/>
    <mergeCell ref="A73:B73"/>
    <mergeCell ref="C73:H73"/>
    <mergeCell ref="A81:B81"/>
    <mergeCell ref="A68:C68"/>
    <mergeCell ref="D68:H68"/>
    <mergeCell ref="C75:H75"/>
    <mergeCell ref="A78:B78"/>
    <mergeCell ref="A80:B80"/>
    <mergeCell ref="E76:F76"/>
    <mergeCell ref="A69:C69"/>
    <mergeCell ref="D69:H69"/>
    <mergeCell ref="A49:B49"/>
    <mergeCell ref="A87:E87"/>
    <mergeCell ref="F91:H91"/>
    <mergeCell ref="G114:G115"/>
    <mergeCell ref="A92:E92"/>
    <mergeCell ref="F87:H87"/>
    <mergeCell ref="F92:H92"/>
    <mergeCell ref="A93:E93"/>
    <mergeCell ref="F93:H93"/>
    <mergeCell ref="A95:E95"/>
    <mergeCell ref="F90:H90"/>
    <mergeCell ref="A94:E94"/>
    <mergeCell ref="G110:H110"/>
    <mergeCell ref="F88:H88"/>
    <mergeCell ref="G102:H102"/>
    <mergeCell ref="F94:H94"/>
    <mergeCell ref="C101:D101"/>
    <mergeCell ref="E103:F103"/>
    <mergeCell ref="G103:H103"/>
    <mergeCell ref="A104:B104"/>
    <mergeCell ref="C111:D111"/>
    <mergeCell ref="E111:F111"/>
    <mergeCell ref="A97:E97"/>
    <mergeCell ref="C103:D103"/>
    <mergeCell ref="C49:H49"/>
    <mergeCell ref="A79:B79"/>
    <mergeCell ref="A72:C72"/>
    <mergeCell ref="D72:H72"/>
    <mergeCell ref="A70:C70"/>
    <mergeCell ref="D71:H71"/>
    <mergeCell ref="A77:B77"/>
    <mergeCell ref="G76:H76"/>
    <mergeCell ref="A82:B82"/>
    <mergeCell ref="A51:B51"/>
    <mergeCell ref="A59:H59"/>
    <mergeCell ref="A60:C60"/>
    <mergeCell ref="A61:C61"/>
    <mergeCell ref="D61:H61"/>
    <mergeCell ref="G58:H58"/>
    <mergeCell ref="A54:B55"/>
    <mergeCell ref="C54:E54"/>
    <mergeCell ref="G54:H54"/>
    <mergeCell ref="A56:B57"/>
    <mergeCell ref="C56:E56"/>
    <mergeCell ref="G56:H56"/>
    <mergeCell ref="G51:H51"/>
    <mergeCell ref="A52:B53"/>
    <mergeCell ref="C53:H53"/>
    <mergeCell ref="L130:M130"/>
    <mergeCell ref="L131:M131"/>
    <mergeCell ref="A158:H158"/>
    <mergeCell ref="A159:B159"/>
    <mergeCell ref="L159:M159"/>
    <mergeCell ref="A125:H125"/>
    <mergeCell ref="I88:N88"/>
    <mergeCell ref="L160:M160"/>
    <mergeCell ref="A134:H134"/>
    <mergeCell ref="L135:M135"/>
    <mergeCell ref="L136:M136"/>
    <mergeCell ref="L137:M137"/>
    <mergeCell ref="L138:M138"/>
    <mergeCell ref="L139:M139"/>
    <mergeCell ref="A137:B137"/>
    <mergeCell ref="F89:H89"/>
    <mergeCell ref="A89:E89"/>
    <mergeCell ref="D114:D115"/>
    <mergeCell ref="A91:E91"/>
    <mergeCell ref="A90:E90"/>
    <mergeCell ref="A124:H124"/>
    <mergeCell ref="L161:M161"/>
    <mergeCell ref="A162:B162"/>
    <mergeCell ref="L162:M162"/>
    <mergeCell ref="L145:M145"/>
    <mergeCell ref="L157:M157"/>
    <mergeCell ref="A109:B109"/>
    <mergeCell ref="C109:D109"/>
    <mergeCell ref="E109:F109"/>
    <mergeCell ref="G109:H109"/>
    <mergeCell ref="A152:H152"/>
    <mergeCell ref="L153:M153"/>
    <mergeCell ref="L154:M154"/>
    <mergeCell ref="A126:H126"/>
    <mergeCell ref="A140:H140"/>
    <mergeCell ref="L141:M141"/>
    <mergeCell ref="L142:M142"/>
    <mergeCell ref="L143:M143"/>
    <mergeCell ref="L144:M144"/>
    <mergeCell ref="A127:H127"/>
    <mergeCell ref="L133:M133"/>
    <mergeCell ref="A135:B135"/>
    <mergeCell ref="A136:B136"/>
    <mergeCell ref="L132:M132"/>
    <mergeCell ref="L129:M129"/>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4:E115">
      <formula1>"Attached Loft area,Attached Otla area,Attached Mezzanine area"</formula1>
    </dataValidation>
    <dataValidation type="list" allowBlank="1" showInputMessage="1" showErrorMessage="1" sqref="G189:H189">
      <formula1>"Kunal Kadam,Pranita Mhatre,Shruti Fule,Pooja Kawale,Gaurav Panchal,Shruti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4:B115">
      <formula1>"Shop No. (Sale Plan),Sale / Rehab,Sale / Mhada"</formula1>
    </dataValidation>
    <dataValidation type="list" allowBlank="1" showInputMessage="1" showErrorMessage="1" sqref="B122:B12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2:E123">
      <formula1>"Fungible area,FB + DB Area,Chajja Area,Cornice Area,AP Area,WS Area"</formula1>
    </dataValidation>
    <dataValidation type="list" allowBlank="1" showInputMessage="1" showErrorMessage="1" sqref="H115 H12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14 H122">
      <formula1>"Saleable area Loading :,Builder Saleable Area"</formula1>
    </dataValidation>
    <dataValidation type="list" allowBlank="1" showInputMessage="1" showErrorMessage="1" sqref="D114:D115 D122:D123">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169" max="7" man="1"/>
    <brk id="193" max="16383" man="1"/>
    <brk id="236" max="16383" man="1"/>
    <brk id="27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6" sqref="B16"/>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0" t="s">
        <v>104</v>
      </c>
      <c r="C3" s="230"/>
      <c r="D3" s="230"/>
      <c r="E3" s="230"/>
      <c r="F3" s="230"/>
      <c r="G3" s="230"/>
      <c r="H3" s="230"/>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5"/>
      <c r="C4" s="55" t="s">
        <v>11</v>
      </c>
      <c r="D4" s="56" t="s">
        <v>175</v>
      </c>
      <c r="E4" s="56" t="s">
        <v>185</v>
      </c>
      <c r="F4" s="56" t="s">
        <v>172</v>
      </c>
      <c r="G4" s="56" t="s">
        <v>190</v>
      </c>
      <c r="H4" s="56" t="s">
        <v>208</v>
      </c>
      <c r="J4" t="s">
        <v>190</v>
      </c>
      <c r="K4" t="s">
        <v>206</v>
      </c>
    </row>
    <row r="5" spans="2:11" x14ac:dyDescent="0.25">
      <c r="B5" s="55"/>
      <c r="C5" s="55"/>
      <c r="D5" s="56" t="s">
        <v>176</v>
      </c>
      <c r="E5" s="56" t="s">
        <v>183</v>
      </c>
      <c r="F5" s="56" t="s">
        <v>205</v>
      </c>
      <c r="G5" s="56" t="s">
        <v>191</v>
      </c>
      <c r="H5" s="56" t="s">
        <v>209</v>
      </c>
    </row>
    <row r="6" spans="2:11" x14ac:dyDescent="0.25">
      <c r="B6" s="55"/>
      <c r="C6" s="55"/>
      <c r="D6" s="56" t="s">
        <v>177</v>
      </c>
      <c r="E6" s="56" t="s">
        <v>184</v>
      </c>
      <c r="F6" s="56" t="s">
        <v>206</v>
      </c>
      <c r="G6" s="56" t="s">
        <v>192</v>
      </c>
      <c r="H6" s="56" t="s">
        <v>222</v>
      </c>
    </row>
    <row r="7" spans="2:11" x14ac:dyDescent="0.25">
      <c r="B7" s="55"/>
      <c r="C7" s="55"/>
      <c r="D7" s="56" t="s">
        <v>178</v>
      </c>
      <c r="E7" s="56" t="s">
        <v>186</v>
      </c>
      <c r="F7" s="56" t="s">
        <v>207</v>
      </c>
      <c r="G7" s="56" t="s">
        <v>193</v>
      </c>
      <c r="H7" s="56" t="s">
        <v>210</v>
      </c>
    </row>
    <row r="8" spans="2:11" x14ac:dyDescent="0.25">
      <c r="B8" s="55"/>
      <c r="C8" s="55"/>
      <c r="D8" s="56" t="s">
        <v>179</v>
      </c>
      <c r="E8" s="56" t="s">
        <v>187</v>
      </c>
      <c r="F8" s="56"/>
      <c r="G8" s="56" t="s">
        <v>194</v>
      </c>
      <c r="H8" s="56" t="s">
        <v>211</v>
      </c>
    </row>
    <row r="9" spans="2:11" x14ac:dyDescent="0.25">
      <c r="B9" s="55"/>
      <c r="C9" s="55"/>
      <c r="D9" s="56" t="s">
        <v>180</v>
      </c>
      <c r="E9" s="56" t="s">
        <v>185</v>
      </c>
      <c r="F9" s="56"/>
      <c r="G9" s="56" t="s">
        <v>195</v>
      </c>
      <c r="H9" s="56" t="s">
        <v>212</v>
      </c>
    </row>
    <row r="10" spans="2:11" x14ac:dyDescent="0.25">
      <c r="B10" s="55"/>
      <c r="C10" s="55"/>
      <c r="D10" s="56" t="s">
        <v>181</v>
      </c>
      <c r="E10" s="56" t="s">
        <v>188</v>
      </c>
      <c r="F10" s="56"/>
      <c r="G10" s="56" t="s">
        <v>196</v>
      </c>
      <c r="H10" s="56" t="s">
        <v>213</v>
      </c>
    </row>
    <row r="11" spans="2:11" x14ac:dyDescent="0.25">
      <c r="B11" s="55"/>
      <c r="C11" s="55"/>
      <c r="D11" s="56" t="s">
        <v>182</v>
      </c>
      <c r="E11" s="56" t="s">
        <v>189</v>
      </c>
      <c r="F11" s="56"/>
      <c r="G11" s="56" t="s">
        <v>197</v>
      </c>
      <c r="H11" s="56" t="s">
        <v>214</v>
      </c>
    </row>
    <row r="12" spans="2:11" x14ac:dyDescent="0.25">
      <c r="B12" s="55"/>
      <c r="C12" s="55"/>
      <c r="D12" s="56"/>
      <c r="E12" s="56"/>
      <c r="F12" s="56"/>
      <c r="G12" s="56" t="s">
        <v>198</v>
      </c>
      <c r="H12" s="56" t="s">
        <v>215</v>
      </c>
    </row>
    <row r="13" spans="2:11" x14ac:dyDescent="0.25">
      <c r="B13" s="55"/>
      <c r="C13" s="55"/>
      <c r="D13" s="56"/>
      <c r="E13" s="56"/>
      <c r="F13" s="56"/>
      <c r="G13" s="56" t="s">
        <v>199</v>
      </c>
      <c r="H13" s="56" t="s">
        <v>216</v>
      </c>
    </row>
    <row r="14" spans="2:11" x14ac:dyDescent="0.25">
      <c r="B14" s="55"/>
      <c r="C14" s="55"/>
      <c r="D14" s="56"/>
      <c r="E14" s="56"/>
      <c r="F14" s="56"/>
      <c r="G14" s="56" t="s">
        <v>200</v>
      </c>
      <c r="H14" s="56" t="s">
        <v>217</v>
      </c>
    </row>
    <row r="15" spans="2:11" x14ac:dyDescent="0.25">
      <c r="B15" s="55"/>
      <c r="C15" s="55"/>
      <c r="D15" s="56"/>
      <c r="E15" s="56"/>
      <c r="F15" s="56"/>
      <c r="G15" s="56" t="s">
        <v>201</v>
      </c>
      <c r="H15" s="56" t="s">
        <v>218</v>
      </c>
    </row>
    <row r="16" spans="2:11" x14ac:dyDescent="0.25">
      <c r="B16" s="55"/>
      <c r="C16" s="55"/>
      <c r="D16" s="56"/>
      <c r="E16" s="56"/>
      <c r="F16" s="56"/>
      <c r="G16" s="56" t="s">
        <v>202</v>
      </c>
      <c r="H16" s="56" t="s">
        <v>219</v>
      </c>
    </row>
    <row r="17" spans="2:8" x14ac:dyDescent="0.25">
      <c r="B17" s="55"/>
      <c r="C17" s="55"/>
      <c r="D17" s="56"/>
      <c r="E17" s="56"/>
      <c r="F17" s="56"/>
      <c r="G17" s="56" t="s">
        <v>203</v>
      </c>
      <c r="H17" s="56" t="s">
        <v>220</v>
      </c>
    </row>
    <row r="18" spans="2:8" x14ac:dyDescent="0.25">
      <c r="B18" s="55"/>
      <c r="C18" s="55"/>
      <c r="D18" s="56"/>
      <c r="E18" s="56"/>
      <c r="F18" s="56"/>
      <c r="G18" s="56" t="s">
        <v>204</v>
      </c>
      <c r="H18" s="56" t="s">
        <v>221</v>
      </c>
    </row>
    <row r="24" spans="2:8" x14ac:dyDescent="0.25">
      <c r="C24" t="s">
        <v>169</v>
      </c>
    </row>
    <row r="25" spans="2:8" x14ac:dyDescent="0.25">
      <c r="C25" t="s">
        <v>223</v>
      </c>
    </row>
    <row r="26" spans="2:8" x14ac:dyDescent="0.25">
      <c r="C26" t="s">
        <v>224</v>
      </c>
    </row>
    <row r="27" spans="2:8" x14ac:dyDescent="0.25">
      <c r="C27" t="s">
        <v>225</v>
      </c>
    </row>
    <row r="28" spans="2:8" x14ac:dyDescent="0.25">
      <c r="C28" t="s">
        <v>226</v>
      </c>
    </row>
    <row r="29" spans="2:8" x14ac:dyDescent="0.25">
      <c r="C29" t="s">
        <v>227</v>
      </c>
    </row>
    <row r="30" spans="2:8" x14ac:dyDescent="0.25">
      <c r="C30" t="s">
        <v>169</v>
      </c>
    </row>
    <row r="33" spans="3:11" x14ac:dyDescent="0.25">
      <c r="J33">
        <v>1</v>
      </c>
      <c r="K33">
        <v>2</v>
      </c>
    </row>
    <row r="34" spans="3:11" x14ac:dyDescent="0.25">
      <c r="C34" s="60" t="s">
        <v>232</v>
      </c>
      <c r="D34" s="56" t="s">
        <v>230</v>
      </c>
      <c r="E34" s="56" t="s">
        <v>235</v>
      </c>
      <c r="F34" s="56" t="s">
        <v>233</v>
      </c>
      <c r="G34" s="56" t="s">
        <v>234</v>
      </c>
      <c r="H34" s="56" t="s">
        <v>236</v>
      </c>
      <c r="J34" t="s">
        <v>190</v>
      </c>
      <c r="K34" t="s">
        <v>206</v>
      </c>
    </row>
    <row r="35" spans="3:11" x14ac:dyDescent="0.25">
      <c r="C35" s="55" t="s">
        <v>231</v>
      </c>
      <c r="D35" s="56" t="s">
        <v>170</v>
      </c>
      <c r="E35" s="56" t="s">
        <v>240</v>
      </c>
      <c r="F35" s="56" t="s">
        <v>242</v>
      </c>
      <c r="G35" s="56" t="s">
        <v>244</v>
      </c>
      <c r="H35" s="56"/>
    </row>
    <row r="36" spans="3:11" x14ac:dyDescent="0.25">
      <c r="C36" s="55"/>
      <c r="D36" s="56" t="s">
        <v>237</v>
      </c>
      <c r="E36" s="56" t="s">
        <v>241</v>
      </c>
      <c r="F36" s="56" t="s">
        <v>243</v>
      </c>
      <c r="G36" s="56" t="s">
        <v>245</v>
      </c>
      <c r="H36" s="56"/>
    </row>
    <row r="37" spans="3:11" x14ac:dyDescent="0.25">
      <c r="C37" s="55"/>
      <c r="D37" s="56" t="s">
        <v>238</v>
      </c>
      <c r="E37" s="56"/>
      <c r="F37" s="56"/>
      <c r="G37" s="56" t="s">
        <v>246</v>
      </c>
      <c r="H37" s="56"/>
    </row>
    <row r="38" spans="3:11" x14ac:dyDescent="0.25">
      <c r="C38" s="55"/>
      <c r="D38" s="56" t="s">
        <v>239</v>
      </c>
      <c r="E38" s="56"/>
      <c r="F38" s="56"/>
      <c r="G38" s="56" t="s">
        <v>246</v>
      </c>
      <c r="H38" s="56"/>
    </row>
    <row r="39" spans="3:11" x14ac:dyDescent="0.25">
      <c r="C39" s="55"/>
      <c r="D39" s="56"/>
      <c r="E39" s="56"/>
      <c r="F39" s="56"/>
      <c r="G39" s="56" t="s">
        <v>247</v>
      </c>
      <c r="H39" s="56"/>
    </row>
    <row r="40" spans="3:11" x14ac:dyDescent="0.25">
      <c r="C40" s="55"/>
      <c r="D40" s="56"/>
      <c r="E40" s="56"/>
      <c r="F40" s="56"/>
      <c r="G40" s="56" t="s">
        <v>248</v>
      </c>
      <c r="H40" s="56"/>
    </row>
    <row r="41" spans="3:11" x14ac:dyDescent="0.25">
      <c r="C41" s="55"/>
      <c r="D41" s="56"/>
      <c r="E41" s="56"/>
      <c r="F41" s="56"/>
      <c r="G41" s="56"/>
      <c r="H41" s="56"/>
    </row>
    <row r="43" spans="3:11" x14ac:dyDescent="0.25">
      <c r="C43" t="s">
        <v>249</v>
      </c>
    </row>
    <row r="44" spans="3:11" x14ac:dyDescent="0.25">
      <c r="C44" t="s">
        <v>172</v>
      </c>
      <c r="D44" t="s">
        <v>250</v>
      </c>
    </row>
    <row r="45" spans="3:11" x14ac:dyDescent="0.25">
      <c r="D45" t="s">
        <v>251</v>
      </c>
    </row>
    <row r="46" spans="3:11" x14ac:dyDescent="0.25">
      <c r="D46" t="s">
        <v>252</v>
      </c>
    </row>
    <row r="47" spans="3:11" x14ac:dyDescent="0.25">
      <c r="D47" t="s">
        <v>253</v>
      </c>
    </row>
    <row r="48" spans="3:11" x14ac:dyDescent="0.25">
      <c r="D48" t="s">
        <v>254</v>
      </c>
    </row>
    <row r="49" spans="3:4" x14ac:dyDescent="0.25">
      <c r="C49" t="s">
        <v>175</v>
      </c>
      <c r="D49" t="s">
        <v>255</v>
      </c>
    </row>
    <row r="50" spans="3:4" x14ac:dyDescent="0.25">
      <c r="D50" t="s">
        <v>256</v>
      </c>
    </row>
    <row r="51" spans="3:4" x14ac:dyDescent="0.25">
      <c r="D51" t="s">
        <v>257</v>
      </c>
    </row>
    <row r="52" spans="3:4" x14ac:dyDescent="0.25">
      <c r="D52" t="s">
        <v>260</v>
      </c>
    </row>
    <row r="53" spans="3:4" x14ac:dyDescent="0.25">
      <c r="D53" t="s">
        <v>258</v>
      </c>
    </row>
    <row r="54" spans="3:4" x14ac:dyDescent="0.25">
      <c r="D54" t="s">
        <v>259</v>
      </c>
    </row>
    <row r="55" spans="3:4" x14ac:dyDescent="0.25">
      <c r="D55" t="s">
        <v>261</v>
      </c>
    </row>
    <row r="56" spans="3:4" x14ac:dyDescent="0.25">
      <c r="D56" t="s">
        <v>262</v>
      </c>
    </row>
    <row r="57" spans="3:4" x14ac:dyDescent="0.25">
      <c r="D57" t="s">
        <v>263</v>
      </c>
    </row>
    <row r="58" spans="3:4" x14ac:dyDescent="0.25">
      <c r="D58" t="s">
        <v>265</v>
      </c>
    </row>
    <row r="59" spans="3:4" x14ac:dyDescent="0.25">
      <c r="D59" t="s">
        <v>274</v>
      </c>
    </row>
    <row r="60" spans="3:4" x14ac:dyDescent="0.25">
      <c r="C60" t="s">
        <v>190</v>
      </c>
      <c r="D60" t="s">
        <v>266</v>
      </c>
    </row>
    <row r="61" spans="3:4" x14ac:dyDescent="0.25">
      <c r="D61" t="s">
        <v>264</v>
      </c>
    </row>
    <row r="62" spans="3:4" x14ac:dyDescent="0.25">
      <c r="D62" t="s">
        <v>254</v>
      </c>
    </row>
    <row r="63" spans="3:4" x14ac:dyDescent="0.25">
      <c r="D63" t="s">
        <v>267</v>
      </c>
    </row>
    <row r="64" spans="3:4" x14ac:dyDescent="0.25">
      <c r="D64" t="s">
        <v>268</v>
      </c>
    </row>
    <row r="65" spans="3:4" x14ac:dyDescent="0.25">
      <c r="D65" t="s">
        <v>269</v>
      </c>
    </row>
    <row r="66" spans="3:4" x14ac:dyDescent="0.25">
      <c r="D66" t="s">
        <v>270</v>
      </c>
    </row>
    <row r="67" spans="3:4" x14ac:dyDescent="0.25">
      <c r="C67" t="s">
        <v>185</v>
      </c>
      <c r="D67" t="s">
        <v>271</v>
      </c>
    </row>
    <row r="68" spans="3:4" x14ac:dyDescent="0.25">
      <c r="D68" t="s">
        <v>272</v>
      </c>
    </row>
    <row r="69" spans="3:4" x14ac:dyDescent="0.2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13" sqref="C13"/>
    </sheetView>
  </sheetViews>
  <sheetFormatPr defaultRowHeight="15" x14ac:dyDescent="0.25"/>
  <cols>
    <col min="2" max="2" width="3" bestFit="1" customWidth="1"/>
    <col min="3" max="3" width="155.28515625" customWidth="1"/>
  </cols>
  <sheetData>
    <row r="2" spans="2:3" ht="15" customHeight="1" x14ac:dyDescent="0.25">
      <c r="B2" s="61">
        <v>1</v>
      </c>
      <c r="C2" s="64" t="s">
        <v>279</v>
      </c>
    </row>
    <row r="3" spans="2:3" x14ac:dyDescent="0.25">
      <c r="B3" s="61">
        <v>2</v>
      </c>
      <c r="C3" s="62" t="s">
        <v>280</v>
      </c>
    </row>
    <row r="4" spans="2:3" x14ac:dyDescent="0.25">
      <c r="B4" s="61">
        <v>3</v>
      </c>
      <c r="C4" s="63" t="s">
        <v>281</v>
      </c>
    </row>
    <row r="5" spans="2:3" x14ac:dyDescent="0.25">
      <c r="B5" s="61">
        <v>4</v>
      </c>
      <c r="C5" s="62" t="s">
        <v>282</v>
      </c>
    </row>
    <row r="6" spans="2:3" x14ac:dyDescent="0.25">
      <c r="B6" s="61">
        <v>5</v>
      </c>
      <c r="C6" s="63" t="s">
        <v>283</v>
      </c>
    </row>
    <row r="7" spans="2:3" ht="30" x14ac:dyDescent="0.25">
      <c r="B7" s="61">
        <v>6</v>
      </c>
      <c r="C7" s="62" t="s">
        <v>284</v>
      </c>
    </row>
    <row r="8" spans="2:3" ht="75" x14ac:dyDescent="0.25">
      <c r="B8" s="61">
        <v>7</v>
      </c>
      <c r="C8" s="62" t="s">
        <v>285</v>
      </c>
    </row>
    <row r="9" spans="2:3" x14ac:dyDescent="0.25">
      <c r="B9" s="61">
        <v>8</v>
      </c>
      <c r="C9" s="63" t="s">
        <v>286</v>
      </c>
    </row>
    <row r="10" spans="2:3" x14ac:dyDescent="0.25">
      <c r="B10" s="61">
        <v>9</v>
      </c>
      <c r="C10" s="63" t="s">
        <v>287</v>
      </c>
    </row>
    <row r="11" spans="2:3" x14ac:dyDescent="0.25">
      <c r="B11" s="61">
        <v>10</v>
      </c>
      <c r="C11" s="63" t="s">
        <v>288</v>
      </c>
    </row>
    <row r="12" spans="2:3" x14ac:dyDescent="0.25">
      <c r="B12" s="61">
        <v>11</v>
      </c>
      <c r="C12" s="63" t="s">
        <v>289</v>
      </c>
    </row>
    <row r="13" spans="2:3" x14ac:dyDescent="0.25">
      <c r="B13" s="61">
        <v>12</v>
      </c>
      <c r="C13" s="63" t="s">
        <v>290</v>
      </c>
    </row>
    <row r="14" spans="2:3" x14ac:dyDescent="0.25">
      <c r="B14" s="61">
        <v>13</v>
      </c>
      <c r="C14" s="63" t="s">
        <v>291</v>
      </c>
    </row>
    <row r="15" spans="2:3" x14ac:dyDescent="0.25">
      <c r="B15" s="61">
        <v>14</v>
      </c>
      <c r="C15" s="63" t="s">
        <v>281</v>
      </c>
    </row>
    <row r="16" spans="2:3" x14ac:dyDescent="0.25">
      <c r="B16" s="61">
        <v>15</v>
      </c>
      <c r="C16" s="63" t="s">
        <v>293</v>
      </c>
    </row>
    <row r="17" spans="2:3" ht="31.5" customHeight="1" x14ac:dyDescent="0.25">
      <c r="B17" s="67">
        <v>16</v>
      </c>
      <c r="C17" s="69" t="s">
        <v>294</v>
      </c>
    </row>
    <row r="18" spans="2:3" x14ac:dyDescent="0.25">
      <c r="B18" s="68">
        <v>17</v>
      </c>
      <c r="C18" s="69" t="s">
        <v>295</v>
      </c>
    </row>
    <row r="19" spans="2:3" x14ac:dyDescent="0.25">
      <c r="B19" s="67">
        <v>18</v>
      </c>
      <c r="C19" s="61" t="s">
        <v>296</v>
      </c>
    </row>
    <row r="20" spans="2:3" x14ac:dyDescent="0.25">
      <c r="B20" s="68">
        <v>19</v>
      </c>
      <c r="C20" s="61" t="s">
        <v>297</v>
      </c>
    </row>
    <row r="21" spans="2:3" x14ac:dyDescent="0.25">
      <c r="B21" s="70">
        <v>20</v>
      </c>
      <c r="C21" s="61" t="s">
        <v>298</v>
      </c>
    </row>
    <row r="22" spans="2:3" x14ac:dyDescent="0.25">
      <c r="B22" s="68">
        <v>21</v>
      </c>
      <c r="C22" s="61" t="s">
        <v>296</v>
      </c>
    </row>
    <row r="23" spans="2:3" s="80" customFormat="1" ht="29.25" customHeight="1" x14ac:dyDescent="0.25">
      <c r="B23" s="79">
        <v>22</v>
      </c>
      <c r="C23" s="64" t="s">
        <v>325</v>
      </c>
    </row>
    <row r="24" spans="2:3" s="80" customFormat="1" ht="30.75" customHeight="1" x14ac:dyDescent="0.25">
      <c r="B24" s="81">
        <v>23</v>
      </c>
      <c r="C24" s="64" t="s">
        <v>326</v>
      </c>
    </row>
    <row r="25" spans="2:3" x14ac:dyDescent="0.25">
      <c r="B25" s="70">
        <v>24</v>
      </c>
      <c r="C25" s="61" t="s">
        <v>329</v>
      </c>
    </row>
    <row r="26" spans="2:3" x14ac:dyDescent="0.25">
      <c r="B26" s="68">
        <v>25</v>
      </c>
      <c r="C26" s="61" t="s">
        <v>327</v>
      </c>
    </row>
    <row r="27" spans="2:3" x14ac:dyDescent="0.25">
      <c r="B27" s="81">
        <v>26</v>
      </c>
      <c r="C27" s="70" t="s">
        <v>328</v>
      </c>
    </row>
    <row r="28" spans="2:3" x14ac:dyDescent="0.25">
      <c r="B28" s="82">
        <v>27</v>
      </c>
      <c r="C28" s="61"/>
    </row>
    <row r="29" spans="2:3" x14ac:dyDescent="0.25">
      <c r="B29" s="68">
        <v>28</v>
      </c>
      <c r="C29" s="61"/>
    </row>
    <row r="30" spans="2:3" x14ac:dyDescent="0.25">
      <c r="B30" s="81">
        <v>29</v>
      </c>
      <c r="C30" s="61"/>
    </row>
    <row r="31" spans="2:3" x14ac:dyDescent="0.25">
      <c r="B31" s="82">
        <v>30</v>
      </c>
      <c r="C31" s="61"/>
    </row>
    <row r="32" spans="2:3" x14ac:dyDescent="0.25">
      <c r="B32" s="68">
        <v>31</v>
      </c>
      <c r="C32" s="61"/>
    </row>
    <row r="33" spans="2:3" x14ac:dyDescent="0.25">
      <c r="B33" s="81">
        <v>32</v>
      </c>
      <c r="C33" s="61"/>
    </row>
    <row r="34" spans="2:3" x14ac:dyDescent="0.25">
      <c r="B34" s="82">
        <v>33</v>
      </c>
      <c r="C34" s="61"/>
    </row>
    <row r="35" spans="2:3" x14ac:dyDescent="0.25">
      <c r="B35" s="68">
        <v>34</v>
      </c>
      <c r="C35" s="61"/>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40625" defaultRowHeight="15" x14ac:dyDescent="0.25"/>
  <cols>
    <col min="1" max="1" width="9.140625" style="55"/>
    <col min="2" max="2" width="12.28515625" style="55" customWidth="1"/>
    <col min="3" max="16384" width="9.140625" style="55"/>
  </cols>
  <sheetData>
    <row r="2" spans="1:12" x14ac:dyDescent="0.25">
      <c r="B2" s="73" t="s">
        <v>299</v>
      </c>
      <c r="C2" s="231"/>
      <c r="D2" s="231"/>
    </row>
    <row r="3" spans="1:12" x14ac:dyDescent="0.25">
      <c r="D3" s="74"/>
      <c r="E3" s="74"/>
      <c r="F3" s="74"/>
      <c r="G3" s="74"/>
      <c r="H3" s="74"/>
      <c r="I3" s="74"/>
    </row>
    <row r="4" spans="1:12" x14ac:dyDescent="0.25">
      <c r="A4" s="73" t="s">
        <v>66</v>
      </c>
      <c r="B4" s="75" t="s">
        <v>300</v>
      </c>
      <c r="C4" s="232" t="s">
        <v>301</v>
      </c>
      <c r="D4" s="232"/>
      <c r="E4" s="232"/>
      <c r="F4" s="75"/>
      <c r="G4" s="233" t="s">
        <v>302</v>
      </c>
      <c r="H4" s="233"/>
      <c r="I4" s="233"/>
      <c r="J4" s="234" t="s">
        <v>303</v>
      </c>
      <c r="K4" s="234"/>
      <c r="L4" s="234"/>
    </row>
    <row r="5" spans="1:12" x14ac:dyDescent="0.25">
      <c r="A5" s="73"/>
      <c r="B5" s="75"/>
      <c r="C5" s="75" t="s">
        <v>304</v>
      </c>
      <c r="D5" s="75" t="s">
        <v>305</v>
      </c>
      <c r="E5" s="75" t="s">
        <v>306</v>
      </c>
      <c r="F5" s="75"/>
      <c r="G5" s="75" t="s">
        <v>304</v>
      </c>
      <c r="H5" s="75" t="s">
        <v>305</v>
      </c>
      <c r="I5" s="75" t="s">
        <v>306</v>
      </c>
      <c r="J5" s="75" t="s">
        <v>304</v>
      </c>
      <c r="K5" s="75" t="s">
        <v>305</v>
      </c>
      <c r="L5" s="75" t="s">
        <v>306</v>
      </c>
    </row>
    <row r="6" spans="1:12" x14ac:dyDescent="0.25">
      <c r="B6" s="56" t="s">
        <v>307</v>
      </c>
      <c r="C6" s="56"/>
      <c r="D6" s="56"/>
      <c r="E6" s="56">
        <f>C6*D6</f>
        <v>0</v>
      </c>
      <c r="F6" s="56" t="s">
        <v>324</v>
      </c>
      <c r="G6" s="56"/>
      <c r="H6" s="56"/>
      <c r="I6" s="56">
        <f>G6*H6</f>
        <v>0</v>
      </c>
      <c r="J6" s="56"/>
      <c r="K6" s="56"/>
      <c r="L6" s="56">
        <f>J6*K6</f>
        <v>0</v>
      </c>
    </row>
    <row r="7" spans="1:12" x14ac:dyDescent="0.25">
      <c r="B7" s="56"/>
      <c r="C7" s="56"/>
      <c r="D7" s="56"/>
      <c r="E7" s="56">
        <f t="shared" ref="E7:E41" si="0">C7*D7</f>
        <v>0</v>
      </c>
      <c r="F7" s="56" t="s">
        <v>324</v>
      </c>
      <c r="G7" s="56"/>
      <c r="H7" s="56"/>
      <c r="I7" s="56">
        <f t="shared" ref="I7:I35" si="1">G7*H7</f>
        <v>0</v>
      </c>
      <c r="J7" s="56"/>
      <c r="K7" s="56"/>
      <c r="L7" s="56">
        <f t="shared" ref="L7:L35" si="2">J7*K7</f>
        <v>0</v>
      </c>
    </row>
    <row r="8" spans="1:12" x14ac:dyDescent="0.25">
      <c r="B8" s="56"/>
      <c r="C8" s="56"/>
      <c r="D8" s="56"/>
      <c r="E8" s="56">
        <f t="shared" si="0"/>
        <v>0</v>
      </c>
      <c r="F8" s="56"/>
      <c r="G8" s="56"/>
      <c r="H8" s="56"/>
      <c r="I8" s="56">
        <f t="shared" si="1"/>
        <v>0</v>
      </c>
      <c r="J8" s="56"/>
      <c r="K8" s="56"/>
      <c r="L8" s="56">
        <f t="shared" si="2"/>
        <v>0</v>
      </c>
    </row>
    <row r="9" spans="1:12" x14ac:dyDescent="0.25">
      <c r="B9" s="56"/>
      <c r="C9" s="56"/>
      <c r="D9" s="56"/>
      <c r="E9" s="56">
        <f t="shared" si="0"/>
        <v>0</v>
      </c>
      <c r="F9" s="56" t="s">
        <v>308</v>
      </c>
      <c r="G9" s="56"/>
      <c r="H9" s="56"/>
      <c r="I9" s="56">
        <f t="shared" si="1"/>
        <v>0</v>
      </c>
      <c r="J9" s="56"/>
      <c r="K9" s="56"/>
      <c r="L9" s="56">
        <f t="shared" si="2"/>
        <v>0</v>
      </c>
    </row>
    <row r="10" spans="1:12" x14ac:dyDescent="0.25">
      <c r="B10" s="56" t="s">
        <v>309</v>
      </c>
      <c r="C10" s="56"/>
      <c r="D10" s="56"/>
      <c r="E10" s="56">
        <f t="shared" si="0"/>
        <v>0</v>
      </c>
      <c r="F10" s="56" t="s">
        <v>308</v>
      </c>
      <c r="G10" s="56"/>
      <c r="H10" s="56"/>
      <c r="I10" s="56">
        <f t="shared" si="1"/>
        <v>0</v>
      </c>
      <c r="J10" s="56"/>
      <c r="K10" s="56"/>
      <c r="L10" s="56">
        <f t="shared" si="2"/>
        <v>0</v>
      </c>
    </row>
    <row r="11" spans="1:12" x14ac:dyDescent="0.25">
      <c r="B11" s="56"/>
      <c r="C11" s="56"/>
      <c r="D11" s="56"/>
      <c r="E11" s="56">
        <f t="shared" si="0"/>
        <v>0</v>
      </c>
      <c r="F11" s="56" t="s">
        <v>310</v>
      </c>
      <c r="G11" s="56"/>
      <c r="H11" s="56"/>
      <c r="I11" s="56">
        <f t="shared" si="1"/>
        <v>0</v>
      </c>
      <c r="J11" s="56"/>
      <c r="K11" s="56"/>
      <c r="L11" s="56">
        <f t="shared" si="2"/>
        <v>0</v>
      </c>
    </row>
    <row r="12" spans="1:12" x14ac:dyDescent="0.25">
      <c r="B12" s="56"/>
      <c r="C12" s="56"/>
      <c r="D12" s="56"/>
      <c r="E12" s="56">
        <f t="shared" si="0"/>
        <v>0</v>
      </c>
      <c r="F12" s="56"/>
      <c r="G12" s="56"/>
      <c r="H12" s="56"/>
      <c r="I12" s="56">
        <f t="shared" si="1"/>
        <v>0</v>
      </c>
      <c r="J12" s="56"/>
      <c r="K12" s="56"/>
      <c r="L12" s="56">
        <f t="shared" si="2"/>
        <v>0</v>
      </c>
    </row>
    <row r="13" spans="1:12" x14ac:dyDescent="0.25">
      <c r="B13" s="56"/>
      <c r="C13" s="56"/>
      <c r="D13" s="56"/>
      <c r="E13" s="56">
        <f t="shared" si="0"/>
        <v>0</v>
      </c>
      <c r="F13" s="56"/>
      <c r="G13" s="56"/>
      <c r="H13" s="56"/>
      <c r="I13" s="56">
        <f t="shared" si="1"/>
        <v>0</v>
      </c>
      <c r="J13" s="56"/>
      <c r="K13" s="56"/>
      <c r="L13" s="56">
        <f t="shared" si="2"/>
        <v>0</v>
      </c>
    </row>
    <row r="14" spans="1:12" x14ac:dyDescent="0.25">
      <c r="B14" s="56" t="s">
        <v>311</v>
      </c>
      <c r="C14" s="56"/>
      <c r="D14" s="56"/>
      <c r="E14" s="56">
        <f t="shared" si="0"/>
        <v>0</v>
      </c>
      <c r="F14" s="56" t="s">
        <v>308</v>
      </c>
      <c r="G14" s="56"/>
      <c r="H14" s="56"/>
      <c r="I14" s="56">
        <f t="shared" si="1"/>
        <v>0</v>
      </c>
      <c r="J14" s="56"/>
      <c r="K14" s="56"/>
      <c r="L14" s="56">
        <f t="shared" si="2"/>
        <v>0</v>
      </c>
    </row>
    <row r="15" spans="1:12" x14ac:dyDescent="0.25">
      <c r="B15" s="56"/>
      <c r="C15" s="56"/>
      <c r="D15" s="56"/>
      <c r="E15" s="56">
        <f t="shared" si="0"/>
        <v>0</v>
      </c>
      <c r="F15" s="56" t="s">
        <v>310</v>
      </c>
      <c r="G15" s="56"/>
      <c r="H15" s="56"/>
      <c r="I15" s="56">
        <f t="shared" si="1"/>
        <v>0</v>
      </c>
      <c r="J15" s="56"/>
      <c r="K15" s="56"/>
      <c r="L15" s="56">
        <f t="shared" si="2"/>
        <v>0</v>
      </c>
    </row>
    <row r="16" spans="1:12" x14ac:dyDescent="0.25">
      <c r="B16" s="56"/>
      <c r="C16" s="56"/>
      <c r="D16" s="56"/>
      <c r="E16" s="56">
        <f t="shared" si="0"/>
        <v>0</v>
      </c>
      <c r="F16" s="56"/>
      <c r="G16" s="56"/>
      <c r="H16" s="56"/>
      <c r="I16" s="56">
        <f t="shared" si="1"/>
        <v>0</v>
      </c>
      <c r="J16" s="56"/>
      <c r="K16" s="56"/>
      <c r="L16" s="56">
        <f t="shared" si="2"/>
        <v>0</v>
      </c>
    </row>
    <row r="17" spans="2:12" x14ac:dyDescent="0.25">
      <c r="B17" s="56"/>
      <c r="C17" s="56"/>
      <c r="D17" s="56"/>
      <c r="E17" s="56">
        <f t="shared" si="0"/>
        <v>0</v>
      </c>
      <c r="F17" s="56"/>
      <c r="G17" s="56"/>
      <c r="H17" s="56"/>
      <c r="I17" s="56">
        <f t="shared" si="1"/>
        <v>0</v>
      </c>
      <c r="J17" s="56"/>
      <c r="K17" s="56"/>
      <c r="L17" s="56">
        <f t="shared" si="2"/>
        <v>0</v>
      </c>
    </row>
    <row r="18" spans="2:12" x14ac:dyDescent="0.25">
      <c r="B18" s="56" t="s">
        <v>312</v>
      </c>
      <c r="C18" s="56"/>
      <c r="D18" s="56"/>
      <c r="E18" s="56">
        <f t="shared" si="0"/>
        <v>0</v>
      </c>
      <c r="F18" s="56" t="s">
        <v>308</v>
      </c>
      <c r="G18" s="56"/>
      <c r="H18" s="56"/>
      <c r="I18" s="56">
        <f t="shared" si="1"/>
        <v>0</v>
      </c>
      <c r="J18" s="56"/>
      <c r="K18" s="56"/>
      <c r="L18" s="56">
        <f t="shared" si="2"/>
        <v>0</v>
      </c>
    </row>
    <row r="19" spans="2:12" x14ac:dyDescent="0.25">
      <c r="B19" s="56"/>
      <c r="C19" s="56"/>
      <c r="D19" s="56"/>
      <c r="E19" s="56">
        <f t="shared" si="0"/>
        <v>0</v>
      </c>
      <c r="F19" s="56" t="s">
        <v>310</v>
      </c>
      <c r="G19" s="56"/>
      <c r="H19" s="56"/>
      <c r="I19" s="56">
        <f t="shared" si="1"/>
        <v>0</v>
      </c>
      <c r="J19" s="56"/>
      <c r="K19" s="56"/>
      <c r="L19" s="56">
        <f t="shared" si="2"/>
        <v>0</v>
      </c>
    </row>
    <row r="20" spans="2:12" x14ac:dyDescent="0.25">
      <c r="B20" s="56"/>
      <c r="C20" s="56"/>
      <c r="D20" s="56"/>
      <c r="E20" s="56">
        <f t="shared" si="0"/>
        <v>0</v>
      </c>
      <c r="F20" s="56"/>
      <c r="G20" s="56"/>
      <c r="H20" s="56"/>
      <c r="I20" s="56">
        <f t="shared" si="1"/>
        <v>0</v>
      </c>
      <c r="J20" s="56"/>
      <c r="K20" s="56"/>
      <c r="L20" s="56">
        <f t="shared" si="2"/>
        <v>0</v>
      </c>
    </row>
    <row r="21" spans="2:12" x14ac:dyDescent="0.25">
      <c r="B21" s="56" t="s">
        <v>313</v>
      </c>
      <c r="C21" s="56"/>
      <c r="D21" s="56"/>
      <c r="E21" s="56">
        <f t="shared" si="0"/>
        <v>0</v>
      </c>
      <c r="F21" s="56" t="s">
        <v>308</v>
      </c>
      <c r="G21" s="56"/>
      <c r="H21" s="56"/>
      <c r="I21" s="56">
        <f t="shared" si="1"/>
        <v>0</v>
      </c>
      <c r="J21" s="56"/>
      <c r="K21" s="56"/>
      <c r="L21" s="56">
        <f t="shared" si="2"/>
        <v>0</v>
      </c>
    </row>
    <row r="22" spans="2:12" x14ac:dyDescent="0.25">
      <c r="B22" s="56"/>
      <c r="C22" s="56"/>
      <c r="D22" s="56"/>
      <c r="E22" s="56">
        <f t="shared" si="0"/>
        <v>0</v>
      </c>
      <c r="F22" s="56" t="s">
        <v>310</v>
      </c>
      <c r="G22" s="56"/>
      <c r="H22" s="56"/>
      <c r="I22" s="56">
        <f t="shared" si="1"/>
        <v>0</v>
      </c>
      <c r="J22" s="56"/>
      <c r="K22" s="56"/>
      <c r="L22" s="56">
        <f t="shared" si="2"/>
        <v>0</v>
      </c>
    </row>
    <row r="23" spans="2:12" x14ac:dyDescent="0.25">
      <c r="B23" s="56"/>
      <c r="C23" s="56"/>
      <c r="D23" s="56"/>
      <c r="E23" s="56">
        <f t="shared" si="0"/>
        <v>0</v>
      </c>
      <c r="F23" s="56"/>
      <c r="G23" s="56"/>
      <c r="H23" s="56"/>
      <c r="I23" s="56">
        <f t="shared" si="1"/>
        <v>0</v>
      </c>
      <c r="J23" s="56"/>
      <c r="K23" s="56"/>
      <c r="L23" s="56">
        <f t="shared" si="2"/>
        <v>0</v>
      </c>
    </row>
    <row r="24" spans="2:12" x14ac:dyDescent="0.25">
      <c r="B24" s="56" t="s">
        <v>314</v>
      </c>
      <c r="C24" s="56"/>
      <c r="D24" s="56"/>
      <c r="E24" s="56">
        <f t="shared" si="0"/>
        <v>0</v>
      </c>
      <c r="F24" s="56" t="s">
        <v>315</v>
      </c>
      <c r="G24" s="56"/>
      <c r="H24" s="56"/>
      <c r="I24" s="56">
        <f t="shared" si="1"/>
        <v>0</v>
      </c>
      <c r="J24" s="56"/>
      <c r="K24" s="56"/>
      <c r="L24" s="56">
        <f t="shared" si="2"/>
        <v>0</v>
      </c>
    </row>
    <row r="25" spans="2:12" x14ac:dyDescent="0.25">
      <c r="B25" s="56"/>
      <c r="C25" s="56"/>
      <c r="D25" s="56"/>
      <c r="E25" s="56">
        <f t="shared" ref="E25:E27" si="3">C25*D25</f>
        <v>0</v>
      </c>
      <c r="F25" s="56" t="s">
        <v>315</v>
      </c>
      <c r="G25" s="56"/>
      <c r="H25" s="56"/>
      <c r="I25" s="56">
        <f t="shared" ref="I25:I27" si="4">G25*H25</f>
        <v>0</v>
      </c>
      <c r="J25" s="56"/>
      <c r="K25" s="56"/>
      <c r="L25" s="56">
        <f t="shared" ref="L25:L27" si="5">J25*K25</f>
        <v>0</v>
      </c>
    </row>
    <row r="26" spans="2:12" x14ac:dyDescent="0.25">
      <c r="B26" s="56"/>
      <c r="C26" s="56"/>
      <c r="D26" s="56"/>
      <c r="E26" s="56">
        <f t="shared" si="3"/>
        <v>0</v>
      </c>
      <c r="F26" s="56" t="s">
        <v>315</v>
      </c>
      <c r="G26" s="56"/>
      <c r="H26" s="56"/>
      <c r="I26" s="56">
        <f t="shared" si="4"/>
        <v>0</v>
      </c>
      <c r="J26" s="56"/>
      <c r="K26" s="56"/>
      <c r="L26" s="56">
        <f t="shared" si="5"/>
        <v>0</v>
      </c>
    </row>
    <row r="27" spans="2:12" x14ac:dyDescent="0.25">
      <c r="B27" s="56"/>
      <c r="C27" s="56"/>
      <c r="D27" s="56"/>
      <c r="E27" s="56">
        <f t="shared" si="3"/>
        <v>0</v>
      </c>
      <c r="F27" s="56" t="s">
        <v>315</v>
      </c>
      <c r="G27" s="56"/>
      <c r="H27" s="56"/>
      <c r="I27" s="56">
        <f t="shared" si="4"/>
        <v>0</v>
      </c>
      <c r="J27" s="56"/>
      <c r="K27" s="56"/>
      <c r="L27" s="56">
        <f t="shared" si="5"/>
        <v>0</v>
      </c>
    </row>
    <row r="28" spans="2:12" x14ac:dyDescent="0.25">
      <c r="B28" s="56" t="s">
        <v>316</v>
      </c>
      <c r="C28" s="56"/>
      <c r="D28" s="56"/>
      <c r="E28" s="56">
        <f t="shared" si="0"/>
        <v>0</v>
      </c>
      <c r="F28" s="56" t="s">
        <v>315</v>
      </c>
      <c r="G28" s="56"/>
      <c r="H28" s="56"/>
      <c r="I28" s="56">
        <f t="shared" si="1"/>
        <v>0</v>
      </c>
      <c r="J28" s="56"/>
      <c r="K28" s="56"/>
      <c r="L28" s="56">
        <f t="shared" si="2"/>
        <v>0</v>
      </c>
    </row>
    <row r="29" spans="2:12" x14ac:dyDescent="0.25">
      <c r="B29" s="56" t="s">
        <v>317</v>
      </c>
      <c r="C29" s="56"/>
      <c r="D29" s="56"/>
      <c r="E29" s="56">
        <f t="shared" si="0"/>
        <v>0</v>
      </c>
      <c r="F29" s="56" t="s">
        <v>315</v>
      </c>
      <c r="G29" s="56"/>
      <c r="H29" s="56"/>
      <c r="I29" s="56">
        <f t="shared" si="1"/>
        <v>0</v>
      </c>
      <c r="J29" s="56"/>
      <c r="K29" s="56"/>
      <c r="L29" s="56">
        <f t="shared" si="2"/>
        <v>0</v>
      </c>
    </row>
    <row r="30" spans="2:12" x14ac:dyDescent="0.25">
      <c r="B30" s="56" t="s">
        <v>321</v>
      </c>
      <c r="C30" s="56"/>
      <c r="D30" s="56"/>
      <c r="E30" s="56">
        <f t="shared" si="0"/>
        <v>0</v>
      </c>
      <c r="F30" s="56"/>
      <c r="G30" s="56"/>
      <c r="H30" s="56"/>
      <c r="I30" s="56">
        <f t="shared" si="1"/>
        <v>0</v>
      </c>
      <c r="J30" s="56"/>
      <c r="K30" s="56"/>
      <c r="L30" s="56">
        <f t="shared" si="2"/>
        <v>0</v>
      </c>
    </row>
    <row r="31" spans="2:12" x14ac:dyDescent="0.25">
      <c r="B31" s="56"/>
      <c r="C31" s="56"/>
      <c r="D31" s="56"/>
      <c r="E31" s="56">
        <f t="shared" ref="E31:E32" si="6">C31*D31</f>
        <v>0</v>
      </c>
      <c r="F31" s="56"/>
      <c r="G31" s="56"/>
      <c r="H31" s="56"/>
      <c r="I31" s="56">
        <f t="shared" ref="I31:I32" si="7">G31*H31</f>
        <v>0</v>
      </c>
      <c r="J31" s="56"/>
      <c r="K31" s="56"/>
      <c r="L31" s="56">
        <f t="shared" ref="L31:L32" si="8">J31*K31</f>
        <v>0</v>
      </c>
    </row>
    <row r="32" spans="2:12" x14ac:dyDescent="0.25">
      <c r="B32" s="56"/>
      <c r="C32" s="56"/>
      <c r="D32" s="56"/>
      <c r="E32" s="56">
        <f t="shared" si="6"/>
        <v>0</v>
      </c>
      <c r="F32" s="56"/>
      <c r="G32" s="56"/>
      <c r="H32" s="56"/>
      <c r="I32" s="56">
        <f t="shared" si="7"/>
        <v>0</v>
      </c>
      <c r="J32" s="56"/>
      <c r="K32" s="56"/>
      <c r="L32" s="56">
        <f t="shared" si="8"/>
        <v>0</v>
      </c>
    </row>
    <row r="33" spans="2:12" x14ac:dyDescent="0.25">
      <c r="B33" s="56" t="s">
        <v>318</v>
      </c>
      <c r="C33" s="56"/>
      <c r="D33" s="56"/>
      <c r="E33" s="56">
        <f t="shared" si="0"/>
        <v>0</v>
      </c>
      <c r="F33" s="56"/>
      <c r="G33" s="56"/>
      <c r="H33" s="56"/>
      <c r="I33" s="56">
        <f t="shared" si="1"/>
        <v>0</v>
      </c>
      <c r="J33" s="56"/>
      <c r="K33" s="56"/>
      <c r="L33" s="56">
        <f t="shared" si="2"/>
        <v>0</v>
      </c>
    </row>
    <row r="34" spans="2:12" x14ac:dyDescent="0.25">
      <c r="B34" s="56" t="s">
        <v>322</v>
      </c>
      <c r="C34" s="56"/>
      <c r="D34" s="56"/>
      <c r="E34" s="56">
        <f t="shared" si="0"/>
        <v>0</v>
      </c>
      <c r="F34" s="56"/>
      <c r="G34" s="56"/>
      <c r="H34" s="56"/>
      <c r="I34" s="56">
        <f t="shared" si="1"/>
        <v>0</v>
      </c>
      <c r="J34" s="56"/>
      <c r="K34" s="56"/>
      <c r="L34" s="56">
        <f t="shared" si="2"/>
        <v>0</v>
      </c>
    </row>
    <row r="35" spans="2:12" x14ac:dyDescent="0.25">
      <c r="B35" s="56" t="s">
        <v>319</v>
      </c>
      <c r="C35" s="56"/>
      <c r="D35" s="56"/>
      <c r="E35" s="56">
        <f t="shared" si="0"/>
        <v>0</v>
      </c>
      <c r="F35" s="56"/>
      <c r="G35" s="56"/>
      <c r="H35" s="56"/>
      <c r="I35" s="56">
        <f t="shared" si="1"/>
        <v>0</v>
      </c>
      <c r="J35" s="56"/>
      <c r="K35" s="56"/>
      <c r="L35" s="56">
        <f t="shared" si="2"/>
        <v>0</v>
      </c>
    </row>
    <row r="36" spans="2:12" x14ac:dyDescent="0.25">
      <c r="B36" s="56" t="s">
        <v>320</v>
      </c>
      <c r="C36" s="56"/>
      <c r="D36" s="56"/>
      <c r="E36" s="56">
        <f t="shared" si="0"/>
        <v>0</v>
      </c>
      <c r="F36" s="56"/>
      <c r="G36" s="56"/>
      <c r="H36" s="56"/>
      <c r="I36" s="56">
        <f>G36*H36</f>
        <v>0</v>
      </c>
      <c r="J36" s="56"/>
      <c r="K36" s="56"/>
      <c r="L36" s="56">
        <f>J36*K36</f>
        <v>0</v>
      </c>
    </row>
    <row r="37" spans="2:12" x14ac:dyDescent="0.25">
      <c r="B37" s="56"/>
      <c r="C37" s="56"/>
      <c r="D37" s="56"/>
      <c r="E37" s="56">
        <f t="shared" ref="E37:E38" si="9">C37*D37</f>
        <v>0</v>
      </c>
      <c r="F37" s="56"/>
      <c r="G37" s="56"/>
      <c r="H37" s="56"/>
      <c r="I37" s="56">
        <f t="shared" ref="I37:I38" si="10">G37*H37</f>
        <v>0</v>
      </c>
      <c r="J37" s="56"/>
      <c r="K37" s="56"/>
      <c r="L37" s="56">
        <f t="shared" ref="L37:L38" si="11">J37*K37</f>
        <v>0</v>
      </c>
    </row>
    <row r="38" spans="2:12" x14ac:dyDescent="0.25">
      <c r="B38" s="56" t="s">
        <v>323</v>
      </c>
      <c r="C38" s="56"/>
      <c r="D38" s="56"/>
      <c r="E38" s="56">
        <f t="shared" si="9"/>
        <v>0</v>
      </c>
      <c r="F38" s="56"/>
      <c r="G38" s="56"/>
      <c r="H38" s="56"/>
      <c r="I38" s="56">
        <f t="shared" si="10"/>
        <v>0</v>
      </c>
      <c r="J38" s="56"/>
      <c r="K38" s="56"/>
      <c r="L38" s="56">
        <f t="shared" si="11"/>
        <v>0</v>
      </c>
    </row>
    <row r="39" spans="2:12" x14ac:dyDescent="0.25">
      <c r="B39" s="56"/>
      <c r="C39" s="56"/>
      <c r="D39" s="56"/>
      <c r="E39" s="56">
        <f t="shared" si="0"/>
        <v>0</v>
      </c>
      <c r="F39" s="56"/>
      <c r="G39" s="56"/>
      <c r="H39" s="56"/>
      <c r="I39" s="56">
        <f>G39*H39</f>
        <v>0</v>
      </c>
      <c r="J39" s="56"/>
      <c r="K39" s="56"/>
      <c r="L39" s="56">
        <f>J39*K39</f>
        <v>0</v>
      </c>
    </row>
    <row r="40" spans="2:12" x14ac:dyDescent="0.25">
      <c r="B40" s="56"/>
      <c r="C40" s="56"/>
      <c r="D40" s="56"/>
      <c r="E40" s="56">
        <f t="shared" si="0"/>
        <v>0</v>
      </c>
      <c r="F40" s="56"/>
      <c r="G40" s="56"/>
      <c r="H40" s="56"/>
      <c r="I40" s="56">
        <f>G40*H40</f>
        <v>0</v>
      </c>
      <c r="J40" s="56"/>
      <c r="K40" s="56"/>
      <c r="L40" s="56">
        <f>J40*K40</f>
        <v>0</v>
      </c>
    </row>
    <row r="41" spans="2:12" x14ac:dyDescent="0.25">
      <c r="B41" s="56"/>
      <c r="C41" s="56"/>
      <c r="D41" s="56"/>
      <c r="E41" s="56">
        <f t="shared" si="0"/>
        <v>0</v>
      </c>
      <c r="F41" s="56"/>
      <c r="G41" s="56"/>
      <c r="H41" s="56"/>
      <c r="I41" s="56">
        <f>G41*H41</f>
        <v>0</v>
      </c>
      <c r="J41" s="56"/>
      <c r="K41" s="56"/>
      <c r="L41" s="56">
        <f>J41*K41</f>
        <v>0</v>
      </c>
    </row>
    <row r="42" spans="2:12" x14ac:dyDescent="0.25">
      <c r="B42" s="56" t="s">
        <v>148</v>
      </c>
      <c r="C42" s="56"/>
      <c r="D42" s="56">
        <f>E42*10.764</f>
        <v>0</v>
      </c>
      <c r="E42" s="78">
        <f>SUM(E6:E41)</f>
        <v>0</v>
      </c>
      <c r="F42" s="56"/>
      <c r="G42" s="56"/>
      <c r="H42" s="56">
        <f>I42*10.764</f>
        <v>0</v>
      </c>
      <c r="I42" s="77">
        <f>SUM(I6:I41)</f>
        <v>0</v>
      </c>
      <c r="J42" s="56"/>
      <c r="K42" s="56">
        <f>L42*10.764</f>
        <v>0</v>
      </c>
      <c r="L42" s="76">
        <f>SUM(L6:L41)</f>
        <v>0</v>
      </c>
    </row>
    <row r="44" spans="2:12" x14ac:dyDescent="0.25">
      <c r="D44" s="55">
        <f>D42+H42</f>
        <v>0</v>
      </c>
      <c r="E44" s="55">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2025-09-15T11:24:36Z</cp:lastPrinted>
  <dcterms:created xsi:type="dcterms:W3CDTF">2019-07-16T09:29:46Z</dcterms:created>
  <dcterms:modified xsi:type="dcterms:W3CDTF">2025-09-15T11:28:03Z</dcterms:modified>
</cp:coreProperties>
</file>