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62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6" i="1" l="1"/>
  <c r="G96" i="1" l="1"/>
  <c r="G134" i="1"/>
  <c r="E134" i="1"/>
  <c r="D134" i="1"/>
  <c r="F134" i="1" s="1"/>
  <c r="H134" i="1" s="1"/>
  <c r="G100" i="1" s="1"/>
  <c r="E133" i="1"/>
  <c r="D133" i="1"/>
  <c r="F133" i="1" s="1"/>
  <c r="E132" i="1"/>
  <c r="D132" i="1"/>
  <c r="F132" i="1" s="1"/>
  <c r="E131" i="1"/>
  <c r="D131" i="1"/>
  <c r="E129" i="1"/>
  <c r="D129" i="1"/>
  <c r="F129" i="1" s="1"/>
  <c r="E128" i="1"/>
  <c r="D128" i="1"/>
  <c r="E127" i="1"/>
  <c r="D127" i="1"/>
  <c r="E126" i="1"/>
  <c r="D126" i="1"/>
  <c r="E124" i="1"/>
  <c r="D124" i="1"/>
  <c r="F124" i="1" s="1"/>
  <c r="E123" i="1"/>
  <c r="D123" i="1"/>
  <c r="E122" i="1"/>
  <c r="D122" i="1"/>
  <c r="E121" i="1"/>
  <c r="D121" i="1"/>
  <c r="G116" i="1"/>
  <c r="E119" i="1"/>
  <c r="D119" i="1"/>
  <c r="E118" i="1"/>
  <c r="D118" i="1"/>
  <c r="E117" i="1"/>
  <c r="D117" i="1"/>
  <c r="E116" i="1"/>
  <c r="D116" i="1"/>
  <c r="F116" i="1" s="1"/>
  <c r="A132" i="1"/>
  <c r="A133" i="1" s="1"/>
  <c r="A134" i="1" s="1"/>
  <c r="A127" i="1"/>
  <c r="A128" i="1" s="1"/>
  <c r="A129" i="1" s="1"/>
  <c r="A122" i="1"/>
  <c r="A123" i="1" s="1"/>
  <c r="A124" i="1" s="1"/>
  <c r="F131" i="1" l="1"/>
  <c r="F128" i="1"/>
  <c r="F127" i="1"/>
  <c r="F126" i="1"/>
  <c r="F123" i="1"/>
  <c r="F122" i="1"/>
  <c r="F121" i="1"/>
  <c r="J116" i="1"/>
  <c r="I116" i="1"/>
  <c r="F119" i="1"/>
  <c r="A117" i="1"/>
  <c r="A118" i="1" s="1"/>
  <c r="A119" i="1" s="1"/>
  <c r="F118" i="1" l="1"/>
  <c r="F117" i="1"/>
  <c r="L141" i="1"/>
  <c r="G137" i="1"/>
  <c r="C100" i="1" l="1"/>
  <c r="E100" i="1"/>
  <c r="G136" i="1"/>
  <c r="I136" i="1"/>
  <c r="J82" i="1" l="1"/>
  <c r="K146" i="1"/>
  <c r="M82" i="1" s="1"/>
  <c r="I82" i="1" l="1"/>
  <c r="E148" i="1"/>
  <c r="D148" i="1"/>
  <c r="E147" i="1"/>
  <c r="D147" i="1"/>
  <c r="E146" i="1"/>
  <c r="D146" i="1"/>
  <c r="E144" i="1"/>
  <c r="D144" i="1"/>
  <c r="E143" i="1"/>
  <c r="D143" i="1"/>
  <c r="E142" i="1"/>
  <c r="D142" i="1"/>
  <c r="E141" i="1"/>
  <c r="D141" i="1"/>
  <c r="E138" i="1"/>
  <c r="D138" i="1"/>
  <c r="E137" i="1"/>
  <c r="D137" i="1"/>
  <c r="E136" i="1"/>
  <c r="D136" i="1"/>
  <c r="D111" i="1"/>
  <c r="D110" i="1"/>
  <c r="D109" i="1"/>
  <c r="D108" i="1"/>
  <c r="C96" i="1" l="1"/>
  <c r="C97" i="1" s="1"/>
  <c r="C101" i="1"/>
  <c r="I108" i="1"/>
  <c r="F148" i="1"/>
  <c r="F147" i="1"/>
  <c r="F146" i="1"/>
  <c r="F144" i="1"/>
  <c r="K144" i="1" s="1"/>
  <c r="F142" i="1"/>
  <c r="K142" i="1" s="1"/>
  <c r="F138" i="1"/>
  <c r="K138" i="1" s="1"/>
  <c r="F137" i="1"/>
  <c r="K137" i="1" s="1"/>
  <c r="A147" i="1"/>
  <c r="A148" i="1" s="1"/>
  <c r="A149" i="1" s="1"/>
  <c r="F143" i="1"/>
  <c r="K143" i="1" s="1"/>
  <c r="A142" i="1"/>
  <c r="A143" i="1" s="1"/>
  <c r="A144" i="1" s="1"/>
  <c r="F141" i="1"/>
  <c r="K141" i="1" s="1"/>
  <c r="A137" i="1"/>
  <c r="A138" i="1" s="1"/>
  <c r="A139" i="1" s="1"/>
  <c r="I43" i="1"/>
  <c r="F136" i="1" l="1"/>
  <c r="K136" i="1" s="1"/>
  <c r="S33" i="1"/>
  <c r="E101" i="1" l="1"/>
  <c r="G101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3" i="1"/>
  <c r="B182" i="1"/>
  <c r="B181" i="1"/>
  <c r="F178" i="1"/>
  <c r="H178" i="1" s="1"/>
  <c r="F177" i="1"/>
  <c r="H177" i="1" s="1"/>
  <c r="F176" i="1"/>
  <c r="H176" i="1" s="1"/>
  <c r="F175" i="1"/>
  <c r="H175" i="1" s="1"/>
  <c r="F174" i="1"/>
  <c r="H174" i="1" s="1"/>
  <c r="F172" i="1"/>
  <c r="H172" i="1" s="1"/>
  <c r="F171" i="1"/>
  <c r="H171" i="1" s="1"/>
  <c r="F170" i="1"/>
  <c r="H170" i="1" s="1"/>
  <c r="F169" i="1"/>
  <c r="H169" i="1" s="1"/>
  <c r="F168" i="1"/>
  <c r="H168" i="1" s="1"/>
  <c r="F166" i="1"/>
  <c r="H166" i="1" s="1"/>
  <c r="F165" i="1"/>
  <c r="H165" i="1" s="1"/>
  <c r="F164" i="1"/>
  <c r="H164" i="1" s="1"/>
  <c r="F163" i="1"/>
  <c r="H163" i="1" s="1"/>
  <c r="F162" i="1"/>
  <c r="H162" i="1" s="1"/>
  <c r="F160" i="1"/>
  <c r="H160" i="1" s="1"/>
  <c r="F159" i="1"/>
  <c r="H159" i="1" s="1"/>
  <c r="F158" i="1"/>
  <c r="H158" i="1" s="1"/>
  <c r="F157" i="1"/>
  <c r="H157" i="1" s="1"/>
  <c r="F156" i="1"/>
  <c r="H156" i="1" s="1"/>
  <c r="A156" i="1"/>
  <c r="A157" i="1" s="1"/>
  <c r="A158" i="1" s="1"/>
  <c r="A159" i="1" s="1"/>
  <c r="A160" i="1" s="1"/>
  <c r="F154" i="1"/>
  <c r="H154" i="1" s="1"/>
  <c r="F153" i="1"/>
  <c r="H153" i="1" s="1"/>
  <c r="F152" i="1"/>
  <c r="H152" i="1" s="1"/>
  <c r="A152" i="1"/>
  <c r="A153" i="1" s="1"/>
  <c r="A154" i="1" s="1"/>
  <c r="F151" i="1"/>
  <c r="H151" i="1" s="1"/>
  <c r="F111" i="1"/>
  <c r="K111" i="1" s="1"/>
  <c r="F110" i="1"/>
  <c r="K110" i="1" s="1"/>
  <c r="F109" i="1"/>
  <c r="K109" i="1" s="1"/>
  <c r="A109" i="1"/>
  <c r="A110" i="1" s="1"/>
  <c r="A111" i="1" s="1"/>
  <c r="F108" i="1"/>
  <c r="C102" i="1"/>
  <c r="F93" i="1"/>
  <c r="C67" i="1"/>
  <c r="D61" i="1"/>
  <c r="D56" i="1"/>
  <c r="G51" i="1"/>
  <c r="C51" i="1"/>
  <c r="E44" i="1"/>
  <c r="E45" i="1" s="1"/>
  <c r="E31" i="1"/>
  <c r="E28" i="1"/>
  <c r="E26" i="1"/>
  <c r="C16" i="1"/>
  <c r="I15" i="1"/>
  <c r="Z13" i="1"/>
  <c r="E8" i="1"/>
  <c r="E3" i="1"/>
  <c r="H68" i="1"/>
  <c r="A168" i="1"/>
  <c r="A174" i="1"/>
  <c r="A162" i="1"/>
  <c r="E96" i="1" l="1"/>
  <c r="E97" i="1" s="1"/>
  <c r="E102" i="1" s="1"/>
  <c r="K108" i="1"/>
  <c r="G97" i="1"/>
  <c r="G102" i="1" s="1"/>
  <c r="J67" i="1"/>
  <c r="J69" i="1" s="1"/>
  <c r="J70" i="1"/>
  <c r="J71" i="1"/>
  <c r="J72" i="1"/>
  <c r="C71" i="1" s="1"/>
  <c r="D75" i="1"/>
  <c r="D77" i="1"/>
  <c r="D76" i="1"/>
  <c r="D80" i="1"/>
  <c r="D74" i="1"/>
  <c r="D79" i="1"/>
  <c r="D73" i="1"/>
  <c r="D78" i="1"/>
  <c r="B68" i="1"/>
  <c r="J73" i="1" s="1"/>
  <c r="A175" i="1"/>
  <c r="A163" i="1"/>
  <c r="A169" i="1"/>
  <c r="D71" i="1" l="1"/>
  <c r="J77" i="1"/>
  <c r="J75" i="1"/>
  <c r="J76" i="1"/>
  <c r="J74" i="1"/>
  <c r="J79" i="1" s="1"/>
  <c r="J80" i="1" s="1"/>
  <c r="C72" i="1" s="1"/>
  <c r="J78" i="1"/>
  <c r="A170" i="1"/>
  <c r="A176" i="1"/>
  <c r="A164" i="1"/>
  <c r="J68" i="1" l="1"/>
  <c r="E71" i="1"/>
  <c r="D72" i="1"/>
  <c r="I68" i="1" s="1"/>
  <c r="G71" i="1"/>
  <c r="D65" i="1" s="1"/>
  <c r="A177" i="1"/>
  <c r="A165" i="1"/>
  <c r="A171" i="1"/>
  <c r="F66" i="1" l="1"/>
  <c r="D66" i="1"/>
  <c r="I69" i="1"/>
  <c r="I67" i="1" s="1"/>
  <c r="C69" i="1" s="1"/>
  <c r="A172" i="1"/>
  <c r="A178" i="1"/>
  <c r="A166" i="1"/>
</calcChain>
</file>

<file path=xl/comments1.xml><?xml version="1.0" encoding="utf-8"?>
<comments xmlns="http://schemas.openxmlformats.org/spreadsheetml/2006/main">
  <authors>
    <author>Sachin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6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<sst xmlns="http://schemas.openxmlformats.org/spreadsheetml/2006/main" count="529" uniqueCount="337">
  <si>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</si>
  <si>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</si>
  <si>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</si>
  <si>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</si>
  <si>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</si>
  <si>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</si>
  <si>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</si>
  <si>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</si>
  <si>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</si>
  <si>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</si>
  <si>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</si>
  <si>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</si>
  <si>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</si>
  <si>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</si>
  <si>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</si>
  <si>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</si>
  <si>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</si>
  <si>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</si>
  <si>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</si>
  <si>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</si>
  <si>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</si>
  <si>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</si>
  <si>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</si>
  <si>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</si>
  <si>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</si>
  <si>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</si>
  <si>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</si>
  <si>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</si>
  <si>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</si>
  <si>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</si>
  <si>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</si>
  <si>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</si>
  <si>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</si>
  <si>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</si>
  <si>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</si>
  <si>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</si>
  <si>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</si>
  <si>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</si>
  <si>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</si>
  <si>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</si>
  <si>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</si>
  <si>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</si>
  <si>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</si>
  <si>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</si>
  <si>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</si>
  <si>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</si>
  <si>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</si>
  <si>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</si>
  <si>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</si>
  <si>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</si>
  <si>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</si>
  <si>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</si>
  <si>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</si>
  <si>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</si>
  <si>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</si>
  <si>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</si>
  <si>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</si>
  <si>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</si>
  <si>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</si>
  <si>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</si>
  <si>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</si>
  <si>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</si>
  <si>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</si>
  <si>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</si>
  <si>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</si>
  <si>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</si>
  <si>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</si>
  <si>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</si>
  <si>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</si>
  <si>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</si>
  <si>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</si>
  <si>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</si>
  <si>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</si>
  <si>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</si>
  <si>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</si>
  <si>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</si>
  <si>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</si>
  <si>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</si>
  <si>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</si>
  <si>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</si>
  <si>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</si>
  <si>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</si>
  <si>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</si>
  <si>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</si>
  <si>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</si>
  <si>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</si>
  <si>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</si>
  <si>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</si>
  <si>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</si>
  <si>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</si>
  <si>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</si>
  <si>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</si>
  <si>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</si>
  <si>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</si>
  <si>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</si>
  <si>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</si>
  <si>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</si>
  <si>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</si>
  <si>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</si>
  <si>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</si>
  <si>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</si>
  <si>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</si>
  <si>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</si>
  <si>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</si>
  <si>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</si>
  <si>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</si>
  <si>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</si>
  <si>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</si>
  <si>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</si>
  <si>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</si>
  <si>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</si>
  <si>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</si>
  <si>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</si>
  <si>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</si>
  <si>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</si>
  <si>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</si>
  <si>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</si>
  <si>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</si>
  <si>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</si>
  <si>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</si>
  <si>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</si>
  <si>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</si>
  <si>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</si>
  <si>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</si>
  <si>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</si>
  <si>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</si>
  <si>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</si>
  <si>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</si>
  <si>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</si>
  <si>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</si>
  <si>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</si>
  <si>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</si>
  <si>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</si>
  <si>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</si>
  <si>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</si>
  <si>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</si>
  <si>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</si>
  <si>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</si>
  <si>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</si>
  <si>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</si>
  <si>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</si>
  <si>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</si>
  <si>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</si>
  <si>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</si>
  <si>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</si>
  <si>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</si>
  <si>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</si>
  <si>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</si>
  <si>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</si>
  <si>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</si>
  <si>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</si>
  <si>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</si>
  <si>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</si>
  <si>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</si>
  <si>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</si>
  <si>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</si>
  <si>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</si>
  <si>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</si>
  <si>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</si>
  <si>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</si>
  <si>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</si>
  <si>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</si>
  <si>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</si>
  <si>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</si>
  <si>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</si>
  <si>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</si>
  <si>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</si>
  <si>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</si>
  <si>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</si>
  <si>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</si>
  <si>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</si>
  <si>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</si>
  <si>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</si>
  <si>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</si>
  <si>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</si>
  <si>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</si>
  <si>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</si>
  <si>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</si>
  <si>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</si>
  <si>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</si>
  <si>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</si>
  <si>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</si>
  <si>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</si>
  <si>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</si>
  <si>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</si>
  <si>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</si>
  <si>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</si>
  <si>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</si>
  <si>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</si>
  <si>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</si>
  <si>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</si>
  <si>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</si>
  <si>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</si>
  <si>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</si>
  <si>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</si>
  <si>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</si>
  <si>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</si>
  <si>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</si>
  <si>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</si>
  <si>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</si>
  <si>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</si>
  <si>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</si>
  <si>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</si>
  <si>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</si>
  <si>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</si>
  <si>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</si>
  <si>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</si>
  <si>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</si>
  <si>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</si>
  <si>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</si>
  <si>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</si>
  <si>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</si>
  <si>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</si>
  <si>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</si>
  <si>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</si>
  <si>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</si>
  <si>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</si>
  <si>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</si>
  <si>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</si>
  <si>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</si>
  <si>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</si>
  <si>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</si>
  <si>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</si>
  <si>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</si>
  <si>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</si>
  <si>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</si>
  <si>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</si>
  <si>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</si>
  <si>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</si>
  <si>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</si>
  <si>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</si>
  <si>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Carpet area</t>
  </si>
  <si>
    <t>Bank Name:</t>
  </si>
  <si>
    <t>Axis Bank</t>
  </si>
  <si>
    <t>Branch</t>
  </si>
  <si>
    <t>Bank</t>
  </si>
  <si>
    <t>Cent Bank</t>
  </si>
  <si>
    <t>Indiabulls Housing Finance Ltd</t>
  </si>
  <si>
    <t>PNB Housing Finance Limited</t>
  </si>
  <si>
    <t>ABFHL</t>
  </si>
  <si>
    <t>Axis Thane</t>
  </si>
  <si>
    <t>Axis Sanpada</t>
  </si>
  <si>
    <t>Axis Badlapur</t>
  </si>
  <si>
    <t>PNB Thane</t>
  </si>
  <si>
    <t>PNB Borivali</t>
  </si>
  <si>
    <t>Cent Kalyan</t>
  </si>
  <si>
    <t>Cent Belapur</t>
  </si>
  <si>
    <t>IBHF Kalyan</t>
  </si>
  <si>
    <t>IBHF Badlapur</t>
  </si>
  <si>
    <t>IBHF Vashi</t>
  </si>
  <si>
    <t>IBHF Thane</t>
  </si>
  <si>
    <t>IBHF Andheri</t>
  </si>
  <si>
    <t>Authorites</t>
  </si>
  <si>
    <t>Slum Rehabilitation Authority (SRA)</t>
  </si>
  <si>
    <t>Municipal Corporation of Greater Mumbai (MCGM)</t>
  </si>
  <si>
    <t>Maharashtra Housing and Area Development Authority(MHADA)</t>
  </si>
  <si>
    <t>Mumbai Metropolitan Region Development Authority (MMRDA)</t>
  </si>
  <si>
    <t>Maharashtra State Road Development Corporation Limited (MSRDC)</t>
  </si>
  <si>
    <t>Navi Mumbai Municipal Corporation (NMMC)</t>
  </si>
  <si>
    <t>Thane Muncipal Cooperation (TMC)</t>
  </si>
  <si>
    <t>Kalyan Dombivli Municipal Corporation (KMDC)</t>
  </si>
  <si>
    <t>Kulgoan Badlapur Municipal Council</t>
  </si>
  <si>
    <t>Town Planning Thane</t>
  </si>
  <si>
    <t>Ambernath Municipal Council (AMC)</t>
  </si>
  <si>
    <t>Ulhasnagar Municipal Corporation</t>
  </si>
  <si>
    <t>Nagar Rachana Ani Mulya Nirdharan Vibhag Thane</t>
  </si>
  <si>
    <t>Bhiwandi Nizampur City Municipal Corporation</t>
  </si>
  <si>
    <t>City and Industrial Development Corporation (CIDCO)</t>
  </si>
  <si>
    <t>Maharashtra Industrial Development Corporation (MIDC)</t>
  </si>
  <si>
    <t>Panvel Municipal Corporation</t>
  </si>
  <si>
    <t>Navi Mumbai Airport Influence Notified Area (NAINA)</t>
  </si>
  <si>
    <t>Pen Municipal Council</t>
  </si>
  <si>
    <t>Raigad Zilha Parishad</t>
  </si>
  <si>
    <t>Roha Municipal Council</t>
  </si>
  <si>
    <t>Vasai-Virar City Municipal Corporation. (VVCMC)</t>
  </si>
  <si>
    <t>Collector Of Palghar</t>
  </si>
  <si>
    <t>Town Planner, Palghar</t>
  </si>
  <si>
    <t>Mira-Bhayandar Municipal Corporation</t>
  </si>
  <si>
    <t>Documents Provided</t>
  </si>
  <si>
    <t>Does the boundaries at site match, as mentioned in the Documentation: NA</t>
  </si>
  <si>
    <t>Mahashakti Developers</t>
  </si>
  <si>
    <t>Zenisha Corner</t>
  </si>
  <si>
    <t>Mukesh : 8108551361</t>
  </si>
  <si>
    <t>P52000052354</t>
  </si>
  <si>
    <t>City and Industrial Development Corporation of Maharashtra (CIDCO)</t>
  </si>
  <si>
    <t>As per RERA - 31/12/2026</t>
  </si>
  <si>
    <t>Ground Floor for Commercial &amp; Parking</t>
  </si>
  <si>
    <t>Shop</t>
  </si>
  <si>
    <t>1st Floor for Residential</t>
  </si>
  <si>
    <t>1BHK</t>
  </si>
  <si>
    <t>Void Area</t>
  </si>
  <si>
    <t>2nd, 3rd &amp; 4th Floor</t>
  </si>
  <si>
    <t>5th Floor (Part Terrace Area)</t>
  </si>
  <si>
    <t>Terrace Area</t>
  </si>
  <si>
    <t>Flats</t>
  </si>
  <si>
    <t>Balcony Area</t>
  </si>
  <si>
    <t>Gr/Stilt + 1st to 7th Floor</t>
  </si>
  <si>
    <t>https://maps.app.goo.gl/XqKwRNuht9iQxjrT6</t>
  </si>
  <si>
    <t>18.9825521,73.0972427</t>
  </si>
  <si>
    <t>Plot No</t>
  </si>
  <si>
    <t>Pushpak</t>
  </si>
  <si>
    <t>3.3 KM from Panvel Railway Station</t>
  </si>
  <si>
    <t>Shree Residency</t>
  </si>
  <si>
    <t>Internal Road</t>
  </si>
  <si>
    <t>Karanjade</t>
  </si>
  <si>
    <t>Naama Apartment</t>
  </si>
  <si>
    <t>9 M Wide Road</t>
  </si>
  <si>
    <t>Plot No.54A</t>
  </si>
  <si>
    <t>11 M Wide Road</t>
  </si>
  <si>
    <t>Plot No.54</t>
  </si>
  <si>
    <t xml:space="preserve">Commencement-CC No
Valid Up to: </t>
  </si>
  <si>
    <t>Car Parking, Security access, Fire fighting system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</si>
  <si>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</si>
  <si>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Builder Saleable area :</t>
  </si>
  <si>
    <t>Builder Saleable area:</t>
  </si>
  <si>
    <t>Approved Plans, CC, Builder Saleable Area, Cost Sheet</t>
  </si>
  <si>
    <t>Society Registration Charges</t>
  </si>
  <si>
    <t>Online</t>
  </si>
  <si>
    <t>MIS</t>
  </si>
  <si>
    <t>visitor</t>
  </si>
  <si>
    <t>cost sheet</t>
  </si>
  <si>
    <t>We refer approved floor plans from Rera.</t>
  </si>
  <si>
    <t>Panvel west</t>
  </si>
  <si>
    <t>Attached Otla area</t>
  </si>
  <si>
    <t>CIDCO/BP-18506/TPO(NM &amp; K)/2023/12496</t>
  </si>
  <si>
    <t>Construction work is in process at the time of Visit.</t>
  </si>
  <si>
    <t>2nd to 4th Floor</t>
  </si>
  <si>
    <t>5th &amp; 6th Floor</t>
  </si>
  <si>
    <t>7th Floor</t>
  </si>
  <si>
    <t>1RK</t>
  </si>
  <si>
    <t>We considered Gross carpet area = Net carpet + Enclose balcony + Balcony Area + Chajja Area.</t>
  </si>
  <si>
    <t>Flats - 28, Shops - 4</t>
  </si>
  <si>
    <t>Gr/Stilt + 1st to 7th Floor
Total Built Up Area = 1173.04 Sq.M.</t>
  </si>
  <si>
    <t>55, Sector R1</t>
  </si>
  <si>
    <t>We have updated latest approved floor plans &amp; CC(On 20/12/2024).</t>
  </si>
  <si>
    <t>Ravindra vishwakarma</t>
  </si>
  <si>
    <t>Pranita Mhatre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</si>
</sst>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1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9" fontId="17" fillId="0" borderId="15" xfId="8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9" fontId="13" fillId="0" borderId="15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64" fontId="7" fillId="0" borderId="0" xfId="1" applyNumberFormat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12" fillId="0" borderId="7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31" fillId="0" borderId="2" xfId="1" applyNumberFormat="1" applyFont="1" applyBorder="1" applyAlignment="1" applyProtection="1">
      <alignment horizontal="center" vertical="top" wrapText="1"/>
      <protection locked="0"/>
    </xf>
    <xf numFmtId="1" fontId="31" fillId="0" borderId="15" xfId="1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8" fillId="2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1" fontId="10" fillId="0" borderId="32" xfId="0" applyNumberFormat="1" applyFont="1" applyBorder="1" applyAlignment="1" applyProtection="1">
      <alignment horizontal="center" vertical="top" wrapText="1"/>
      <protection locked="0"/>
    </xf>
    <xf numFmtId="0" fontId="7" fillId="0" borderId="2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3" fillId="0" borderId="1" xfId="1" applyFont="1" applyBorder="1" applyAlignment="1" applyProtection="1">
      <alignment horizontal="center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jpeg"/><Relationship Id="rId1" Type="http://schemas.openxmlformats.org/officeDocument/2006/relationships/image" Target="../media/image26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488950</xdr:colOff>
      <xdr:row>306</xdr:row>
      <xdr:rowOff>150400</xdr:rowOff>
    </xdr:from>
    <xdr:to>
      <xdr:col>7</xdr:col>
      <xdr:colOff>296015</xdr:colOff>
      <xdr:row>327</xdr:row>
      <xdr:rowOff>24880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8950" y="53553900"/>
          <a:ext cx="5661765" cy="40083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133525</xdr:colOff>
      <xdr:row>289</xdr:row>
      <xdr:rowOff>152400</xdr:rowOff>
    </xdr:from>
    <xdr:to>
      <xdr:col>6</xdr:col>
      <xdr:colOff>619692</xdr:colOff>
      <xdr:row>305</xdr:row>
      <xdr:rowOff>159359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3625" y="50209450"/>
          <a:ext cx="4772417" cy="315655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135437</xdr:colOff>
      <xdr:row>263</xdr:row>
      <xdr:rowOff>136483</xdr:rowOff>
    </xdr:from>
    <xdr:to>
      <xdr:col>5</xdr:col>
      <xdr:colOff>650049</xdr:colOff>
      <xdr:row>278</xdr:row>
      <xdr:rowOff>64718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73737" y="44878583"/>
          <a:ext cx="3181612" cy="28809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666750</xdr:colOff>
      <xdr:row>246</xdr:row>
      <xdr:rowOff>114300</xdr:rowOff>
    </xdr:from>
    <xdr:to>
      <xdr:col>6</xdr:col>
      <xdr:colOff>175886</xdr:colOff>
      <xdr:row>262</xdr:row>
      <xdr:rowOff>108733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66850" y="41509950"/>
          <a:ext cx="3795386" cy="31440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666750</xdr:colOff>
      <xdr:row>260</xdr:row>
      <xdr:rowOff>158750</xdr:rowOff>
    </xdr:from>
    <xdr:to>
      <xdr:col>2</xdr:col>
      <xdr:colOff>548550</xdr:colOff>
      <xdr:row>262</xdr:row>
      <xdr:rowOff>105815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66850" y="44310300"/>
          <a:ext cx="720000" cy="34076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1006289</xdr:colOff>
      <xdr:row>202</xdr:row>
      <xdr:rowOff>89085</xdr:rowOff>
    </xdr:from>
    <xdr:to>
      <xdr:col>16</xdr:col>
      <xdr:colOff>102534</xdr:colOff>
      <xdr:row>242</xdr:row>
      <xdr:rowOff>144061</xdr:rowOff>
    </xdr:to>
    <xdr:grpSp>
      <xdr:nvGrpSpPr>
        <xdr:cNvPr id="2" name="Group 1"/>
        <xdr:cNvGrpSpPr/>
      </xdr:nvGrpSpPr>
      <xdr:grpSpPr>
        <a:xfrm>
          <a:off x="7315201" y="33079203"/>
          <a:ext cx="5875804" cy="8112005"/>
          <a:chOff x="266701" y="33023174"/>
          <a:chExt cx="5876925" cy="8046451"/>
        </a:xfrm>
      </xdr:grpSpPr>
      <xdr:pic>
        <xdr:nvPicPr>
          <xdr:cNvPr id="17" name="Picture 16" descr="https://vsjcllp.vsjadon.com/upload/insp-236439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14776" y="39391674"/>
            <a:ext cx="2228850" cy="167318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36439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3375" y="33023174"/>
            <a:ext cx="2818843" cy="37623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36439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6701" y="39391674"/>
            <a:ext cx="2228850" cy="167318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36439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71475" y="36861750"/>
            <a:ext cx="1832402" cy="24457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36439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76475" y="36861750"/>
            <a:ext cx="1832402" cy="24457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36439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81475" y="36871275"/>
            <a:ext cx="1832402" cy="24457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36439-91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71750" y="39396439"/>
            <a:ext cx="1253583" cy="167318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36439-9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28975" y="33023174"/>
            <a:ext cx="2818843" cy="37623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112060</xdr:colOff>
      <xdr:row>203</xdr:row>
      <xdr:rowOff>156881</xdr:rowOff>
    </xdr:from>
    <xdr:to>
      <xdr:col>7</xdr:col>
      <xdr:colOff>593913</xdr:colOff>
      <xdr:row>237</xdr:row>
      <xdr:rowOff>190500</xdr:rowOff>
    </xdr:to>
    <xdr:grpSp>
      <xdr:nvGrpSpPr>
        <xdr:cNvPr id="16" name="Group 15"/>
        <xdr:cNvGrpSpPr/>
      </xdr:nvGrpSpPr>
      <xdr:grpSpPr>
        <a:xfrm>
          <a:off x="112060" y="33348705"/>
          <a:ext cx="6062382" cy="6880413"/>
          <a:chOff x="57150" y="219162"/>
          <a:chExt cx="6841925" cy="7218972"/>
        </a:xfrm>
      </xdr:grpSpPr>
      <xdr:pic>
        <xdr:nvPicPr>
          <xdr:cNvPr id="23" name="Picture 22" descr="https://vsjcllp.vsjadon.com/upload/insp-246885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10303" y="5980890"/>
            <a:ext cx="1941193" cy="145724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46885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9578" y="219163"/>
            <a:ext cx="2479088" cy="330889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46885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75393" y="5980890"/>
            <a:ext cx="1941193" cy="145724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46885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8273" y="369987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46885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39396" y="369987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46885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150" y="369987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46885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1890" y="5980890"/>
            <a:ext cx="1091795" cy="145724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46885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80762" y="369987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46885-91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24371" y="5980890"/>
            <a:ext cx="1091795" cy="145724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46885-9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17908" y="219162"/>
            <a:ext cx="2479088" cy="330889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493058</xdr:colOff>
      <xdr:row>1</xdr:row>
      <xdr:rowOff>168088</xdr:rowOff>
    </xdr:from>
    <xdr:to>
      <xdr:col>14</xdr:col>
      <xdr:colOff>253521</xdr:colOff>
      <xdr:row>24</xdr:row>
      <xdr:rowOff>95382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05999" y="358588"/>
          <a:ext cx="3256698" cy="43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171823</xdr:rowOff>
    </xdr:from>
    <xdr:to>
      <xdr:col>2</xdr:col>
      <xdr:colOff>2053588</xdr:colOff>
      <xdr:row>35</xdr:row>
      <xdr:rowOff>40589</xdr:rowOff>
    </xdr:to>
    <xdr:pic>
      <xdr:nvPicPr>
        <xdr:cNvPr id="3" name="Picture 2" descr="https://housing-images.n7net.in/4f2250e8/48e5ac4c7d17f0c29220c1ab602b483d/v0/large/mahashakti_zenisha_corner-vadghar-navimumbai-mahashakti_developers.jpe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2588" y="2674470"/>
          <a:ext cx="3600000" cy="4000001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2330824</xdr:colOff>
      <xdr:row>13</xdr:row>
      <xdr:rowOff>171823</xdr:rowOff>
    </xdr:from>
    <xdr:to>
      <xdr:col>10</xdr:col>
      <xdr:colOff>596000</xdr:colOff>
      <xdr:row>35</xdr:row>
      <xdr:rowOff>90588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9824" y="2674470"/>
          <a:ext cx="7200000" cy="405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XqKwRNuht9iQxjrT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89"/>
  <sheetViews>
    <sheetView tabSelected="1" view="pageBreakPreview" zoomScale="85" zoomScaleNormal="100" zoomScaleSheetLayoutView="85" zoomScalePageLayoutView="85" workbookViewId="0">
      <selection activeCell="L16" sqref="L16"/>
    </sheetView>
  </sheetViews>
  <sheetFormatPr defaultColWidth="9.140625" defaultRowHeight="15.75" x14ac:dyDescent="0.25"/>
  <cols>
    <col min="1" max="1" width="11.42578125" style="37" customWidth="1"/>
    <col min="2" max="2" width="12" style="37" customWidth="1"/>
    <col min="3" max="3" width="12.7109375" style="37" customWidth="1"/>
    <col min="4" max="4" width="13.7109375" style="37" customWidth="1"/>
    <col min="5" max="5" width="11.7109375" style="37" customWidth="1"/>
    <col min="6" max="6" width="11.140625" style="37" customWidth="1"/>
    <col min="7" max="8" width="11" style="37" customWidth="1"/>
    <col min="9" max="9" width="17.42578125" style="18" customWidth="1"/>
    <col min="10" max="10" width="11.42578125" style="18" customWidth="1"/>
    <col min="11" max="11" width="10.5703125" style="18" bestFit="1" customWidth="1"/>
    <col min="12" max="12" width="13.85546875" style="18" bestFit="1" customWidth="1"/>
    <col min="13" max="13" width="11.85546875" style="18" customWidth="1"/>
    <col min="14" max="14" width="12.5703125" style="18" customWidth="1"/>
    <col min="15" max="15" width="12.140625" style="18" customWidth="1"/>
    <col min="16" max="16" width="11.7109375" style="18" customWidth="1"/>
    <col min="17" max="18" width="9.140625" style="18"/>
    <col min="19" max="19" width="10.85546875" style="18" bestFit="1" customWidth="1"/>
    <col min="20" max="247" width="9.140625" style="18"/>
    <col min="248" max="248" width="8.7109375" style="18" customWidth="1"/>
    <col min="249" max="249" width="9.85546875" style="18" customWidth="1"/>
    <col min="250" max="250" width="14.42578125" style="18" customWidth="1"/>
    <col min="251" max="251" width="7.28515625" style="18" customWidth="1"/>
    <col min="252" max="252" width="5.5703125" style="18" customWidth="1"/>
    <col min="253" max="253" width="9" style="18" customWidth="1"/>
    <col min="254" max="255" width="9.85546875" style="18" customWidth="1"/>
    <col min="256" max="256" width="11.140625" style="18" customWidth="1"/>
    <col min="257" max="257" width="2.85546875" style="18" customWidth="1"/>
    <col min="258" max="258" width="3.5703125" style="18" customWidth="1"/>
    <col min="259" max="503" width="9.140625" style="18"/>
    <col min="504" max="504" width="8.7109375" style="18" customWidth="1"/>
    <col min="505" max="505" width="9.85546875" style="18" customWidth="1"/>
    <col min="506" max="506" width="14.42578125" style="18" customWidth="1"/>
    <col min="507" max="507" width="7.28515625" style="18" customWidth="1"/>
    <col min="508" max="508" width="5.5703125" style="18" customWidth="1"/>
    <col min="509" max="509" width="9" style="18" customWidth="1"/>
    <col min="510" max="511" width="9.85546875" style="18" customWidth="1"/>
    <col min="512" max="512" width="11.140625" style="18" customWidth="1"/>
    <col min="513" max="513" width="2.85546875" style="18" customWidth="1"/>
    <col min="514" max="514" width="3.5703125" style="18" customWidth="1"/>
    <col min="515" max="759" width="9.140625" style="18"/>
    <col min="760" max="760" width="8.7109375" style="18" customWidth="1"/>
    <col min="761" max="761" width="9.85546875" style="18" customWidth="1"/>
    <col min="762" max="762" width="14.42578125" style="18" customWidth="1"/>
    <col min="763" max="763" width="7.28515625" style="18" customWidth="1"/>
    <col min="764" max="764" width="5.5703125" style="18" customWidth="1"/>
    <col min="765" max="765" width="9" style="18" customWidth="1"/>
    <col min="766" max="767" width="9.85546875" style="18" customWidth="1"/>
    <col min="768" max="768" width="11.140625" style="18" customWidth="1"/>
    <col min="769" max="769" width="2.85546875" style="18" customWidth="1"/>
    <col min="770" max="770" width="3.5703125" style="18" customWidth="1"/>
    <col min="771" max="1015" width="9.140625" style="18"/>
    <col min="1016" max="1016" width="8.7109375" style="18" customWidth="1"/>
    <col min="1017" max="1017" width="9.85546875" style="18" customWidth="1"/>
    <col min="1018" max="1018" width="14.42578125" style="18" customWidth="1"/>
    <col min="1019" max="1019" width="7.28515625" style="18" customWidth="1"/>
    <col min="1020" max="1020" width="5.5703125" style="18" customWidth="1"/>
    <col min="1021" max="1021" width="9" style="18" customWidth="1"/>
    <col min="1022" max="1023" width="9.85546875" style="18" customWidth="1"/>
    <col min="1024" max="1024" width="11.140625" style="18" customWidth="1"/>
    <col min="1025" max="1025" width="2.85546875" style="18" customWidth="1"/>
    <col min="1026" max="1026" width="3.5703125" style="18" customWidth="1"/>
    <col min="1027" max="1271" width="9.140625" style="18"/>
    <col min="1272" max="1272" width="8.7109375" style="18" customWidth="1"/>
    <col min="1273" max="1273" width="9.85546875" style="18" customWidth="1"/>
    <col min="1274" max="1274" width="14.42578125" style="18" customWidth="1"/>
    <col min="1275" max="1275" width="7.28515625" style="18" customWidth="1"/>
    <col min="1276" max="1276" width="5.5703125" style="18" customWidth="1"/>
    <col min="1277" max="1277" width="9" style="18" customWidth="1"/>
    <col min="1278" max="1279" width="9.85546875" style="18" customWidth="1"/>
    <col min="1280" max="1280" width="11.140625" style="18" customWidth="1"/>
    <col min="1281" max="1281" width="2.85546875" style="18" customWidth="1"/>
    <col min="1282" max="1282" width="3.5703125" style="18" customWidth="1"/>
    <col min="1283" max="1527" width="9.140625" style="18"/>
    <col min="1528" max="1528" width="8.7109375" style="18" customWidth="1"/>
    <col min="1529" max="1529" width="9.85546875" style="18" customWidth="1"/>
    <col min="1530" max="1530" width="14.42578125" style="18" customWidth="1"/>
    <col min="1531" max="1531" width="7.28515625" style="18" customWidth="1"/>
    <col min="1532" max="1532" width="5.5703125" style="18" customWidth="1"/>
    <col min="1533" max="1533" width="9" style="18" customWidth="1"/>
    <col min="1534" max="1535" width="9.85546875" style="18" customWidth="1"/>
    <col min="1536" max="1536" width="11.140625" style="18" customWidth="1"/>
    <col min="1537" max="1537" width="2.85546875" style="18" customWidth="1"/>
    <col min="1538" max="1538" width="3.5703125" style="18" customWidth="1"/>
    <col min="1539" max="1783" width="9.140625" style="18"/>
    <col min="1784" max="1784" width="8.7109375" style="18" customWidth="1"/>
    <col min="1785" max="1785" width="9.85546875" style="18" customWidth="1"/>
    <col min="1786" max="1786" width="14.42578125" style="18" customWidth="1"/>
    <col min="1787" max="1787" width="7.28515625" style="18" customWidth="1"/>
    <col min="1788" max="1788" width="5.5703125" style="18" customWidth="1"/>
    <col min="1789" max="1789" width="9" style="18" customWidth="1"/>
    <col min="1790" max="1791" width="9.85546875" style="18" customWidth="1"/>
    <col min="1792" max="1792" width="11.140625" style="18" customWidth="1"/>
    <col min="1793" max="1793" width="2.85546875" style="18" customWidth="1"/>
    <col min="1794" max="1794" width="3.5703125" style="18" customWidth="1"/>
    <col min="1795" max="2039" width="9.140625" style="18"/>
    <col min="2040" max="2040" width="8.7109375" style="18" customWidth="1"/>
    <col min="2041" max="2041" width="9.85546875" style="18" customWidth="1"/>
    <col min="2042" max="2042" width="14.42578125" style="18" customWidth="1"/>
    <col min="2043" max="2043" width="7.28515625" style="18" customWidth="1"/>
    <col min="2044" max="2044" width="5.5703125" style="18" customWidth="1"/>
    <col min="2045" max="2045" width="9" style="18" customWidth="1"/>
    <col min="2046" max="2047" width="9.85546875" style="18" customWidth="1"/>
    <col min="2048" max="2048" width="11.140625" style="18" customWidth="1"/>
    <col min="2049" max="2049" width="2.85546875" style="18" customWidth="1"/>
    <col min="2050" max="2050" width="3.5703125" style="18" customWidth="1"/>
    <col min="2051" max="2295" width="9.140625" style="18"/>
    <col min="2296" max="2296" width="8.7109375" style="18" customWidth="1"/>
    <col min="2297" max="2297" width="9.85546875" style="18" customWidth="1"/>
    <col min="2298" max="2298" width="14.42578125" style="18" customWidth="1"/>
    <col min="2299" max="2299" width="7.28515625" style="18" customWidth="1"/>
    <col min="2300" max="2300" width="5.5703125" style="18" customWidth="1"/>
    <col min="2301" max="2301" width="9" style="18" customWidth="1"/>
    <col min="2302" max="2303" width="9.85546875" style="18" customWidth="1"/>
    <col min="2304" max="2304" width="11.140625" style="18" customWidth="1"/>
    <col min="2305" max="2305" width="2.85546875" style="18" customWidth="1"/>
    <col min="2306" max="2306" width="3.5703125" style="18" customWidth="1"/>
    <col min="2307" max="2551" width="9.140625" style="18"/>
    <col min="2552" max="2552" width="8.7109375" style="18" customWidth="1"/>
    <col min="2553" max="2553" width="9.85546875" style="18" customWidth="1"/>
    <col min="2554" max="2554" width="14.42578125" style="18" customWidth="1"/>
    <col min="2555" max="2555" width="7.28515625" style="18" customWidth="1"/>
    <col min="2556" max="2556" width="5.5703125" style="18" customWidth="1"/>
    <col min="2557" max="2557" width="9" style="18" customWidth="1"/>
    <col min="2558" max="2559" width="9.85546875" style="18" customWidth="1"/>
    <col min="2560" max="2560" width="11.140625" style="18" customWidth="1"/>
    <col min="2561" max="2561" width="2.85546875" style="18" customWidth="1"/>
    <col min="2562" max="2562" width="3.5703125" style="18" customWidth="1"/>
    <col min="2563" max="2807" width="9.140625" style="18"/>
    <col min="2808" max="2808" width="8.7109375" style="18" customWidth="1"/>
    <col min="2809" max="2809" width="9.85546875" style="18" customWidth="1"/>
    <col min="2810" max="2810" width="14.42578125" style="18" customWidth="1"/>
    <col min="2811" max="2811" width="7.28515625" style="18" customWidth="1"/>
    <col min="2812" max="2812" width="5.5703125" style="18" customWidth="1"/>
    <col min="2813" max="2813" width="9" style="18" customWidth="1"/>
    <col min="2814" max="2815" width="9.85546875" style="18" customWidth="1"/>
    <col min="2816" max="2816" width="11.140625" style="18" customWidth="1"/>
    <col min="2817" max="2817" width="2.85546875" style="18" customWidth="1"/>
    <col min="2818" max="2818" width="3.5703125" style="18" customWidth="1"/>
    <col min="2819" max="3063" width="9.140625" style="18"/>
    <col min="3064" max="3064" width="8.7109375" style="18" customWidth="1"/>
    <col min="3065" max="3065" width="9.85546875" style="18" customWidth="1"/>
    <col min="3066" max="3066" width="14.42578125" style="18" customWidth="1"/>
    <col min="3067" max="3067" width="7.28515625" style="18" customWidth="1"/>
    <col min="3068" max="3068" width="5.5703125" style="18" customWidth="1"/>
    <col min="3069" max="3069" width="9" style="18" customWidth="1"/>
    <col min="3070" max="3071" width="9.85546875" style="18" customWidth="1"/>
    <col min="3072" max="3072" width="11.140625" style="18" customWidth="1"/>
    <col min="3073" max="3073" width="2.85546875" style="18" customWidth="1"/>
    <col min="3074" max="3074" width="3.5703125" style="18" customWidth="1"/>
    <col min="3075" max="3319" width="9.140625" style="18"/>
    <col min="3320" max="3320" width="8.7109375" style="18" customWidth="1"/>
    <col min="3321" max="3321" width="9.85546875" style="18" customWidth="1"/>
    <col min="3322" max="3322" width="14.42578125" style="18" customWidth="1"/>
    <col min="3323" max="3323" width="7.28515625" style="18" customWidth="1"/>
    <col min="3324" max="3324" width="5.5703125" style="18" customWidth="1"/>
    <col min="3325" max="3325" width="9" style="18" customWidth="1"/>
    <col min="3326" max="3327" width="9.85546875" style="18" customWidth="1"/>
    <col min="3328" max="3328" width="11.140625" style="18" customWidth="1"/>
    <col min="3329" max="3329" width="2.85546875" style="18" customWidth="1"/>
    <col min="3330" max="3330" width="3.5703125" style="18" customWidth="1"/>
    <col min="3331" max="3575" width="9.140625" style="18"/>
    <col min="3576" max="3576" width="8.7109375" style="18" customWidth="1"/>
    <col min="3577" max="3577" width="9.85546875" style="18" customWidth="1"/>
    <col min="3578" max="3578" width="14.42578125" style="18" customWidth="1"/>
    <col min="3579" max="3579" width="7.28515625" style="18" customWidth="1"/>
    <col min="3580" max="3580" width="5.5703125" style="18" customWidth="1"/>
    <col min="3581" max="3581" width="9" style="18" customWidth="1"/>
    <col min="3582" max="3583" width="9.85546875" style="18" customWidth="1"/>
    <col min="3584" max="3584" width="11.140625" style="18" customWidth="1"/>
    <col min="3585" max="3585" width="2.85546875" style="18" customWidth="1"/>
    <col min="3586" max="3586" width="3.5703125" style="18" customWidth="1"/>
    <col min="3587" max="3831" width="9.140625" style="18"/>
    <col min="3832" max="3832" width="8.7109375" style="18" customWidth="1"/>
    <col min="3833" max="3833" width="9.85546875" style="18" customWidth="1"/>
    <col min="3834" max="3834" width="14.42578125" style="18" customWidth="1"/>
    <col min="3835" max="3835" width="7.28515625" style="18" customWidth="1"/>
    <col min="3836" max="3836" width="5.5703125" style="18" customWidth="1"/>
    <col min="3837" max="3837" width="9" style="18" customWidth="1"/>
    <col min="3838" max="3839" width="9.85546875" style="18" customWidth="1"/>
    <col min="3840" max="3840" width="11.140625" style="18" customWidth="1"/>
    <col min="3841" max="3841" width="2.85546875" style="18" customWidth="1"/>
    <col min="3842" max="3842" width="3.5703125" style="18" customWidth="1"/>
    <col min="3843" max="4087" width="9.140625" style="18"/>
    <col min="4088" max="4088" width="8.7109375" style="18" customWidth="1"/>
    <col min="4089" max="4089" width="9.85546875" style="18" customWidth="1"/>
    <col min="4090" max="4090" width="14.42578125" style="18" customWidth="1"/>
    <col min="4091" max="4091" width="7.28515625" style="18" customWidth="1"/>
    <col min="4092" max="4092" width="5.5703125" style="18" customWidth="1"/>
    <col min="4093" max="4093" width="9" style="18" customWidth="1"/>
    <col min="4094" max="4095" width="9.85546875" style="18" customWidth="1"/>
    <col min="4096" max="4096" width="11.140625" style="18" customWidth="1"/>
    <col min="4097" max="4097" width="2.85546875" style="18" customWidth="1"/>
    <col min="4098" max="4098" width="3.5703125" style="18" customWidth="1"/>
    <col min="4099" max="4343" width="9.140625" style="18"/>
    <col min="4344" max="4344" width="8.7109375" style="18" customWidth="1"/>
    <col min="4345" max="4345" width="9.85546875" style="18" customWidth="1"/>
    <col min="4346" max="4346" width="14.42578125" style="18" customWidth="1"/>
    <col min="4347" max="4347" width="7.28515625" style="18" customWidth="1"/>
    <col min="4348" max="4348" width="5.5703125" style="18" customWidth="1"/>
    <col min="4349" max="4349" width="9" style="18" customWidth="1"/>
    <col min="4350" max="4351" width="9.85546875" style="18" customWidth="1"/>
    <col min="4352" max="4352" width="11.140625" style="18" customWidth="1"/>
    <col min="4353" max="4353" width="2.85546875" style="18" customWidth="1"/>
    <col min="4354" max="4354" width="3.5703125" style="18" customWidth="1"/>
    <col min="4355" max="4599" width="9.140625" style="18"/>
    <col min="4600" max="4600" width="8.7109375" style="18" customWidth="1"/>
    <col min="4601" max="4601" width="9.85546875" style="18" customWidth="1"/>
    <col min="4602" max="4602" width="14.42578125" style="18" customWidth="1"/>
    <col min="4603" max="4603" width="7.28515625" style="18" customWidth="1"/>
    <col min="4604" max="4604" width="5.5703125" style="18" customWidth="1"/>
    <col min="4605" max="4605" width="9" style="18" customWidth="1"/>
    <col min="4606" max="4607" width="9.85546875" style="18" customWidth="1"/>
    <col min="4608" max="4608" width="11.140625" style="18" customWidth="1"/>
    <col min="4609" max="4609" width="2.85546875" style="18" customWidth="1"/>
    <col min="4610" max="4610" width="3.5703125" style="18" customWidth="1"/>
    <col min="4611" max="4855" width="9.140625" style="18"/>
    <col min="4856" max="4856" width="8.7109375" style="18" customWidth="1"/>
    <col min="4857" max="4857" width="9.85546875" style="18" customWidth="1"/>
    <col min="4858" max="4858" width="14.42578125" style="18" customWidth="1"/>
    <col min="4859" max="4859" width="7.28515625" style="18" customWidth="1"/>
    <col min="4860" max="4860" width="5.5703125" style="18" customWidth="1"/>
    <col min="4861" max="4861" width="9" style="18" customWidth="1"/>
    <col min="4862" max="4863" width="9.85546875" style="18" customWidth="1"/>
    <col min="4864" max="4864" width="11.140625" style="18" customWidth="1"/>
    <col min="4865" max="4865" width="2.85546875" style="18" customWidth="1"/>
    <col min="4866" max="4866" width="3.5703125" style="18" customWidth="1"/>
    <col min="4867" max="5111" width="9.140625" style="18"/>
    <col min="5112" max="5112" width="8.7109375" style="18" customWidth="1"/>
    <col min="5113" max="5113" width="9.85546875" style="18" customWidth="1"/>
    <col min="5114" max="5114" width="14.42578125" style="18" customWidth="1"/>
    <col min="5115" max="5115" width="7.28515625" style="18" customWidth="1"/>
    <col min="5116" max="5116" width="5.5703125" style="18" customWidth="1"/>
    <col min="5117" max="5117" width="9" style="18" customWidth="1"/>
    <col min="5118" max="5119" width="9.85546875" style="18" customWidth="1"/>
    <col min="5120" max="5120" width="11.140625" style="18" customWidth="1"/>
    <col min="5121" max="5121" width="2.85546875" style="18" customWidth="1"/>
    <col min="5122" max="5122" width="3.5703125" style="18" customWidth="1"/>
    <col min="5123" max="5367" width="9.140625" style="18"/>
    <col min="5368" max="5368" width="8.7109375" style="18" customWidth="1"/>
    <col min="5369" max="5369" width="9.85546875" style="18" customWidth="1"/>
    <col min="5370" max="5370" width="14.42578125" style="18" customWidth="1"/>
    <col min="5371" max="5371" width="7.28515625" style="18" customWidth="1"/>
    <col min="5372" max="5372" width="5.5703125" style="18" customWidth="1"/>
    <col min="5373" max="5373" width="9" style="18" customWidth="1"/>
    <col min="5374" max="5375" width="9.85546875" style="18" customWidth="1"/>
    <col min="5376" max="5376" width="11.140625" style="18" customWidth="1"/>
    <col min="5377" max="5377" width="2.85546875" style="18" customWidth="1"/>
    <col min="5378" max="5378" width="3.5703125" style="18" customWidth="1"/>
    <col min="5379" max="5623" width="9.140625" style="18"/>
    <col min="5624" max="5624" width="8.7109375" style="18" customWidth="1"/>
    <col min="5625" max="5625" width="9.85546875" style="18" customWidth="1"/>
    <col min="5626" max="5626" width="14.42578125" style="18" customWidth="1"/>
    <col min="5627" max="5627" width="7.28515625" style="18" customWidth="1"/>
    <col min="5628" max="5628" width="5.5703125" style="18" customWidth="1"/>
    <col min="5629" max="5629" width="9" style="18" customWidth="1"/>
    <col min="5630" max="5631" width="9.85546875" style="18" customWidth="1"/>
    <col min="5632" max="5632" width="11.140625" style="18" customWidth="1"/>
    <col min="5633" max="5633" width="2.85546875" style="18" customWidth="1"/>
    <col min="5634" max="5634" width="3.5703125" style="18" customWidth="1"/>
    <col min="5635" max="5879" width="9.140625" style="18"/>
    <col min="5880" max="5880" width="8.7109375" style="18" customWidth="1"/>
    <col min="5881" max="5881" width="9.85546875" style="18" customWidth="1"/>
    <col min="5882" max="5882" width="14.42578125" style="18" customWidth="1"/>
    <col min="5883" max="5883" width="7.28515625" style="18" customWidth="1"/>
    <col min="5884" max="5884" width="5.5703125" style="18" customWidth="1"/>
    <col min="5885" max="5885" width="9" style="18" customWidth="1"/>
    <col min="5886" max="5887" width="9.85546875" style="18" customWidth="1"/>
    <col min="5888" max="5888" width="11.140625" style="18" customWidth="1"/>
    <col min="5889" max="5889" width="2.85546875" style="18" customWidth="1"/>
    <col min="5890" max="5890" width="3.5703125" style="18" customWidth="1"/>
    <col min="5891" max="6135" width="9.140625" style="18"/>
    <col min="6136" max="6136" width="8.7109375" style="18" customWidth="1"/>
    <col min="6137" max="6137" width="9.85546875" style="18" customWidth="1"/>
    <col min="6138" max="6138" width="14.42578125" style="18" customWidth="1"/>
    <col min="6139" max="6139" width="7.28515625" style="18" customWidth="1"/>
    <col min="6140" max="6140" width="5.5703125" style="18" customWidth="1"/>
    <col min="6141" max="6141" width="9" style="18" customWidth="1"/>
    <col min="6142" max="6143" width="9.85546875" style="18" customWidth="1"/>
    <col min="6144" max="6144" width="11.140625" style="18" customWidth="1"/>
    <col min="6145" max="6145" width="2.85546875" style="18" customWidth="1"/>
    <col min="6146" max="6146" width="3.5703125" style="18" customWidth="1"/>
    <col min="6147" max="6391" width="9.140625" style="18"/>
    <col min="6392" max="6392" width="8.7109375" style="18" customWidth="1"/>
    <col min="6393" max="6393" width="9.85546875" style="18" customWidth="1"/>
    <col min="6394" max="6394" width="14.42578125" style="18" customWidth="1"/>
    <col min="6395" max="6395" width="7.28515625" style="18" customWidth="1"/>
    <col min="6396" max="6396" width="5.5703125" style="18" customWidth="1"/>
    <col min="6397" max="6397" width="9" style="18" customWidth="1"/>
    <col min="6398" max="6399" width="9.85546875" style="18" customWidth="1"/>
    <col min="6400" max="6400" width="11.140625" style="18" customWidth="1"/>
    <col min="6401" max="6401" width="2.85546875" style="18" customWidth="1"/>
    <col min="6402" max="6402" width="3.5703125" style="18" customWidth="1"/>
    <col min="6403" max="6647" width="9.140625" style="18"/>
    <col min="6648" max="6648" width="8.7109375" style="18" customWidth="1"/>
    <col min="6649" max="6649" width="9.85546875" style="18" customWidth="1"/>
    <col min="6650" max="6650" width="14.42578125" style="18" customWidth="1"/>
    <col min="6651" max="6651" width="7.28515625" style="18" customWidth="1"/>
    <col min="6652" max="6652" width="5.5703125" style="18" customWidth="1"/>
    <col min="6653" max="6653" width="9" style="18" customWidth="1"/>
    <col min="6654" max="6655" width="9.85546875" style="18" customWidth="1"/>
    <col min="6656" max="6656" width="11.140625" style="18" customWidth="1"/>
    <col min="6657" max="6657" width="2.85546875" style="18" customWidth="1"/>
    <col min="6658" max="6658" width="3.5703125" style="18" customWidth="1"/>
    <col min="6659" max="6903" width="9.140625" style="18"/>
    <col min="6904" max="6904" width="8.7109375" style="18" customWidth="1"/>
    <col min="6905" max="6905" width="9.85546875" style="18" customWidth="1"/>
    <col min="6906" max="6906" width="14.42578125" style="18" customWidth="1"/>
    <col min="6907" max="6907" width="7.28515625" style="18" customWidth="1"/>
    <col min="6908" max="6908" width="5.5703125" style="18" customWidth="1"/>
    <col min="6909" max="6909" width="9" style="18" customWidth="1"/>
    <col min="6910" max="6911" width="9.85546875" style="18" customWidth="1"/>
    <col min="6912" max="6912" width="11.140625" style="18" customWidth="1"/>
    <col min="6913" max="6913" width="2.85546875" style="18" customWidth="1"/>
    <col min="6914" max="6914" width="3.5703125" style="18" customWidth="1"/>
    <col min="6915" max="7159" width="9.140625" style="18"/>
    <col min="7160" max="7160" width="8.7109375" style="18" customWidth="1"/>
    <col min="7161" max="7161" width="9.85546875" style="18" customWidth="1"/>
    <col min="7162" max="7162" width="14.42578125" style="18" customWidth="1"/>
    <col min="7163" max="7163" width="7.28515625" style="18" customWidth="1"/>
    <col min="7164" max="7164" width="5.5703125" style="18" customWidth="1"/>
    <col min="7165" max="7165" width="9" style="18" customWidth="1"/>
    <col min="7166" max="7167" width="9.85546875" style="18" customWidth="1"/>
    <col min="7168" max="7168" width="11.140625" style="18" customWidth="1"/>
    <col min="7169" max="7169" width="2.85546875" style="18" customWidth="1"/>
    <col min="7170" max="7170" width="3.5703125" style="18" customWidth="1"/>
    <col min="7171" max="7415" width="9.140625" style="18"/>
    <col min="7416" max="7416" width="8.7109375" style="18" customWidth="1"/>
    <col min="7417" max="7417" width="9.85546875" style="18" customWidth="1"/>
    <col min="7418" max="7418" width="14.42578125" style="18" customWidth="1"/>
    <col min="7419" max="7419" width="7.28515625" style="18" customWidth="1"/>
    <col min="7420" max="7420" width="5.5703125" style="18" customWidth="1"/>
    <col min="7421" max="7421" width="9" style="18" customWidth="1"/>
    <col min="7422" max="7423" width="9.85546875" style="18" customWidth="1"/>
    <col min="7424" max="7424" width="11.140625" style="18" customWidth="1"/>
    <col min="7425" max="7425" width="2.85546875" style="18" customWidth="1"/>
    <col min="7426" max="7426" width="3.5703125" style="18" customWidth="1"/>
    <col min="7427" max="7671" width="9.140625" style="18"/>
    <col min="7672" max="7672" width="8.7109375" style="18" customWidth="1"/>
    <col min="7673" max="7673" width="9.85546875" style="18" customWidth="1"/>
    <col min="7674" max="7674" width="14.42578125" style="18" customWidth="1"/>
    <col min="7675" max="7675" width="7.28515625" style="18" customWidth="1"/>
    <col min="7676" max="7676" width="5.5703125" style="18" customWidth="1"/>
    <col min="7677" max="7677" width="9" style="18" customWidth="1"/>
    <col min="7678" max="7679" width="9.85546875" style="18" customWidth="1"/>
    <col min="7680" max="7680" width="11.140625" style="18" customWidth="1"/>
    <col min="7681" max="7681" width="2.85546875" style="18" customWidth="1"/>
    <col min="7682" max="7682" width="3.5703125" style="18" customWidth="1"/>
    <col min="7683" max="7927" width="9.140625" style="18"/>
    <col min="7928" max="7928" width="8.7109375" style="18" customWidth="1"/>
    <col min="7929" max="7929" width="9.85546875" style="18" customWidth="1"/>
    <col min="7930" max="7930" width="14.42578125" style="18" customWidth="1"/>
    <col min="7931" max="7931" width="7.28515625" style="18" customWidth="1"/>
    <col min="7932" max="7932" width="5.5703125" style="18" customWidth="1"/>
    <col min="7933" max="7933" width="9" style="18" customWidth="1"/>
    <col min="7934" max="7935" width="9.85546875" style="18" customWidth="1"/>
    <col min="7936" max="7936" width="11.140625" style="18" customWidth="1"/>
    <col min="7937" max="7937" width="2.85546875" style="18" customWidth="1"/>
    <col min="7938" max="7938" width="3.5703125" style="18" customWidth="1"/>
    <col min="7939" max="8183" width="9.140625" style="18"/>
    <col min="8184" max="8184" width="8.7109375" style="18" customWidth="1"/>
    <col min="8185" max="8185" width="9.85546875" style="18" customWidth="1"/>
    <col min="8186" max="8186" width="14.42578125" style="18" customWidth="1"/>
    <col min="8187" max="8187" width="7.28515625" style="18" customWidth="1"/>
    <col min="8188" max="8188" width="5.5703125" style="18" customWidth="1"/>
    <col min="8189" max="8189" width="9" style="18" customWidth="1"/>
    <col min="8190" max="8191" width="9.85546875" style="18" customWidth="1"/>
    <col min="8192" max="8192" width="11.140625" style="18" customWidth="1"/>
    <col min="8193" max="8193" width="2.85546875" style="18" customWidth="1"/>
    <col min="8194" max="8194" width="3.5703125" style="18" customWidth="1"/>
    <col min="8195" max="8439" width="9.140625" style="18"/>
    <col min="8440" max="8440" width="8.7109375" style="18" customWidth="1"/>
    <col min="8441" max="8441" width="9.85546875" style="18" customWidth="1"/>
    <col min="8442" max="8442" width="14.42578125" style="18" customWidth="1"/>
    <col min="8443" max="8443" width="7.28515625" style="18" customWidth="1"/>
    <col min="8444" max="8444" width="5.5703125" style="18" customWidth="1"/>
    <col min="8445" max="8445" width="9" style="18" customWidth="1"/>
    <col min="8446" max="8447" width="9.85546875" style="18" customWidth="1"/>
    <col min="8448" max="8448" width="11.140625" style="18" customWidth="1"/>
    <col min="8449" max="8449" width="2.85546875" style="18" customWidth="1"/>
    <col min="8450" max="8450" width="3.5703125" style="18" customWidth="1"/>
    <col min="8451" max="8695" width="9.140625" style="18"/>
    <col min="8696" max="8696" width="8.7109375" style="18" customWidth="1"/>
    <col min="8697" max="8697" width="9.85546875" style="18" customWidth="1"/>
    <col min="8698" max="8698" width="14.42578125" style="18" customWidth="1"/>
    <col min="8699" max="8699" width="7.28515625" style="18" customWidth="1"/>
    <col min="8700" max="8700" width="5.5703125" style="18" customWidth="1"/>
    <col min="8701" max="8701" width="9" style="18" customWidth="1"/>
    <col min="8702" max="8703" width="9.85546875" style="18" customWidth="1"/>
    <col min="8704" max="8704" width="11.140625" style="18" customWidth="1"/>
    <col min="8705" max="8705" width="2.85546875" style="18" customWidth="1"/>
    <col min="8706" max="8706" width="3.5703125" style="18" customWidth="1"/>
    <col min="8707" max="8951" width="9.140625" style="18"/>
    <col min="8952" max="8952" width="8.7109375" style="18" customWidth="1"/>
    <col min="8953" max="8953" width="9.85546875" style="18" customWidth="1"/>
    <col min="8954" max="8954" width="14.42578125" style="18" customWidth="1"/>
    <col min="8955" max="8955" width="7.28515625" style="18" customWidth="1"/>
    <col min="8956" max="8956" width="5.5703125" style="18" customWidth="1"/>
    <col min="8957" max="8957" width="9" style="18" customWidth="1"/>
    <col min="8958" max="8959" width="9.85546875" style="18" customWidth="1"/>
    <col min="8960" max="8960" width="11.140625" style="18" customWidth="1"/>
    <col min="8961" max="8961" width="2.85546875" style="18" customWidth="1"/>
    <col min="8962" max="8962" width="3.5703125" style="18" customWidth="1"/>
    <col min="8963" max="9207" width="9.140625" style="18"/>
    <col min="9208" max="9208" width="8.7109375" style="18" customWidth="1"/>
    <col min="9209" max="9209" width="9.85546875" style="18" customWidth="1"/>
    <col min="9210" max="9210" width="14.42578125" style="18" customWidth="1"/>
    <col min="9211" max="9211" width="7.28515625" style="18" customWidth="1"/>
    <col min="9212" max="9212" width="5.5703125" style="18" customWidth="1"/>
    <col min="9213" max="9213" width="9" style="18" customWidth="1"/>
    <col min="9214" max="9215" width="9.85546875" style="18" customWidth="1"/>
    <col min="9216" max="9216" width="11.140625" style="18" customWidth="1"/>
    <col min="9217" max="9217" width="2.85546875" style="18" customWidth="1"/>
    <col min="9218" max="9218" width="3.5703125" style="18" customWidth="1"/>
    <col min="9219" max="9463" width="9.140625" style="18"/>
    <col min="9464" max="9464" width="8.7109375" style="18" customWidth="1"/>
    <col min="9465" max="9465" width="9.85546875" style="18" customWidth="1"/>
    <col min="9466" max="9466" width="14.42578125" style="18" customWidth="1"/>
    <col min="9467" max="9467" width="7.28515625" style="18" customWidth="1"/>
    <col min="9468" max="9468" width="5.5703125" style="18" customWidth="1"/>
    <col min="9469" max="9469" width="9" style="18" customWidth="1"/>
    <col min="9470" max="9471" width="9.85546875" style="18" customWidth="1"/>
    <col min="9472" max="9472" width="11.140625" style="18" customWidth="1"/>
    <col min="9473" max="9473" width="2.85546875" style="18" customWidth="1"/>
    <col min="9474" max="9474" width="3.5703125" style="18" customWidth="1"/>
    <col min="9475" max="9719" width="9.140625" style="18"/>
    <col min="9720" max="9720" width="8.7109375" style="18" customWidth="1"/>
    <col min="9721" max="9721" width="9.85546875" style="18" customWidth="1"/>
    <col min="9722" max="9722" width="14.42578125" style="18" customWidth="1"/>
    <col min="9723" max="9723" width="7.28515625" style="18" customWidth="1"/>
    <col min="9724" max="9724" width="5.5703125" style="18" customWidth="1"/>
    <col min="9725" max="9725" width="9" style="18" customWidth="1"/>
    <col min="9726" max="9727" width="9.85546875" style="18" customWidth="1"/>
    <col min="9728" max="9728" width="11.140625" style="18" customWidth="1"/>
    <col min="9729" max="9729" width="2.85546875" style="18" customWidth="1"/>
    <col min="9730" max="9730" width="3.5703125" style="18" customWidth="1"/>
    <col min="9731" max="9975" width="9.140625" style="18"/>
    <col min="9976" max="9976" width="8.7109375" style="18" customWidth="1"/>
    <col min="9977" max="9977" width="9.85546875" style="18" customWidth="1"/>
    <col min="9978" max="9978" width="14.42578125" style="18" customWidth="1"/>
    <col min="9979" max="9979" width="7.28515625" style="18" customWidth="1"/>
    <col min="9980" max="9980" width="5.5703125" style="18" customWidth="1"/>
    <col min="9981" max="9981" width="9" style="18" customWidth="1"/>
    <col min="9982" max="9983" width="9.85546875" style="18" customWidth="1"/>
    <col min="9984" max="9984" width="11.140625" style="18" customWidth="1"/>
    <col min="9985" max="9985" width="2.85546875" style="18" customWidth="1"/>
    <col min="9986" max="9986" width="3.5703125" style="18" customWidth="1"/>
    <col min="9987" max="10231" width="9.140625" style="18"/>
    <col min="10232" max="10232" width="8.7109375" style="18" customWidth="1"/>
    <col min="10233" max="10233" width="9.85546875" style="18" customWidth="1"/>
    <col min="10234" max="10234" width="14.42578125" style="18" customWidth="1"/>
    <col min="10235" max="10235" width="7.28515625" style="18" customWidth="1"/>
    <col min="10236" max="10236" width="5.5703125" style="18" customWidth="1"/>
    <col min="10237" max="10237" width="9" style="18" customWidth="1"/>
    <col min="10238" max="10239" width="9.85546875" style="18" customWidth="1"/>
    <col min="10240" max="10240" width="11.140625" style="18" customWidth="1"/>
    <col min="10241" max="10241" width="2.85546875" style="18" customWidth="1"/>
    <col min="10242" max="10242" width="3.5703125" style="18" customWidth="1"/>
    <col min="10243" max="10487" width="9.140625" style="18"/>
    <col min="10488" max="10488" width="8.7109375" style="18" customWidth="1"/>
    <col min="10489" max="10489" width="9.85546875" style="18" customWidth="1"/>
    <col min="10490" max="10490" width="14.42578125" style="18" customWidth="1"/>
    <col min="10491" max="10491" width="7.28515625" style="18" customWidth="1"/>
    <col min="10492" max="10492" width="5.5703125" style="18" customWidth="1"/>
    <col min="10493" max="10493" width="9" style="18" customWidth="1"/>
    <col min="10494" max="10495" width="9.85546875" style="18" customWidth="1"/>
    <col min="10496" max="10496" width="11.140625" style="18" customWidth="1"/>
    <col min="10497" max="10497" width="2.85546875" style="18" customWidth="1"/>
    <col min="10498" max="10498" width="3.5703125" style="18" customWidth="1"/>
    <col min="10499" max="10743" width="9.140625" style="18"/>
    <col min="10744" max="10744" width="8.7109375" style="18" customWidth="1"/>
    <col min="10745" max="10745" width="9.85546875" style="18" customWidth="1"/>
    <col min="10746" max="10746" width="14.42578125" style="18" customWidth="1"/>
    <col min="10747" max="10747" width="7.28515625" style="18" customWidth="1"/>
    <col min="10748" max="10748" width="5.5703125" style="18" customWidth="1"/>
    <col min="10749" max="10749" width="9" style="18" customWidth="1"/>
    <col min="10750" max="10751" width="9.85546875" style="18" customWidth="1"/>
    <col min="10752" max="10752" width="11.140625" style="18" customWidth="1"/>
    <col min="10753" max="10753" width="2.85546875" style="18" customWidth="1"/>
    <col min="10754" max="10754" width="3.5703125" style="18" customWidth="1"/>
    <col min="10755" max="10999" width="9.140625" style="18"/>
    <col min="11000" max="11000" width="8.7109375" style="18" customWidth="1"/>
    <col min="11001" max="11001" width="9.85546875" style="18" customWidth="1"/>
    <col min="11002" max="11002" width="14.42578125" style="18" customWidth="1"/>
    <col min="11003" max="11003" width="7.28515625" style="18" customWidth="1"/>
    <col min="11004" max="11004" width="5.5703125" style="18" customWidth="1"/>
    <col min="11005" max="11005" width="9" style="18" customWidth="1"/>
    <col min="11006" max="11007" width="9.85546875" style="18" customWidth="1"/>
    <col min="11008" max="11008" width="11.140625" style="18" customWidth="1"/>
    <col min="11009" max="11009" width="2.85546875" style="18" customWidth="1"/>
    <col min="11010" max="11010" width="3.5703125" style="18" customWidth="1"/>
    <col min="11011" max="11255" width="9.140625" style="18"/>
    <col min="11256" max="11256" width="8.7109375" style="18" customWidth="1"/>
    <col min="11257" max="11257" width="9.85546875" style="18" customWidth="1"/>
    <col min="11258" max="11258" width="14.42578125" style="18" customWidth="1"/>
    <col min="11259" max="11259" width="7.28515625" style="18" customWidth="1"/>
    <col min="11260" max="11260" width="5.5703125" style="18" customWidth="1"/>
    <col min="11261" max="11261" width="9" style="18" customWidth="1"/>
    <col min="11262" max="11263" width="9.85546875" style="18" customWidth="1"/>
    <col min="11264" max="11264" width="11.140625" style="18" customWidth="1"/>
    <col min="11265" max="11265" width="2.85546875" style="18" customWidth="1"/>
    <col min="11266" max="11266" width="3.5703125" style="18" customWidth="1"/>
    <col min="11267" max="11511" width="9.140625" style="18"/>
    <col min="11512" max="11512" width="8.7109375" style="18" customWidth="1"/>
    <col min="11513" max="11513" width="9.85546875" style="18" customWidth="1"/>
    <col min="11514" max="11514" width="14.42578125" style="18" customWidth="1"/>
    <col min="11515" max="11515" width="7.28515625" style="18" customWidth="1"/>
    <col min="11516" max="11516" width="5.5703125" style="18" customWidth="1"/>
    <col min="11517" max="11517" width="9" style="18" customWidth="1"/>
    <col min="11518" max="11519" width="9.85546875" style="18" customWidth="1"/>
    <col min="11520" max="11520" width="11.140625" style="18" customWidth="1"/>
    <col min="11521" max="11521" width="2.85546875" style="18" customWidth="1"/>
    <col min="11522" max="11522" width="3.5703125" style="18" customWidth="1"/>
    <col min="11523" max="11767" width="9.140625" style="18"/>
    <col min="11768" max="11768" width="8.7109375" style="18" customWidth="1"/>
    <col min="11769" max="11769" width="9.85546875" style="18" customWidth="1"/>
    <col min="11770" max="11770" width="14.42578125" style="18" customWidth="1"/>
    <col min="11771" max="11771" width="7.28515625" style="18" customWidth="1"/>
    <col min="11772" max="11772" width="5.5703125" style="18" customWidth="1"/>
    <col min="11773" max="11773" width="9" style="18" customWidth="1"/>
    <col min="11774" max="11775" width="9.85546875" style="18" customWidth="1"/>
    <col min="11776" max="11776" width="11.140625" style="18" customWidth="1"/>
    <col min="11777" max="11777" width="2.85546875" style="18" customWidth="1"/>
    <col min="11778" max="11778" width="3.5703125" style="18" customWidth="1"/>
    <col min="11779" max="12023" width="9.140625" style="18"/>
    <col min="12024" max="12024" width="8.7109375" style="18" customWidth="1"/>
    <col min="12025" max="12025" width="9.85546875" style="18" customWidth="1"/>
    <col min="12026" max="12026" width="14.42578125" style="18" customWidth="1"/>
    <col min="12027" max="12027" width="7.28515625" style="18" customWidth="1"/>
    <col min="12028" max="12028" width="5.5703125" style="18" customWidth="1"/>
    <col min="12029" max="12029" width="9" style="18" customWidth="1"/>
    <col min="12030" max="12031" width="9.85546875" style="18" customWidth="1"/>
    <col min="12032" max="12032" width="11.140625" style="18" customWidth="1"/>
    <col min="12033" max="12033" width="2.85546875" style="18" customWidth="1"/>
    <col min="12034" max="12034" width="3.5703125" style="18" customWidth="1"/>
    <col min="12035" max="12279" width="9.140625" style="18"/>
    <col min="12280" max="12280" width="8.7109375" style="18" customWidth="1"/>
    <col min="12281" max="12281" width="9.85546875" style="18" customWidth="1"/>
    <col min="12282" max="12282" width="14.42578125" style="18" customWidth="1"/>
    <col min="12283" max="12283" width="7.28515625" style="18" customWidth="1"/>
    <col min="12284" max="12284" width="5.5703125" style="18" customWidth="1"/>
    <col min="12285" max="12285" width="9" style="18" customWidth="1"/>
    <col min="12286" max="12287" width="9.85546875" style="18" customWidth="1"/>
    <col min="12288" max="12288" width="11.140625" style="18" customWidth="1"/>
    <col min="12289" max="12289" width="2.85546875" style="18" customWidth="1"/>
    <col min="12290" max="12290" width="3.5703125" style="18" customWidth="1"/>
    <col min="12291" max="12535" width="9.140625" style="18"/>
    <col min="12536" max="12536" width="8.7109375" style="18" customWidth="1"/>
    <col min="12537" max="12537" width="9.85546875" style="18" customWidth="1"/>
    <col min="12538" max="12538" width="14.42578125" style="18" customWidth="1"/>
    <col min="12539" max="12539" width="7.28515625" style="18" customWidth="1"/>
    <col min="12540" max="12540" width="5.5703125" style="18" customWidth="1"/>
    <col min="12541" max="12541" width="9" style="18" customWidth="1"/>
    <col min="12542" max="12543" width="9.85546875" style="18" customWidth="1"/>
    <col min="12544" max="12544" width="11.140625" style="18" customWidth="1"/>
    <col min="12545" max="12545" width="2.85546875" style="18" customWidth="1"/>
    <col min="12546" max="12546" width="3.5703125" style="18" customWidth="1"/>
    <col min="12547" max="12791" width="9.140625" style="18"/>
    <col min="12792" max="12792" width="8.7109375" style="18" customWidth="1"/>
    <col min="12793" max="12793" width="9.85546875" style="18" customWidth="1"/>
    <col min="12794" max="12794" width="14.42578125" style="18" customWidth="1"/>
    <col min="12795" max="12795" width="7.28515625" style="18" customWidth="1"/>
    <col min="12796" max="12796" width="5.5703125" style="18" customWidth="1"/>
    <col min="12797" max="12797" width="9" style="18" customWidth="1"/>
    <col min="12798" max="12799" width="9.85546875" style="18" customWidth="1"/>
    <col min="12800" max="12800" width="11.140625" style="18" customWidth="1"/>
    <col min="12801" max="12801" width="2.85546875" style="18" customWidth="1"/>
    <col min="12802" max="12802" width="3.5703125" style="18" customWidth="1"/>
    <col min="12803" max="13047" width="9.140625" style="18"/>
    <col min="13048" max="13048" width="8.7109375" style="18" customWidth="1"/>
    <col min="13049" max="13049" width="9.85546875" style="18" customWidth="1"/>
    <col min="13050" max="13050" width="14.42578125" style="18" customWidth="1"/>
    <col min="13051" max="13051" width="7.28515625" style="18" customWidth="1"/>
    <col min="13052" max="13052" width="5.5703125" style="18" customWidth="1"/>
    <col min="13053" max="13053" width="9" style="18" customWidth="1"/>
    <col min="13054" max="13055" width="9.85546875" style="18" customWidth="1"/>
    <col min="13056" max="13056" width="11.140625" style="18" customWidth="1"/>
    <col min="13057" max="13057" width="2.85546875" style="18" customWidth="1"/>
    <col min="13058" max="13058" width="3.5703125" style="18" customWidth="1"/>
    <col min="13059" max="13303" width="9.140625" style="18"/>
    <col min="13304" max="13304" width="8.7109375" style="18" customWidth="1"/>
    <col min="13305" max="13305" width="9.85546875" style="18" customWidth="1"/>
    <col min="13306" max="13306" width="14.42578125" style="18" customWidth="1"/>
    <col min="13307" max="13307" width="7.28515625" style="18" customWidth="1"/>
    <col min="13308" max="13308" width="5.5703125" style="18" customWidth="1"/>
    <col min="13309" max="13309" width="9" style="18" customWidth="1"/>
    <col min="13310" max="13311" width="9.85546875" style="18" customWidth="1"/>
    <col min="13312" max="13312" width="11.140625" style="18" customWidth="1"/>
    <col min="13313" max="13313" width="2.85546875" style="18" customWidth="1"/>
    <col min="13314" max="13314" width="3.5703125" style="18" customWidth="1"/>
    <col min="13315" max="13559" width="9.140625" style="18"/>
    <col min="13560" max="13560" width="8.7109375" style="18" customWidth="1"/>
    <col min="13561" max="13561" width="9.85546875" style="18" customWidth="1"/>
    <col min="13562" max="13562" width="14.42578125" style="18" customWidth="1"/>
    <col min="13563" max="13563" width="7.28515625" style="18" customWidth="1"/>
    <col min="13564" max="13564" width="5.5703125" style="18" customWidth="1"/>
    <col min="13565" max="13565" width="9" style="18" customWidth="1"/>
    <col min="13566" max="13567" width="9.85546875" style="18" customWidth="1"/>
    <col min="13568" max="13568" width="11.140625" style="18" customWidth="1"/>
    <col min="13569" max="13569" width="2.85546875" style="18" customWidth="1"/>
    <col min="13570" max="13570" width="3.5703125" style="18" customWidth="1"/>
    <col min="13571" max="13815" width="9.140625" style="18"/>
    <col min="13816" max="13816" width="8.7109375" style="18" customWidth="1"/>
    <col min="13817" max="13817" width="9.85546875" style="18" customWidth="1"/>
    <col min="13818" max="13818" width="14.42578125" style="18" customWidth="1"/>
    <col min="13819" max="13819" width="7.28515625" style="18" customWidth="1"/>
    <col min="13820" max="13820" width="5.5703125" style="18" customWidth="1"/>
    <col min="13821" max="13821" width="9" style="18" customWidth="1"/>
    <col min="13822" max="13823" width="9.85546875" style="18" customWidth="1"/>
    <col min="13824" max="13824" width="11.140625" style="18" customWidth="1"/>
    <col min="13825" max="13825" width="2.85546875" style="18" customWidth="1"/>
    <col min="13826" max="13826" width="3.5703125" style="18" customWidth="1"/>
    <col min="13827" max="14071" width="9.140625" style="18"/>
    <col min="14072" max="14072" width="8.7109375" style="18" customWidth="1"/>
    <col min="14073" max="14073" width="9.85546875" style="18" customWidth="1"/>
    <col min="14074" max="14074" width="14.42578125" style="18" customWidth="1"/>
    <col min="14075" max="14075" width="7.28515625" style="18" customWidth="1"/>
    <col min="14076" max="14076" width="5.5703125" style="18" customWidth="1"/>
    <col min="14077" max="14077" width="9" style="18" customWidth="1"/>
    <col min="14078" max="14079" width="9.85546875" style="18" customWidth="1"/>
    <col min="14080" max="14080" width="11.140625" style="18" customWidth="1"/>
    <col min="14081" max="14081" width="2.85546875" style="18" customWidth="1"/>
    <col min="14082" max="14082" width="3.5703125" style="18" customWidth="1"/>
    <col min="14083" max="14327" width="9.140625" style="18"/>
    <col min="14328" max="14328" width="8.7109375" style="18" customWidth="1"/>
    <col min="14329" max="14329" width="9.85546875" style="18" customWidth="1"/>
    <col min="14330" max="14330" width="14.42578125" style="18" customWidth="1"/>
    <col min="14331" max="14331" width="7.28515625" style="18" customWidth="1"/>
    <col min="14332" max="14332" width="5.5703125" style="18" customWidth="1"/>
    <col min="14333" max="14333" width="9" style="18" customWidth="1"/>
    <col min="14334" max="14335" width="9.85546875" style="18" customWidth="1"/>
    <col min="14336" max="14336" width="11.140625" style="18" customWidth="1"/>
    <col min="14337" max="14337" width="2.85546875" style="18" customWidth="1"/>
    <col min="14338" max="14338" width="3.5703125" style="18" customWidth="1"/>
    <col min="14339" max="14583" width="9.140625" style="18"/>
    <col min="14584" max="14584" width="8.7109375" style="18" customWidth="1"/>
    <col min="14585" max="14585" width="9.85546875" style="18" customWidth="1"/>
    <col min="14586" max="14586" width="14.42578125" style="18" customWidth="1"/>
    <col min="14587" max="14587" width="7.28515625" style="18" customWidth="1"/>
    <col min="14588" max="14588" width="5.5703125" style="18" customWidth="1"/>
    <col min="14589" max="14589" width="9" style="18" customWidth="1"/>
    <col min="14590" max="14591" width="9.85546875" style="18" customWidth="1"/>
    <col min="14592" max="14592" width="11.140625" style="18" customWidth="1"/>
    <col min="14593" max="14593" width="2.85546875" style="18" customWidth="1"/>
    <col min="14594" max="14594" width="3.5703125" style="18" customWidth="1"/>
    <col min="14595" max="14839" width="9.140625" style="18"/>
    <col min="14840" max="14840" width="8.7109375" style="18" customWidth="1"/>
    <col min="14841" max="14841" width="9.85546875" style="18" customWidth="1"/>
    <col min="14842" max="14842" width="14.42578125" style="18" customWidth="1"/>
    <col min="14843" max="14843" width="7.28515625" style="18" customWidth="1"/>
    <col min="14844" max="14844" width="5.5703125" style="18" customWidth="1"/>
    <col min="14845" max="14845" width="9" style="18" customWidth="1"/>
    <col min="14846" max="14847" width="9.85546875" style="18" customWidth="1"/>
    <col min="14848" max="14848" width="11.140625" style="18" customWidth="1"/>
    <col min="14849" max="14849" width="2.85546875" style="18" customWidth="1"/>
    <col min="14850" max="14850" width="3.5703125" style="18" customWidth="1"/>
    <col min="14851" max="15095" width="9.140625" style="18"/>
    <col min="15096" max="15096" width="8.7109375" style="18" customWidth="1"/>
    <col min="15097" max="15097" width="9.85546875" style="18" customWidth="1"/>
    <col min="15098" max="15098" width="14.42578125" style="18" customWidth="1"/>
    <col min="15099" max="15099" width="7.28515625" style="18" customWidth="1"/>
    <col min="15100" max="15100" width="5.5703125" style="18" customWidth="1"/>
    <col min="15101" max="15101" width="9" style="18" customWidth="1"/>
    <col min="15102" max="15103" width="9.85546875" style="18" customWidth="1"/>
    <col min="15104" max="15104" width="11.140625" style="18" customWidth="1"/>
    <col min="15105" max="15105" width="2.85546875" style="18" customWidth="1"/>
    <col min="15106" max="15106" width="3.5703125" style="18" customWidth="1"/>
    <col min="15107" max="15351" width="9.140625" style="18"/>
    <col min="15352" max="15352" width="8.7109375" style="18" customWidth="1"/>
    <col min="15353" max="15353" width="9.85546875" style="18" customWidth="1"/>
    <col min="15354" max="15354" width="14.42578125" style="18" customWidth="1"/>
    <col min="15355" max="15355" width="7.28515625" style="18" customWidth="1"/>
    <col min="15356" max="15356" width="5.5703125" style="18" customWidth="1"/>
    <col min="15357" max="15357" width="9" style="18" customWidth="1"/>
    <col min="15358" max="15359" width="9.85546875" style="18" customWidth="1"/>
    <col min="15360" max="15360" width="11.140625" style="18" customWidth="1"/>
    <col min="15361" max="15361" width="2.85546875" style="18" customWidth="1"/>
    <col min="15362" max="15362" width="3.5703125" style="18" customWidth="1"/>
    <col min="15363" max="15607" width="9.140625" style="18"/>
    <col min="15608" max="15608" width="8.7109375" style="18" customWidth="1"/>
    <col min="15609" max="15609" width="9.85546875" style="18" customWidth="1"/>
    <col min="15610" max="15610" width="14.42578125" style="18" customWidth="1"/>
    <col min="15611" max="15611" width="7.28515625" style="18" customWidth="1"/>
    <col min="15612" max="15612" width="5.5703125" style="18" customWidth="1"/>
    <col min="15613" max="15613" width="9" style="18" customWidth="1"/>
    <col min="15614" max="15615" width="9.85546875" style="18" customWidth="1"/>
    <col min="15616" max="15616" width="11.140625" style="18" customWidth="1"/>
    <col min="15617" max="15617" width="2.85546875" style="18" customWidth="1"/>
    <col min="15618" max="15618" width="3.5703125" style="18" customWidth="1"/>
    <col min="15619" max="15863" width="9.140625" style="18"/>
    <col min="15864" max="15864" width="8.7109375" style="18" customWidth="1"/>
    <col min="15865" max="15865" width="9.85546875" style="18" customWidth="1"/>
    <col min="15866" max="15866" width="14.42578125" style="18" customWidth="1"/>
    <col min="15867" max="15867" width="7.28515625" style="18" customWidth="1"/>
    <col min="15868" max="15868" width="5.5703125" style="18" customWidth="1"/>
    <col min="15869" max="15869" width="9" style="18" customWidth="1"/>
    <col min="15870" max="15871" width="9.85546875" style="18" customWidth="1"/>
    <col min="15872" max="15872" width="11.140625" style="18" customWidth="1"/>
    <col min="15873" max="15873" width="2.85546875" style="18" customWidth="1"/>
    <col min="15874" max="15874" width="3.5703125" style="18" customWidth="1"/>
    <col min="15875" max="16119" width="9.140625" style="18"/>
    <col min="16120" max="16120" width="8.7109375" style="18" customWidth="1"/>
    <col min="16121" max="16121" width="9.85546875" style="18" customWidth="1"/>
    <col min="16122" max="16122" width="14.42578125" style="18" customWidth="1"/>
    <col min="16123" max="16123" width="7.28515625" style="18" customWidth="1"/>
    <col min="16124" max="16124" width="5.5703125" style="18" customWidth="1"/>
    <col min="16125" max="16125" width="9" style="18" customWidth="1"/>
    <col min="16126" max="16127" width="9.85546875" style="18" customWidth="1"/>
    <col min="16128" max="16128" width="11.140625" style="18" customWidth="1"/>
    <col min="16129" max="16129" width="2.85546875" style="18" customWidth="1"/>
    <col min="16130" max="16130" width="3.5703125" style="18" customWidth="1"/>
    <col min="16131" max="16384" width="9.140625" style="18"/>
  </cols>
  <sheetData>
    <row r="1" spans="1:26" ht="46.5" customHeight="1" x14ac:dyDescent="0.25">
      <c r="A1" s="158" t="s">
        <v>164</v>
      </c>
      <c r="B1" s="158"/>
      <c r="C1" s="158"/>
      <c r="D1" s="158"/>
      <c r="E1" s="158"/>
      <c r="F1" s="158"/>
      <c r="G1" s="158"/>
      <c r="H1" s="158"/>
    </row>
    <row r="2" spans="1:26" ht="16.5" customHeight="1" x14ac:dyDescent="0.25">
      <c r="A2" s="159" t="s">
        <v>0</v>
      </c>
      <c r="B2" s="159"/>
      <c r="C2" s="159"/>
      <c r="D2" s="159"/>
      <c r="E2" s="159"/>
      <c r="F2" s="159"/>
      <c r="G2" s="159"/>
      <c r="H2" s="159"/>
    </row>
    <row r="3" spans="1:26" x14ac:dyDescent="0.25">
      <c r="A3" s="116" t="s">
        <v>1</v>
      </c>
      <c r="B3" s="116"/>
      <c r="C3" s="116"/>
      <c r="D3" s="116"/>
      <c r="E3" s="116" t="str">
        <f ca="1">TEXT(TODAY(),"DD/MM/YYYY")</f>
        <v>19/09/2025</v>
      </c>
      <c r="F3" s="116"/>
      <c r="G3" s="116"/>
      <c r="H3" s="116"/>
      <c r="K3" s="52" t="s">
        <v>235</v>
      </c>
      <c r="L3" s="48" t="s">
        <v>233</v>
      </c>
      <c r="M3" s="48" t="s">
        <v>238</v>
      </c>
      <c r="N3" s="48" t="s">
        <v>236</v>
      </c>
      <c r="O3" s="48" t="s">
        <v>237</v>
      </c>
      <c r="P3" s="48" t="s">
        <v>239</v>
      </c>
    </row>
    <row r="4" spans="1:26" ht="15" customHeight="1" x14ac:dyDescent="0.25">
      <c r="A4" s="116" t="s">
        <v>232</v>
      </c>
      <c r="B4" s="116"/>
      <c r="C4" s="116"/>
      <c r="D4" s="116"/>
      <c r="E4" s="116" t="s">
        <v>233</v>
      </c>
      <c r="F4" s="116"/>
      <c r="G4" s="116"/>
      <c r="H4" s="116"/>
      <c r="K4" s="47" t="s">
        <v>234</v>
      </c>
      <c r="L4" s="48" t="s">
        <v>170</v>
      </c>
      <c r="M4" s="48" t="s">
        <v>243</v>
      </c>
      <c r="N4" s="48" t="s">
        <v>245</v>
      </c>
      <c r="O4" s="48" t="s">
        <v>247</v>
      </c>
      <c r="P4" s="48"/>
    </row>
    <row r="5" spans="1:26" ht="15" customHeight="1" x14ac:dyDescent="0.25">
      <c r="A5" s="116" t="s">
        <v>2</v>
      </c>
      <c r="B5" s="116"/>
      <c r="C5" s="116"/>
      <c r="D5" s="116"/>
      <c r="E5" s="116" t="s">
        <v>241</v>
      </c>
      <c r="F5" s="116"/>
      <c r="G5" s="116"/>
      <c r="H5" s="116"/>
      <c r="K5" s="47"/>
      <c r="L5" s="48" t="s">
        <v>240</v>
      </c>
      <c r="M5" s="48" t="s">
        <v>244</v>
      </c>
      <c r="N5" s="48" t="s">
        <v>246</v>
      </c>
      <c r="O5" s="48" t="s">
        <v>248</v>
      </c>
      <c r="P5" s="48"/>
    </row>
    <row r="6" spans="1:26" x14ac:dyDescent="0.25">
      <c r="A6" s="116" t="s">
        <v>3</v>
      </c>
      <c r="B6" s="116"/>
      <c r="C6" s="116"/>
      <c r="D6" s="116"/>
      <c r="E6" s="161">
        <v>45909</v>
      </c>
      <c r="F6" s="116"/>
      <c r="G6" s="116"/>
      <c r="H6" s="116"/>
      <c r="K6" s="47"/>
      <c r="L6" s="48" t="s">
        <v>241</v>
      </c>
      <c r="M6" s="48"/>
      <c r="N6" s="48"/>
      <c r="O6" s="48" t="s">
        <v>249</v>
      </c>
      <c r="P6" s="48"/>
    </row>
    <row r="7" spans="1:26" ht="16.5" customHeight="1" x14ac:dyDescent="0.25">
      <c r="A7" s="116" t="s">
        <v>4</v>
      </c>
      <c r="B7" s="116"/>
      <c r="C7" s="116"/>
      <c r="D7" s="116"/>
      <c r="E7" s="116" t="s">
        <v>280</v>
      </c>
      <c r="F7" s="116"/>
      <c r="G7" s="116"/>
      <c r="H7" s="116"/>
      <c r="K7" s="47"/>
      <c r="L7" s="48" t="s">
        <v>242</v>
      </c>
      <c r="M7" s="48"/>
      <c r="N7" s="48"/>
      <c r="O7" s="48" t="s">
        <v>249</v>
      </c>
      <c r="P7" s="48"/>
    </row>
    <row r="8" spans="1:26" ht="15" customHeight="1" x14ac:dyDescent="0.25">
      <c r="A8" s="116" t="s">
        <v>5</v>
      </c>
      <c r="B8" s="116"/>
      <c r="C8" s="116"/>
      <c r="D8" s="116"/>
      <c r="E8" s="116" t="str">
        <f>E7</f>
        <v>Mahashakti Developers</v>
      </c>
      <c r="F8" s="116"/>
      <c r="G8" s="116"/>
      <c r="H8" s="116"/>
      <c r="K8" s="47"/>
      <c r="L8" s="48"/>
      <c r="M8" s="48"/>
      <c r="N8" s="48"/>
      <c r="O8" s="48" t="s">
        <v>250</v>
      </c>
      <c r="P8" s="48"/>
    </row>
    <row r="9" spans="1:26" x14ac:dyDescent="0.25">
      <c r="A9" s="116" t="s">
        <v>6</v>
      </c>
      <c r="B9" s="116"/>
      <c r="C9" s="116"/>
      <c r="D9" s="116"/>
      <c r="E9" s="160" t="s">
        <v>281</v>
      </c>
      <c r="F9" s="160"/>
      <c r="G9" s="160"/>
      <c r="H9" s="160"/>
      <c r="K9" s="47"/>
      <c r="L9" s="48"/>
      <c r="M9" s="48"/>
      <c r="N9" s="48"/>
      <c r="O9" s="48" t="s">
        <v>251</v>
      </c>
      <c r="P9" s="48"/>
    </row>
    <row r="10" spans="1:26" x14ac:dyDescent="0.25">
      <c r="A10" s="116" t="s">
        <v>167</v>
      </c>
      <c r="B10" s="116"/>
      <c r="C10" s="116"/>
      <c r="D10" s="116"/>
      <c r="E10" s="116" t="s">
        <v>282</v>
      </c>
      <c r="F10" s="116"/>
      <c r="G10" s="116"/>
      <c r="H10" s="116"/>
      <c r="K10" s="47"/>
      <c r="L10" s="48"/>
      <c r="M10" s="48"/>
      <c r="N10" s="48"/>
      <c r="O10" s="48"/>
      <c r="P10" s="48"/>
    </row>
    <row r="11" spans="1:26" x14ac:dyDescent="0.25">
      <c r="A11" s="116" t="s">
        <v>168</v>
      </c>
      <c r="B11" s="116"/>
      <c r="C11" s="116"/>
      <c r="D11" s="116"/>
      <c r="E11" s="116" t="s">
        <v>28</v>
      </c>
      <c r="F11" s="116"/>
      <c r="G11" s="116"/>
      <c r="H11" s="116"/>
    </row>
    <row r="12" spans="1:26" x14ac:dyDescent="0.25">
      <c r="A12" s="116" t="s">
        <v>7</v>
      </c>
      <c r="B12" s="116"/>
      <c r="C12" s="116"/>
      <c r="D12" s="116"/>
      <c r="E12" s="116" t="s">
        <v>120</v>
      </c>
      <c r="F12" s="116"/>
      <c r="G12" s="116"/>
      <c r="H12" s="116"/>
    </row>
    <row r="13" spans="1:26" hidden="1" x14ac:dyDescent="0.25">
      <c r="A13" s="116" t="s">
        <v>171</v>
      </c>
      <c r="B13" s="116"/>
      <c r="C13" s="116"/>
      <c r="D13" s="116"/>
      <c r="E13" s="116"/>
      <c r="F13" s="116"/>
      <c r="G13" s="116"/>
      <c r="H13" s="116"/>
      <c r="S13" s="48" t="s">
        <v>178</v>
      </c>
      <c r="T13" s="48" t="s">
        <v>188</v>
      </c>
      <c r="U13" s="48" t="s">
        <v>172</v>
      </c>
      <c r="V13" s="48" t="s">
        <v>193</v>
      </c>
      <c r="W13" s="48" t="s">
        <v>211</v>
      </c>
      <c r="X13"/>
      <c r="Y13" t="s">
        <v>193</v>
      </c>
      <c r="Z13" t="e">
        <f ca="1">OFFSET($S$13,1,MATCH($G20,$S$13:$W$13,0)-1,15,1)</f>
        <v>#VALUE!</v>
      </c>
    </row>
    <row r="14" spans="1:26" ht="32.25" customHeight="1" x14ac:dyDescent="0.25">
      <c r="A14" s="91" t="s">
        <v>278</v>
      </c>
      <c r="B14" s="91"/>
      <c r="C14" s="91"/>
      <c r="D14" s="91"/>
      <c r="E14" s="105" t="s">
        <v>315</v>
      </c>
      <c r="F14" s="105"/>
      <c r="G14" s="105"/>
      <c r="H14" s="105"/>
      <c r="S14" s="48" t="s">
        <v>179</v>
      </c>
      <c r="T14" s="48" t="s">
        <v>186</v>
      </c>
      <c r="U14" s="48" t="s">
        <v>208</v>
      </c>
      <c r="V14" s="48" t="s">
        <v>194</v>
      </c>
      <c r="W14" s="48" t="s">
        <v>212</v>
      </c>
      <c r="X14"/>
      <c r="Y14"/>
      <c r="Z14"/>
    </row>
    <row r="15" spans="1:26" x14ac:dyDescent="0.25">
      <c r="A15" s="91" t="s">
        <v>8</v>
      </c>
      <c r="B15" s="91"/>
      <c r="C15" s="91"/>
      <c r="D15" s="91"/>
      <c r="E15" s="105" t="s">
        <v>283</v>
      </c>
      <c r="F15" s="116"/>
      <c r="G15" s="116"/>
      <c r="H15" s="116"/>
      <c r="I15" s="202" t="e">
        <f ca="1">OFFSET($D$5,1,MATCH($J13,$D$5:$H$5,0)-1,15,1)</f>
        <v>#N/A</v>
      </c>
      <c r="J15" s="203"/>
      <c r="K15" s="203"/>
      <c r="L15" s="203"/>
      <c r="M15" s="203"/>
      <c r="N15" s="203"/>
      <c r="O15" s="203"/>
      <c r="P15" s="203"/>
      <c r="S15" s="48" t="s">
        <v>180</v>
      </c>
      <c r="T15" s="48" t="s">
        <v>187</v>
      </c>
      <c r="U15" s="48" t="s">
        <v>209</v>
      </c>
      <c r="V15" s="48" t="s">
        <v>195</v>
      </c>
      <c r="W15" s="48" t="s">
        <v>225</v>
      </c>
      <c r="X15"/>
      <c r="Y15"/>
      <c r="Z15"/>
    </row>
    <row r="16" spans="1:26" ht="33" customHeight="1" x14ac:dyDescent="0.25">
      <c r="A16" s="105" t="s">
        <v>9</v>
      </c>
      <c r="B16" s="105"/>
      <c r="C16" s="105" t="str">
        <f>CONCATENATE((IF(OR(E9="",E9="NA"),"",E9)),", ",(IF(OR(A17="",A17="NA"),"",A17)),".",(IF(OR(C17="",C17="NA"),"",C17)),", near ",(IF(OR(C22="",C22="NA"),"",C22)),", ",(IF(OR(C19="",C19="NA"),"",C19)),", ",(IF(OR(C18="",C18="NA"),"",C18)),", ",(IF(OR(G19="",G19="NA"),"",G19)),", ",(IF(OR(C20="",C20="NA"),"",C20)),", ",(IF(OR(C21="",C21="NA"),"",C21)),", ",(IF(OR(G20="",G20="NA"),"",G20))," - ",(IF(OR(G21="",G21="NA"),"",G21)),".")</f>
        <v>Zenisha Corner, Plot No.55, Sector R1, near Shree Residency, Internal Road, Karanjade, Pushpak, Panvel west, Panvel, Raigad - 410206.</v>
      </c>
      <c r="D16" s="105"/>
      <c r="E16" s="105"/>
      <c r="F16" s="105"/>
      <c r="G16" s="105"/>
      <c r="H16" s="105"/>
      <c r="S16" s="48" t="s">
        <v>181</v>
      </c>
      <c r="T16" s="48" t="s">
        <v>189</v>
      </c>
      <c r="U16" s="48" t="s">
        <v>210</v>
      </c>
      <c r="V16" s="48" t="s">
        <v>196</v>
      </c>
      <c r="W16" s="48" t="s">
        <v>213</v>
      </c>
      <c r="X16"/>
      <c r="Y16"/>
      <c r="Z16"/>
    </row>
    <row r="17" spans="1:26" x14ac:dyDescent="0.25">
      <c r="A17" s="105" t="s">
        <v>299</v>
      </c>
      <c r="B17" s="105"/>
      <c r="C17" s="105" t="s">
        <v>333</v>
      </c>
      <c r="D17" s="105"/>
      <c r="E17" s="105"/>
      <c r="F17" s="105"/>
      <c r="G17" s="105"/>
      <c r="H17" s="105"/>
      <c r="S17" s="48" t="s">
        <v>182</v>
      </c>
      <c r="T17" s="48" t="s">
        <v>190</v>
      </c>
      <c r="U17" s="48" t="s">
        <v>172</v>
      </c>
      <c r="V17" s="48" t="s">
        <v>197</v>
      </c>
      <c r="W17" s="48" t="s">
        <v>214</v>
      </c>
      <c r="X17"/>
      <c r="Y17"/>
      <c r="Z17"/>
    </row>
    <row r="18" spans="1:26" ht="15.75" customHeight="1" x14ac:dyDescent="0.25">
      <c r="A18" s="105" t="s">
        <v>162</v>
      </c>
      <c r="B18" s="105"/>
      <c r="C18" s="105" t="s">
        <v>304</v>
      </c>
      <c r="D18" s="105"/>
      <c r="E18" s="105"/>
      <c r="F18" s="105"/>
      <c r="G18" s="105"/>
      <c r="H18" s="105"/>
      <c r="S18" s="48" t="s">
        <v>183</v>
      </c>
      <c r="T18" s="48" t="s">
        <v>188</v>
      </c>
      <c r="U18" s="48"/>
      <c r="V18" s="48" t="s">
        <v>198</v>
      </c>
      <c r="W18" s="48" t="s">
        <v>215</v>
      </c>
      <c r="X18"/>
      <c r="Y18"/>
      <c r="Z18"/>
    </row>
    <row r="19" spans="1:26" ht="15.75" customHeight="1" x14ac:dyDescent="0.25">
      <c r="A19" s="105" t="s">
        <v>10</v>
      </c>
      <c r="B19" s="105"/>
      <c r="C19" s="116" t="s">
        <v>303</v>
      </c>
      <c r="D19" s="116"/>
      <c r="E19" s="105" t="s">
        <v>70</v>
      </c>
      <c r="F19" s="105"/>
      <c r="G19" s="105" t="s">
        <v>300</v>
      </c>
      <c r="H19" s="105"/>
      <c r="S19" s="48" t="s">
        <v>184</v>
      </c>
      <c r="T19" s="48" t="s">
        <v>191</v>
      </c>
      <c r="U19" s="48"/>
      <c r="V19" s="48" t="s">
        <v>199</v>
      </c>
      <c r="W19" s="48" t="s">
        <v>216</v>
      </c>
      <c r="X19"/>
      <c r="Y19"/>
      <c r="Z19"/>
    </row>
    <row r="20" spans="1:26" x14ac:dyDescent="0.25">
      <c r="A20" s="116" t="s">
        <v>12</v>
      </c>
      <c r="B20" s="116"/>
      <c r="C20" s="105" t="s">
        <v>322</v>
      </c>
      <c r="D20" s="105"/>
      <c r="E20" s="105" t="s">
        <v>11</v>
      </c>
      <c r="F20" s="105"/>
      <c r="G20" s="157" t="s">
        <v>193</v>
      </c>
      <c r="H20" s="157"/>
      <c r="S20" s="48" t="s">
        <v>185</v>
      </c>
      <c r="T20" s="48" t="s">
        <v>192</v>
      </c>
      <c r="U20" s="48"/>
      <c r="V20" s="48" t="s">
        <v>200</v>
      </c>
      <c r="W20" s="48" t="s">
        <v>217</v>
      </c>
      <c r="X20"/>
      <c r="Y20"/>
      <c r="Z20"/>
    </row>
    <row r="21" spans="1:26" x14ac:dyDescent="0.25">
      <c r="A21" s="116" t="s">
        <v>71</v>
      </c>
      <c r="B21" s="116"/>
      <c r="C21" s="105" t="s">
        <v>195</v>
      </c>
      <c r="D21" s="105"/>
      <c r="E21" s="105" t="s">
        <v>13</v>
      </c>
      <c r="F21" s="105"/>
      <c r="G21" s="105">
        <v>410206</v>
      </c>
      <c r="H21" s="105"/>
      <c r="S21" s="48"/>
      <c r="T21" s="48"/>
      <c r="U21" s="48"/>
      <c r="V21" s="48" t="s">
        <v>201</v>
      </c>
      <c r="W21" s="48" t="s">
        <v>218</v>
      </c>
      <c r="X21"/>
      <c r="Y21"/>
      <c r="Z21"/>
    </row>
    <row r="22" spans="1:26" ht="32.25" customHeight="1" x14ac:dyDescent="0.25">
      <c r="A22" s="116" t="s">
        <v>121</v>
      </c>
      <c r="B22" s="116"/>
      <c r="C22" s="105" t="s">
        <v>302</v>
      </c>
      <c r="D22" s="105"/>
      <c r="E22" s="105" t="s">
        <v>14</v>
      </c>
      <c r="F22" s="105"/>
      <c r="G22" s="105" t="s">
        <v>301</v>
      </c>
      <c r="H22" s="105"/>
      <c r="S22" s="48"/>
      <c r="T22" s="48"/>
      <c r="U22" s="48"/>
      <c r="V22" s="48" t="s">
        <v>202</v>
      </c>
      <c r="W22" s="48" t="s">
        <v>219</v>
      </c>
      <c r="X22"/>
      <c r="Y22"/>
      <c r="Z22"/>
    </row>
    <row r="23" spans="1:26" ht="15" customHeight="1" x14ac:dyDescent="0.25">
      <c r="A23" s="125" t="s">
        <v>73</v>
      </c>
      <c r="B23" s="125"/>
      <c r="C23" s="125"/>
      <c r="D23" s="125"/>
      <c r="E23" s="116" t="s">
        <v>15</v>
      </c>
      <c r="F23" s="116"/>
      <c r="G23" s="116"/>
      <c r="H23" s="116"/>
      <c r="S23" s="48"/>
      <c r="T23" s="48"/>
      <c r="U23" s="48"/>
      <c r="V23" s="48" t="s">
        <v>203</v>
      </c>
      <c r="W23" s="48" t="s">
        <v>220</v>
      </c>
      <c r="X23"/>
      <c r="Y23"/>
      <c r="Z23"/>
    </row>
    <row r="24" spans="1:26" ht="18.75" customHeight="1" x14ac:dyDescent="0.25">
      <c r="A24" s="125"/>
      <c r="B24" s="125"/>
      <c r="C24" s="125"/>
      <c r="D24" s="125"/>
      <c r="E24" s="116"/>
      <c r="F24" s="116"/>
      <c r="G24" s="116"/>
      <c r="H24" s="116"/>
      <c r="S24" s="48"/>
      <c r="T24" s="48"/>
      <c r="U24" s="48"/>
      <c r="V24" s="48" t="s">
        <v>204</v>
      </c>
      <c r="W24" s="48" t="s">
        <v>221</v>
      </c>
      <c r="X24"/>
      <c r="Y24"/>
      <c r="Z24"/>
    </row>
    <row r="25" spans="1:26" ht="15" customHeight="1" x14ac:dyDescent="0.25">
      <c r="A25" s="125" t="s">
        <v>16</v>
      </c>
      <c r="B25" s="125"/>
      <c r="C25" s="125"/>
      <c r="D25" s="125"/>
      <c r="E25" s="105" t="s">
        <v>17</v>
      </c>
      <c r="F25" s="105"/>
      <c r="G25" s="105"/>
      <c r="H25" s="105"/>
      <c r="S25" s="48"/>
      <c r="T25" s="48"/>
      <c r="U25" s="48"/>
      <c r="V25" s="48" t="s">
        <v>205</v>
      </c>
      <c r="W25" s="48" t="s">
        <v>222</v>
      </c>
      <c r="X25"/>
      <c r="Y25"/>
      <c r="Z25"/>
    </row>
    <row r="26" spans="1:26" ht="15" customHeight="1" x14ac:dyDescent="0.25">
      <c r="A26" s="91" t="s">
        <v>18</v>
      </c>
      <c r="B26" s="91"/>
      <c r="C26" s="91"/>
      <c r="D26" s="91"/>
      <c r="E26" s="105" t="str">
        <f>IF(AND(G20="Mumbai"),"Upper Class","Middle Class")</f>
        <v>Middle Class</v>
      </c>
      <c r="F26" s="105"/>
      <c r="G26" s="105"/>
      <c r="H26" s="105"/>
      <c r="S26" s="48"/>
      <c r="T26" s="48"/>
      <c r="U26" s="48"/>
      <c r="V26" s="48" t="s">
        <v>206</v>
      </c>
      <c r="W26" s="48" t="s">
        <v>223</v>
      </c>
      <c r="X26"/>
      <c r="Y26"/>
      <c r="Z26"/>
    </row>
    <row r="27" spans="1:26" x14ac:dyDescent="0.25">
      <c r="A27" s="91" t="s">
        <v>19</v>
      </c>
      <c r="B27" s="91"/>
      <c r="C27" s="91"/>
      <c r="D27" s="91"/>
      <c r="E27" s="105" t="s">
        <v>20</v>
      </c>
      <c r="F27" s="105"/>
      <c r="G27" s="105"/>
      <c r="H27" s="105"/>
      <c r="S27" s="48"/>
      <c r="T27" s="48"/>
      <c r="U27" s="48"/>
      <c r="V27" s="48" t="s">
        <v>207</v>
      </c>
      <c r="W27" s="48" t="s">
        <v>224</v>
      </c>
      <c r="X27"/>
      <c r="Y27"/>
      <c r="Z27"/>
    </row>
    <row r="28" spans="1:26" ht="15.75" customHeight="1" x14ac:dyDescent="0.25">
      <c r="A28" s="91" t="s">
        <v>21</v>
      </c>
      <c r="B28" s="91"/>
      <c r="C28" s="91"/>
      <c r="D28" s="91"/>
      <c r="E28" s="105" t="str">
        <f>IF(AND(G20="Mumbai"),"Developed","Developing")</f>
        <v>Developing</v>
      </c>
      <c r="F28" s="105"/>
      <c r="G28" s="105"/>
      <c r="H28" s="105"/>
    </row>
    <row r="29" spans="1:26" x14ac:dyDescent="0.25">
      <c r="A29" s="91" t="s">
        <v>22</v>
      </c>
      <c r="B29" s="91"/>
      <c r="C29" s="91"/>
      <c r="D29" s="91"/>
      <c r="E29" s="105" t="s">
        <v>23</v>
      </c>
      <c r="F29" s="105"/>
      <c r="G29" s="105"/>
      <c r="H29" s="105"/>
    </row>
    <row r="30" spans="1:26" ht="15.75" customHeight="1" x14ac:dyDescent="0.25">
      <c r="A30" s="91" t="s">
        <v>78</v>
      </c>
      <c r="B30" s="91"/>
      <c r="C30" s="91"/>
      <c r="D30" s="91"/>
      <c r="E30" s="105" t="s">
        <v>79</v>
      </c>
      <c r="F30" s="105"/>
      <c r="G30" s="105"/>
      <c r="H30" s="105"/>
    </row>
    <row r="31" spans="1:26" ht="15" customHeight="1" x14ac:dyDescent="0.25">
      <c r="A31" s="91" t="s">
        <v>30</v>
      </c>
      <c r="B31" s="91"/>
      <c r="C31" s="91"/>
      <c r="D31" s="91"/>
      <c r="E31" s="105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31" s="105"/>
      <c r="G31" s="105"/>
      <c r="H31" s="105"/>
    </row>
    <row r="32" spans="1:26" ht="15.75" customHeight="1" x14ac:dyDescent="0.25">
      <c r="A32" s="91" t="s">
        <v>90</v>
      </c>
      <c r="B32" s="91"/>
      <c r="C32" s="91"/>
      <c r="D32" s="91"/>
      <c r="E32" s="105" t="s">
        <v>31</v>
      </c>
      <c r="F32" s="105"/>
      <c r="G32" s="105"/>
      <c r="H32" s="105"/>
    </row>
    <row r="33" spans="1:19" s="19" customFormat="1" x14ac:dyDescent="0.25">
      <c r="A33" s="156" t="s">
        <v>91</v>
      </c>
      <c r="B33" s="156"/>
      <c r="C33" s="153" t="s">
        <v>173</v>
      </c>
      <c r="D33" s="154"/>
      <c r="E33" s="155"/>
      <c r="F33" s="153" t="s">
        <v>29</v>
      </c>
      <c r="G33" s="154"/>
      <c r="H33" s="155"/>
      <c r="S33" s="19" t="e">
        <f ca="1">OFFSET($S$13,1,MATCH($G20,$S$13:$W$13,0)-1,15,1)</f>
        <v>#VALUE!</v>
      </c>
    </row>
    <row r="34" spans="1:19" s="19" customFormat="1" x14ac:dyDescent="0.25">
      <c r="A34" s="138" t="s">
        <v>24</v>
      </c>
      <c r="B34" s="138" t="s">
        <v>28</v>
      </c>
      <c r="C34" s="139" t="s">
        <v>306</v>
      </c>
      <c r="D34" s="140"/>
      <c r="E34" s="141"/>
      <c r="F34" s="139" t="s">
        <v>303</v>
      </c>
      <c r="G34" s="140"/>
      <c r="H34" s="141"/>
    </row>
    <row r="35" spans="1:19" x14ac:dyDescent="0.25">
      <c r="A35" s="138" t="s">
        <v>25</v>
      </c>
      <c r="B35" s="138" t="s">
        <v>28</v>
      </c>
      <c r="C35" s="139" t="s">
        <v>307</v>
      </c>
      <c r="D35" s="140"/>
      <c r="E35" s="141"/>
      <c r="F35" s="139" t="s">
        <v>302</v>
      </c>
      <c r="G35" s="140"/>
      <c r="H35" s="141"/>
    </row>
    <row r="36" spans="1:19" s="19" customFormat="1" x14ac:dyDescent="0.25">
      <c r="A36" s="138" t="s">
        <v>27</v>
      </c>
      <c r="B36" s="138" t="s">
        <v>28</v>
      </c>
      <c r="C36" s="139" t="s">
        <v>308</v>
      </c>
      <c r="D36" s="140"/>
      <c r="E36" s="141"/>
      <c r="F36" s="139" t="s">
        <v>303</v>
      </c>
      <c r="G36" s="140"/>
      <c r="H36" s="141"/>
    </row>
    <row r="37" spans="1:19" x14ac:dyDescent="0.25">
      <c r="A37" s="138" t="s">
        <v>26</v>
      </c>
      <c r="B37" s="138" t="s">
        <v>28</v>
      </c>
      <c r="C37" s="139" t="s">
        <v>309</v>
      </c>
      <c r="D37" s="140"/>
      <c r="E37" s="141"/>
      <c r="F37" s="139" t="s">
        <v>305</v>
      </c>
      <c r="G37" s="140"/>
      <c r="H37" s="141"/>
    </row>
    <row r="38" spans="1:19" x14ac:dyDescent="0.25">
      <c r="A38" s="91" t="s">
        <v>279</v>
      </c>
      <c r="B38" s="91"/>
      <c r="C38" s="91"/>
      <c r="D38" s="91"/>
      <c r="E38" s="91"/>
      <c r="F38" s="91"/>
      <c r="G38" s="91"/>
      <c r="H38" s="91"/>
    </row>
    <row r="39" spans="1:19" ht="15.75" customHeight="1" x14ac:dyDescent="0.25">
      <c r="A39" s="91" t="s">
        <v>165</v>
      </c>
      <c r="B39" s="91"/>
      <c r="C39" s="143" t="s">
        <v>298</v>
      </c>
      <c r="D39" s="143"/>
      <c r="E39" s="143"/>
      <c r="F39" s="143"/>
      <c r="G39" s="143"/>
      <c r="H39" s="143"/>
    </row>
    <row r="40" spans="1:19" x14ac:dyDescent="0.25">
      <c r="A40" s="91" t="s">
        <v>161</v>
      </c>
      <c r="B40" s="91"/>
      <c r="C40" s="104" t="s">
        <v>297</v>
      </c>
      <c r="D40" s="105"/>
      <c r="E40" s="105"/>
      <c r="F40" s="105"/>
      <c r="G40" s="105"/>
      <c r="H40" s="105"/>
    </row>
    <row r="41" spans="1:19" x14ac:dyDescent="0.25">
      <c r="A41" s="143" t="s">
        <v>32</v>
      </c>
      <c r="B41" s="143"/>
      <c r="C41" s="143"/>
      <c r="D41" s="143"/>
      <c r="E41" s="143"/>
      <c r="F41" s="143"/>
      <c r="G41" s="143"/>
      <c r="H41" s="143"/>
    </row>
    <row r="42" spans="1:19" x14ac:dyDescent="0.25">
      <c r="A42" s="91" t="s">
        <v>33</v>
      </c>
      <c r="B42" s="91"/>
      <c r="C42" s="91"/>
      <c r="D42" s="91"/>
      <c r="E42" s="142">
        <v>340</v>
      </c>
      <c r="F42" s="142"/>
      <c r="G42" s="142"/>
      <c r="H42" s="142"/>
    </row>
    <row r="43" spans="1:19" x14ac:dyDescent="0.25">
      <c r="A43" s="91" t="s">
        <v>34</v>
      </c>
      <c r="B43" s="91"/>
      <c r="C43" s="91"/>
      <c r="D43" s="91"/>
      <c r="E43" s="146">
        <v>1.5</v>
      </c>
      <c r="F43" s="146"/>
      <c r="G43" s="146"/>
      <c r="H43" s="146"/>
      <c r="I43" s="18">
        <f>510/E42</f>
        <v>1.5</v>
      </c>
    </row>
    <row r="44" spans="1:19" x14ac:dyDescent="0.25">
      <c r="A44" s="91" t="s">
        <v>35</v>
      </c>
      <c r="B44" s="91"/>
      <c r="C44" s="91"/>
      <c r="D44" s="91"/>
      <c r="E44" s="146">
        <f>E46/E42-E43</f>
        <v>1.9501470588235295</v>
      </c>
      <c r="F44" s="146"/>
      <c r="G44" s="146"/>
      <c r="H44" s="146"/>
    </row>
    <row r="45" spans="1:19" x14ac:dyDescent="0.25">
      <c r="A45" s="91" t="s">
        <v>36</v>
      </c>
      <c r="B45" s="91"/>
      <c r="C45" s="91"/>
      <c r="D45" s="91"/>
      <c r="E45" s="146">
        <f>E43+E44</f>
        <v>3.4501470588235295</v>
      </c>
      <c r="F45" s="146"/>
      <c r="G45" s="146"/>
      <c r="H45" s="146"/>
    </row>
    <row r="46" spans="1:19" x14ac:dyDescent="0.25">
      <c r="A46" s="91" t="s">
        <v>89</v>
      </c>
      <c r="B46" s="91"/>
      <c r="C46" s="91"/>
      <c r="D46" s="91"/>
      <c r="E46" s="147">
        <v>1173.05</v>
      </c>
      <c r="F46" s="147"/>
      <c r="G46" s="147"/>
      <c r="H46" s="147"/>
    </row>
    <row r="47" spans="1:19" x14ac:dyDescent="0.25">
      <c r="A47" s="116" t="s">
        <v>37</v>
      </c>
      <c r="B47" s="116"/>
      <c r="C47" s="116"/>
      <c r="D47" s="116"/>
      <c r="E47" s="116" t="s">
        <v>120</v>
      </c>
      <c r="F47" s="116"/>
      <c r="G47" s="116"/>
      <c r="H47" s="116"/>
    </row>
    <row r="48" spans="1:19" x14ac:dyDescent="0.25">
      <c r="A48" s="143" t="s">
        <v>38</v>
      </c>
      <c r="B48" s="143"/>
      <c r="C48" s="143"/>
      <c r="D48" s="143"/>
      <c r="E48" s="143"/>
      <c r="F48" s="143"/>
      <c r="G48" s="143"/>
      <c r="H48" s="143"/>
    </row>
    <row r="49" spans="1:22" ht="33.75" customHeight="1" x14ac:dyDescent="0.25">
      <c r="A49" s="117" t="s">
        <v>152</v>
      </c>
      <c r="B49" s="119"/>
      <c r="C49" s="128" t="s">
        <v>284</v>
      </c>
      <c r="D49" s="129"/>
      <c r="E49" s="129"/>
      <c r="F49" s="129"/>
      <c r="G49" s="129"/>
      <c r="H49" s="130"/>
      <c r="R49" t="s">
        <v>252</v>
      </c>
      <c r="S49" t="s">
        <v>172</v>
      </c>
      <c r="T49" t="s">
        <v>178</v>
      </c>
      <c r="U49" t="s">
        <v>193</v>
      </c>
      <c r="V49" t="s">
        <v>188</v>
      </c>
    </row>
    <row r="50" spans="1:22" ht="30.95" customHeight="1" x14ac:dyDescent="0.25">
      <c r="A50" s="117" t="s">
        <v>39</v>
      </c>
      <c r="B50" s="119"/>
      <c r="C50" s="117" t="s">
        <v>324</v>
      </c>
      <c r="D50" s="118"/>
      <c r="E50" s="119"/>
      <c r="F50" s="17" t="s">
        <v>40</v>
      </c>
      <c r="G50" s="151">
        <v>45433</v>
      </c>
      <c r="H50" s="152"/>
      <c r="R50"/>
      <c r="S50" t="s">
        <v>253</v>
      </c>
      <c r="T50" t="s">
        <v>258</v>
      </c>
      <c r="U50" t="s">
        <v>269</v>
      </c>
      <c r="V50" t="s">
        <v>274</v>
      </c>
    </row>
    <row r="51" spans="1:22" ht="30.95" customHeight="1" x14ac:dyDescent="0.25">
      <c r="A51" s="117" t="s">
        <v>41</v>
      </c>
      <c r="B51" s="119"/>
      <c r="C51" s="117" t="str">
        <f>C50</f>
        <v>CIDCO/BP-18506/TPO(NM &amp; K)/2023/12496</v>
      </c>
      <c r="D51" s="118"/>
      <c r="E51" s="119"/>
      <c r="F51" s="17" t="s">
        <v>40</v>
      </c>
      <c r="G51" s="151">
        <f>G50</f>
        <v>45433</v>
      </c>
      <c r="H51" s="152"/>
      <c r="R51"/>
      <c r="S51" t="s">
        <v>254</v>
      </c>
      <c r="T51" t="s">
        <v>259</v>
      </c>
      <c r="U51" t="s">
        <v>267</v>
      </c>
      <c r="V51" t="s">
        <v>275</v>
      </c>
    </row>
    <row r="52" spans="1:22" s="20" customFormat="1" ht="32.450000000000003" customHeight="1" x14ac:dyDescent="0.25">
      <c r="A52" s="120" t="s">
        <v>310</v>
      </c>
      <c r="B52" s="121"/>
      <c r="C52" s="117" t="s">
        <v>324</v>
      </c>
      <c r="D52" s="118"/>
      <c r="E52" s="119"/>
      <c r="F52" s="17" t="s">
        <v>40</v>
      </c>
      <c r="G52" s="151">
        <v>45433</v>
      </c>
      <c r="H52" s="152"/>
      <c r="R52"/>
      <c r="S52" t="s">
        <v>255</v>
      </c>
      <c r="T52" t="s">
        <v>260</v>
      </c>
      <c r="U52" t="s">
        <v>257</v>
      </c>
      <c r="V52" t="s">
        <v>276</v>
      </c>
    </row>
    <row r="53" spans="1:22" s="20" customFormat="1" ht="31.5" customHeight="1" x14ac:dyDescent="0.25">
      <c r="A53" s="122"/>
      <c r="B53" s="123"/>
      <c r="C53" s="117" t="s">
        <v>332</v>
      </c>
      <c r="D53" s="118"/>
      <c r="E53" s="118"/>
      <c r="F53" s="118"/>
      <c r="G53" s="118"/>
      <c r="H53" s="119"/>
      <c r="R53"/>
      <c r="S53" t="s">
        <v>256</v>
      </c>
      <c r="T53" t="s">
        <v>263</v>
      </c>
      <c r="U53" t="s">
        <v>270</v>
      </c>
    </row>
    <row r="54" spans="1:22" x14ac:dyDescent="0.25">
      <c r="A54" s="205" t="s">
        <v>42</v>
      </c>
      <c r="B54" s="206"/>
      <c r="C54" s="205" t="s">
        <v>102</v>
      </c>
      <c r="D54" s="207"/>
      <c r="E54" s="206"/>
      <c r="F54" s="40" t="s">
        <v>40</v>
      </c>
      <c r="G54" s="126" t="s">
        <v>28</v>
      </c>
      <c r="H54" s="127"/>
      <c r="R54"/>
      <c r="S54" t="s">
        <v>257</v>
      </c>
      <c r="T54" t="s">
        <v>261</v>
      </c>
      <c r="U54" t="s">
        <v>271</v>
      </c>
    </row>
    <row r="55" spans="1:22" x14ac:dyDescent="0.25">
      <c r="A55" s="124" t="s">
        <v>44</v>
      </c>
      <c r="B55" s="124"/>
      <c r="C55" s="124"/>
      <c r="D55" s="124"/>
      <c r="E55" s="124"/>
      <c r="F55" s="124"/>
      <c r="G55" s="124"/>
      <c r="H55" s="124"/>
      <c r="T55" t="s">
        <v>262</v>
      </c>
      <c r="U55" t="s">
        <v>272</v>
      </c>
    </row>
    <row r="56" spans="1:22" x14ac:dyDescent="0.25">
      <c r="A56" s="125" t="s">
        <v>88</v>
      </c>
      <c r="B56" s="125"/>
      <c r="C56" s="125"/>
      <c r="D56" s="91">
        <f>E46</f>
        <v>1173.05</v>
      </c>
      <c r="E56" s="91"/>
      <c r="F56" s="91"/>
      <c r="G56" s="91"/>
      <c r="H56" s="91"/>
      <c r="R56"/>
      <c r="T56" t="s">
        <v>264</v>
      </c>
      <c r="U56" t="s">
        <v>273</v>
      </c>
    </row>
    <row r="57" spans="1:22" x14ac:dyDescent="0.25">
      <c r="A57" s="105" t="s">
        <v>45</v>
      </c>
      <c r="B57" s="116"/>
      <c r="C57" s="116"/>
      <c r="D57" s="116" t="s">
        <v>331</v>
      </c>
      <c r="E57" s="116"/>
      <c r="F57" s="116"/>
      <c r="G57" s="116"/>
      <c r="H57" s="116"/>
      <c r="I57" s="21"/>
      <c r="R57"/>
      <c r="T57" t="s">
        <v>265</v>
      </c>
    </row>
    <row r="58" spans="1:22" x14ac:dyDescent="0.25">
      <c r="A58" s="114" t="s">
        <v>46</v>
      </c>
      <c r="B58" s="115"/>
      <c r="C58" s="150"/>
      <c r="D58" s="148" t="s">
        <v>296</v>
      </c>
      <c r="E58" s="149"/>
      <c r="F58" s="149"/>
      <c r="G58" s="149"/>
      <c r="H58" s="149"/>
      <c r="R58"/>
      <c r="T58" t="s">
        <v>266</v>
      </c>
    </row>
    <row r="59" spans="1:22" ht="15.75" customHeight="1" x14ac:dyDescent="0.25">
      <c r="A59" s="114" t="s">
        <v>86</v>
      </c>
      <c r="B59" s="115"/>
      <c r="C59" s="115"/>
      <c r="D59" s="105" t="s">
        <v>296</v>
      </c>
      <c r="E59" s="116"/>
      <c r="F59" s="116"/>
      <c r="G59" s="116"/>
      <c r="H59" s="116"/>
      <c r="R59"/>
      <c r="T59" t="s">
        <v>268</v>
      </c>
    </row>
    <row r="60" spans="1:22" ht="15.75" customHeight="1" x14ac:dyDescent="0.25">
      <c r="A60" s="91" t="s">
        <v>43</v>
      </c>
      <c r="B60" s="91"/>
      <c r="C60" s="91"/>
      <c r="D60" s="144" t="s">
        <v>285</v>
      </c>
      <c r="E60" s="144"/>
      <c r="F60" s="144"/>
      <c r="G60" s="144"/>
      <c r="H60" s="144"/>
      <c r="J60" s="22"/>
      <c r="K60" s="21"/>
      <c r="N60" s="21"/>
      <c r="S60"/>
    </row>
    <row r="61" spans="1:22" ht="15.75" customHeight="1" x14ac:dyDescent="0.25">
      <c r="A61" s="91" t="s">
        <v>84</v>
      </c>
      <c r="B61" s="91"/>
      <c r="C61" s="91"/>
      <c r="D61" s="145" t="str">
        <f>(IF(G54="NA","60 Years After Completion",IF(G54&lt;&gt;"NA",""&amp;60-ROUNDDOWN((E3-G54)/360,0)&amp;" Years"," ")))</f>
        <v>60 Years After Completion</v>
      </c>
      <c r="E61" s="145"/>
      <c r="F61" s="145"/>
      <c r="G61" s="145"/>
      <c r="H61" s="145"/>
      <c r="N61" s="21"/>
      <c r="S61"/>
    </row>
    <row r="62" spans="1:22" ht="15.75" customHeight="1" x14ac:dyDescent="0.25">
      <c r="A62" s="91" t="s">
        <v>85</v>
      </c>
      <c r="B62" s="91"/>
      <c r="C62" s="91"/>
      <c r="D62" s="125" t="s">
        <v>23</v>
      </c>
      <c r="E62" s="125"/>
      <c r="F62" s="125"/>
      <c r="G62" s="125"/>
      <c r="H62" s="125"/>
      <c r="J62" s="23"/>
      <c r="K62" s="23"/>
      <c r="S62"/>
    </row>
    <row r="63" spans="1:22" x14ac:dyDescent="0.25">
      <c r="A63" s="116" t="s">
        <v>312</v>
      </c>
      <c r="B63" s="116"/>
      <c r="C63" s="116"/>
      <c r="D63" s="105" t="s">
        <v>311</v>
      </c>
      <c r="E63" s="125"/>
      <c r="F63" s="125"/>
      <c r="G63" s="125"/>
      <c r="H63" s="125"/>
      <c r="S63"/>
    </row>
    <row r="64" spans="1:22" x14ac:dyDescent="0.25">
      <c r="A64" s="125" t="s">
        <v>149</v>
      </c>
      <c r="B64" s="125"/>
      <c r="C64" s="125"/>
      <c r="D64" s="125" t="s">
        <v>28</v>
      </c>
      <c r="E64" s="125"/>
      <c r="F64" s="125"/>
      <c r="G64" s="125"/>
      <c r="H64" s="125"/>
      <c r="I64" s="24"/>
      <c r="J64" s="24"/>
      <c r="K64" s="24"/>
      <c r="L64" s="24"/>
      <c r="M64" s="24"/>
      <c r="N64" s="24"/>
    </row>
    <row r="65" spans="1:19" ht="15.75" customHeight="1" x14ac:dyDescent="0.25">
      <c r="A65" s="208" t="s">
        <v>83</v>
      </c>
      <c r="B65" s="208"/>
      <c r="C65" s="208"/>
      <c r="D65" s="148" t="str">
        <f ca="1">(IF(G71&gt;95%,"Nothing",IF(G71&gt;0%,"Cement, Aggregate, Steel, etc",IF(G71=0%,"Work not yet Started"))))</f>
        <v>Cement, Aggregate, Steel, etc</v>
      </c>
      <c r="E65" s="148"/>
      <c r="F65" s="148"/>
      <c r="G65" s="148"/>
      <c r="H65" s="148"/>
      <c r="J65" s="23"/>
      <c r="S65"/>
    </row>
    <row r="66" spans="1:19" ht="33.75" customHeight="1" thickBot="1" x14ac:dyDescent="0.3">
      <c r="A66" s="137" t="s">
        <v>115</v>
      </c>
      <c r="B66" s="137"/>
      <c r="C66" s="137"/>
      <c r="D66" s="148" t="str">
        <f ca="1">(IF(D65="Nothing","Yes",IF(D65="Cement, Aggregate, Steel, etc","Under Construction",IF(D65="Work not yet Started","Work not yet Started"))))</f>
        <v>Under Construction</v>
      </c>
      <c r="E66" s="148"/>
      <c r="F66" s="148" t="str">
        <f ca="1">(IF(D65="Nothing","Yes",IF(D65="Cement, Aggregate, Steel, etc","Under Construction",IF(D65="Work not yet Started","Work not yet Started"))))</f>
        <v>Under Construction</v>
      </c>
      <c r="G66" s="148"/>
      <c r="H66" s="148"/>
      <c r="S66"/>
    </row>
    <row r="67" spans="1:19" ht="15.75" customHeight="1" x14ac:dyDescent="0.25">
      <c r="A67" s="163" t="s">
        <v>139</v>
      </c>
      <c r="B67" s="164"/>
      <c r="C67" s="165" t="str">
        <f>D59</f>
        <v>Gr/Stilt + 1st to 7th Floor</v>
      </c>
      <c r="D67" s="166"/>
      <c r="E67" s="166"/>
      <c r="F67" s="166"/>
      <c r="G67" s="166"/>
      <c r="H67" s="167"/>
      <c r="I67" s="42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 Completed, Flooring upto 3 Floor, Painting upto 2 Floor Completed</v>
      </c>
      <c r="J67" s="43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Flooring upto 3 Floor, Painting upto 2 Floor</v>
      </c>
      <c r="S67"/>
    </row>
    <row r="68" spans="1:19" x14ac:dyDescent="0.25">
      <c r="A68" s="15" t="s">
        <v>141</v>
      </c>
      <c r="B68" s="46">
        <f>IF(AND(ISNUMBER(SEARCH("1B",C67))),1,IF(AND(ISNUMBER(SEARCH("2B",C67))),2,IF(AND(ISNUMBER(SEARCH("3B",C67))),3,IF(AND(ISNUMBER(SEARCH("4B",C67))),4,IF(ISNUMBER(SEARCH("5B",C67)),5,0)))))</f>
        <v>0</v>
      </c>
      <c r="C68" s="46" t="s">
        <v>69</v>
      </c>
      <c r="D68" s="46">
        <v>1</v>
      </c>
      <c r="E68" s="46" t="s">
        <v>68</v>
      </c>
      <c r="F68" s="46">
        <v>0</v>
      </c>
      <c r="G68" s="46" t="s">
        <v>77</v>
      </c>
      <c r="H68" s="16">
        <f ca="1">--TRIM(RIGHT(SUBSTITUTE(LEFT(C67,_xlfn.AGGREGATE(16,6,FIND({0,1,2,3,4,5,6,7,8,9},C67,ROW(INDIRECT("1:"&amp;LEN(C67)))),1))," ",REPT(" ",LEN(C67))),LEN(C67)))</f>
        <v>7</v>
      </c>
      <c r="I68" s="44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</v>
      </c>
      <c r="J68" s="45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  <c r="S68"/>
    </row>
    <row r="69" spans="1:19" ht="32.25" customHeight="1" x14ac:dyDescent="0.25">
      <c r="A69" s="162" t="s">
        <v>87</v>
      </c>
      <c r="B69" s="160"/>
      <c r="C69" s="168" t="str">
        <f ca="1">I67</f>
        <v>Excavation, Plinth, RCC Slab, Brickwork, Internal Plaster, External Plaster Completed, Flooring upto 3 Floor, Painting upto 2 Floor Completed</v>
      </c>
      <c r="D69" s="168"/>
      <c r="E69" s="168"/>
      <c r="F69" s="168"/>
      <c r="G69" s="168"/>
      <c r="H69" s="169"/>
      <c r="I69" s="44" t="str">
        <f ca="1">IF(I68&lt;&gt;""," Completed","")</f>
        <v xml:space="preserve"> Completed</v>
      </c>
      <c r="J69" s="45" t="str">
        <f ca="1">IF(J67&lt;&gt;"","Completed","")</f>
        <v>Completed</v>
      </c>
      <c r="S69"/>
    </row>
    <row r="70" spans="1:19" ht="15.75" customHeight="1" x14ac:dyDescent="0.25">
      <c r="A70" s="131" t="s">
        <v>47</v>
      </c>
      <c r="B70" s="132"/>
      <c r="C70" s="60" t="s">
        <v>138</v>
      </c>
      <c r="D70" s="60" t="s">
        <v>80</v>
      </c>
      <c r="E70" s="170" t="s">
        <v>82</v>
      </c>
      <c r="F70" s="170"/>
      <c r="G70" s="170" t="s">
        <v>81</v>
      </c>
      <c r="H70" s="171"/>
      <c r="I70" s="13" t="s">
        <v>140</v>
      </c>
      <c r="J70" s="25">
        <f ca="1">H68*25%</f>
        <v>1.75</v>
      </c>
      <c r="S70"/>
    </row>
    <row r="71" spans="1:19" x14ac:dyDescent="0.25">
      <c r="A71" s="131" t="s">
        <v>127</v>
      </c>
      <c r="B71" s="132"/>
      <c r="C71" s="60">
        <f ca="1">J72</f>
        <v>7</v>
      </c>
      <c r="D71" s="61">
        <f ca="1">((100/H68)*C71)/100</f>
        <v>1</v>
      </c>
      <c r="E71" s="172">
        <f ca="1">(((C72/H68*10)+(40/(D68+F68+H68)*C73)+(7.5/(H68)*C74)+(7.5/(H68)*C75)+(10/H68*C76)+(10/H68*C77)+(5/H68*C78)+(5/H68*C79)+(5/H68*C80))/100)</f>
        <v>0.80714285714285727</v>
      </c>
      <c r="F71" s="173"/>
      <c r="G71" s="172">
        <f ca="1">((((C71/H68)*20)+((C72/H68)*25)+(30/(H68+F68+D68)*C73)+(5/H68*C74)+(5/H68*C75)+(5/H68*C76)+(5/H68*C77)+(0/H68*C78)+(0/H68*C79)+(5/H68*C80))/100)</f>
        <v>0.92142857142857137</v>
      </c>
      <c r="H71" s="178"/>
      <c r="I71" s="13" t="s">
        <v>97</v>
      </c>
      <c r="J71" s="26">
        <f ca="1">H68*50%</f>
        <v>3.5</v>
      </c>
    </row>
    <row r="72" spans="1:19" x14ac:dyDescent="0.25">
      <c r="A72" s="131" t="s">
        <v>48</v>
      </c>
      <c r="B72" s="132"/>
      <c r="C72" s="60">
        <f ca="1">J80</f>
        <v>7</v>
      </c>
      <c r="D72" s="61">
        <f ca="1">((100/H68)*C72)/100</f>
        <v>1</v>
      </c>
      <c r="E72" s="174"/>
      <c r="F72" s="175"/>
      <c r="G72" s="174"/>
      <c r="H72" s="179"/>
      <c r="I72" s="13" t="s">
        <v>98</v>
      </c>
      <c r="J72" s="26">
        <f ca="1">H68</f>
        <v>7</v>
      </c>
      <c r="S72"/>
    </row>
    <row r="73" spans="1:19" ht="15.75" customHeight="1" x14ac:dyDescent="0.25">
      <c r="A73" s="131" t="s">
        <v>128</v>
      </c>
      <c r="B73" s="132"/>
      <c r="C73" s="60">
        <v>8</v>
      </c>
      <c r="D73" s="61">
        <f ca="1">((100/(D68+F68+H68))*C73)/100</f>
        <v>1</v>
      </c>
      <c r="E73" s="174"/>
      <c r="F73" s="175"/>
      <c r="G73" s="174"/>
      <c r="H73" s="179"/>
      <c r="I73" s="13" t="s">
        <v>99</v>
      </c>
      <c r="J73" s="27">
        <f ca="1">(IF(B68&gt;1,(H68/(B68+2)),H68/4))</f>
        <v>1.75</v>
      </c>
      <c r="S73"/>
    </row>
    <row r="74" spans="1:19" ht="15.75" customHeight="1" x14ac:dyDescent="0.25">
      <c r="A74" s="131" t="s">
        <v>135</v>
      </c>
      <c r="B74" s="132" t="s">
        <v>129</v>
      </c>
      <c r="C74" s="60">
        <v>7</v>
      </c>
      <c r="D74" s="61">
        <f ca="1">((100/H68)*C74)/100</f>
        <v>1</v>
      </c>
      <c r="E74" s="174"/>
      <c r="F74" s="175"/>
      <c r="G74" s="174"/>
      <c r="H74" s="179"/>
      <c r="I74" s="13" t="s">
        <v>100</v>
      </c>
      <c r="J74" s="27">
        <f ca="1">(IF(B68&gt;1,(H68/(B68+2)+J73),H68/4+J73))</f>
        <v>3.5</v>
      </c>
    </row>
    <row r="75" spans="1:19" ht="15.75" customHeight="1" x14ac:dyDescent="0.25">
      <c r="A75" s="131" t="s">
        <v>136</v>
      </c>
      <c r="B75" s="132" t="s">
        <v>129</v>
      </c>
      <c r="C75" s="60">
        <v>7</v>
      </c>
      <c r="D75" s="61">
        <f ca="1">((100/H68)*C75)/100</f>
        <v>1</v>
      </c>
      <c r="E75" s="174"/>
      <c r="F75" s="175"/>
      <c r="G75" s="174"/>
      <c r="H75" s="179"/>
      <c r="I75" s="13" t="s">
        <v>147</v>
      </c>
      <c r="J75" s="27">
        <f>(IF(B68&gt;1,(H68/(B68+2)+J74),0))</f>
        <v>0</v>
      </c>
    </row>
    <row r="76" spans="1:19" ht="15" customHeight="1" x14ac:dyDescent="0.25">
      <c r="A76" s="131" t="s">
        <v>134</v>
      </c>
      <c r="B76" s="132" t="s">
        <v>131</v>
      </c>
      <c r="C76" s="60">
        <v>7</v>
      </c>
      <c r="D76" s="61">
        <f ca="1">((100/(H68))*C76)/100</f>
        <v>1</v>
      </c>
      <c r="E76" s="174"/>
      <c r="F76" s="175"/>
      <c r="G76" s="174"/>
      <c r="H76" s="179"/>
      <c r="I76" s="13" t="s">
        <v>142</v>
      </c>
      <c r="J76" s="27">
        <f>(IF(B68&gt;2,(H68/(B68+2)+J75),0))</f>
        <v>0</v>
      </c>
    </row>
    <row r="77" spans="1:19" ht="15.75" customHeight="1" x14ac:dyDescent="0.25">
      <c r="A77" s="131" t="s">
        <v>130</v>
      </c>
      <c r="B77" s="132" t="s">
        <v>130</v>
      </c>
      <c r="C77" s="60">
        <v>3</v>
      </c>
      <c r="D77" s="61">
        <f ca="1">((100/H68)*C77)/100</f>
        <v>0.4285714285714286</v>
      </c>
      <c r="E77" s="174"/>
      <c r="F77" s="175"/>
      <c r="G77" s="174"/>
      <c r="H77" s="179"/>
      <c r="I77" s="13" t="s">
        <v>143</v>
      </c>
      <c r="J77" s="28">
        <f>(IF(B68&gt;3,(H68/(B68+2)+J76),0))</f>
        <v>0</v>
      </c>
    </row>
    <row r="78" spans="1:19" ht="15.75" customHeight="1" x14ac:dyDescent="0.25">
      <c r="A78" s="131" t="s">
        <v>137</v>
      </c>
      <c r="B78" s="132"/>
      <c r="C78" s="60">
        <v>2</v>
      </c>
      <c r="D78" s="61">
        <f ca="1">((100/H68)*C78)/100</f>
        <v>0.28571428571428575</v>
      </c>
      <c r="E78" s="174"/>
      <c r="F78" s="175"/>
      <c r="G78" s="174"/>
      <c r="H78" s="179"/>
      <c r="I78" s="13" t="s">
        <v>144</v>
      </c>
      <c r="J78" s="27">
        <f>(IF(B68&gt;4,(H68/(B68+2)+J77),0))</f>
        <v>0</v>
      </c>
    </row>
    <row r="79" spans="1:19" ht="15.75" customHeight="1" x14ac:dyDescent="0.25">
      <c r="A79" s="131" t="s">
        <v>132</v>
      </c>
      <c r="B79" s="132" t="s">
        <v>132</v>
      </c>
      <c r="C79" s="60">
        <v>0</v>
      </c>
      <c r="D79" s="61">
        <f ca="1">((100/(H68))*C79)/100</f>
        <v>0</v>
      </c>
      <c r="E79" s="174"/>
      <c r="F79" s="175"/>
      <c r="G79" s="174"/>
      <c r="H79" s="179"/>
      <c r="I79" s="13" t="s">
        <v>148</v>
      </c>
      <c r="J79" s="27">
        <f ca="1">(IF(B68=1,(H68/(B68+3)+J74),IF(B68=0,(H68/4+J74),IF(B68&gt;1,0))))</f>
        <v>5.25</v>
      </c>
    </row>
    <row r="80" spans="1:19" ht="16.5" thickBot="1" x14ac:dyDescent="0.3">
      <c r="A80" s="181" t="s">
        <v>133</v>
      </c>
      <c r="B80" s="182"/>
      <c r="C80" s="62">
        <v>0</v>
      </c>
      <c r="D80" s="63">
        <f ca="1">((100/(H68))*C80)/100</f>
        <v>0</v>
      </c>
      <c r="E80" s="176"/>
      <c r="F80" s="177"/>
      <c r="G80" s="176"/>
      <c r="H80" s="180"/>
      <c r="I80" s="14" t="s">
        <v>101</v>
      </c>
      <c r="J80" s="29">
        <f ca="1">(IF(B68&gt;1.5,(H68/(B68+2)+J74+MAX(0,J75-J74)+MAX(0,J76-J75)+MAX(0,J77-J76)+MAX(0,J78-J77)+MAX(0,J79-J78)),IF(B68=1,(H68/(B68+3)+J79),IF(B68=0,H68/4+J79))))</f>
        <v>7</v>
      </c>
    </row>
    <row r="81" spans="1:14" x14ac:dyDescent="0.25">
      <c r="A81" s="191" t="s">
        <v>156</v>
      </c>
      <c r="B81" s="191"/>
      <c r="C81" s="191"/>
      <c r="D81" s="191"/>
      <c r="E81" s="191"/>
      <c r="F81" s="135" t="s">
        <v>160</v>
      </c>
      <c r="G81" s="135"/>
      <c r="H81" s="135"/>
      <c r="I81" s="66"/>
      <c r="J81" s="66" t="s">
        <v>317</v>
      </c>
      <c r="K81" s="66" t="s">
        <v>318</v>
      </c>
      <c r="L81" s="66" t="s">
        <v>319</v>
      </c>
      <c r="M81" s="66" t="s">
        <v>320</v>
      </c>
      <c r="N81" s="66"/>
    </row>
    <row r="82" spans="1:14" x14ac:dyDescent="0.25">
      <c r="A82" s="91" t="s">
        <v>158</v>
      </c>
      <c r="B82" s="91"/>
      <c r="C82" s="91"/>
      <c r="D82" s="91"/>
      <c r="E82" s="91"/>
      <c r="F82" s="136">
        <v>6300</v>
      </c>
      <c r="G82" s="136"/>
      <c r="H82" s="136"/>
      <c r="I82" s="69">
        <f>AVERAGE(J82:M82)</f>
        <v>6531.1408012681468</v>
      </c>
      <c r="J82" s="69">
        <f>L141</f>
        <v>6322.79534109817</v>
      </c>
      <c r="K82" s="66">
        <v>7000</v>
      </c>
      <c r="L82" s="66"/>
      <c r="M82" s="69">
        <f>K146</f>
        <v>6270.6270627062704</v>
      </c>
      <c r="N82" s="66"/>
    </row>
    <row r="83" spans="1:14" x14ac:dyDescent="0.25">
      <c r="A83" s="91" t="s">
        <v>157</v>
      </c>
      <c r="B83" s="91"/>
      <c r="C83" s="91"/>
      <c r="D83" s="91"/>
      <c r="E83" s="91"/>
      <c r="F83" s="136">
        <v>10000</v>
      </c>
      <c r="G83" s="136"/>
      <c r="H83" s="136"/>
      <c r="I83" s="66"/>
      <c r="J83" s="66"/>
      <c r="K83" s="66">
        <v>10000</v>
      </c>
      <c r="L83" s="66"/>
      <c r="M83" s="66"/>
      <c r="N83" s="66"/>
    </row>
    <row r="84" spans="1:14" hidden="1" x14ac:dyDescent="0.25">
      <c r="A84" s="91" t="s">
        <v>159</v>
      </c>
      <c r="B84" s="91"/>
      <c r="C84" s="91"/>
      <c r="D84" s="91"/>
      <c r="E84" s="91"/>
      <c r="F84" s="136"/>
      <c r="G84" s="136"/>
      <c r="H84" s="136"/>
      <c r="I84" s="66"/>
      <c r="J84" s="66"/>
      <c r="K84" s="66"/>
      <c r="L84" s="66"/>
      <c r="M84" s="66"/>
      <c r="N84" s="66"/>
    </row>
    <row r="85" spans="1:14" s="30" customFormat="1" hidden="1" x14ac:dyDescent="0.25">
      <c r="A85" s="91" t="s">
        <v>175</v>
      </c>
      <c r="B85" s="91"/>
      <c r="C85" s="91"/>
      <c r="D85" s="91"/>
      <c r="E85" s="91"/>
      <c r="F85" s="136"/>
      <c r="G85" s="136"/>
      <c r="H85" s="136"/>
      <c r="I85" s="67"/>
      <c r="J85" s="67"/>
      <c r="K85" s="67"/>
      <c r="L85" s="67"/>
      <c r="M85" s="67"/>
      <c r="N85" s="67"/>
    </row>
    <row r="86" spans="1:14" s="30" customFormat="1" hidden="1" x14ac:dyDescent="0.25">
      <c r="A86" s="91" t="s">
        <v>92</v>
      </c>
      <c r="B86" s="91"/>
      <c r="C86" s="91"/>
      <c r="D86" s="91"/>
      <c r="E86" s="91"/>
      <c r="F86" s="136"/>
      <c r="G86" s="136"/>
      <c r="H86" s="136"/>
      <c r="I86" s="67"/>
      <c r="J86" s="67"/>
      <c r="K86" s="67"/>
      <c r="L86" s="67"/>
      <c r="M86" s="67"/>
      <c r="N86" s="67"/>
    </row>
    <row r="87" spans="1:14" s="30" customFormat="1" hidden="1" x14ac:dyDescent="0.25">
      <c r="A87" s="91" t="s">
        <v>93</v>
      </c>
      <c r="B87" s="91"/>
      <c r="C87" s="91"/>
      <c r="D87" s="91"/>
      <c r="E87" s="91"/>
      <c r="F87" s="136"/>
      <c r="G87" s="136"/>
      <c r="H87" s="136"/>
      <c r="I87" s="67"/>
      <c r="J87" s="67"/>
      <c r="K87" s="67"/>
      <c r="L87" s="67"/>
      <c r="M87" s="67"/>
      <c r="N87" s="67"/>
    </row>
    <row r="88" spans="1:14" s="30" customFormat="1" hidden="1" x14ac:dyDescent="0.25">
      <c r="A88" s="91" t="s">
        <v>94</v>
      </c>
      <c r="B88" s="91"/>
      <c r="C88" s="91"/>
      <c r="D88" s="91"/>
      <c r="E88" s="91"/>
      <c r="F88" s="136"/>
      <c r="G88" s="136"/>
      <c r="H88" s="136"/>
      <c r="I88" s="67"/>
      <c r="J88" s="67"/>
      <c r="K88" s="67"/>
      <c r="L88" s="67"/>
      <c r="M88" s="67"/>
      <c r="N88" s="67"/>
    </row>
    <row r="89" spans="1:14" s="30" customFormat="1" hidden="1" x14ac:dyDescent="0.25">
      <c r="A89" s="91" t="s">
        <v>95</v>
      </c>
      <c r="B89" s="91"/>
      <c r="C89" s="91"/>
      <c r="D89" s="91"/>
      <c r="E89" s="91"/>
      <c r="F89" s="136"/>
      <c r="G89" s="136"/>
      <c r="H89" s="136"/>
      <c r="I89" s="67"/>
      <c r="J89" s="67"/>
      <c r="K89" s="67"/>
      <c r="L89" s="67"/>
      <c r="M89" s="67"/>
      <c r="N89" s="67"/>
    </row>
    <row r="90" spans="1:14" s="30" customFormat="1" x14ac:dyDescent="0.25">
      <c r="A90" s="91" t="s">
        <v>316</v>
      </c>
      <c r="B90" s="91"/>
      <c r="C90" s="91"/>
      <c r="D90" s="91"/>
      <c r="E90" s="91"/>
      <c r="F90" s="136">
        <v>125000</v>
      </c>
      <c r="G90" s="136"/>
      <c r="H90" s="136"/>
      <c r="I90" s="67"/>
      <c r="J90" s="67"/>
      <c r="K90" s="67"/>
      <c r="L90" s="67"/>
      <c r="M90" s="67"/>
      <c r="N90" s="67"/>
    </row>
    <row r="91" spans="1:14" s="30" customFormat="1" hidden="1" x14ac:dyDescent="0.25">
      <c r="A91" s="91" t="s">
        <v>96</v>
      </c>
      <c r="B91" s="91"/>
      <c r="C91" s="91"/>
      <c r="D91" s="91"/>
      <c r="E91" s="91"/>
      <c r="F91" s="136"/>
      <c r="G91" s="136"/>
      <c r="H91" s="136"/>
      <c r="I91" s="67"/>
      <c r="J91" s="67"/>
      <c r="K91" s="67"/>
      <c r="L91" s="67"/>
      <c r="M91" s="67"/>
      <c r="N91" s="67"/>
    </row>
    <row r="92" spans="1:14" x14ac:dyDescent="0.25">
      <c r="A92" s="91" t="s">
        <v>49</v>
      </c>
      <c r="B92" s="91"/>
      <c r="C92" s="91"/>
      <c r="D92" s="91"/>
      <c r="E92" s="91"/>
      <c r="F92" s="136">
        <v>200000</v>
      </c>
      <c r="G92" s="136"/>
      <c r="H92" s="136"/>
      <c r="I92" s="66"/>
      <c r="J92" s="66"/>
      <c r="K92" s="66"/>
      <c r="L92" s="66"/>
      <c r="M92" s="66"/>
      <c r="N92" s="66"/>
    </row>
    <row r="93" spans="1:14" s="31" customFormat="1" x14ac:dyDescent="0.25">
      <c r="A93" s="143" t="s">
        <v>50</v>
      </c>
      <c r="B93" s="143"/>
      <c r="C93" s="143"/>
      <c r="D93" s="143"/>
      <c r="E93" s="143"/>
      <c r="F93" s="136">
        <f>F82*0.8</f>
        <v>5040</v>
      </c>
      <c r="G93" s="136"/>
      <c r="H93" s="136"/>
      <c r="I93" s="68"/>
      <c r="J93" s="68"/>
      <c r="K93" s="68"/>
      <c r="L93" s="68"/>
      <c r="M93" s="68"/>
      <c r="N93" s="68"/>
    </row>
    <row r="94" spans="1:14" s="32" customFormat="1" ht="15.75" customHeight="1" x14ac:dyDescent="0.25">
      <c r="A94" s="96" t="s">
        <v>72</v>
      </c>
      <c r="B94" s="96"/>
      <c r="C94" s="96"/>
      <c r="D94" s="96"/>
      <c r="E94" s="96"/>
      <c r="F94" s="96"/>
      <c r="G94" s="96"/>
      <c r="H94" s="96"/>
    </row>
    <row r="95" spans="1:14" s="32" customFormat="1" ht="15.75" customHeight="1" x14ac:dyDescent="0.25">
      <c r="A95" s="101" t="s">
        <v>51</v>
      </c>
      <c r="B95" s="101"/>
      <c r="C95" s="98" t="s">
        <v>75</v>
      </c>
      <c r="D95" s="98"/>
      <c r="E95" s="100" t="s">
        <v>52</v>
      </c>
      <c r="F95" s="100"/>
      <c r="G95" s="101" t="s">
        <v>53</v>
      </c>
      <c r="H95" s="101"/>
    </row>
    <row r="96" spans="1:14" s="32" customFormat="1" x14ac:dyDescent="0.25">
      <c r="A96" s="186" t="s">
        <v>287</v>
      </c>
      <c r="B96" s="186"/>
      <c r="C96" s="108">
        <f>COUNT(D108:D111)</f>
        <v>4</v>
      </c>
      <c r="D96" s="109"/>
      <c r="E96" s="108">
        <f>SUM(F108:F111)</f>
        <v>573.57050400000003</v>
      </c>
      <c r="F96" s="109"/>
      <c r="G96" s="108">
        <f>SUM(H108:H111)</f>
        <v>1459</v>
      </c>
      <c r="H96" s="109"/>
    </row>
    <row r="97" spans="1:14" s="32" customFormat="1" hidden="1" x14ac:dyDescent="0.25">
      <c r="A97" s="96" t="s">
        <v>151</v>
      </c>
      <c r="B97" s="96"/>
      <c r="C97" s="97">
        <f>SUM(C96)</f>
        <v>4</v>
      </c>
      <c r="D97" s="98"/>
      <c r="E97" s="99">
        <f>SUM(E96)</f>
        <v>573.57050400000003</v>
      </c>
      <c r="F97" s="100"/>
      <c r="G97" s="101">
        <f>SUM(G96)</f>
        <v>1459</v>
      </c>
      <c r="H97" s="101"/>
    </row>
    <row r="98" spans="1:14" s="32" customFormat="1" x14ac:dyDescent="0.25">
      <c r="A98" s="96" t="s">
        <v>67</v>
      </c>
      <c r="B98" s="96"/>
      <c r="C98" s="96"/>
      <c r="D98" s="96"/>
      <c r="E98" s="96"/>
      <c r="F98" s="96"/>
      <c r="G98" s="96"/>
      <c r="H98" s="96"/>
    </row>
    <row r="99" spans="1:14" s="32" customFormat="1" ht="15.75" customHeight="1" x14ac:dyDescent="0.25">
      <c r="A99" s="101" t="s">
        <v>51</v>
      </c>
      <c r="B99" s="101"/>
      <c r="C99" s="98" t="s">
        <v>75</v>
      </c>
      <c r="D99" s="98"/>
      <c r="E99" s="100" t="s">
        <v>52</v>
      </c>
      <c r="F99" s="100"/>
      <c r="G99" s="101" t="s">
        <v>53</v>
      </c>
      <c r="H99" s="101"/>
    </row>
    <row r="100" spans="1:14" s="32" customFormat="1" ht="16.5" thickBot="1" x14ac:dyDescent="0.3">
      <c r="A100" s="186" t="s">
        <v>294</v>
      </c>
      <c r="B100" s="186"/>
      <c r="C100" s="108">
        <f>COUNT(F116:F119)+COUNT(F121:F124)*3+COUNT(F126:F129)*2+COUNT(F131:F134)</f>
        <v>28</v>
      </c>
      <c r="D100" s="108"/>
      <c r="E100" s="108">
        <f>SUM(F116:F119)+SUM(F121:F124)*3+SUM(F126:F129)*2+SUM(F131:F134)</f>
        <v>9950.7582719999991</v>
      </c>
      <c r="F100" s="108"/>
      <c r="G100" s="108">
        <f>SUM(H116:H119)+SUM(H121:H124)*3+SUM(H126:H129)*2+SUM(H131:H134)</f>
        <v>17078.234777999998</v>
      </c>
      <c r="H100" s="108"/>
    </row>
    <row r="101" spans="1:14" s="32" customFormat="1" ht="16.5" hidden="1" thickBot="1" x14ac:dyDescent="0.3">
      <c r="A101" s="92" t="s">
        <v>151</v>
      </c>
      <c r="B101" s="92"/>
      <c r="C101" s="193">
        <f>SUM(C100)</f>
        <v>28</v>
      </c>
      <c r="D101" s="194"/>
      <c r="E101" s="93">
        <f>SUM(E100)</f>
        <v>9950.7582719999991</v>
      </c>
      <c r="F101" s="94"/>
      <c r="G101" s="95">
        <f>SUM(G100)</f>
        <v>17078.234777999998</v>
      </c>
      <c r="H101" s="95"/>
    </row>
    <row r="102" spans="1:14" s="32" customFormat="1" ht="16.5" thickBot="1" x14ac:dyDescent="0.3">
      <c r="A102" s="198" t="s">
        <v>166</v>
      </c>
      <c r="B102" s="199"/>
      <c r="C102" s="200">
        <f>C97+C101</f>
        <v>32</v>
      </c>
      <c r="D102" s="200"/>
      <c r="E102" s="201">
        <f>E97+E101</f>
        <v>10524.328775999998</v>
      </c>
      <c r="F102" s="201"/>
      <c r="G102" s="112">
        <f>G97+G101</f>
        <v>18537.234777999998</v>
      </c>
      <c r="H102" s="113"/>
    </row>
    <row r="103" spans="1:14" s="31" customFormat="1" x14ac:dyDescent="0.25">
      <c r="A103" s="135" t="s">
        <v>54</v>
      </c>
      <c r="B103" s="135"/>
      <c r="C103" s="135"/>
      <c r="D103" s="135"/>
      <c r="E103" s="135"/>
      <c r="F103" s="135"/>
      <c r="G103" s="135"/>
      <c r="H103" s="135"/>
    </row>
    <row r="104" spans="1:14" x14ac:dyDescent="0.25">
      <c r="A104" s="204" t="s">
        <v>174</v>
      </c>
      <c r="B104" s="204"/>
      <c r="C104" s="204"/>
      <c r="D104" s="204"/>
      <c r="E104" s="204"/>
      <c r="F104" s="204"/>
      <c r="G104" s="204"/>
      <c r="H104" s="204"/>
    </row>
    <row r="105" spans="1:14" ht="47.25" customHeight="1" x14ac:dyDescent="0.25">
      <c r="A105" s="106" t="s">
        <v>118</v>
      </c>
      <c r="B105" s="106" t="s">
        <v>176</v>
      </c>
      <c r="C105" s="106" t="s">
        <v>55</v>
      </c>
      <c r="D105" s="106" t="s">
        <v>231</v>
      </c>
      <c r="E105" s="133" t="s">
        <v>323</v>
      </c>
      <c r="F105" s="106" t="s">
        <v>56</v>
      </c>
      <c r="G105" s="110" t="s">
        <v>57</v>
      </c>
      <c r="H105" s="50" t="s">
        <v>314</v>
      </c>
    </row>
    <row r="106" spans="1:14" s="34" customFormat="1" hidden="1" x14ac:dyDescent="0.25">
      <c r="A106" s="107"/>
      <c r="B106" s="107"/>
      <c r="C106" s="107"/>
      <c r="D106" s="107"/>
      <c r="E106" s="134"/>
      <c r="F106" s="107"/>
      <c r="G106" s="111"/>
      <c r="H106" s="51">
        <v>0.6</v>
      </c>
    </row>
    <row r="107" spans="1:14" s="34" customFormat="1" x14ac:dyDescent="0.25">
      <c r="A107" s="84" t="s">
        <v>286</v>
      </c>
      <c r="B107" s="85"/>
      <c r="C107" s="85"/>
      <c r="D107" s="85"/>
      <c r="E107" s="85"/>
      <c r="F107" s="85"/>
      <c r="G107" s="85"/>
      <c r="H107" s="86"/>
      <c r="J107" s="58">
        <v>10.763999999999999</v>
      </c>
    </row>
    <row r="108" spans="1:14" s="34" customFormat="1" ht="15.75" customHeight="1" x14ac:dyDescent="0.25">
      <c r="A108" s="81">
        <v>1</v>
      </c>
      <c r="B108" s="82"/>
      <c r="C108" s="39" t="s">
        <v>287</v>
      </c>
      <c r="D108" s="58">
        <f>(11.394)*10.764</f>
        <v>122.645016</v>
      </c>
      <c r="E108" s="39">
        <v>0</v>
      </c>
      <c r="F108" s="39">
        <f>D108+E108</f>
        <v>122.645016</v>
      </c>
      <c r="G108" s="49">
        <v>0</v>
      </c>
      <c r="H108" s="65">
        <v>303</v>
      </c>
      <c r="I108" s="33">
        <f>2.7*4.22</f>
        <v>11.394</v>
      </c>
      <c r="J108" s="65">
        <v>303</v>
      </c>
      <c r="K108" s="64">
        <f>J108/F108</f>
        <v>2.4705447467999839</v>
      </c>
      <c r="L108" s="75"/>
      <c r="M108" s="75"/>
      <c r="N108" s="33"/>
    </row>
    <row r="109" spans="1:14" s="34" customFormat="1" ht="15.75" customHeight="1" x14ac:dyDescent="0.25">
      <c r="A109" s="81">
        <f>A108+1</f>
        <v>2</v>
      </c>
      <c r="B109" s="82"/>
      <c r="C109" s="53" t="s">
        <v>287</v>
      </c>
      <c r="D109" s="58">
        <f>(10.432)*10.764</f>
        <v>112.290048</v>
      </c>
      <c r="E109" s="72">
        <v>0</v>
      </c>
      <c r="F109" s="49">
        <f>D109+E109</f>
        <v>112.290048</v>
      </c>
      <c r="G109" s="49">
        <v>0</v>
      </c>
      <c r="H109" s="65">
        <v>366</v>
      </c>
      <c r="I109" s="33"/>
      <c r="J109" s="65">
        <v>366</v>
      </c>
      <c r="K109" s="64">
        <f t="shared" ref="K109:K111" si="0">J109/F109</f>
        <v>3.2594161861966611</v>
      </c>
      <c r="L109" s="75"/>
      <c r="M109" s="75"/>
      <c r="N109" s="33"/>
    </row>
    <row r="110" spans="1:14" s="34" customFormat="1" ht="15.75" customHeight="1" x14ac:dyDescent="0.25">
      <c r="A110" s="81">
        <f>A109+1</f>
        <v>3</v>
      </c>
      <c r="B110" s="82"/>
      <c r="C110" s="53" t="s">
        <v>287</v>
      </c>
      <c r="D110" s="58">
        <f>(15.73)*10.764</f>
        <v>169.31772000000001</v>
      </c>
      <c r="E110" s="72">
        <v>0</v>
      </c>
      <c r="F110" s="49">
        <f>D110+E110</f>
        <v>169.31772000000001</v>
      </c>
      <c r="G110" s="49">
        <v>0</v>
      </c>
      <c r="H110" s="65">
        <v>395</v>
      </c>
      <c r="I110" s="33"/>
      <c r="J110" s="65">
        <v>395</v>
      </c>
      <c r="K110" s="64">
        <f t="shared" si="0"/>
        <v>2.3328922690430747</v>
      </c>
      <c r="L110" s="75"/>
      <c r="M110" s="75"/>
      <c r="N110" s="33"/>
    </row>
    <row r="111" spans="1:14" s="34" customFormat="1" ht="15.75" customHeight="1" x14ac:dyDescent="0.25">
      <c r="A111" s="81">
        <f>A110+1</f>
        <v>4</v>
      </c>
      <c r="B111" s="82"/>
      <c r="C111" s="53" t="s">
        <v>287</v>
      </c>
      <c r="D111" s="58">
        <f>(15.73)*10.764</f>
        <v>169.31772000000001</v>
      </c>
      <c r="E111" s="72">
        <v>0</v>
      </c>
      <c r="F111" s="49">
        <f>D111+E111</f>
        <v>169.31772000000001</v>
      </c>
      <c r="G111" s="49">
        <v>0</v>
      </c>
      <c r="H111" s="65">
        <v>395</v>
      </c>
      <c r="I111" s="33"/>
      <c r="J111" s="65">
        <v>395</v>
      </c>
      <c r="K111" s="64">
        <f t="shared" si="0"/>
        <v>2.3328922690430747</v>
      </c>
      <c r="L111" s="75"/>
      <c r="M111" s="75"/>
      <c r="N111" s="33"/>
    </row>
    <row r="112" spans="1:14" s="34" customFormat="1" x14ac:dyDescent="0.25">
      <c r="A112" s="81"/>
      <c r="B112" s="83"/>
      <c r="C112" s="83"/>
      <c r="D112" s="83"/>
      <c r="E112" s="83"/>
      <c r="F112" s="83"/>
      <c r="G112" s="83"/>
      <c r="H112" s="82"/>
      <c r="I112" s="33"/>
      <c r="N112" s="33"/>
    </row>
    <row r="113" spans="1:14" ht="46.5" customHeight="1" x14ac:dyDescent="0.25">
      <c r="A113" s="102" t="s">
        <v>119</v>
      </c>
      <c r="B113" s="106" t="s">
        <v>177</v>
      </c>
      <c r="C113" s="106" t="s">
        <v>55</v>
      </c>
      <c r="D113" s="106" t="s">
        <v>231</v>
      </c>
      <c r="E113" s="106" t="s">
        <v>295</v>
      </c>
      <c r="F113" s="106" t="s">
        <v>56</v>
      </c>
      <c r="G113" s="110" t="s">
        <v>57</v>
      </c>
      <c r="H113" s="50" t="s">
        <v>313</v>
      </c>
      <c r="I113" s="33"/>
    </row>
    <row r="114" spans="1:14" s="34" customFormat="1" hidden="1" x14ac:dyDescent="0.25">
      <c r="A114" s="103"/>
      <c r="B114" s="107"/>
      <c r="C114" s="107"/>
      <c r="D114" s="107"/>
      <c r="E114" s="107"/>
      <c r="F114" s="107"/>
      <c r="G114" s="111"/>
      <c r="H114" s="59">
        <v>0.45</v>
      </c>
      <c r="I114" s="33"/>
    </row>
    <row r="115" spans="1:14" s="71" customFormat="1" x14ac:dyDescent="0.25">
      <c r="A115" s="84" t="s">
        <v>288</v>
      </c>
      <c r="B115" s="85"/>
      <c r="C115" s="85"/>
      <c r="D115" s="85"/>
      <c r="E115" s="85"/>
      <c r="F115" s="85"/>
      <c r="G115" s="85"/>
      <c r="H115" s="86"/>
      <c r="J115" s="33"/>
    </row>
    <row r="116" spans="1:14" s="71" customFormat="1" ht="15.75" customHeight="1" x14ac:dyDescent="0.25">
      <c r="A116" s="76">
        <v>1</v>
      </c>
      <c r="B116" s="77"/>
      <c r="C116" s="73" t="s">
        <v>289</v>
      </c>
      <c r="D116" s="74">
        <f>(25.65)*10.764</f>
        <v>276.09659999999997</v>
      </c>
      <c r="E116" s="74">
        <f>(2.21+2.65)*10.764</f>
        <v>52.313039999999994</v>
      </c>
      <c r="F116" s="73">
        <f>D116+E116</f>
        <v>328.40963999999997</v>
      </c>
      <c r="G116" s="74">
        <f>(2.5*1.3)*10.764</f>
        <v>34.982999999999997</v>
      </c>
      <c r="H116" s="73">
        <v>601</v>
      </c>
      <c r="I116" s="55">
        <f>4*2.6+1.8*2.6+2*2.6+1.2*1.3+0.9*1.2+0.9*1.3</f>
        <v>24.090000000000003</v>
      </c>
      <c r="J116" s="71">
        <f>2.6*0.85</f>
        <v>2.21</v>
      </c>
      <c r="K116" s="55">
        <f>2.85*0.85</f>
        <v>2.4224999999999999</v>
      </c>
      <c r="L116" s="75"/>
      <c r="M116" s="75"/>
      <c r="N116" s="33"/>
    </row>
    <row r="117" spans="1:14" s="71" customFormat="1" ht="15.75" customHeight="1" x14ac:dyDescent="0.25">
      <c r="A117" s="76">
        <f>A116+1</f>
        <v>2</v>
      </c>
      <c r="B117" s="77"/>
      <c r="C117" s="73" t="s">
        <v>289</v>
      </c>
      <c r="D117" s="74">
        <f>(26.088)*10.764</f>
        <v>280.81123200000002</v>
      </c>
      <c r="E117" s="74">
        <f>(2.21+4.75)*10.764</f>
        <v>74.917439999999999</v>
      </c>
      <c r="F117" s="73">
        <f>D117+E117</f>
        <v>355.72867200000002</v>
      </c>
      <c r="G117" s="74">
        <v>0</v>
      </c>
      <c r="H117" s="73">
        <v>606</v>
      </c>
      <c r="I117" s="33"/>
      <c r="L117" s="75"/>
      <c r="M117" s="75"/>
      <c r="N117" s="33"/>
    </row>
    <row r="118" spans="1:14" s="71" customFormat="1" ht="15.75" customHeight="1" x14ac:dyDescent="0.25">
      <c r="A118" s="76">
        <f>A117+1</f>
        <v>3</v>
      </c>
      <c r="B118" s="77"/>
      <c r="C118" s="73" t="s">
        <v>289</v>
      </c>
      <c r="D118" s="74">
        <f>(28.501)*10.764</f>
        <v>306.784764</v>
      </c>
      <c r="E118" s="74">
        <f>(2.21+4.6)*10.764</f>
        <v>73.302839999999989</v>
      </c>
      <c r="F118" s="73">
        <f>D118+E118</f>
        <v>380.087604</v>
      </c>
      <c r="G118" s="73">
        <v>0</v>
      </c>
      <c r="H118" s="73">
        <v>644</v>
      </c>
      <c r="I118" s="33"/>
      <c r="L118" s="75"/>
      <c r="M118" s="75"/>
      <c r="N118" s="33"/>
    </row>
    <row r="119" spans="1:14" s="71" customFormat="1" ht="15.75" customHeight="1" x14ac:dyDescent="0.25">
      <c r="A119" s="76">
        <f>A118+1</f>
        <v>4</v>
      </c>
      <c r="B119" s="77"/>
      <c r="C119" s="73" t="s">
        <v>289</v>
      </c>
      <c r="D119" s="74">
        <f>(27.86)*10.764</f>
        <v>299.88504</v>
      </c>
      <c r="E119" s="74">
        <f>(2.7+0.75*(2.6+2.5))*10.764</f>
        <v>70.235100000000003</v>
      </c>
      <c r="F119" s="73">
        <f>D119+E119</f>
        <v>370.12013999999999</v>
      </c>
      <c r="G119" s="73">
        <v>0</v>
      </c>
      <c r="H119" s="73">
        <v>630</v>
      </c>
      <c r="I119" s="33"/>
      <c r="L119" s="75"/>
      <c r="M119" s="75"/>
      <c r="N119" s="33"/>
    </row>
    <row r="120" spans="1:14" s="71" customFormat="1" x14ac:dyDescent="0.25">
      <c r="A120" s="78" t="s">
        <v>326</v>
      </c>
      <c r="B120" s="79"/>
      <c r="C120" s="79"/>
      <c r="D120" s="79"/>
      <c r="E120" s="79"/>
      <c r="F120" s="79"/>
      <c r="G120" s="79"/>
      <c r="H120" s="80"/>
      <c r="J120" s="33"/>
    </row>
    <row r="121" spans="1:14" s="71" customFormat="1" ht="15.75" customHeight="1" x14ac:dyDescent="0.25">
      <c r="A121" s="76">
        <v>1</v>
      </c>
      <c r="B121" s="77"/>
      <c r="C121" s="73" t="s">
        <v>289</v>
      </c>
      <c r="D121" s="74">
        <f>(25.65)*10.764</f>
        <v>276.09659999999997</v>
      </c>
      <c r="E121" s="74">
        <f>(2.21+2.65+0.75*2.5)*10.764</f>
        <v>72.495539999999991</v>
      </c>
      <c r="F121" s="73">
        <f>D121+E121</f>
        <v>348.59213999999997</v>
      </c>
      <c r="G121" s="73">
        <v>0</v>
      </c>
      <c r="H121" s="73">
        <v>601</v>
      </c>
      <c r="I121" s="33"/>
      <c r="L121" s="75"/>
      <c r="M121" s="75"/>
      <c r="N121" s="33"/>
    </row>
    <row r="122" spans="1:14" s="71" customFormat="1" ht="15.75" customHeight="1" x14ac:dyDescent="0.25">
      <c r="A122" s="76">
        <f>A121+1</f>
        <v>2</v>
      </c>
      <c r="B122" s="77"/>
      <c r="C122" s="73" t="s">
        <v>289</v>
      </c>
      <c r="D122" s="74">
        <f>(26.088)*10.764</f>
        <v>280.81123200000002</v>
      </c>
      <c r="E122" s="74">
        <f>(2.21+4.75)*10.764</f>
        <v>74.917439999999999</v>
      </c>
      <c r="F122" s="73">
        <f>D122+E122</f>
        <v>355.72867200000002</v>
      </c>
      <c r="G122" s="73">
        <v>0</v>
      </c>
      <c r="H122" s="73">
        <v>606</v>
      </c>
      <c r="I122" s="33"/>
      <c r="L122" s="75"/>
      <c r="M122" s="75"/>
      <c r="N122" s="33"/>
    </row>
    <row r="123" spans="1:14" s="71" customFormat="1" ht="15.75" customHeight="1" x14ac:dyDescent="0.25">
      <c r="A123" s="76">
        <f>A122+1</f>
        <v>3</v>
      </c>
      <c r="B123" s="77"/>
      <c r="C123" s="73" t="s">
        <v>289</v>
      </c>
      <c r="D123" s="74">
        <f>(28.501)*10.764</f>
        <v>306.784764</v>
      </c>
      <c r="E123" s="74">
        <f>(2.21+4.6)*10.764</f>
        <v>73.302839999999989</v>
      </c>
      <c r="F123" s="73">
        <f>D123+E123</f>
        <v>380.087604</v>
      </c>
      <c r="G123" s="73">
        <v>0</v>
      </c>
      <c r="H123" s="73">
        <v>644</v>
      </c>
      <c r="I123" s="33"/>
      <c r="L123" s="75"/>
      <c r="M123" s="75"/>
      <c r="N123" s="33"/>
    </row>
    <row r="124" spans="1:14" s="71" customFormat="1" ht="15.75" customHeight="1" x14ac:dyDescent="0.25">
      <c r="A124" s="76">
        <f>A123+1</f>
        <v>4</v>
      </c>
      <c r="B124" s="77"/>
      <c r="C124" s="73" t="s">
        <v>289</v>
      </c>
      <c r="D124" s="74">
        <f>(27.86)*10.764</f>
        <v>299.88504</v>
      </c>
      <c r="E124" s="74">
        <f>(2.7+0.75*(2.6+2.5))*10.764</f>
        <v>70.235100000000003</v>
      </c>
      <c r="F124" s="73">
        <f>D124+E124</f>
        <v>370.12013999999999</v>
      </c>
      <c r="G124" s="73">
        <v>0</v>
      </c>
      <c r="H124" s="73">
        <v>630</v>
      </c>
      <c r="I124" s="33"/>
      <c r="L124" s="75"/>
      <c r="M124" s="75"/>
      <c r="N124" s="33"/>
    </row>
    <row r="125" spans="1:14" s="71" customFormat="1" x14ac:dyDescent="0.25">
      <c r="A125" s="78" t="s">
        <v>327</v>
      </c>
      <c r="B125" s="79"/>
      <c r="C125" s="79"/>
      <c r="D125" s="79"/>
      <c r="E125" s="79"/>
      <c r="F125" s="79"/>
      <c r="G125" s="79"/>
      <c r="H125" s="80"/>
      <c r="J125" s="33"/>
    </row>
    <row r="126" spans="1:14" s="71" customFormat="1" ht="15.75" customHeight="1" x14ac:dyDescent="0.25">
      <c r="A126" s="76">
        <v>1</v>
      </c>
      <c r="B126" s="77"/>
      <c r="C126" s="73" t="s">
        <v>289</v>
      </c>
      <c r="D126" s="74">
        <f>(25.65)*10.764</f>
        <v>276.09659999999997</v>
      </c>
      <c r="E126" s="74">
        <f>(2.21+2.65+0.75*2.5)*10.764</f>
        <v>72.495539999999991</v>
      </c>
      <c r="F126" s="73">
        <f>D126+E126</f>
        <v>348.59213999999997</v>
      </c>
      <c r="G126" s="73">
        <v>0</v>
      </c>
      <c r="H126" s="73">
        <v>601</v>
      </c>
      <c r="I126" s="33"/>
      <c r="L126" s="75"/>
      <c r="M126" s="75"/>
      <c r="N126" s="33"/>
    </row>
    <row r="127" spans="1:14" s="71" customFormat="1" ht="15.75" customHeight="1" x14ac:dyDescent="0.25">
      <c r="A127" s="76">
        <f>A126+1</f>
        <v>2</v>
      </c>
      <c r="B127" s="77"/>
      <c r="C127" s="73" t="s">
        <v>289</v>
      </c>
      <c r="D127" s="74">
        <f>(26.088)*10.764</f>
        <v>280.81123200000002</v>
      </c>
      <c r="E127" s="74">
        <f>(2.21+4.75)*10.764</f>
        <v>74.917439999999999</v>
      </c>
      <c r="F127" s="73">
        <f>D127+E127</f>
        <v>355.72867200000002</v>
      </c>
      <c r="G127" s="73">
        <v>0</v>
      </c>
      <c r="H127" s="73">
        <v>606</v>
      </c>
      <c r="I127" s="33"/>
      <c r="L127" s="75"/>
      <c r="M127" s="75"/>
      <c r="N127" s="33"/>
    </row>
    <row r="128" spans="1:14" s="71" customFormat="1" ht="15.75" customHeight="1" x14ac:dyDescent="0.25">
      <c r="A128" s="76">
        <f>A127+1</f>
        <v>3</v>
      </c>
      <c r="B128" s="77"/>
      <c r="C128" s="73" t="s">
        <v>289</v>
      </c>
      <c r="D128" s="74">
        <f>(28.501)*10.764</f>
        <v>306.784764</v>
      </c>
      <c r="E128" s="74">
        <f>(2.21+4.6)*10.764</f>
        <v>73.302839999999989</v>
      </c>
      <c r="F128" s="73">
        <f>D128+E128</f>
        <v>380.087604</v>
      </c>
      <c r="G128" s="73">
        <v>0</v>
      </c>
      <c r="H128" s="73">
        <v>644</v>
      </c>
      <c r="I128" s="33"/>
      <c r="L128" s="75"/>
      <c r="M128" s="75"/>
      <c r="N128" s="33"/>
    </row>
    <row r="129" spans="1:14" s="71" customFormat="1" ht="15.75" customHeight="1" x14ac:dyDescent="0.25">
      <c r="A129" s="76">
        <f>A128+1</f>
        <v>4</v>
      </c>
      <c r="B129" s="77"/>
      <c r="C129" s="73" t="s">
        <v>289</v>
      </c>
      <c r="D129" s="74">
        <f>(25.65)*10.764</f>
        <v>276.09659999999997</v>
      </c>
      <c r="E129" s="74">
        <f>(2.21+2.7+0.75*2.5)*10.764</f>
        <v>73.033739999999995</v>
      </c>
      <c r="F129" s="73">
        <f>D129+E129</f>
        <v>349.13033999999993</v>
      </c>
      <c r="G129" s="73">
        <v>0</v>
      </c>
      <c r="H129" s="73">
        <v>630</v>
      </c>
      <c r="I129" s="33"/>
      <c r="L129" s="75"/>
      <c r="M129" s="75"/>
      <c r="N129" s="33"/>
    </row>
    <row r="130" spans="1:14" s="71" customFormat="1" x14ac:dyDescent="0.25">
      <c r="A130" s="78" t="s">
        <v>328</v>
      </c>
      <c r="B130" s="79"/>
      <c r="C130" s="79"/>
      <c r="D130" s="79"/>
      <c r="E130" s="79"/>
      <c r="F130" s="79"/>
      <c r="G130" s="79"/>
      <c r="H130" s="80"/>
      <c r="J130" s="33"/>
    </row>
    <row r="131" spans="1:14" s="71" customFormat="1" ht="15.75" customHeight="1" x14ac:dyDescent="0.25">
      <c r="A131" s="76">
        <v>1</v>
      </c>
      <c r="B131" s="77"/>
      <c r="C131" s="73" t="s">
        <v>289</v>
      </c>
      <c r="D131" s="74">
        <f>(24.795)*10.764</f>
        <v>266.89337999999998</v>
      </c>
      <c r="E131" s="74">
        <f>(2.21+2.65)*10.764</f>
        <v>52.313039999999994</v>
      </c>
      <c r="F131" s="73">
        <f>D131+E131</f>
        <v>319.20641999999998</v>
      </c>
      <c r="G131" s="73">
        <v>0</v>
      </c>
      <c r="H131" s="73">
        <v>550</v>
      </c>
      <c r="I131" s="33"/>
      <c r="L131" s="75"/>
      <c r="M131" s="75"/>
      <c r="N131" s="33"/>
    </row>
    <row r="132" spans="1:14" s="71" customFormat="1" ht="15.75" customHeight="1" x14ac:dyDescent="0.25">
      <c r="A132" s="76">
        <f>A131+1</f>
        <v>2</v>
      </c>
      <c r="B132" s="77"/>
      <c r="C132" s="73" t="s">
        <v>289</v>
      </c>
      <c r="D132" s="74">
        <f>(26.088)*10.764</f>
        <v>280.81123200000002</v>
      </c>
      <c r="E132" s="74">
        <f>(2.21+4.75)*10.764</f>
        <v>74.917439999999999</v>
      </c>
      <c r="F132" s="73">
        <f>D132+E132</f>
        <v>355.72867200000002</v>
      </c>
      <c r="G132" s="73">
        <v>0</v>
      </c>
      <c r="H132" s="73">
        <v>606</v>
      </c>
      <c r="I132" s="33"/>
      <c r="L132" s="75"/>
      <c r="M132" s="75"/>
      <c r="N132" s="33"/>
    </row>
    <row r="133" spans="1:14" s="71" customFormat="1" ht="15.75" customHeight="1" x14ac:dyDescent="0.25">
      <c r="A133" s="76">
        <f>A132+1</f>
        <v>3</v>
      </c>
      <c r="B133" s="77"/>
      <c r="C133" s="73" t="s">
        <v>289</v>
      </c>
      <c r="D133" s="74">
        <f>(28.501)*10.764</f>
        <v>306.784764</v>
      </c>
      <c r="E133" s="74">
        <f>(2.21+4.6)*10.764</f>
        <v>73.302839999999989</v>
      </c>
      <c r="F133" s="73">
        <f>D133+E133</f>
        <v>380.087604</v>
      </c>
      <c r="G133" s="73">
        <v>0</v>
      </c>
      <c r="H133" s="73">
        <v>644</v>
      </c>
      <c r="I133" s="33"/>
      <c r="L133" s="75"/>
      <c r="M133" s="75"/>
      <c r="N133" s="33"/>
    </row>
    <row r="134" spans="1:14" s="71" customFormat="1" ht="15.75" customHeight="1" x14ac:dyDescent="0.25">
      <c r="A134" s="76">
        <f>A133+1</f>
        <v>4</v>
      </c>
      <c r="B134" s="77"/>
      <c r="C134" s="73" t="s">
        <v>329</v>
      </c>
      <c r="D134" s="74">
        <f>(16.525)*10.764</f>
        <v>177.87509999999997</v>
      </c>
      <c r="E134" s="74">
        <f>(2.21+2.7)*10.764</f>
        <v>52.851239999999997</v>
      </c>
      <c r="F134" s="73">
        <f>D134+E134</f>
        <v>230.72633999999996</v>
      </c>
      <c r="G134" s="74">
        <f>(3*2.6)*10.764</f>
        <v>83.959199999999996</v>
      </c>
      <c r="H134" s="73">
        <f t="shared" ref="H134" si="1">F134*1.7</f>
        <v>392.23477799999995</v>
      </c>
      <c r="I134" s="33"/>
      <c r="L134" s="75"/>
      <c r="M134" s="75"/>
      <c r="N134" s="33"/>
    </row>
    <row r="135" spans="1:14" s="54" customFormat="1" hidden="1" x14ac:dyDescent="0.25">
      <c r="A135" s="195" t="s">
        <v>288</v>
      </c>
      <c r="B135" s="196"/>
      <c r="C135" s="196"/>
      <c r="D135" s="196"/>
      <c r="E135" s="196"/>
      <c r="F135" s="196"/>
      <c r="G135" s="196"/>
      <c r="H135" s="197"/>
      <c r="J135" s="33"/>
    </row>
    <row r="136" spans="1:14" s="54" customFormat="1" ht="15.75" hidden="1" customHeight="1" x14ac:dyDescent="0.25">
      <c r="A136" s="81">
        <v>1</v>
      </c>
      <c r="B136" s="82"/>
      <c r="C136" s="53" t="s">
        <v>289</v>
      </c>
      <c r="D136" s="58">
        <f>(27.86)*10.764</f>
        <v>299.88504</v>
      </c>
      <c r="E136" s="58">
        <f>(1*2.6)*10.764</f>
        <v>27.9864</v>
      </c>
      <c r="F136" s="53">
        <f>D136+E136</f>
        <v>327.87144000000001</v>
      </c>
      <c r="G136" s="58">
        <f>(1*2.45)*10.764</f>
        <v>26.3718</v>
      </c>
      <c r="H136" s="65">
        <v>588</v>
      </c>
      <c r="I136" s="55">
        <f>4*2.6+1.8*2.6+3*2.6+1.2*1.3+0.9*1.2+0.9*1.2</f>
        <v>26.6</v>
      </c>
      <c r="J136" s="65">
        <v>588</v>
      </c>
      <c r="K136" s="64">
        <f>J136/F136</f>
        <v>1.7933858465988985</v>
      </c>
      <c r="L136" s="75"/>
      <c r="M136" s="75"/>
      <c r="N136" s="33"/>
    </row>
    <row r="137" spans="1:14" s="54" customFormat="1" ht="15.75" hidden="1" customHeight="1" x14ac:dyDescent="0.25">
      <c r="A137" s="81">
        <f>A136+1</f>
        <v>2</v>
      </c>
      <c r="B137" s="82"/>
      <c r="C137" s="53" t="s">
        <v>289</v>
      </c>
      <c r="D137" s="58">
        <f>(28.298)*10.764</f>
        <v>304.59967199999994</v>
      </c>
      <c r="E137" s="58">
        <f>(1*(2.7+1.8))*10.764</f>
        <v>48.437999999999995</v>
      </c>
      <c r="F137" s="53">
        <f>D137+E137</f>
        <v>353.03767199999993</v>
      </c>
      <c r="G137" s="58">
        <f>54</f>
        <v>54</v>
      </c>
      <c r="H137" s="65">
        <v>654</v>
      </c>
      <c r="I137" s="33"/>
      <c r="J137" s="65">
        <v>654</v>
      </c>
      <c r="K137" s="64">
        <f t="shared" ref="K137:K144" si="2">J137/F137</f>
        <v>1.8524935208614228</v>
      </c>
      <c r="L137" s="75"/>
      <c r="M137" s="75"/>
      <c r="N137" s="33"/>
    </row>
    <row r="138" spans="1:14" s="54" customFormat="1" ht="15.75" hidden="1" customHeight="1" x14ac:dyDescent="0.25">
      <c r="A138" s="81">
        <f>A137+1</f>
        <v>3</v>
      </c>
      <c r="B138" s="82"/>
      <c r="C138" s="53" t="s">
        <v>289</v>
      </c>
      <c r="D138" s="58">
        <f>(30.711)*10.764</f>
        <v>330.57320399999998</v>
      </c>
      <c r="E138" s="58">
        <f>(1*(2.7+1.8))*10.764</f>
        <v>48.437999999999995</v>
      </c>
      <c r="F138" s="53">
        <f>D138+E138</f>
        <v>379.01120399999996</v>
      </c>
      <c r="G138" s="58">
        <v>0</v>
      </c>
      <c r="H138" s="65">
        <v>644</v>
      </c>
      <c r="I138" s="33"/>
      <c r="J138" s="65">
        <v>644</v>
      </c>
      <c r="K138" s="64">
        <f t="shared" si="2"/>
        <v>1.6991582127477163</v>
      </c>
      <c r="L138" s="75"/>
      <c r="M138" s="75"/>
      <c r="N138" s="33"/>
    </row>
    <row r="139" spans="1:14" s="54" customFormat="1" ht="15.75" hidden="1" customHeight="1" x14ac:dyDescent="0.25">
      <c r="A139" s="81">
        <f>A138+1</f>
        <v>4</v>
      </c>
      <c r="B139" s="82"/>
      <c r="C139" s="81" t="s">
        <v>290</v>
      </c>
      <c r="D139" s="83"/>
      <c r="E139" s="83"/>
      <c r="F139" s="83"/>
      <c r="G139" s="83"/>
      <c r="H139" s="82"/>
      <c r="I139" s="33"/>
      <c r="K139" s="64"/>
      <c r="L139" s="75"/>
      <c r="M139" s="75"/>
      <c r="N139" s="33"/>
    </row>
    <row r="140" spans="1:14" s="54" customFormat="1" hidden="1" x14ac:dyDescent="0.25">
      <c r="A140" s="84" t="s">
        <v>291</v>
      </c>
      <c r="B140" s="85"/>
      <c r="C140" s="85"/>
      <c r="D140" s="85"/>
      <c r="E140" s="85"/>
      <c r="F140" s="85"/>
      <c r="G140" s="85"/>
      <c r="H140" s="86"/>
      <c r="J140" s="33"/>
      <c r="K140" s="64"/>
    </row>
    <row r="141" spans="1:14" s="54" customFormat="1" ht="15.75" hidden="1" customHeight="1" x14ac:dyDescent="0.25">
      <c r="A141" s="81">
        <v>1</v>
      </c>
      <c r="B141" s="82"/>
      <c r="C141" s="53" t="s">
        <v>289</v>
      </c>
      <c r="D141" s="58">
        <f>(27.86)*10.764</f>
        <v>299.88504</v>
      </c>
      <c r="E141" s="58">
        <f>(1*(2.45+2.6))*10.764</f>
        <v>54.358200000000004</v>
      </c>
      <c r="F141" s="53">
        <f>D141+E141</f>
        <v>354.24324000000001</v>
      </c>
      <c r="G141" s="53">
        <v>0</v>
      </c>
      <c r="H141" s="58">
        <v>606</v>
      </c>
      <c r="I141" s="33"/>
      <c r="J141" s="58">
        <v>606</v>
      </c>
      <c r="K141" s="64">
        <f t="shared" si="2"/>
        <v>1.7106889605006999</v>
      </c>
      <c r="L141" s="33">
        <f>3800000/H142</f>
        <v>6322.79534109817</v>
      </c>
      <c r="M141" s="56"/>
      <c r="N141" s="33"/>
    </row>
    <row r="142" spans="1:14" s="54" customFormat="1" ht="15.75" hidden="1" customHeight="1" x14ac:dyDescent="0.25">
      <c r="A142" s="81">
        <f>A141+1</f>
        <v>2</v>
      </c>
      <c r="B142" s="82"/>
      <c r="C142" s="53" t="s">
        <v>289</v>
      </c>
      <c r="D142" s="58">
        <f>(28.298)*10.764</f>
        <v>304.59967199999994</v>
      </c>
      <c r="E142" s="58">
        <f>(1*(2.7+1.8))*10.764</f>
        <v>48.437999999999995</v>
      </c>
      <c r="F142" s="53">
        <f>D142+E142</f>
        <v>353.03767199999993</v>
      </c>
      <c r="G142" s="53">
        <v>0</v>
      </c>
      <c r="H142" s="65">
        <v>601</v>
      </c>
      <c r="I142" s="33"/>
      <c r="J142" s="65">
        <v>601</v>
      </c>
      <c r="K142" s="64">
        <f t="shared" si="2"/>
        <v>1.7023678991402371</v>
      </c>
      <c r="L142" s="75"/>
      <c r="M142" s="75"/>
      <c r="N142" s="33"/>
    </row>
    <row r="143" spans="1:14" s="54" customFormat="1" ht="15.75" hidden="1" customHeight="1" x14ac:dyDescent="0.25">
      <c r="A143" s="81">
        <f>A142+1</f>
        <v>3</v>
      </c>
      <c r="B143" s="82"/>
      <c r="C143" s="53" t="s">
        <v>289</v>
      </c>
      <c r="D143" s="58">
        <f>(30.711)*10.764</f>
        <v>330.57320399999998</v>
      </c>
      <c r="E143" s="58">
        <f>(1*(2.7+1.8))*10.764</f>
        <v>48.437999999999995</v>
      </c>
      <c r="F143" s="53">
        <f>D143+E143</f>
        <v>379.01120399999996</v>
      </c>
      <c r="G143" s="53">
        <v>0</v>
      </c>
      <c r="H143" s="65">
        <v>644</v>
      </c>
      <c r="I143" s="33"/>
      <c r="J143" s="65">
        <v>644</v>
      </c>
      <c r="K143" s="64">
        <f t="shared" si="2"/>
        <v>1.6991582127477163</v>
      </c>
      <c r="L143" s="75"/>
      <c r="M143" s="75"/>
      <c r="N143" s="33"/>
    </row>
    <row r="144" spans="1:14" s="54" customFormat="1" ht="15.75" hidden="1" customHeight="1" x14ac:dyDescent="0.25">
      <c r="A144" s="81">
        <f>A143+1</f>
        <v>4</v>
      </c>
      <c r="B144" s="82"/>
      <c r="C144" s="53" t="s">
        <v>289</v>
      </c>
      <c r="D144" s="58">
        <f>(27.86)*10.764</f>
        <v>299.88504</v>
      </c>
      <c r="E144" s="58">
        <f>(1*(2.6+2.45))*10.764</f>
        <v>54.358200000000004</v>
      </c>
      <c r="F144" s="53">
        <f>D144+E144</f>
        <v>354.24324000000001</v>
      </c>
      <c r="G144" s="53">
        <v>0</v>
      </c>
      <c r="H144" s="65">
        <v>660</v>
      </c>
      <c r="I144" s="33"/>
      <c r="J144" s="65">
        <v>660</v>
      </c>
      <c r="K144" s="64">
        <f t="shared" si="2"/>
        <v>1.8631265906443266</v>
      </c>
      <c r="L144" s="75"/>
      <c r="M144" s="75"/>
      <c r="N144" s="33"/>
    </row>
    <row r="145" spans="1:14" s="54" customFormat="1" hidden="1" x14ac:dyDescent="0.25">
      <c r="A145" s="84" t="s">
        <v>292</v>
      </c>
      <c r="B145" s="85"/>
      <c r="C145" s="85"/>
      <c r="D145" s="85"/>
      <c r="E145" s="85"/>
      <c r="F145" s="85"/>
      <c r="G145" s="85"/>
      <c r="H145" s="86"/>
      <c r="J145" s="33"/>
    </row>
    <row r="146" spans="1:14" s="54" customFormat="1" ht="15.75" hidden="1" customHeight="1" x14ac:dyDescent="0.25">
      <c r="A146" s="81">
        <v>1</v>
      </c>
      <c r="B146" s="82"/>
      <c r="C146" s="53" t="s">
        <v>289</v>
      </c>
      <c r="D146" s="58">
        <f>(27.86)*10.764</f>
        <v>299.88504</v>
      </c>
      <c r="E146" s="58">
        <f>(1*(2.6+2.45))*10.764</f>
        <v>54.358200000000004</v>
      </c>
      <c r="F146" s="53">
        <f>D146+E146</f>
        <v>354.24324000000001</v>
      </c>
      <c r="G146" s="53">
        <v>0</v>
      </c>
      <c r="H146" s="58">
        <v>606</v>
      </c>
      <c r="I146" s="33"/>
      <c r="K146" s="33">
        <f>3800000/H146</f>
        <v>6270.6270627062704</v>
      </c>
      <c r="L146" s="75"/>
      <c r="M146" s="75"/>
      <c r="N146" s="33"/>
    </row>
    <row r="147" spans="1:14" s="54" customFormat="1" ht="15.75" hidden="1" customHeight="1" x14ac:dyDescent="0.25">
      <c r="A147" s="81">
        <f>A146+1</f>
        <v>2</v>
      </c>
      <c r="B147" s="82"/>
      <c r="C147" s="53" t="s">
        <v>289</v>
      </c>
      <c r="D147" s="58">
        <f>(28.298)*10.764</f>
        <v>304.59967199999994</v>
      </c>
      <c r="E147" s="58">
        <f>(1*(2.7+1.8))*10.764</f>
        <v>48.437999999999995</v>
      </c>
      <c r="F147" s="53">
        <f>D147+E147</f>
        <v>353.03767199999993</v>
      </c>
      <c r="G147" s="53">
        <v>0</v>
      </c>
      <c r="H147" s="65">
        <v>601</v>
      </c>
      <c r="I147" s="33"/>
      <c r="L147" s="75"/>
      <c r="M147" s="75"/>
      <c r="N147" s="33"/>
    </row>
    <row r="148" spans="1:14" s="54" customFormat="1" ht="15.75" hidden="1" customHeight="1" x14ac:dyDescent="0.25">
      <c r="A148" s="81">
        <f>A147+1</f>
        <v>3</v>
      </c>
      <c r="B148" s="82"/>
      <c r="C148" s="53" t="s">
        <v>289</v>
      </c>
      <c r="D148" s="58">
        <f>(30.711)*10.764</f>
        <v>330.57320399999998</v>
      </c>
      <c r="E148" s="58">
        <f>(1*(2.7+1.8))*10.764</f>
        <v>48.437999999999995</v>
      </c>
      <c r="F148" s="53">
        <f>D148+E148</f>
        <v>379.01120399999996</v>
      </c>
      <c r="G148" s="53">
        <v>0</v>
      </c>
      <c r="H148" s="65">
        <v>644</v>
      </c>
      <c r="I148" s="33"/>
      <c r="L148" s="75"/>
      <c r="M148" s="75"/>
      <c r="N148" s="33"/>
    </row>
    <row r="149" spans="1:14" s="54" customFormat="1" ht="15.75" hidden="1" customHeight="1" x14ac:dyDescent="0.25">
      <c r="A149" s="81">
        <f>A148+1</f>
        <v>4</v>
      </c>
      <c r="B149" s="82"/>
      <c r="C149" s="81" t="s">
        <v>293</v>
      </c>
      <c r="D149" s="83"/>
      <c r="E149" s="83"/>
      <c r="F149" s="83"/>
      <c r="G149" s="83"/>
      <c r="H149" s="82"/>
      <c r="I149" s="33"/>
      <c r="L149" s="75"/>
      <c r="M149" s="75"/>
      <c r="N149" s="33"/>
    </row>
    <row r="150" spans="1:14" s="34" customFormat="1" hidden="1" x14ac:dyDescent="0.25">
      <c r="A150" s="84" t="s">
        <v>116</v>
      </c>
      <c r="B150" s="85"/>
      <c r="C150" s="85"/>
      <c r="D150" s="85"/>
      <c r="E150" s="85"/>
      <c r="F150" s="85"/>
      <c r="G150" s="85"/>
      <c r="H150" s="86"/>
      <c r="J150" s="33"/>
    </row>
    <row r="151" spans="1:14" s="34" customFormat="1" ht="15.75" hidden="1" customHeight="1" x14ac:dyDescent="0.25">
      <c r="A151" s="81">
        <v>1</v>
      </c>
      <c r="B151" s="82"/>
      <c r="C151" s="39"/>
      <c r="D151" s="39"/>
      <c r="E151" s="39">
        <v>0</v>
      </c>
      <c r="F151" s="39">
        <f>D151+E151</f>
        <v>0</v>
      </c>
      <c r="G151" s="49">
        <v>0</v>
      </c>
      <c r="H151" s="49">
        <f>F151*(($H$114)+1)+(IF(G151&lt;101,G151,IF(G151&lt;201,G151/2,IF(G151&lt;=301,G151/3,G151/4))))</f>
        <v>0</v>
      </c>
      <c r="I151" s="33"/>
      <c r="L151" s="75"/>
      <c r="M151" s="75"/>
      <c r="N151" s="33"/>
    </row>
    <row r="152" spans="1:14" s="34" customFormat="1" ht="15.75" hidden="1" customHeight="1" x14ac:dyDescent="0.25">
      <c r="A152" s="81">
        <f>A151+1</f>
        <v>2</v>
      </c>
      <c r="B152" s="82"/>
      <c r="C152" s="39"/>
      <c r="D152" s="39"/>
      <c r="E152" s="39">
        <v>0</v>
      </c>
      <c r="F152" s="49">
        <f>D152+E152</f>
        <v>0</v>
      </c>
      <c r="G152" s="49">
        <v>0</v>
      </c>
      <c r="H152" s="49">
        <f>F152*(($H$114)+1)+(IF(G152&lt;101,G152,IF(G152&lt;201,G152/2,IF(G152&lt;=301,G152/3,G152/4))))</f>
        <v>0</v>
      </c>
      <c r="I152" s="33"/>
      <c r="L152" s="75"/>
      <c r="M152" s="75"/>
      <c r="N152" s="33"/>
    </row>
    <row r="153" spans="1:14" s="34" customFormat="1" ht="15.75" hidden="1" customHeight="1" x14ac:dyDescent="0.25">
      <c r="A153" s="81">
        <f>A152+1</f>
        <v>3</v>
      </c>
      <c r="B153" s="82"/>
      <c r="C153" s="39"/>
      <c r="D153" s="39"/>
      <c r="E153" s="39">
        <v>0</v>
      </c>
      <c r="F153" s="49">
        <f>D153+E153</f>
        <v>0</v>
      </c>
      <c r="G153" s="49">
        <v>0</v>
      </c>
      <c r="H153" s="49">
        <f>F153*(($H$114)+1)+(IF(G153&lt;101,G153,IF(G153&lt;201,G153/2,IF(G153&lt;=301,G153/3,G153/4))))</f>
        <v>0</v>
      </c>
      <c r="I153" s="33"/>
      <c r="L153" s="75"/>
      <c r="M153" s="75"/>
      <c r="N153" s="33"/>
    </row>
    <row r="154" spans="1:14" s="34" customFormat="1" ht="15.75" hidden="1" customHeight="1" x14ac:dyDescent="0.25">
      <c r="A154" s="81">
        <f>A153+1</f>
        <v>4</v>
      </c>
      <c r="B154" s="82"/>
      <c r="C154" s="39"/>
      <c r="D154" s="39"/>
      <c r="E154" s="39">
        <v>0</v>
      </c>
      <c r="F154" s="49">
        <f>D154+E154</f>
        <v>0</v>
      </c>
      <c r="G154" s="49">
        <v>0</v>
      </c>
      <c r="H154" s="49">
        <f>F154*(($H$114)+1)+(IF(G154&lt;101,G154,IF(G154&lt;201,G154/2,IF(G154&lt;=301,G154/3,G154/4))))</f>
        <v>0</v>
      </c>
      <c r="I154" s="33"/>
      <c r="L154" s="75"/>
      <c r="M154" s="75"/>
      <c r="N154" s="33"/>
    </row>
    <row r="155" spans="1:14" s="34" customFormat="1" hidden="1" x14ac:dyDescent="0.25">
      <c r="A155" s="185" t="s">
        <v>117</v>
      </c>
      <c r="B155" s="185"/>
      <c r="C155" s="185"/>
      <c r="D155" s="185"/>
      <c r="E155" s="185"/>
      <c r="F155" s="185"/>
      <c r="G155" s="185"/>
      <c r="H155" s="185"/>
      <c r="I155" s="33"/>
      <c r="L155" s="75"/>
      <c r="M155" s="75"/>
    </row>
    <row r="156" spans="1:14" s="34" customFormat="1" hidden="1" x14ac:dyDescent="0.25">
      <c r="A156" s="90">
        <f>LEFT(A155,SUM(LEN(A155)-LEN(SUBSTITUTE(A155,{"0","1","2","3","4","5","6","7","8","9"},""))))*100+1</f>
        <v>201</v>
      </c>
      <c r="B156" s="90"/>
      <c r="C156" s="39"/>
      <c r="D156" s="39"/>
      <c r="E156" s="49">
        <v>0</v>
      </c>
      <c r="F156" s="49">
        <f>D156+E156</f>
        <v>0</v>
      </c>
      <c r="G156" s="49">
        <v>0</v>
      </c>
      <c r="H156" s="49">
        <f>F156*(($H$114)+1)+(IF(G156&lt;101,G156,IF(G156&lt;201,G156/2,IF(G156&lt;=301,G156/3,G156/4))))</f>
        <v>0</v>
      </c>
      <c r="I156" s="33"/>
      <c r="N156" s="33"/>
    </row>
    <row r="157" spans="1:14" s="34" customFormat="1" hidden="1" x14ac:dyDescent="0.25">
      <c r="A157" s="90">
        <f>A156+1</f>
        <v>202</v>
      </c>
      <c r="B157" s="90"/>
      <c r="C157" s="39"/>
      <c r="D157" s="39"/>
      <c r="E157" s="49">
        <v>0</v>
      </c>
      <c r="F157" s="49">
        <f>D157+E157</f>
        <v>0</v>
      </c>
      <c r="G157" s="49">
        <v>0</v>
      </c>
      <c r="H157" s="49">
        <f>F157*(($H$114)+1)+(IF(G157&lt;101,G157,IF(G157&lt;201,G157/2,IF(G157&lt;=301,G157/3,G157/4))))</f>
        <v>0</v>
      </c>
      <c r="I157" s="33"/>
      <c r="N157" s="33"/>
    </row>
    <row r="158" spans="1:14" s="34" customFormat="1" hidden="1" x14ac:dyDescent="0.25">
      <c r="A158" s="90">
        <f>A157+1</f>
        <v>203</v>
      </c>
      <c r="B158" s="90"/>
      <c r="C158" s="39"/>
      <c r="D158" s="39"/>
      <c r="E158" s="49">
        <v>0</v>
      </c>
      <c r="F158" s="49">
        <f>D158+E158</f>
        <v>0</v>
      </c>
      <c r="G158" s="49">
        <v>0</v>
      </c>
      <c r="H158" s="49">
        <f>F158*(($H$114)+1)+(IF(G158&lt;101,G158,IF(G158&lt;201,G158/2,IF(G158&lt;=301,G158/3,G158/4))))</f>
        <v>0</v>
      </c>
      <c r="I158" s="33"/>
      <c r="N158" s="33"/>
    </row>
    <row r="159" spans="1:14" s="34" customFormat="1" hidden="1" x14ac:dyDescent="0.25">
      <c r="A159" s="90">
        <f>A158+1</f>
        <v>204</v>
      </c>
      <c r="B159" s="90"/>
      <c r="C159" s="39"/>
      <c r="D159" s="39"/>
      <c r="E159" s="49">
        <v>0</v>
      </c>
      <c r="F159" s="49">
        <f>D159+E159</f>
        <v>0</v>
      </c>
      <c r="G159" s="49">
        <v>0</v>
      </c>
      <c r="H159" s="49">
        <f>F159*(($H$114)+1)+(IF(G159&lt;101,G159,IF(G159&lt;201,G159/2,IF(G159&lt;=301,G159/3,G159/4))))</f>
        <v>0</v>
      </c>
      <c r="I159" s="33"/>
      <c r="N159" s="33"/>
    </row>
    <row r="160" spans="1:14" s="34" customFormat="1" hidden="1" x14ac:dyDescent="0.25">
      <c r="A160" s="90">
        <f>A159+1</f>
        <v>205</v>
      </c>
      <c r="B160" s="90"/>
      <c r="C160" s="39"/>
      <c r="D160" s="39"/>
      <c r="E160" s="49">
        <v>0</v>
      </c>
      <c r="F160" s="49">
        <f>D160+E160</f>
        <v>0</v>
      </c>
      <c r="G160" s="49">
        <v>0</v>
      </c>
      <c r="H160" s="49">
        <f>F160*(($H$114)+1)+(IF(G160&lt;101,G160,IF(G160&lt;201,G160/2,IF(G160&lt;=301,G160/3,G160/4))))</f>
        <v>0</v>
      </c>
      <c r="I160" s="33"/>
      <c r="N160" s="33"/>
    </row>
    <row r="161" spans="1:9" s="34" customFormat="1" ht="15.75" hidden="1" customHeight="1" x14ac:dyDescent="0.25">
      <c r="A161" s="84" t="s">
        <v>150</v>
      </c>
      <c r="B161" s="85"/>
      <c r="C161" s="85"/>
      <c r="D161" s="85"/>
      <c r="E161" s="85"/>
      <c r="F161" s="85"/>
      <c r="G161" s="85"/>
      <c r="H161" s="86"/>
      <c r="I161" s="33"/>
    </row>
    <row r="162" spans="1:9" s="34" customFormat="1" ht="15.75" hidden="1" customHeight="1" x14ac:dyDescent="0.25">
      <c r="A162" s="81" t="str">
        <f ca="1">(SUMPRODUCT(MID(0&amp;(LEFT(A161,SUM(LEN(A161)-LEN(SUBSTITUTE(A161,{"0","1","2"},""))))), LARGE(INDEX(ISNUMBER(--MID((LEFT(A161,SUM(LEN(A161)-LEN(SUBSTITUTE(A161,{"0","1","2"},""))))), ROW(INDIRECT("1:"&amp;LEN((LEFT(A161,SUM(LEN(A161)-LEN(SUBSTITUTE(A161,{"0","1","2"},"")))))))), 1)) * ROW(INDIRECT("1:"&amp;LEN((LEFT(A161,SUM(LEN(A161)-LEN(SUBSTITUTE(A161,{"0","1","2"},"")))))))), 0), ROW(INDIRECT("1:"&amp;LEN((LEFT(A161,SUM(LEN(A161)-LEN(SUBSTITUTE(A161,{"0","1","2"},"")))))))))+1, 1) * 10^ROW(INDIRECT("1:"&amp;LEN((LEFT(A161,SUM(LEN(A161)-LEN(SUBSTITUTE(A161,{"0","1","2"},""))))))))/10))*100+1&amp;""&amp;" ,.., "&amp;""&amp;(SUMPRODUCT(MID(0&amp;(--TRIM(RIGHT(SUBSTITUTE(LEFT(A161,_xlfn.AGGREGATE(16,6,FIND({0,1,2,3,4,5,6,7,8,9},A161,ROW(INDIRECT("1:"&amp;LEN(A161)))),1))," ",REPT(" ",LEN(A161))),LEN(A161)))), LARGE(INDEX(ISNUMBER(--MID((--TRIM(RIGHT(SUBSTITUTE(LEFT(A161,_xlfn.AGGREGATE(16,6,FIND({0,1,2,3,4,5,6,7,8,9},A161,ROW(INDIRECT("1:"&amp;LEN(A161)))),1))," ",REPT(" ",LEN(A161))),LEN(A161)))), ROW(INDIRECT("1:"&amp;LEN((--TRIM(RIGHT(SUBSTITUTE(LEFT(A161,_xlfn.AGGREGATE(16,6,FIND({0,1,2,3,4,5,6,7,8,9},A161,ROW(INDIRECT("1:"&amp;LEN(A161)))),1))," ",REPT(" ",LEN(A161))),LEN(A161))))))), 1)) * ROW(INDIRECT("1:"&amp;LEN((--TRIM(RIGHT(SUBSTITUTE(LEFT(A161,_xlfn.AGGREGATE(16,6,FIND({0,1,2,3,4,5,6,7,8,9},A161,ROW(INDIRECT("1:"&amp;LEN(A161)))),1))," ",REPT(" ",LEN(A161))),LEN(A161))))))), 0), ROW(INDIRECT("1:"&amp;LEN((--TRIM(RIGHT(SUBSTITUTE(LEFT(A161,_xlfn.AGGREGATE(16,6,FIND({0,1,2,3,4,5,6,7,8,9},A161,ROW(INDIRECT("1:"&amp;LEN(A161)))),1))," ",REPT(" ",LEN(A161))),LEN(A161))))))))+1, 1) * 10^ROW(INDIRECT("1:"&amp;LEN((--TRIM(RIGHT(SUBSTITUTE(LEFT(A161,_xlfn.AGGREGATE(16,6,FIND({0,1,2,3,4,5,6,7,8,9},A161,ROW(INDIRECT("1:"&amp;LEN(A161)))),1))," ",REPT(" ",LEN(A161))),LEN(A161)))))))/10))*100+1</f>
        <v>301 ,.., 1501</v>
      </c>
      <c r="B162" s="82"/>
      <c r="C162" s="39"/>
      <c r="D162" s="39"/>
      <c r="E162" s="49">
        <v>0</v>
      </c>
      <c r="F162" s="49">
        <f>D162+E162</f>
        <v>0</v>
      </c>
      <c r="G162" s="49">
        <v>0</v>
      </c>
      <c r="H162" s="49">
        <f>F162*(($H$114)+1)+(IF(G162&lt;101,G162,IF(G162&lt;201,G162/2,IF(G162&lt;=301,G162/3,G162/4))))</f>
        <v>0</v>
      </c>
      <c r="I162" s="33"/>
    </row>
    <row r="163" spans="1:9" s="34" customFormat="1" ht="15.75" hidden="1" customHeight="1" x14ac:dyDescent="0.25">
      <c r="A163" s="81" t="str">
        <f ca="1">(SUMPRODUCT(MID(0&amp;(LEFT(A162,SUM(LEN(A162)-LEN(SUBSTITUTE(A162,{"0","1","2"},""))))), LARGE(INDEX(ISNUMBER(--MID((LEFT(A162,SUM(LEN(A162)-LEN(SUBSTITUTE(A162,{"0","1","2"},""))))), ROW(INDIRECT("1:"&amp;LEN((LEFT(A162,SUM(LEN(A162)-LEN(SUBSTITUTE(A162,{"0","1","2"},"")))))))), 1)) * ROW(INDIRECT("1:"&amp;LEN((LEFT(A162,SUM(LEN(A162)-LEN(SUBSTITUTE(A162,{"0","1","2"},"")))))))), 0), ROW(INDIRECT("1:"&amp;LEN((LEFT(A162,SUM(LEN(A162)-LEN(SUBSTITUTE(A162,{"0","1","2"},"")))))))))+1, 1) * 10^ROW(INDIRECT("1:"&amp;LEN((LEFT(A162,SUM(LEN(A162)-LEN(SUBSTITUTE(A162,{"0","1","2"},""))))))))/10))*1+1&amp;""&amp;" ,.., "&amp;""&amp;(SUMPRODUCT(MID(0&amp;(--TRIM(RIGHT(SUBSTITUTE(LEFT(A162,_xlfn.AGGREGATE(16,6,FIND({0,1,2,3,4,5,6,7,8,9},A162,ROW(INDIRECT("1:"&amp;LEN(A162)))),1))," ",REPT(" ",LEN(A162))),LEN(A162)))), LARGE(INDEX(ISNUMBER(--MID((--TRIM(RIGHT(SUBSTITUTE(LEFT(A162,_xlfn.AGGREGATE(16,6,FIND({0,1,2,3,4,5,6,7,8,9},A162,ROW(INDIRECT("1:"&amp;LEN(A162)))),1))," ",REPT(" ",LEN(A162))),LEN(A162)))), ROW(INDIRECT("1:"&amp;LEN((--TRIM(RIGHT(SUBSTITUTE(LEFT(A162,_xlfn.AGGREGATE(16,6,FIND({0,1,2,3,4,5,6,7,8,9},A162,ROW(INDIRECT("1:"&amp;LEN(A162)))),1))," ",REPT(" ",LEN(A162))),LEN(A162))))))), 1)) * ROW(INDIRECT("1:"&amp;LEN((--TRIM(RIGHT(SUBSTITUTE(LEFT(A162,_xlfn.AGGREGATE(16,6,FIND({0,1,2,3,4,5,6,7,8,9},A162,ROW(INDIRECT("1:"&amp;LEN(A162)))),1))," ",REPT(" ",LEN(A162))),LEN(A162))))))), 0), ROW(INDIRECT("1:"&amp;LEN((--TRIM(RIGHT(SUBSTITUTE(LEFT(A162,_xlfn.AGGREGATE(16,6,FIND({0,1,2,3,4,5,6,7,8,9},A162,ROW(INDIRECT("1:"&amp;LEN(A162)))),1))," ",REPT(" ",LEN(A162))),LEN(A162))))))))+1, 1) * 10^ROW(INDIRECT("1:"&amp;LEN((--TRIM(RIGHT(SUBSTITUTE(LEFT(A162,_xlfn.AGGREGATE(16,6,FIND({0,1,2,3,4,5,6,7,8,9},A162,ROW(INDIRECT("1:"&amp;LEN(A162)))),1))," ",REPT(" ",LEN(A162))),LEN(A162)))))))/10))*1+1</f>
        <v>302 ,.., 1502</v>
      </c>
      <c r="B163" s="82"/>
      <c r="C163" s="39"/>
      <c r="D163" s="39"/>
      <c r="E163" s="49">
        <v>0</v>
      </c>
      <c r="F163" s="49">
        <f>D163+E163</f>
        <v>0</v>
      </c>
      <c r="G163" s="49">
        <v>0</v>
      </c>
      <c r="H163" s="49">
        <f>F163*(($H$114)+1)+(IF(G163&lt;101,G163,IF(G163&lt;201,G163/2,IF(G163&lt;=301,G163/3,G163/4))))</f>
        <v>0</v>
      </c>
      <c r="I163" s="33"/>
    </row>
    <row r="164" spans="1:9" s="34" customFormat="1" ht="15.75" hidden="1" customHeight="1" x14ac:dyDescent="0.25">
      <c r="A164" s="81" t="str">
        <f ca="1">(SUMPRODUCT(MID(0&amp;(LEFT(A163,SUM(LEN(A163)-LEN(SUBSTITUTE(A163,{"0","1","2"},""))))), LARGE(INDEX(ISNUMBER(--MID((LEFT(A163,SUM(LEN(A163)-LEN(SUBSTITUTE(A163,{"0","1","2"},""))))), ROW(INDIRECT("1:"&amp;LEN((LEFT(A163,SUM(LEN(A163)-LEN(SUBSTITUTE(A163,{"0","1","2"},"")))))))), 1)) * ROW(INDIRECT("1:"&amp;LEN((LEFT(A163,SUM(LEN(A163)-LEN(SUBSTITUTE(A163,{"0","1","2"},"")))))))), 0), ROW(INDIRECT("1:"&amp;LEN((LEFT(A163,SUM(LEN(A163)-LEN(SUBSTITUTE(A163,{"0","1","2"},"")))))))))+1, 1) * 10^ROW(INDIRECT("1:"&amp;LEN((LEFT(A163,SUM(LEN(A163)-LEN(SUBSTITUTE(A163,{"0","1","2"},""))))))))/10))*1+1&amp;""&amp;" ,.., "&amp;""&amp;(SUMPRODUCT(MID(0&amp;(--TRIM(RIGHT(SUBSTITUTE(LEFT(A163,_xlfn.AGGREGATE(16,6,FIND({0,1,2,3,4,5,6,7,8,9},A163,ROW(INDIRECT("1:"&amp;LEN(A163)))),1))," ",REPT(" ",LEN(A163))),LEN(A163)))), LARGE(INDEX(ISNUMBER(--MID((--TRIM(RIGHT(SUBSTITUTE(LEFT(A163,_xlfn.AGGREGATE(16,6,FIND({0,1,2,3,4,5,6,7,8,9},A163,ROW(INDIRECT("1:"&amp;LEN(A163)))),1))," ",REPT(" ",LEN(A163))),LEN(A163)))), ROW(INDIRECT("1:"&amp;LEN((--TRIM(RIGHT(SUBSTITUTE(LEFT(A163,_xlfn.AGGREGATE(16,6,FIND({0,1,2,3,4,5,6,7,8,9},A163,ROW(INDIRECT("1:"&amp;LEN(A163)))),1))," ",REPT(" ",LEN(A163))),LEN(A163))))))), 1)) * ROW(INDIRECT("1:"&amp;LEN((--TRIM(RIGHT(SUBSTITUTE(LEFT(A163,_xlfn.AGGREGATE(16,6,FIND({0,1,2,3,4,5,6,7,8,9},A163,ROW(INDIRECT("1:"&amp;LEN(A163)))),1))," ",REPT(" ",LEN(A163))),LEN(A163))))))), 0), ROW(INDIRECT("1:"&amp;LEN((--TRIM(RIGHT(SUBSTITUTE(LEFT(A163,_xlfn.AGGREGATE(16,6,FIND({0,1,2,3,4,5,6,7,8,9},A163,ROW(INDIRECT("1:"&amp;LEN(A163)))),1))," ",REPT(" ",LEN(A163))),LEN(A163))))))))+1, 1) * 10^ROW(INDIRECT("1:"&amp;LEN((--TRIM(RIGHT(SUBSTITUTE(LEFT(A163,_xlfn.AGGREGATE(16,6,FIND({0,1,2,3,4,5,6,7,8,9},A163,ROW(INDIRECT("1:"&amp;LEN(A163)))),1))," ",REPT(" ",LEN(A163))),LEN(A163)))))))/10))*1+1</f>
        <v>303 ,.., 1503</v>
      </c>
      <c r="B164" s="82"/>
      <c r="C164" s="39"/>
      <c r="D164" s="39"/>
      <c r="E164" s="49">
        <v>0</v>
      </c>
      <c r="F164" s="49">
        <f>D164+E164</f>
        <v>0</v>
      </c>
      <c r="G164" s="49">
        <v>0</v>
      </c>
      <c r="H164" s="49">
        <f>F164*(($H$114)+1)+(IF(G164&lt;101,G164,IF(G164&lt;201,G164/2,IF(G164&lt;=301,G164/3,G164/4))))</f>
        <v>0</v>
      </c>
      <c r="I164" s="33"/>
    </row>
    <row r="165" spans="1:9" s="34" customFormat="1" ht="15.75" hidden="1" customHeight="1" x14ac:dyDescent="0.25">
      <c r="A165" s="81" t="str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10^ROW(INDIRECT("1:"&amp;LEN((LEFT(A164,SUM(LEN(A164)-LEN(SUBSTITUTE(A164,{"0","1","2"},""))))))))/10))*1+1&amp;""&amp;" ,.., "&amp;""&amp;(SUMPRODUCT(MID(0&amp;(--TRIM(RIGHT(SUBSTITUTE(LEFT(A164,_xlfn.AGGREGATE(16,6,FIND({0,1,2,3,4,5,6,7,8,9},A164,ROW(INDIRECT("1:"&amp;LEN(A164)))),1)),"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",LEN(A164))),LEN(A164)))))))/10))*1+1</f>
        <v>304 ,.., 1504</v>
      </c>
      <c r="B165" s="82"/>
      <c r="C165" s="39"/>
      <c r="D165" s="39"/>
      <c r="E165" s="49">
        <v>0</v>
      </c>
      <c r="F165" s="49">
        <f>D165+E165</f>
        <v>0</v>
      </c>
      <c r="G165" s="49">
        <v>0</v>
      </c>
      <c r="H165" s="49">
        <f>F165*(($H$114)+1)+(IF(G165&lt;101,G165,IF(G165&lt;201,G165/2,IF(G165&lt;=301,G165/3,G165/4))))</f>
        <v>0</v>
      </c>
      <c r="I165" s="33"/>
    </row>
    <row r="166" spans="1:9" s="34" customFormat="1" ht="15.75" hidden="1" customHeight="1" x14ac:dyDescent="0.25">
      <c r="A166" s="81" t="str">
        <f ca="1">(SUMPRODUCT(MID(0&amp;(LEFT(A165,SUM(LEN(A165)-LEN(SUBSTITUTE(A165,{"0","1","2"},""))))), LARGE(INDEX(ISNUMBER(--MID((LEFT(A165,SUM(LEN(A165)-LEN(SUBSTITUTE(A165,{"0","1","2"},""))))), ROW(INDIRECT("1:"&amp;LEN((LEFT(A165,SUM(LEN(A165)-LEN(SUBSTITUTE(A165,{"0","1","2"},"")))))))), 1)) * ROW(INDIRECT("1:"&amp;LEN((LEFT(A165,SUM(LEN(A165)-LEN(SUBSTITUTE(A165,{"0","1","2"},"")))))))), 0), ROW(INDIRECT("1:"&amp;LEN((LEFT(A165,SUM(LEN(A165)-LEN(SUBSTITUTE(A165,{"0","1","2"},"")))))))))+1, 1) * 10^ROW(INDIRECT("1:"&amp;LEN((LEFT(A165,SUM(LEN(A165)-LEN(SUBSTITUTE(A165,{"0","1","2"},""))))))))/10))*1+1&amp;""&amp;" ,.., "&amp;""&amp;(SUMPRODUCT(MID(0&amp;(--TRIM(RIGHT(SUBSTITUTE(LEFT(A165,_xlfn.AGGREGATE(16,6,FIND({0,1,2,3,4,5,6,7,8,9},A165,ROW(INDIRECT("1:"&amp;LEN(A165)))),1))," ",REPT(" ",LEN(A165))),LEN(A165)))), LARGE(INDEX(ISNUMBER(--MID((--TRIM(RIGHT(SUBSTITUTE(LEFT(A165,_xlfn.AGGREGATE(16,6,FIND({0,1,2,3,4,5,6,7,8,9},A165,ROW(INDIRECT("1:"&amp;LEN(A165)))),1))," ",REPT(" ",LEN(A165))),LEN(A165)))), ROW(INDIRECT("1:"&amp;LEN((--TRIM(RIGHT(SUBSTITUTE(LEFT(A165,_xlfn.AGGREGATE(16,6,FIND({0,1,2,3,4,5,6,7,8,9},A165,ROW(INDIRECT("1:"&amp;LEN(A165)))),1))," ",REPT(" ",LEN(A165))),LEN(A165))))))), 1)) * ROW(INDIRECT("1:"&amp;LEN((--TRIM(RIGHT(SUBSTITUTE(LEFT(A165,_xlfn.AGGREGATE(16,6,FIND({0,1,2,3,4,5,6,7,8,9},A165,ROW(INDIRECT("1:"&amp;LEN(A165)))),1))," ",REPT(" ",LEN(A165))),LEN(A165))))))), 0), ROW(INDIRECT("1:"&amp;LEN((--TRIM(RIGHT(SUBSTITUTE(LEFT(A165,_xlfn.AGGREGATE(16,6,FIND({0,1,2,3,4,5,6,7,8,9},A165,ROW(INDIRECT("1:"&amp;LEN(A165)))),1))," ",REPT(" ",LEN(A165))),LEN(A165))))))))+1, 1) * 10^ROW(INDIRECT("1:"&amp;LEN((--TRIM(RIGHT(SUBSTITUTE(LEFT(A165,_xlfn.AGGREGATE(16,6,FIND({0,1,2,3,4,5,6,7,8,9},A165,ROW(INDIRECT("1:"&amp;LEN(A165)))),1))," ",REPT(" ",LEN(A165))),LEN(A165)))))))/10))*1+1</f>
        <v>305 ,.., 1505</v>
      </c>
      <c r="B166" s="82"/>
      <c r="C166" s="39"/>
      <c r="D166" s="39"/>
      <c r="E166" s="49">
        <v>0</v>
      </c>
      <c r="F166" s="49">
        <f>D166+E166</f>
        <v>0</v>
      </c>
      <c r="G166" s="49">
        <v>0</v>
      </c>
      <c r="H166" s="49">
        <f>F166*(($H$114)+1)+(IF(G166&lt;101,G166,IF(G166&lt;201,G166/2,IF(G166&lt;=301,G166/3,G166/4))))</f>
        <v>0</v>
      </c>
      <c r="I166" s="33"/>
    </row>
    <row r="167" spans="1:9" s="34" customFormat="1" hidden="1" x14ac:dyDescent="0.25">
      <c r="A167" s="84" t="s">
        <v>145</v>
      </c>
      <c r="B167" s="85"/>
      <c r="C167" s="85"/>
      <c r="D167" s="85"/>
      <c r="E167" s="85"/>
      <c r="F167" s="85"/>
      <c r="G167" s="85"/>
      <c r="H167" s="86"/>
      <c r="I167" s="33"/>
    </row>
    <row r="168" spans="1:9" s="34" customFormat="1" ht="15.75" hidden="1" customHeight="1" x14ac:dyDescent="0.25">
      <c r="A168" s="81" t="str">
        <f ca="1">(SUMPRODUCT(MID(0&amp;(LEFT(A167,SUM(LEN(A167)-LEN(SUBSTITUTE(A167,{"0","1","2"},""))))), LARGE(INDEX(ISNUMBER(--MID((LEFT(A167,SUM(LEN(A167)-LEN(SUBSTITUTE(A167,{"0","1","2"},""))))), ROW(INDIRECT("1:"&amp;LEN((LEFT(A167,SUM(LEN(A167)-LEN(SUBSTITUTE(A167,{"0","1","2"},"")))))))), 1)) * ROW(INDIRECT("1:"&amp;LEN((LEFT(A167,SUM(LEN(A167)-LEN(SUBSTITUTE(A167,{"0","1","2"},"")))))))), 0), ROW(INDIRECT("1:"&amp;LEN((LEFT(A167,SUM(LEN(A167)-LEN(SUBSTITUTE(A167,{"0","1","2"},"")))))))))+1, 1) * 10^ROW(INDIRECT("1:"&amp;LEN((LEFT(A167,SUM(LEN(A167)-LEN(SUBSTITUTE(A167,{"0","1","2"},""))))))))/10))*100+1&amp;""&amp;" to "&amp;""&amp;(SUMPRODUCT(MID(0&amp;(--TRIM(RIGHT(SUBSTITUTE(LEFT(A167,_xlfn.AGGREGATE(16,6,FIND({0,1,2,3,4,5,6,7,8,9},A167,ROW(INDIRECT("1:"&amp;LEN(A167)))),1))," ",REPT(" ",LEN(A167))),LEN(A167)))), LARGE(INDEX(ISNUMBER(--MID((--TRIM(RIGHT(SUBSTITUTE(LEFT(A167,_xlfn.AGGREGATE(16,6,FIND({0,1,2,3,4,5,6,7,8,9},A167,ROW(INDIRECT("1:"&amp;LEN(A167)))),1))," ",REPT(" ",LEN(A167))),LEN(A167)))), ROW(INDIRECT("1:"&amp;LEN((--TRIM(RIGHT(SUBSTITUTE(LEFT(A167,_xlfn.AGGREGATE(16,6,FIND({0,1,2,3,4,5,6,7,8,9},A167,ROW(INDIRECT("1:"&amp;LEN(A167)))),1))," ",REPT(" ",LEN(A167))),LEN(A167))))))), 1)) * ROW(INDIRECT("1:"&amp;LEN((--TRIM(RIGHT(SUBSTITUTE(LEFT(A167,_xlfn.AGGREGATE(16,6,FIND({0,1,2,3,4,5,6,7,8,9},A167,ROW(INDIRECT("1:"&amp;LEN(A167)))),1))," ",REPT(" ",LEN(A167))),LEN(A167))))))), 0), ROW(INDIRECT("1:"&amp;LEN((--TRIM(RIGHT(SUBSTITUTE(LEFT(A167,_xlfn.AGGREGATE(16,6,FIND({0,1,2,3,4,5,6,7,8,9},A167,ROW(INDIRECT("1:"&amp;LEN(A167)))),1))," ",REPT(" ",LEN(A167))),LEN(A167))))))))+1, 1) * 10^ROW(INDIRECT("1:"&amp;LEN((--TRIM(RIGHT(SUBSTITUTE(LEFT(A167,_xlfn.AGGREGATE(16,6,FIND({0,1,2,3,4,5,6,7,8,9},A167,ROW(INDIRECT("1:"&amp;LEN(A167)))),1))," ",REPT(" ",LEN(A167))),LEN(A167)))))))/10))*100+1</f>
        <v>201 to 501</v>
      </c>
      <c r="B168" s="82"/>
      <c r="C168" s="39"/>
      <c r="D168" s="39"/>
      <c r="E168" s="49">
        <v>0</v>
      </c>
      <c r="F168" s="49">
        <f>D168+E168</f>
        <v>0</v>
      </c>
      <c r="G168" s="49">
        <v>0</v>
      </c>
      <c r="H168" s="49">
        <f>F168*(($H$114)+1)+(IF(G168&lt;101,G168,IF(G168&lt;201,G168/2,IF(G168&lt;=301,G168/3,G168/4))))</f>
        <v>0</v>
      </c>
      <c r="I168" s="33"/>
    </row>
    <row r="169" spans="1:9" s="34" customFormat="1" ht="15.75" hidden="1" customHeight="1" x14ac:dyDescent="0.25">
      <c r="A169" s="81" t="str">
        <f ca="1">(SUMPRODUCT(MID(0&amp;(LEFT(A168,SUM(LEN(A168)-LEN(SUBSTITUTE(A168,{"0","1","2"},""))))), LARGE(INDEX(ISNUMBER(--MID((LEFT(A168,SUM(LEN(A168)-LEN(SUBSTITUTE(A168,{"0","1","2"},""))))), ROW(INDIRECT("1:"&amp;LEN((LEFT(A168,SUM(LEN(A168)-LEN(SUBSTITUTE(A168,{"0","1","2"},"")))))))), 1)) * ROW(INDIRECT("1:"&amp;LEN((LEFT(A168,SUM(LEN(A168)-LEN(SUBSTITUTE(A168,{"0","1","2"},"")))))))), 0), ROW(INDIRECT("1:"&amp;LEN((LEFT(A168,SUM(LEN(A168)-LEN(SUBSTITUTE(A168,{"0","1","2"},"")))))))))+1, 1) * 10^ROW(INDIRECT("1:"&amp;LEN((LEFT(A168,SUM(LEN(A168)-LEN(SUBSTITUTE(A168,{"0","1","2"},""))))))))/10))*1+1&amp;""&amp;" to "&amp;""&amp;(SUMPRODUCT(MID(0&amp;(--TRIM(RIGHT(SUBSTITUTE(LEFT(A168,_xlfn.AGGREGATE(16,6,FIND({0,1,2,3,4,5,6,7,8,9},A168,ROW(INDIRECT("1:"&amp;LEN(A168)))),1))," ",REPT(" ",LEN(A168))),LEN(A168)))), LARGE(INDEX(ISNUMBER(--MID((--TRIM(RIGHT(SUBSTITUTE(LEFT(A168,_xlfn.AGGREGATE(16,6,FIND({0,1,2,3,4,5,6,7,8,9},A168,ROW(INDIRECT("1:"&amp;LEN(A168)))),1))," ",REPT(" ",LEN(A168))),LEN(A168)))), ROW(INDIRECT("1:"&amp;LEN((--TRIM(RIGHT(SUBSTITUTE(LEFT(A168,_xlfn.AGGREGATE(16,6,FIND({0,1,2,3,4,5,6,7,8,9},A168,ROW(INDIRECT("1:"&amp;LEN(A168)))),1))," ",REPT(" ",LEN(A168))),LEN(A168))))))), 1)) * ROW(INDIRECT("1:"&amp;LEN((--TRIM(RIGHT(SUBSTITUTE(LEFT(A168,_xlfn.AGGREGATE(16,6,FIND({0,1,2,3,4,5,6,7,8,9},A168,ROW(INDIRECT("1:"&amp;LEN(A168)))),1))," ",REPT(" ",LEN(A168))),LEN(A168))))))), 0), ROW(INDIRECT("1:"&amp;LEN((--TRIM(RIGHT(SUBSTITUTE(LEFT(A168,_xlfn.AGGREGATE(16,6,FIND({0,1,2,3,4,5,6,7,8,9},A168,ROW(INDIRECT("1:"&amp;LEN(A168)))),1))," ",REPT(" ",LEN(A168))),LEN(A168))))))))+1, 1) * 10^ROW(INDIRECT("1:"&amp;LEN((--TRIM(RIGHT(SUBSTITUTE(LEFT(A168,_xlfn.AGGREGATE(16,6,FIND({0,1,2,3,4,5,6,7,8,9},A168,ROW(INDIRECT("1:"&amp;LEN(A168)))),1))," ",REPT(" ",LEN(A168))),LEN(A168)))))))/10))*1+1</f>
        <v>202 to 502</v>
      </c>
      <c r="B169" s="82"/>
      <c r="C169" s="39"/>
      <c r="D169" s="39"/>
      <c r="E169" s="49">
        <v>0</v>
      </c>
      <c r="F169" s="49">
        <f>D169+E169</f>
        <v>0</v>
      </c>
      <c r="G169" s="49">
        <v>0</v>
      </c>
      <c r="H169" s="49">
        <f>F169*(($H$114)+1)+(IF(G169&lt;101,G169,IF(G169&lt;201,G169/2,IF(G169&lt;=301,G169/3,G169/4))))</f>
        <v>0</v>
      </c>
      <c r="I169" s="33"/>
    </row>
    <row r="170" spans="1:9" s="34" customFormat="1" ht="15.75" hidden="1" customHeight="1" x14ac:dyDescent="0.25">
      <c r="A170" s="81" t="str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10^ROW(INDIRECT("1:"&amp;LEN((LEFT(A169,SUM(LEN(A169)-LEN(SUBSTITUTE(A169,{"0","1","2"},""))))))))/10))*1+1&amp;""&amp;" to "&amp;""&amp;(SUMPRODUCT(MID(0&amp;(--TRIM(RIGHT(SUBSTITUTE(LEFT(A169,_xlfn.AGGREGATE(16,6,FIND({0,1,2,3,4,5,6,7,8,9},A169,ROW(INDIRECT("1:"&amp;LEN(A169)))),1)),"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",LEN(A169))),LEN(A169)))))))/10))*1+1</f>
        <v>203 to 503</v>
      </c>
      <c r="B170" s="82"/>
      <c r="C170" s="39"/>
      <c r="D170" s="39"/>
      <c r="E170" s="49">
        <v>0</v>
      </c>
      <c r="F170" s="49">
        <f>D170+E170</f>
        <v>0</v>
      </c>
      <c r="G170" s="49">
        <v>0</v>
      </c>
      <c r="H170" s="49">
        <f>F170*(($H$114)+1)+(IF(G170&lt;101,G170,IF(G170&lt;201,G170/2,IF(G170&lt;=301,G170/3,G170/4))))</f>
        <v>0</v>
      </c>
      <c r="I170" s="33"/>
    </row>
    <row r="171" spans="1:9" s="34" customFormat="1" ht="15.75" hidden="1" customHeight="1" x14ac:dyDescent="0.25">
      <c r="A171" s="81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10^ROW(INDIRECT("1:"&amp;LEN((LEFT(A170,SUM(LEN(A170)-LEN(SUBSTITUTE(A170,{"0","1","2"},""))))))))/10))*1+1&amp;""&amp;" to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",LEN(A170))),LEN(A170)))))))/10))*1+1</f>
        <v>204 to 504</v>
      </c>
      <c r="B171" s="82"/>
      <c r="C171" s="39"/>
      <c r="D171" s="39"/>
      <c r="E171" s="49">
        <v>0</v>
      </c>
      <c r="F171" s="49">
        <f>D171+E171</f>
        <v>0</v>
      </c>
      <c r="G171" s="49">
        <v>0</v>
      </c>
      <c r="H171" s="49">
        <f>F171*(($H$114)+1)+(IF(G171&lt;101,G171,IF(G171&lt;201,G171/2,IF(G171&lt;=301,G171/3,G171/4))))</f>
        <v>0</v>
      </c>
      <c r="I171" s="33"/>
    </row>
    <row r="172" spans="1:9" s="34" customFormat="1" ht="15.75" hidden="1" customHeight="1" x14ac:dyDescent="0.25">
      <c r="A172" s="81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10^ROW(INDIRECT("1:"&amp;LEN((LEFT(A171,SUM(LEN(A171)-LEN(SUBSTITUTE(A171,{"0","1","2"},""))))))))/10))*1+1&amp;""&amp;" to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",LEN(A171))),LEN(A171)))))))/10))*1+1</f>
        <v>205 to 505</v>
      </c>
      <c r="B172" s="82"/>
      <c r="C172" s="39"/>
      <c r="D172" s="39"/>
      <c r="E172" s="49">
        <v>0</v>
      </c>
      <c r="F172" s="49">
        <f>D172+E172</f>
        <v>0</v>
      </c>
      <c r="G172" s="49">
        <v>0</v>
      </c>
      <c r="H172" s="49">
        <f>F172*(($H$114)+1)+(IF(G172&lt;101,G172,IF(G172&lt;201,G172/2,IF(G172&lt;=301,G172/3,G172/4))))</f>
        <v>0</v>
      </c>
      <c r="I172" s="33"/>
    </row>
    <row r="173" spans="1:9" s="34" customFormat="1" hidden="1" x14ac:dyDescent="0.25">
      <c r="A173" s="84" t="s">
        <v>146</v>
      </c>
      <c r="B173" s="85"/>
      <c r="C173" s="85"/>
      <c r="D173" s="85"/>
      <c r="E173" s="85"/>
      <c r="F173" s="85"/>
      <c r="G173" s="85"/>
      <c r="H173" s="86"/>
      <c r="I173" s="33"/>
    </row>
    <row r="174" spans="1:9" s="34" customFormat="1" ht="15.75" hidden="1" customHeight="1" x14ac:dyDescent="0.25">
      <c r="A174" s="81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10^ROW(INDIRECT("1:"&amp;LEN((LEFT(A173,SUM(LEN(A173)-LEN(SUBSTITUTE(A173,{"0","1","2"},""))))))))/10))*100+1&amp;""&amp;" &amp;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",LEN(A173))),LEN(A173)))))))/10))*100+1</f>
        <v>201 &amp; 501</v>
      </c>
      <c r="B174" s="82"/>
      <c r="C174" s="39"/>
      <c r="D174" s="39"/>
      <c r="E174" s="49">
        <v>0</v>
      </c>
      <c r="F174" s="49">
        <f>D174+E174</f>
        <v>0</v>
      </c>
      <c r="G174" s="49">
        <v>0</v>
      </c>
      <c r="H174" s="49">
        <f>F174*(($H$114)+1)+(IF(G174&lt;101,G174,IF(G174&lt;201,G174/2,IF(G174&lt;=301,G174/3,G174/4))))</f>
        <v>0</v>
      </c>
      <c r="I174" s="33"/>
    </row>
    <row r="175" spans="1:9" s="34" customFormat="1" ht="15.75" hidden="1" customHeight="1" x14ac:dyDescent="0.25">
      <c r="A175" s="81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&amp;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202 &amp; 502</v>
      </c>
      <c r="B175" s="82"/>
      <c r="C175" s="39"/>
      <c r="D175" s="39"/>
      <c r="E175" s="49">
        <v>0</v>
      </c>
      <c r="F175" s="49">
        <f>D175+E175</f>
        <v>0</v>
      </c>
      <c r="G175" s="49">
        <v>0</v>
      </c>
      <c r="H175" s="49">
        <f>F175*(($H$114)+1)+(IF(G175&lt;101,G175,IF(G175&lt;201,G175/2,IF(G175&lt;=301,G175/3,G175/4))))</f>
        <v>0</v>
      </c>
      <c r="I175" s="33"/>
    </row>
    <row r="176" spans="1:9" s="34" customFormat="1" ht="15.75" hidden="1" customHeight="1" x14ac:dyDescent="0.25">
      <c r="A176" s="81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10^ROW(INDIRECT("1:"&amp;LEN((LEFT(A175,SUM(LEN(A175)-LEN(SUBSTITUTE(A175,{"0","1","2"},""))))))))/10))*1+1&amp;""&amp;" &amp;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",LEN(A175))),LEN(A175)))))))/10))*1+1</f>
        <v>203 &amp; 503</v>
      </c>
      <c r="B176" s="82"/>
      <c r="C176" s="39"/>
      <c r="D176" s="39"/>
      <c r="E176" s="49">
        <v>0</v>
      </c>
      <c r="F176" s="49">
        <f>D176+E176</f>
        <v>0</v>
      </c>
      <c r="G176" s="49">
        <v>0</v>
      </c>
      <c r="H176" s="49">
        <f>F176*(($H$114)+1)+(IF(G176&lt;101,G176,IF(G176&lt;201,G176/2,IF(G176&lt;=301,G176/3,G176/4))))</f>
        <v>0</v>
      </c>
      <c r="I176" s="33"/>
    </row>
    <row r="177" spans="1:9" s="34" customFormat="1" ht="15.75" hidden="1" customHeight="1" x14ac:dyDescent="0.25">
      <c r="A177" s="81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&amp;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204 &amp; 504</v>
      </c>
      <c r="B177" s="82"/>
      <c r="C177" s="39"/>
      <c r="D177" s="39"/>
      <c r="E177" s="49">
        <v>0</v>
      </c>
      <c r="F177" s="49">
        <f>D177+E177</f>
        <v>0</v>
      </c>
      <c r="G177" s="49">
        <v>0</v>
      </c>
      <c r="H177" s="49">
        <f>F177*(($H$114)+1)+(IF(G177&lt;101,G177,IF(G177&lt;201,G177/2,IF(G177&lt;=301,G177/3,G177/4))))</f>
        <v>0</v>
      </c>
      <c r="I177" s="33"/>
    </row>
    <row r="178" spans="1:9" s="34" customFormat="1" ht="15.75" hidden="1" customHeight="1" x14ac:dyDescent="0.25">
      <c r="A178" s="81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&amp;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205 &amp; 505</v>
      </c>
      <c r="B178" s="82"/>
      <c r="C178" s="39"/>
      <c r="D178" s="39"/>
      <c r="E178" s="49">
        <v>0</v>
      </c>
      <c r="F178" s="49">
        <f>D178+E178</f>
        <v>0</v>
      </c>
      <c r="G178" s="49">
        <v>0</v>
      </c>
      <c r="H178" s="49">
        <f>F178*(($H$114)+1)+(IF(G178&lt;101,G178,IF(G178&lt;201,G178/2,IF(G178&lt;=301,G178/3,G178/4))))</f>
        <v>0</v>
      </c>
      <c r="I178" s="33"/>
    </row>
    <row r="179" spans="1:9" s="32" customFormat="1" x14ac:dyDescent="0.25">
      <c r="A179" s="190" t="s">
        <v>65</v>
      </c>
      <c r="B179" s="190"/>
      <c r="C179" s="190"/>
      <c r="D179" s="190"/>
      <c r="E179" s="190"/>
      <c r="F179" s="190"/>
      <c r="G179" s="190"/>
      <c r="H179" s="190"/>
    </row>
    <row r="180" spans="1:9" s="32" customFormat="1" x14ac:dyDescent="0.25">
      <c r="A180" s="41" t="s">
        <v>154</v>
      </c>
      <c r="B180" s="187" t="s">
        <v>325</v>
      </c>
      <c r="C180" s="188"/>
      <c r="D180" s="188"/>
      <c r="E180" s="188"/>
      <c r="F180" s="188"/>
      <c r="G180" s="188"/>
      <c r="H180" s="189"/>
    </row>
    <row r="181" spans="1:9" s="32" customFormat="1" x14ac:dyDescent="0.25">
      <c r="A181" s="41" t="s">
        <v>154</v>
      </c>
      <c r="B181" s="187" t="str">
        <f>(IF(H113="Saleable area Loading :","We have considered Saleable area of Flats as per our Calculation.","We considered Saleable area of Flat as per Builder area Sheet."))</f>
        <v>We considered Saleable area of Flat as per Builder area Sheet.</v>
      </c>
      <c r="C181" s="188"/>
      <c r="D181" s="188"/>
      <c r="E181" s="188"/>
      <c r="F181" s="188"/>
      <c r="G181" s="188"/>
      <c r="H181" s="189"/>
    </row>
    <row r="182" spans="1:9" s="32" customFormat="1" x14ac:dyDescent="0.25">
      <c r="A182" s="41" t="s">
        <v>154</v>
      </c>
      <c r="B182" s="187" t="str">
        <f>(IF(H105="Saleable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82" s="188"/>
      <c r="D182" s="188"/>
      <c r="E182" s="188"/>
      <c r="F182" s="188"/>
      <c r="G182" s="188"/>
      <c r="H182" s="189"/>
    </row>
    <row r="183" spans="1:9" s="32" customFormat="1" x14ac:dyDescent="0.25">
      <c r="A183" s="41" t="s">
        <v>154</v>
      </c>
      <c r="B183" s="87" t="s">
        <v>122</v>
      </c>
      <c r="C183" s="88"/>
      <c r="D183" s="88"/>
      <c r="E183" s="88"/>
      <c r="F183" s="88"/>
      <c r="G183" s="88"/>
      <c r="H183" s="89"/>
    </row>
    <row r="184" spans="1:9" s="32" customFormat="1" ht="32.1" customHeight="1" x14ac:dyDescent="0.25">
      <c r="A184" s="41" t="s">
        <v>154</v>
      </c>
      <c r="B184" s="87" t="s">
        <v>330</v>
      </c>
      <c r="C184" s="88"/>
      <c r="D184" s="88"/>
      <c r="E184" s="88"/>
      <c r="F184" s="88"/>
      <c r="G184" s="88"/>
      <c r="H184" s="89"/>
    </row>
    <row r="185" spans="1:9" s="32" customFormat="1" x14ac:dyDescent="0.25">
      <c r="A185" s="41" t="s">
        <v>154</v>
      </c>
      <c r="B185" s="87" t="s">
        <v>153</v>
      </c>
      <c r="C185" s="88"/>
      <c r="D185" s="88"/>
      <c r="E185" s="88"/>
      <c r="F185" s="88"/>
      <c r="G185" s="88"/>
      <c r="H185" s="89"/>
    </row>
    <row r="186" spans="1:9" s="32" customFormat="1" x14ac:dyDescent="0.25">
      <c r="A186" s="41" t="s">
        <v>154</v>
      </c>
      <c r="B186" s="87" t="s">
        <v>123</v>
      </c>
      <c r="C186" s="88"/>
      <c r="D186" s="88"/>
      <c r="E186" s="88"/>
      <c r="F186" s="88"/>
      <c r="G186" s="88"/>
      <c r="H186" s="89"/>
    </row>
    <row r="187" spans="1:9" s="32" customFormat="1" ht="34.5" customHeight="1" x14ac:dyDescent="0.25">
      <c r="A187" s="41" t="s">
        <v>154</v>
      </c>
      <c r="B187" s="87" t="s">
        <v>155</v>
      </c>
      <c r="C187" s="88"/>
      <c r="D187" s="88"/>
      <c r="E187" s="88"/>
      <c r="F187" s="88"/>
      <c r="G187" s="88"/>
      <c r="H187" s="89"/>
    </row>
    <row r="188" spans="1:9" s="32" customFormat="1" x14ac:dyDescent="0.25">
      <c r="A188" s="70" t="s">
        <v>154</v>
      </c>
      <c r="B188" s="87" t="s">
        <v>124</v>
      </c>
      <c r="C188" s="88"/>
      <c r="D188" s="88"/>
      <c r="E188" s="88"/>
      <c r="F188" s="88"/>
      <c r="G188" s="88"/>
      <c r="H188" s="89"/>
    </row>
    <row r="189" spans="1:9" s="32" customFormat="1" x14ac:dyDescent="0.25">
      <c r="A189" s="41" t="s">
        <v>154</v>
      </c>
      <c r="B189" s="87" t="s">
        <v>334</v>
      </c>
      <c r="C189" s="88"/>
      <c r="D189" s="88"/>
      <c r="E189" s="88"/>
      <c r="F189" s="88"/>
      <c r="G189" s="88"/>
      <c r="H189" s="89"/>
    </row>
    <row r="190" spans="1:9" s="32" customFormat="1" hidden="1" x14ac:dyDescent="0.25">
      <c r="A190" s="57" t="s">
        <v>154</v>
      </c>
      <c r="B190" s="87" t="s">
        <v>321</v>
      </c>
      <c r="C190" s="88"/>
      <c r="D190" s="88"/>
      <c r="E190" s="88"/>
      <c r="F190" s="88"/>
      <c r="G190" s="88"/>
      <c r="H190" s="89"/>
    </row>
    <row r="191" spans="1:9" x14ac:dyDescent="0.25">
      <c r="A191" s="124" t="s">
        <v>58</v>
      </c>
      <c r="B191" s="124"/>
      <c r="C191" s="124"/>
      <c r="D191" s="124"/>
      <c r="E191" s="124"/>
      <c r="F191" s="124"/>
      <c r="G191" s="124"/>
      <c r="H191" s="124"/>
    </row>
    <row r="192" spans="1:9" x14ac:dyDescent="0.25">
      <c r="A192" s="91" t="s">
        <v>59</v>
      </c>
      <c r="B192" s="91"/>
      <c r="C192" s="91"/>
      <c r="D192" s="91"/>
      <c r="E192" s="91"/>
      <c r="F192" s="91"/>
      <c r="G192" s="91"/>
      <c r="H192" s="91"/>
    </row>
    <row r="193" spans="1:8" ht="15.75" customHeight="1" x14ac:dyDescent="0.25">
      <c r="A193" s="192" t="s">
        <v>60</v>
      </c>
      <c r="B193" s="192"/>
      <c r="C193" s="192"/>
      <c r="D193" s="192"/>
      <c r="E193" s="192"/>
      <c r="F193" s="192"/>
      <c r="G193" s="192"/>
      <c r="H193" s="192"/>
    </row>
    <row r="194" spans="1:8" x14ac:dyDescent="0.25">
      <c r="A194" s="91" t="s">
        <v>61</v>
      </c>
      <c r="B194" s="91"/>
      <c r="C194" s="91"/>
      <c r="D194" s="91"/>
      <c r="E194" s="91"/>
      <c r="F194" s="91"/>
      <c r="G194" s="91"/>
      <c r="H194" s="91"/>
    </row>
    <row r="195" spans="1:8" x14ac:dyDescent="0.25">
      <c r="A195" s="91" t="s">
        <v>62</v>
      </c>
      <c r="B195" s="91"/>
      <c r="C195" s="91"/>
      <c r="D195" s="91"/>
      <c r="E195" s="91"/>
      <c r="F195" s="91"/>
      <c r="G195" s="91"/>
      <c r="H195" s="91"/>
    </row>
    <row r="196" spans="1:8" x14ac:dyDescent="0.25">
      <c r="A196" s="91" t="s">
        <v>125</v>
      </c>
      <c r="B196" s="91"/>
      <c r="C196" s="91"/>
      <c r="D196" s="91"/>
      <c r="E196" s="91"/>
      <c r="F196" s="91"/>
      <c r="G196" s="91"/>
      <c r="H196" s="91"/>
    </row>
    <row r="197" spans="1:8" ht="33.950000000000003" customHeight="1" x14ac:dyDescent="0.25">
      <c r="A197" s="125" t="s">
        <v>126</v>
      </c>
      <c r="B197" s="125"/>
      <c r="C197" s="125"/>
      <c r="D197" s="125"/>
      <c r="E197" s="125"/>
      <c r="F197" s="125"/>
      <c r="G197" s="125"/>
      <c r="H197" s="125"/>
    </row>
    <row r="198" spans="1:8" x14ac:dyDescent="0.25">
      <c r="A198" s="184" t="s">
        <v>74</v>
      </c>
      <c r="B198" s="184"/>
      <c r="C198" s="184" t="s">
        <v>335</v>
      </c>
      <c r="D198" s="184"/>
      <c r="E198" s="184" t="s">
        <v>103</v>
      </c>
      <c r="F198" s="184"/>
      <c r="G198" s="184" t="s">
        <v>336</v>
      </c>
      <c r="H198" s="184"/>
    </row>
    <row r="199" spans="1:8" x14ac:dyDescent="0.25">
      <c r="A199" s="183" t="s">
        <v>76</v>
      </c>
      <c r="B199" s="183"/>
      <c r="C199" s="183"/>
      <c r="D199" s="183"/>
      <c r="E199" s="183"/>
      <c r="F199" s="183"/>
      <c r="G199" s="183"/>
      <c r="H199" s="183"/>
    </row>
    <row r="200" spans="1:8" x14ac:dyDescent="0.25">
      <c r="A200" s="183"/>
      <c r="B200" s="183"/>
      <c r="C200" s="183"/>
      <c r="D200" s="183"/>
      <c r="E200" s="183"/>
      <c r="F200" s="183"/>
      <c r="G200" s="183"/>
      <c r="H200" s="183"/>
    </row>
    <row r="201" spans="1:8" x14ac:dyDescent="0.25">
      <c r="A201" s="183"/>
      <c r="B201" s="183"/>
      <c r="C201" s="183"/>
      <c r="D201" s="183"/>
      <c r="E201" s="183"/>
      <c r="F201" s="183"/>
      <c r="G201" s="183"/>
      <c r="H201" s="183"/>
    </row>
    <row r="202" spans="1:8" hidden="1" x14ac:dyDescent="0.25">
      <c r="A202" s="183"/>
      <c r="B202" s="183"/>
      <c r="C202" s="183"/>
      <c r="D202" s="183"/>
      <c r="E202" s="183"/>
      <c r="F202" s="183"/>
      <c r="G202" s="183"/>
      <c r="H202" s="183"/>
    </row>
    <row r="203" spans="1:8" x14ac:dyDescent="0.25">
      <c r="A203" s="35" t="s">
        <v>63</v>
      </c>
      <c r="B203" s="36"/>
      <c r="C203" s="36"/>
      <c r="D203" s="35" t="str">
        <f>E9</f>
        <v>Zenisha Corner</v>
      </c>
      <c r="F203" s="36"/>
      <c r="G203" s="36"/>
      <c r="H203" s="36"/>
    </row>
    <row r="204" spans="1:8" x14ac:dyDescent="0.25">
      <c r="A204" s="36"/>
      <c r="B204" s="36"/>
      <c r="C204" s="36"/>
      <c r="D204" s="36"/>
      <c r="E204" s="36"/>
      <c r="F204" s="36"/>
      <c r="G204" s="36"/>
      <c r="H204" s="36"/>
    </row>
    <row r="205" spans="1:8" x14ac:dyDescent="0.25">
      <c r="A205" s="36"/>
      <c r="B205" s="36"/>
      <c r="C205" s="36"/>
      <c r="D205" s="36"/>
      <c r="E205" s="36"/>
      <c r="F205" s="36"/>
      <c r="G205" s="36"/>
      <c r="H205" s="36"/>
    </row>
    <row r="206" spans="1:8" ht="15" customHeight="1" x14ac:dyDescent="0.25"/>
    <row r="246" spans="1:1" x14ac:dyDescent="0.25">
      <c r="A246" s="38" t="s">
        <v>163</v>
      </c>
    </row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spans="1:1" x14ac:dyDescent="0.25">
      <c r="A289" s="38" t="s">
        <v>64</v>
      </c>
    </row>
  </sheetData>
  <mergeCells count="364">
    <mergeCell ref="I15:P15"/>
    <mergeCell ref="F91:H91"/>
    <mergeCell ref="F89:H89"/>
    <mergeCell ref="A163:B163"/>
    <mergeCell ref="A104:H104"/>
    <mergeCell ref="G95:H95"/>
    <mergeCell ref="A90:E90"/>
    <mergeCell ref="A109:B109"/>
    <mergeCell ref="A54:B54"/>
    <mergeCell ref="C54:E54"/>
    <mergeCell ref="D56:H56"/>
    <mergeCell ref="F90:H90"/>
    <mergeCell ref="E95:F95"/>
    <mergeCell ref="A95:B95"/>
    <mergeCell ref="C99:D99"/>
    <mergeCell ref="D64:H64"/>
    <mergeCell ref="A65:C65"/>
    <mergeCell ref="E43:H43"/>
    <mergeCell ref="A43:D43"/>
    <mergeCell ref="A76:B76"/>
    <mergeCell ref="A50:B50"/>
    <mergeCell ref="C50:E50"/>
    <mergeCell ref="G50:H50"/>
    <mergeCell ref="G52:H52"/>
    <mergeCell ref="A196:H196"/>
    <mergeCell ref="A193:H193"/>
    <mergeCell ref="A156:B156"/>
    <mergeCell ref="A99:B99"/>
    <mergeCell ref="D113:D114"/>
    <mergeCell ref="E113:E114"/>
    <mergeCell ref="F82:H82"/>
    <mergeCell ref="G96:H96"/>
    <mergeCell ref="F88:H88"/>
    <mergeCell ref="C95:D95"/>
    <mergeCell ref="C101:D101"/>
    <mergeCell ref="A150:H150"/>
    <mergeCell ref="A165:B165"/>
    <mergeCell ref="A172:B172"/>
    <mergeCell ref="A167:H167"/>
    <mergeCell ref="A161:H161"/>
    <mergeCell ref="A135:H135"/>
    <mergeCell ref="A162:B162"/>
    <mergeCell ref="A108:B108"/>
    <mergeCell ref="A102:B102"/>
    <mergeCell ref="C102:D102"/>
    <mergeCell ref="E102:F102"/>
    <mergeCell ref="A141:B141"/>
    <mergeCell ref="A147:B147"/>
    <mergeCell ref="D66:H66"/>
    <mergeCell ref="A64:C64"/>
    <mergeCell ref="D65:H65"/>
    <mergeCell ref="A136:B136"/>
    <mergeCell ref="F83:H83"/>
    <mergeCell ref="A83:E83"/>
    <mergeCell ref="D105:D106"/>
    <mergeCell ref="A85:E85"/>
    <mergeCell ref="A84:E84"/>
    <mergeCell ref="A81:E81"/>
    <mergeCell ref="F85:H85"/>
    <mergeCell ref="F113:F114"/>
    <mergeCell ref="G105:G106"/>
    <mergeCell ref="A70:B70"/>
    <mergeCell ref="A73:B73"/>
    <mergeCell ref="A115:H115"/>
    <mergeCell ref="A116:B116"/>
    <mergeCell ref="A122:B122"/>
    <mergeCell ref="A128:B128"/>
    <mergeCell ref="A134:B134"/>
    <mergeCell ref="B189:H189"/>
    <mergeCell ref="B186:H186"/>
    <mergeCell ref="B182:H182"/>
    <mergeCell ref="A176:B176"/>
    <mergeCell ref="A173:H173"/>
    <mergeCell ref="A174:B174"/>
    <mergeCell ref="A175:B175"/>
    <mergeCell ref="A178:B178"/>
    <mergeCell ref="A177:B177"/>
    <mergeCell ref="B180:H180"/>
    <mergeCell ref="B181:H181"/>
    <mergeCell ref="B183:H183"/>
    <mergeCell ref="B184:H184"/>
    <mergeCell ref="A179:H179"/>
    <mergeCell ref="B185:H185"/>
    <mergeCell ref="B188:H188"/>
    <mergeCell ref="A171:B171"/>
    <mergeCell ref="A87:E87"/>
    <mergeCell ref="F87:H87"/>
    <mergeCell ref="A89:E89"/>
    <mergeCell ref="F84:H84"/>
    <mergeCell ref="A88:E88"/>
    <mergeCell ref="A199:H202"/>
    <mergeCell ref="A198:B198"/>
    <mergeCell ref="E198:F198"/>
    <mergeCell ref="C198:D198"/>
    <mergeCell ref="G198:H198"/>
    <mergeCell ref="A94:H94"/>
    <mergeCell ref="A92:E92"/>
    <mergeCell ref="F92:H92"/>
    <mergeCell ref="A93:E93"/>
    <mergeCell ref="F93:H93"/>
    <mergeCell ref="A155:H155"/>
    <mergeCell ref="A100:B100"/>
    <mergeCell ref="A164:B164"/>
    <mergeCell ref="A96:B96"/>
    <mergeCell ref="A194:H194"/>
    <mergeCell ref="A98:H98"/>
    <mergeCell ref="A197:H197"/>
    <mergeCell ref="A195:H195"/>
    <mergeCell ref="A191:H191"/>
    <mergeCell ref="G99:H99"/>
    <mergeCell ref="A166:B166"/>
    <mergeCell ref="C105:C106"/>
    <mergeCell ref="B113:B114"/>
    <mergeCell ref="A192:H192"/>
    <mergeCell ref="A69:B69"/>
    <mergeCell ref="A67:B67"/>
    <mergeCell ref="C67:H67"/>
    <mergeCell ref="A75:B75"/>
    <mergeCell ref="C69:H69"/>
    <mergeCell ref="A72:B72"/>
    <mergeCell ref="A74:B74"/>
    <mergeCell ref="E70:F70"/>
    <mergeCell ref="A71:B71"/>
    <mergeCell ref="G70:H70"/>
    <mergeCell ref="E71:F80"/>
    <mergeCell ref="G71:H80"/>
    <mergeCell ref="A79:B79"/>
    <mergeCell ref="A80:B80"/>
    <mergeCell ref="A77:B77"/>
    <mergeCell ref="B187:H187"/>
    <mergeCell ref="A151:B151"/>
    <mergeCell ref="A112:H112"/>
    <mergeCell ref="A1:H1"/>
    <mergeCell ref="A2:H2"/>
    <mergeCell ref="A3:D3"/>
    <mergeCell ref="E3:H3"/>
    <mergeCell ref="A5:D5"/>
    <mergeCell ref="A9:D9"/>
    <mergeCell ref="E9:H9"/>
    <mergeCell ref="A10:D10"/>
    <mergeCell ref="E10:H10"/>
    <mergeCell ref="E5:H5"/>
    <mergeCell ref="A6:D6"/>
    <mergeCell ref="E6:H6"/>
    <mergeCell ref="A7:D7"/>
    <mergeCell ref="E7:H7"/>
    <mergeCell ref="A8:D8"/>
    <mergeCell ref="E8:H8"/>
    <mergeCell ref="A4:D4"/>
    <mergeCell ref="E4:H4"/>
    <mergeCell ref="E14:H14"/>
    <mergeCell ref="A15:D15"/>
    <mergeCell ref="A11:D11"/>
    <mergeCell ref="E11:H11"/>
    <mergeCell ref="A23:D24"/>
    <mergeCell ref="E23:H24"/>
    <mergeCell ref="E15:H15"/>
    <mergeCell ref="A16:B16"/>
    <mergeCell ref="C16:H16"/>
    <mergeCell ref="C17:H17"/>
    <mergeCell ref="A18:B18"/>
    <mergeCell ref="C18:H18"/>
    <mergeCell ref="A13:D13"/>
    <mergeCell ref="E13:H13"/>
    <mergeCell ref="A12:D12"/>
    <mergeCell ref="E12:H12"/>
    <mergeCell ref="A17:B17"/>
    <mergeCell ref="A14:D14"/>
    <mergeCell ref="C35:E35"/>
    <mergeCell ref="A25:D25"/>
    <mergeCell ref="E25:H25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F34:H34"/>
    <mergeCell ref="F35:H35"/>
    <mergeCell ref="F37:H37"/>
    <mergeCell ref="E27:H27"/>
    <mergeCell ref="A29:D29"/>
    <mergeCell ref="E29:H29"/>
    <mergeCell ref="A26:D26"/>
    <mergeCell ref="E26:H26"/>
    <mergeCell ref="A30:D30"/>
    <mergeCell ref="E30:H30"/>
    <mergeCell ref="A27:D27"/>
    <mergeCell ref="A36:B36"/>
    <mergeCell ref="C36:E36"/>
    <mergeCell ref="A31:D31"/>
    <mergeCell ref="E31:H31"/>
    <mergeCell ref="A32:D32"/>
    <mergeCell ref="E32:H32"/>
    <mergeCell ref="A28:D28"/>
    <mergeCell ref="E28:H28"/>
    <mergeCell ref="C33:E33"/>
    <mergeCell ref="F36:H36"/>
    <mergeCell ref="F33:H33"/>
    <mergeCell ref="A34:B34"/>
    <mergeCell ref="A33:B33"/>
    <mergeCell ref="C34:E34"/>
    <mergeCell ref="A35:B35"/>
    <mergeCell ref="A38:H38"/>
    <mergeCell ref="A37:B37"/>
    <mergeCell ref="C37:E37"/>
    <mergeCell ref="A42:D42"/>
    <mergeCell ref="E42:H42"/>
    <mergeCell ref="A41:H41"/>
    <mergeCell ref="A60:C60"/>
    <mergeCell ref="A61:C61"/>
    <mergeCell ref="D60:H60"/>
    <mergeCell ref="D61:H61"/>
    <mergeCell ref="A44:D44"/>
    <mergeCell ref="E44:H44"/>
    <mergeCell ref="E45:H45"/>
    <mergeCell ref="E46:H46"/>
    <mergeCell ref="E47:H47"/>
    <mergeCell ref="A45:D45"/>
    <mergeCell ref="A39:B39"/>
    <mergeCell ref="C39:H39"/>
    <mergeCell ref="A46:D46"/>
    <mergeCell ref="A47:D47"/>
    <mergeCell ref="A48:H48"/>
    <mergeCell ref="D58:H58"/>
    <mergeCell ref="A58:C58"/>
    <mergeCell ref="G51:H51"/>
    <mergeCell ref="A49:B49"/>
    <mergeCell ref="C49:H49"/>
    <mergeCell ref="L111:M111"/>
    <mergeCell ref="L110:M110"/>
    <mergeCell ref="L109:M109"/>
    <mergeCell ref="L108:M108"/>
    <mergeCell ref="A78:B78"/>
    <mergeCell ref="C100:D100"/>
    <mergeCell ref="E100:F100"/>
    <mergeCell ref="G100:H100"/>
    <mergeCell ref="A82:E82"/>
    <mergeCell ref="A107:H107"/>
    <mergeCell ref="E105:E106"/>
    <mergeCell ref="F81:H81"/>
    <mergeCell ref="F86:H86"/>
    <mergeCell ref="A111:B111"/>
    <mergeCell ref="A110:B110"/>
    <mergeCell ref="E99:F99"/>
    <mergeCell ref="A103:H103"/>
    <mergeCell ref="A62:C62"/>
    <mergeCell ref="D62:H62"/>
    <mergeCell ref="A63:C63"/>
    <mergeCell ref="D63:H63"/>
    <mergeCell ref="A66:C66"/>
    <mergeCell ref="A139:B139"/>
    <mergeCell ref="L139:M139"/>
    <mergeCell ref="A40:B40"/>
    <mergeCell ref="C40:H40"/>
    <mergeCell ref="F105:F106"/>
    <mergeCell ref="C96:D96"/>
    <mergeCell ref="E96:F96"/>
    <mergeCell ref="B105:B106"/>
    <mergeCell ref="A105:A106"/>
    <mergeCell ref="C113:C114"/>
    <mergeCell ref="G113:G114"/>
    <mergeCell ref="G102:H102"/>
    <mergeCell ref="A59:C59"/>
    <mergeCell ref="D59:H59"/>
    <mergeCell ref="C51:E51"/>
    <mergeCell ref="A52:B53"/>
    <mergeCell ref="A51:B51"/>
    <mergeCell ref="A55:H55"/>
    <mergeCell ref="A56:C56"/>
    <mergeCell ref="A57:C57"/>
    <mergeCell ref="D57:H57"/>
    <mergeCell ref="G54:H54"/>
    <mergeCell ref="C53:H53"/>
    <mergeCell ref="C52:E52"/>
    <mergeCell ref="L147:M147"/>
    <mergeCell ref="A148:B148"/>
    <mergeCell ref="L149:M149"/>
    <mergeCell ref="C149:H149"/>
    <mergeCell ref="A169:B169"/>
    <mergeCell ref="A86:E86"/>
    <mergeCell ref="A101:B101"/>
    <mergeCell ref="E101:F101"/>
    <mergeCell ref="A91:E91"/>
    <mergeCell ref="G101:H101"/>
    <mergeCell ref="A97:B97"/>
    <mergeCell ref="C97:D97"/>
    <mergeCell ref="E97:F97"/>
    <mergeCell ref="G97:H97"/>
    <mergeCell ref="L152:M152"/>
    <mergeCell ref="A153:B153"/>
    <mergeCell ref="L153:M153"/>
    <mergeCell ref="A154:B154"/>
    <mergeCell ref="A113:A114"/>
    <mergeCell ref="L136:M136"/>
    <mergeCell ref="A137:B137"/>
    <mergeCell ref="L137:M137"/>
    <mergeCell ref="A138:B138"/>
    <mergeCell ref="L138:M138"/>
    <mergeCell ref="L148:M148"/>
    <mergeCell ref="A149:B149"/>
    <mergeCell ref="C139:H139"/>
    <mergeCell ref="A140:H140"/>
    <mergeCell ref="B190:H190"/>
    <mergeCell ref="A142:B142"/>
    <mergeCell ref="L142:M142"/>
    <mergeCell ref="A143:B143"/>
    <mergeCell ref="L143:M143"/>
    <mergeCell ref="A144:B144"/>
    <mergeCell ref="L144:M144"/>
    <mergeCell ref="A145:H145"/>
    <mergeCell ref="A146:B146"/>
    <mergeCell ref="L146:M146"/>
    <mergeCell ref="L155:M155"/>
    <mergeCell ref="A160:B160"/>
    <mergeCell ref="A157:B157"/>
    <mergeCell ref="A158:B158"/>
    <mergeCell ref="A168:B168"/>
    <mergeCell ref="L154:M154"/>
    <mergeCell ref="L151:M151"/>
    <mergeCell ref="A152:B152"/>
    <mergeCell ref="A170:B170"/>
    <mergeCell ref="A159:B159"/>
    <mergeCell ref="L116:M116"/>
    <mergeCell ref="A117:B117"/>
    <mergeCell ref="L117:M117"/>
    <mergeCell ref="A118:B118"/>
    <mergeCell ref="L118:M118"/>
    <mergeCell ref="A119:B119"/>
    <mergeCell ref="L119:M119"/>
    <mergeCell ref="A120:H120"/>
    <mergeCell ref="A121:B121"/>
    <mergeCell ref="L121:M121"/>
    <mergeCell ref="L122:M122"/>
    <mergeCell ref="A123:B123"/>
    <mergeCell ref="L123:M123"/>
    <mergeCell ref="A124:B124"/>
    <mergeCell ref="L124:M124"/>
    <mergeCell ref="A125:H125"/>
    <mergeCell ref="A126:B126"/>
    <mergeCell ref="L126:M126"/>
    <mergeCell ref="A127:B127"/>
    <mergeCell ref="L127:M127"/>
    <mergeCell ref="L134:M134"/>
    <mergeCell ref="L128:M128"/>
    <mergeCell ref="A129:B129"/>
    <mergeCell ref="L129:M129"/>
    <mergeCell ref="A130:H130"/>
    <mergeCell ref="A131:B131"/>
    <mergeCell ref="L131:M131"/>
    <mergeCell ref="A132:B132"/>
    <mergeCell ref="L132:M132"/>
    <mergeCell ref="A133:B133"/>
    <mergeCell ref="L133:M133"/>
  </mergeCells>
  <dataValidations count="13">
    <dataValidation type="list" allowBlank="1" showInputMessage="1" showErrorMessage="1" sqref="E5:H5">
      <formula1>OFFSET($L$3,1,MATCH($E4,$L$3:$P$3,0)-1,10,1)</formula1>
    </dataValidation>
    <dataValidation type="list" allowBlank="1" showInputMessage="1" showErrorMessage="1" sqref="A17:B17">
      <formula1>"CTS No,Survey No,Plot No,Gut No,FP No,"</formula1>
    </dataValidation>
    <dataValidation type="list" allowBlank="1" showInputMessage="1" showErrorMessage="1" sqref="G20:H20">
      <formula1>$S$13:$W$13</formula1>
    </dataValidation>
    <dataValidation type="list" allowBlank="1" showInputMessage="1" showErrorMessage="1" sqref="E105:E106">
      <formula1>"Attached Loft area,Attached Otla area,Attached Mezzanine area"</formula1>
    </dataValidation>
    <dataValidation type="list" allowBlank="1" showInputMessage="1" showErrorMessage="1" sqref="F81:H81">
      <formula1>"On Saleable Area,On Builtup Area,On Carpet Area,On Plot Area"</formula1>
    </dataValidation>
    <dataValidation type="list" allowBlank="1" showInputMessage="1" showErrorMessage="1" sqref="F92:H92">
      <formula1>"100000,150000,200000,250000,300000,350000,400000,500000,600000,700000,800000,900000,1000000,1200000,1400000,1500000"</formula1>
    </dataValidation>
    <dataValidation type="list" allowBlank="1" showInputMessage="1" showErrorMessage="1" sqref="B105:B106">
      <formula1>"Shop No. (Sale Plan),Sale / Rehab,Sale / Mhada"</formula1>
    </dataValidation>
    <dataValidation type="list" allowBlank="1" showInputMessage="1" showErrorMessage="1" sqref="B113:B114">
      <formula1>"Flat No. (Sale Plan),Sale / Rehab,Sale / Mhada"</formula1>
    </dataValidation>
    <dataValidation type="list" allowBlank="1" showInputMessage="1" showErrorMessage="1" sqref="C21:D21">
      <formula1>OFFSET($S$13,1,MATCH($G20,$S$13:$W$13,0)-1,15,1)</formula1>
    </dataValidation>
    <dataValidation type="list" allowBlank="1" showInputMessage="1" showErrorMessage="1" sqref="Y13">
      <formula1>$D$5:$H$5</formula1>
    </dataValidation>
    <dataValidation type="list" allowBlank="1" showInputMessage="1" showErrorMessage="1" sqref="E113:E114">
      <formula1>"Fungible area,Balcony Area,Chajja Area,Cornice Area,AP Area,WS Area"</formula1>
    </dataValidation>
    <dataValidation type="list" allowBlank="1" showInputMessage="1" showErrorMessage="1" sqref="H106 H114">
      <formula1>".45,.50,.55,.60"</formula1>
    </dataValidation>
    <dataValidation type="list" allowBlank="1" showInputMessage="1" showErrorMessage="1" sqref="E4:H4">
      <formula1>$L$3:$P$3</formula1>
    </dataValidation>
  </dataValidations>
  <hyperlinks>
    <hyperlink ref="C40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7" man="1"/>
    <brk id="202" max="16383" man="1"/>
    <brk id="245" max="16383" man="1"/>
    <brk id="288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6" zoomScale="85" zoomScaleNormal="85" workbookViewId="0">
      <selection activeCell="D15" sqref="D15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9" t="s">
        <v>104</v>
      </c>
      <c r="C3" s="209"/>
      <c r="D3" s="209"/>
      <c r="E3" s="209"/>
      <c r="F3" s="209"/>
      <c r="G3" s="209"/>
      <c r="H3" s="209"/>
    </row>
    <row r="4" spans="1:9" x14ac:dyDescent="0.25">
      <c r="A4" s="2"/>
      <c r="B4" s="3" t="s">
        <v>105</v>
      </c>
      <c r="C4" s="3" t="s">
        <v>106</v>
      </c>
      <c r="D4" s="3" t="s">
        <v>66</v>
      </c>
      <c r="E4" s="3" t="s">
        <v>107</v>
      </c>
      <c r="F4" s="3" t="s">
        <v>113</v>
      </c>
      <c r="G4" s="3" t="s">
        <v>114</v>
      </c>
      <c r="H4" s="3" t="s">
        <v>108</v>
      </c>
    </row>
    <row r="5" spans="1:9" ht="15" customHeight="1" x14ac:dyDescent="0.25">
      <c r="A5" s="2"/>
      <c r="B5" s="5" t="s">
        <v>109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109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109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109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109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110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110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111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112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69"/>
  <sheetViews>
    <sheetView topLeftCell="A55" zoomScale="130" zoomScaleNormal="130" workbookViewId="0">
      <selection activeCell="C43" sqref="C43:D69"/>
    </sheetView>
  </sheetViews>
  <sheetFormatPr defaultRowHeight="15" x14ac:dyDescent="0.25"/>
  <cols>
    <col min="4" max="4" width="13.85546875" bestFit="1" customWidth="1"/>
    <col min="5" max="5" width="10.42578125" bestFit="1" customWidth="1"/>
    <col min="6" max="6" width="12.42578125" bestFit="1" customWidth="1"/>
    <col min="7" max="7" width="18.140625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47"/>
      <c r="C4" s="47" t="s">
        <v>11</v>
      </c>
      <c r="D4" s="48" t="s">
        <v>178</v>
      </c>
      <c r="E4" s="48" t="s">
        <v>188</v>
      </c>
      <c r="F4" s="48" t="s">
        <v>172</v>
      </c>
      <c r="G4" s="48" t="s">
        <v>193</v>
      </c>
      <c r="H4" s="48" t="s">
        <v>211</v>
      </c>
      <c r="J4" t="s">
        <v>193</v>
      </c>
      <c r="K4" t="s">
        <v>209</v>
      </c>
    </row>
    <row r="5" spans="2:11" x14ac:dyDescent="0.25">
      <c r="B5" s="47"/>
      <c r="C5" s="47"/>
      <c r="D5" s="48" t="s">
        <v>179</v>
      </c>
      <c r="E5" s="48" t="s">
        <v>186</v>
      </c>
      <c r="F5" s="48" t="s">
        <v>208</v>
      </c>
      <c r="G5" s="48" t="s">
        <v>194</v>
      </c>
      <c r="H5" s="48" t="s">
        <v>212</v>
      </c>
    </row>
    <row r="6" spans="2:11" x14ac:dyDescent="0.25">
      <c r="B6" s="47"/>
      <c r="C6" s="47"/>
      <c r="D6" s="48" t="s">
        <v>180</v>
      </c>
      <c r="E6" s="48" t="s">
        <v>187</v>
      </c>
      <c r="F6" s="48" t="s">
        <v>209</v>
      </c>
      <c r="G6" s="48" t="s">
        <v>195</v>
      </c>
      <c r="H6" s="48" t="s">
        <v>225</v>
      </c>
    </row>
    <row r="7" spans="2:11" x14ac:dyDescent="0.25">
      <c r="B7" s="47"/>
      <c r="C7" s="47"/>
      <c r="D7" s="48" t="s">
        <v>181</v>
      </c>
      <c r="E7" s="48" t="s">
        <v>189</v>
      </c>
      <c r="F7" s="48" t="s">
        <v>210</v>
      </c>
      <c r="G7" s="48" t="s">
        <v>196</v>
      </c>
      <c r="H7" s="48" t="s">
        <v>213</v>
      </c>
    </row>
    <row r="8" spans="2:11" x14ac:dyDescent="0.25">
      <c r="B8" s="47"/>
      <c r="C8" s="47"/>
      <c r="D8" s="48" t="s">
        <v>182</v>
      </c>
      <c r="E8" s="48" t="s">
        <v>190</v>
      </c>
      <c r="F8" s="48"/>
      <c r="G8" s="48" t="s">
        <v>197</v>
      </c>
      <c r="H8" s="48" t="s">
        <v>214</v>
      </c>
    </row>
    <row r="9" spans="2:11" x14ac:dyDescent="0.25">
      <c r="B9" s="47"/>
      <c r="C9" s="47"/>
      <c r="D9" s="48" t="s">
        <v>183</v>
      </c>
      <c r="E9" s="48" t="s">
        <v>188</v>
      </c>
      <c r="F9" s="48"/>
      <c r="G9" s="48" t="s">
        <v>198</v>
      </c>
      <c r="H9" s="48" t="s">
        <v>215</v>
      </c>
    </row>
    <row r="10" spans="2:11" x14ac:dyDescent="0.25">
      <c r="B10" s="47"/>
      <c r="C10" s="47"/>
      <c r="D10" s="48" t="s">
        <v>184</v>
      </c>
      <c r="E10" s="48" t="s">
        <v>191</v>
      </c>
      <c r="F10" s="48"/>
      <c r="G10" s="48" t="s">
        <v>199</v>
      </c>
      <c r="H10" s="48" t="s">
        <v>216</v>
      </c>
    </row>
    <row r="11" spans="2:11" x14ac:dyDescent="0.25">
      <c r="B11" s="47"/>
      <c r="C11" s="47"/>
      <c r="D11" s="48" t="s">
        <v>185</v>
      </c>
      <c r="E11" s="48" t="s">
        <v>192</v>
      </c>
      <c r="F11" s="48"/>
      <c r="G11" s="48" t="s">
        <v>200</v>
      </c>
      <c r="H11" s="48" t="s">
        <v>217</v>
      </c>
    </row>
    <row r="12" spans="2:11" x14ac:dyDescent="0.25">
      <c r="B12" s="47"/>
      <c r="C12" s="47"/>
      <c r="D12" s="48"/>
      <c r="E12" s="48"/>
      <c r="F12" s="48"/>
      <c r="G12" s="48" t="s">
        <v>201</v>
      </c>
      <c r="H12" s="48" t="s">
        <v>218</v>
      </c>
    </row>
    <row r="13" spans="2:11" x14ac:dyDescent="0.25">
      <c r="B13" s="47"/>
      <c r="C13" s="47"/>
      <c r="D13" s="48"/>
      <c r="E13" s="48"/>
      <c r="F13" s="48"/>
      <c r="G13" s="48" t="s">
        <v>202</v>
      </c>
      <c r="H13" s="48" t="s">
        <v>219</v>
      </c>
    </row>
    <row r="14" spans="2:11" x14ac:dyDescent="0.25">
      <c r="B14" s="47"/>
      <c r="C14" s="47"/>
      <c r="D14" s="48"/>
      <c r="E14" s="48"/>
      <c r="F14" s="48"/>
      <c r="G14" s="48" t="s">
        <v>203</v>
      </c>
      <c r="H14" s="48" t="s">
        <v>220</v>
      </c>
    </row>
    <row r="15" spans="2:11" x14ac:dyDescent="0.25">
      <c r="B15" s="47"/>
      <c r="C15" s="47"/>
      <c r="D15" s="48"/>
      <c r="E15" s="48"/>
      <c r="F15" s="48"/>
      <c r="G15" s="48" t="s">
        <v>204</v>
      </c>
      <c r="H15" s="48" t="s">
        <v>221</v>
      </c>
    </row>
    <row r="16" spans="2:11" x14ac:dyDescent="0.25">
      <c r="B16" s="47"/>
      <c r="C16" s="47"/>
      <c r="D16" s="48"/>
      <c r="E16" s="48"/>
      <c r="F16" s="48"/>
      <c r="G16" s="48" t="s">
        <v>205</v>
      </c>
      <c r="H16" s="48" t="s">
        <v>222</v>
      </c>
    </row>
    <row r="17" spans="2:8" x14ac:dyDescent="0.25">
      <c r="B17" s="47"/>
      <c r="C17" s="47"/>
      <c r="D17" s="48"/>
      <c r="E17" s="48"/>
      <c r="F17" s="48"/>
      <c r="G17" s="48" t="s">
        <v>206</v>
      </c>
      <c r="H17" s="48" t="s">
        <v>223</v>
      </c>
    </row>
    <row r="18" spans="2:8" x14ac:dyDescent="0.25">
      <c r="B18" s="47"/>
      <c r="C18" s="47"/>
      <c r="D18" s="48"/>
      <c r="E18" s="48"/>
      <c r="F18" s="48"/>
      <c r="G18" s="48" t="s">
        <v>207</v>
      </c>
      <c r="H18" s="48" t="s">
        <v>224</v>
      </c>
    </row>
    <row r="24" spans="2:8" x14ac:dyDescent="0.25">
      <c r="C24" t="s">
        <v>169</v>
      </c>
    </row>
    <row r="25" spans="2:8" x14ac:dyDescent="0.25">
      <c r="C25" t="s">
        <v>226</v>
      </c>
    </row>
    <row r="26" spans="2:8" x14ac:dyDescent="0.25">
      <c r="C26" t="s">
        <v>227</v>
      </c>
    </row>
    <row r="27" spans="2:8" x14ac:dyDescent="0.25">
      <c r="C27" t="s">
        <v>228</v>
      </c>
    </row>
    <row r="28" spans="2:8" x14ac:dyDescent="0.25">
      <c r="C28" t="s">
        <v>229</v>
      </c>
    </row>
    <row r="29" spans="2:8" x14ac:dyDescent="0.25">
      <c r="C29" t="s">
        <v>230</v>
      </c>
    </row>
    <row r="30" spans="2:8" x14ac:dyDescent="0.25">
      <c r="C30" t="s">
        <v>169</v>
      </c>
    </row>
    <row r="33" spans="3:11" x14ac:dyDescent="0.25">
      <c r="J33">
        <v>1</v>
      </c>
      <c r="K33">
        <v>2</v>
      </c>
    </row>
    <row r="34" spans="3:11" x14ac:dyDescent="0.25">
      <c r="C34" s="52" t="s">
        <v>235</v>
      </c>
      <c r="D34" s="48" t="s">
        <v>233</v>
      </c>
      <c r="E34" s="48" t="s">
        <v>238</v>
      </c>
      <c r="F34" s="48" t="s">
        <v>236</v>
      </c>
      <c r="G34" s="48" t="s">
        <v>237</v>
      </c>
      <c r="H34" s="48" t="s">
        <v>239</v>
      </c>
      <c r="J34" t="s">
        <v>193</v>
      </c>
      <c r="K34" t="s">
        <v>209</v>
      </c>
    </row>
    <row r="35" spans="3:11" x14ac:dyDescent="0.25">
      <c r="C35" s="47" t="s">
        <v>234</v>
      </c>
      <c r="D35" s="48" t="s">
        <v>170</v>
      </c>
      <c r="E35" s="48" t="s">
        <v>243</v>
      </c>
      <c r="F35" s="48" t="s">
        <v>245</v>
      </c>
      <c r="G35" s="48" t="s">
        <v>247</v>
      </c>
      <c r="H35" s="48"/>
    </row>
    <row r="36" spans="3:11" x14ac:dyDescent="0.25">
      <c r="C36" s="47"/>
      <c r="D36" s="48" t="s">
        <v>240</v>
      </c>
      <c r="E36" s="48" t="s">
        <v>244</v>
      </c>
      <c r="F36" s="48" t="s">
        <v>246</v>
      </c>
      <c r="G36" s="48" t="s">
        <v>248</v>
      </c>
      <c r="H36" s="48"/>
    </row>
    <row r="37" spans="3:11" x14ac:dyDescent="0.25">
      <c r="C37" s="47"/>
      <c r="D37" s="48" t="s">
        <v>241</v>
      </c>
      <c r="E37" s="48"/>
      <c r="F37" s="48"/>
      <c r="G37" s="48" t="s">
        <v>249</v>
      </c>
      <c r="H37" s="48"/>
    </row>
    <row r="38" spans="3:11" x14ac:dyDescent="0.25">
      <c r="C38" s="47"/>
      <c r="D38" s="48" t="s">
        <v>242</v>
      </c>
      <c r="E38" s="48"/>
      <c r="F38" s="48"/>
      <c r="G38" s="48" t="s">
        <v>249</v>
      </c>
      <c r="H38" s="48"/>
    </row>
    <row r="39" spans="3:11" x14ac:dyDescent="0.25">
      <c r="C39" s="47"/>
      <c r="D39" s="48"/>
      <c r="E39" s="48"/>
      <c r="F39" s="48"/>
      <c r="G39" s="48" t="s">
        <v>250</v>
      </c>
      <c r="H39" s="48"/>
    </row>
    <row r="40" spans="3:11" x14ac:dyDescent="0.25">
      <c r="C40" s="47"/>
      <c r="D40" s="48"/>
      <c r="E40" s="48"/>
      <c r="F40" s="48"/>
      <c r="G40" s="48" t="s">
        <v>251</v>
      </c>
      <c r="H40" s="48"/>
    </row>
    <row r="41" spans="3:11" x14ac:dyDescent="0.25">
      <c r="C41" s="47"/>
      <c r="D41" s="48"/>
      <c r="E41" s="48"/>
      <c r="F41" s="48"/>
      <c r="G41" s="48"/>
      <c r="H41" s="48"/>
    </row>
    <row r="43" spans="3:11" x14ac:dyDescent="0.25">
      <c r="C43" t="s">
        <v>252</v>
      </c>
    </row>
    <row r="44" spans="3:11" x14ac:dyDescent="0.25">
      <c r="C44" t="s">
        <v>172</v>
      </c>
      <c r="D44" t="s">
        <v>253</v>
      </c>
    </row>
    <row r="45" spans="3:11" x14ac:dyDescent="0.25">
      <c r="D45" t="s">
        <v>254</v>
      </c>
    </row>
    <row r="46" spans="3:11" x14ac:dyDescent="0.25">
      <c r="D46" t="s">
        <v>255</v>
      </c>
    </row>
    <row r="47" spans="3:11" x14ac:dyDescent="0.25">
      <c r="D47" t="s">
        <v>256</v>
      </c>
    </row>
    <row r="48" spans="3:11" x14ac:dyDescent="0.25">
      <c r="D48" t="s">
        <v>257</v>
      </c>
    </row>
    <row r="49" spans="3:4" x14ac:dyDescent="0.25">
      <c r="C49" t="s">
        <v>178</v>
      </c>
      <c r="D49" t="s">
        <v>258</v>
      </c>
    </row>
    <row r="50" spans="3:4" x14ac:dyDescent="0.25">
      <c r="D50" t="s">
        <v>259</v>
      </c>
    </row>
    <row r="51" spans="3:4" x14ac:dyDescent="0.25">
      <c r="D51" t="s">
        <v>260</v>
      </c>
    </row>
    <row r="52" spans="3:4" x14ac:dyDescent="0.25">
      <c r="D52" t="s">
        <v>263</v>
      </c>
    </row>
    <row r="53" spans="3:4" x14ac:dyDescent="0.25">
      <c r="D53" t="s">
        <v>261</v>
      </c>
    </row>
    <row r="54" spans="3:4" x14ac:dyDescent="0.25">
      <c r="D54" t="s">
        <v>262</v>
      </c>
    </row>
    <row r="55" spans="3:4" x14ac:dyDescent="0.25">
      <c r="D55" t="s">
        <v>264</v>
      </c>
    </row>
    <row r="56" spans="3:4" x14ac:dyDescent="0.25">
      <c r="D56" t="s">
        <v>265</v>
      </c>
    </row>
    <row r="57" spans="3:4" x14ac:dyDescent="0.25">
      <c r="D57" t="s">
        <v>266</v>
      </c>
    </row>
    <row r="58" spans="3:4" x14ac:dyDescent="0.25">
      <c r="D58" t="s">
        <v>268</v>
      </c>
    </row>
    <row r="59" spans="3:4" x14ac:dyDescent="0.25">
      <c r="D59" t="s">
        <v>277</v>
      </c>
    </row>
    <row r="60" spans="3:4" x14ac:dyDescent="0.25">
      <c r="C60" t="s">
        <v>193</v>
      </c>
      <c r="D60" t="s">
        <v>269</v>
      </c>
    </row>
    <row r="61" spans="3:4" x14ac:dyDescent="0.25">
      <c r="D61" t="s">
        <v>267</v>
      </c>
    </row>
    <row r="62" spans="3:4" x14ac:dyDescent="0.25">
      <c r="D62" t="s">
        <v>257</v>
      </c>
    </row>
    <row r="63" spans="3:4" x14ac:dyDescent="0.25">
      <c r="D63" t="s">
        <v>270</v>
      </c>
    </row>
    <row r="64" spans="3:4" x14ac:dyDescent="0.25">
      <c r="D64" t="s">
        <v>271</v>
      </c>
    </row>
    <row r="65" spans="3:4" x14ac:dyDescent="0.25">
      <c r="D65" t="s">
        <v>272</v>
      </c>
    </row>
    <row r="66" spans="3:4" x14ac:dyDescent="0.25">
      <c r="D66" t="s">
        <v>273</v>
      </c>
    </row>
    <row r="67" spans="3:4" x14ac:dyDescent="0.25">
      <c r="C67" t="s">
        <v>188</v>
      </c>
      <c r="D67" t="s">
        <v>274</v>
      </c>
    </row>
    <row r="68" spans="3:4" x14ac:dyDescent="0.25">
      <c r="D68" t="s">
        <v>275</v>
      </c>
    </row>
    <row r="69" spans="3:4" x14ac:dyDescent="0.25">
      <c r="D69" t="s">
        <v>276</v>
      </c>
    </row>
  </sheetData>
  <dataValidations count="2">
    <dataValidation type="list" allowBlank="1" showInputMessage="1" showErrorMessage="1" sqref="J4 J34">
      <formula1>$D$4:$H$4</formula1>
    </dataValidation>
    <dataValidation type="list" allowBlank="1" showInputMessage="1" showErrorMessage="1" sqref="K4 K34">
      <formula1>OFFSET($D$4,1,MATCH($J4,$D$4:$H$4,0)-1,15,1)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2025-09-19T09:40:44Z</cp:lastPrinted>
  <dcterms:created xsi:type="dcterms:W3CDTF">2019-07-16T09:29:46Z</dcterms:created>
  <dcterms:modified xsi:type="dcterms:W3CDTF">2025-09-19T09:43:23Z</dcterms:modified>
</cp:coreProperties>
</file>