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F0299CED-B9A9-4ADD-8042-ADDE9B4CF7D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1" l="1"/>
  <c r="E123" i="1"/>
  <c r="D123" i="1"/>
  <c r="D122" i="1"/>
  <c r="C14" i="1" l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5" i="1"/>
  <c r="D124" i="1"/>
  <c r="C98" i="1" l="1"/>
  <c r="E98" i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D107" i="1"/>
  <c r="D106" i="1"/>
  <c r="D105" i="1"/>
  <c r="I109" i="1"/>
  <c r="L106" i="1"/>
  <c r="F142" i="1"/>
  <c r="F141" i="1"/>
  <c r="I134" i="1"/>
  <c r="F131" i="1"/>
  <c r="F130" i="1"/>
  <c r="F134" i="1"/>
  <c r="F133" i="1"/>
  <c r="F132" i="1"/>
  <c r="F129" i="1"/>
  <c r="F128" i="1"/>
  <c r="A128" i="1"/>
  <c r="A129" i="1" s="1"/>
  <c r="A130" i="1" s="1"/>
  <c r="A131" i="1" s="1"/>
  <c r="A132" i="1" s="1"/>
  <c r="A133" i="1" s="1"/>
  <c r="A134" i="1" s="1"/>
  <c r="G127" i="1"/>
  <c r="F127" i="1"/>
  <c r="J128" i="1"/>
  <c r="K128" i="1"/>
  <c r="I122" i="1"/>
  <c r="J126" i="1"/>
  <c r="I125" i="1"/>
  <c r="J122" i="1"/>
  <c r="K122" i="1"/>
  <c r="L125" i="1"/>
  <c r="L123" i="1"/>
  <c r="K123" i="1"/>
  <c r="J123" i="1"/>
  <c r="I123" i="1"/>
  <c r="I117" i="1"/>
  <c r="J117" i="1"/>
  <c r="J106" i="1"/>
  <c r="J105" i="1"/>
  <c r="I107" i="1"/>
  <c r="I106" i="1"/>
  <c r="I105" i="1"/>
  <c r="C95" i="1" l="1"/>
  <c r="C99" i="1" s="1"/>
  <c r="E95" i="1"/>
  <c r="E99" i="1" s="1"/>
  <c r="K105" i="1"/>
  <c r="K106" i="1"/>
  <c r="K117" i="1"/>
  <c r="D59" i="1"/>
  <c r="E29" i="1"/>
  <c r="B146" i="1"/>
  <c r="C65" i="1"/>
  <c r="B66" i="1" s="1"/>
  <c r="E24" i="1"/>
  <c r="E26" i="1" l="1"/>
  <c r="E42" i="1" l="1"/>
  <c r="E43" i="1" s="1"/>
  <c r="F123" i="1" l="1"/>
  <c r="F124" i="1"/>
  <c r="F125" i="1"/>
  <c r="F122" i="1"/>
  <c r="A123" i="1"/>
  <c r="A124" i="1" s="1"/>
  <c r="A125" i="1" s="1"/>
  <c r="G122" i="1"/>
  <c r="F92" i="1" l="1"/>
  <c r="F106" i="1" l="1"/>
  <c r="F107" i="1"/>
  <c r="F108" i="1"/>
  <c r="F105" i="1"/>
  <c r="G95" i="1" l="1"/>
  <c r="F140" i="1"/>
  <c r="F139" i="1"/>
  <c r="F137" i="1"/>
  <c r="F136" i="1"/>
  <c r="I136" i="1" s="1"/>
  <c r="F138" i="1"/>
  <c r="G98" i="1" l="1"/>
  <c r="G99" i="1" s="1"/>
  <c r="B14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6" i="1"/>
  <c r="G136" i="1"/>
  <c r="A137" i="1"/>
  <c r="A138" i="1" s="1"/>
  <c r="A139" i="1" s="1"/>
  <c r="A140" i="1" s="1"/>
  <c r="A141" i="1" s="1"/>
  <c r="A142" i="1" s="1"/>
  <c r="A143" i="1" s="1"/>
  <c r="A106" i="1"/>
  <c r="A107" i="1" s="1"/>
  <c r="A108" i="1" s="1"/>
  <c r="G105" i="1"/>
  <c r="D54" i="1"/>
  <c r="G49" i="1"/>
  <c r="G50" i="1" s="1"/>
  <c r="C49" i="1"/>
  <c r="C50" i="1" s="1"/>
  <c r="E7" i="1"/>
  <c r="E3" i="1"/>
  <c r="H66" i="1"/>
  <c r="A109" i="1" l="1"/>
  <c r="A110" i="1" s="1"/>
  <c r="A111" i="1" s="1"/>
  <c r="A112" i="1" s="1"/>
  <c r="A113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A114" i="1" l="1"/>
  <c r="A115" i="1" s="1"/>
  <c r="A116" i="1" s="1"/>
  <c r="A117" i="1" s="1"/>
  <c r="J73" i="1"/>
  <c r="J74" i="1" s="1"/>
  <c r="J75" i="1" s="1"/>
  <c r="J76" i="1" s="1"/>
  <c r="D71" i="1"/>
  <c r="J67" i="1"/>
  <c r="D69" i="1"/>
  <c r="J78" i="1" l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<sst xmlns="http://schemas.openxmlformats.org/spreadsheetml/2006/main" count="288" uniqueCount="221">
  <si>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</si>
  <si>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</si>
  <si>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</si>
  <si>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</si>
  <si>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</si>
  <si>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</si>
  <si>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</si>
  <si>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</si>
  <si>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</si>
  <si>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</si>
  <si>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</si>
  <si>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</si>
  <si>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</si>
  <si>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</si>
  <si>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</si>
  <si>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</si>
  <si>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</si>
  <si>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</si>
  <si>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</si>
  <si>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</si>
  <si>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</si>
  <si>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</si>
  <si>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</si>
  <si>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</si>
  <si>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</si>
  <si>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</si>
  <si>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</si>
  <si>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</si>
  <si>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</si>
  <si>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</si>
  <si>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</si>
  <si>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</si>
  <si>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</si>
  <si>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</si>
  <si>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</si>
  <si>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</si>
  <si>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</si>
  <si>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</si>
  <si>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</si>
  <si>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</si>
  <si>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</si>
  <si>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</si>
  <si>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</si>
  <si>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</si>
  <si>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</si>
  <si>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</si>
  <si>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</si>
  <si>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</si>
  <si>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</si>
  <si>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</si>
  <si>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</si>
  <si>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</si>
  <si>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</si>
  <si>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</si>
  <si>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</si>
  <si>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</si>
  <si>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</si>
  <si>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</si>
  <si>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</si>
  <si>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</si>
  <si>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</si>
  <si>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</si>
  <si>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</si>
  <si>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</si>
  <si>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</si>
  <si>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</si>
  <si>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</si>
  <si>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</si>
  <si>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</si>
  <si>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</si>
  <si>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</si>
  <si>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</si>
  <si>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</si>
  <si>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</si>
  <si>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</si>
  <si>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</si>
  <si>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</si>
  <si>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</si>
  <si>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</si>
  <si>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</si>
  <si>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</si>
  <si>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</si>
  <si>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</si>
  <si>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</si>
  <si>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</si>
  <si>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</si>
  <si>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</si>
  <si>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</si>
  <si>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</si>
  <si>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</si>
  <si>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</si>
  <si>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</si>
  <si>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</si>
  <si>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</si>
  <si>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</si>
  <si>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</si>
  <si>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</si>
  <si>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</si>
  <si>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</si>
  <si>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</si>
  <si>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</si>
  <si>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</si>
  <si>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</si>
  <si>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</si>
  <si>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</si>
  <si>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</si>
  <si>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</si>
  <si>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</si>
  <si>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</si>
  <si>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</si>
  <si>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</si>
  <si>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</si>
  <si>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</si>
  <si>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</si>
  <si>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</si>
  <si>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</si>
  <si>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</si>
  <si>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</si>
  <si>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</si>
  <si>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</si>
  <si>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</si>
  <si>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</si>
  <si>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</si>
  <si>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</si>
  <si>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</si>
  <si>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</si>
  <si>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</si>
  <si>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</si>
  <si>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</si>
  <si>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</si>
  <si>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</si>
  <si>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</si>
  <si>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</si>
  <si>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</si>
  <si>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</si>
  <si>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</si>
  <si>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</si>
  <si>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</si>
  <si>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</si>
  <si>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</si>
  <si>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</si>
  <si>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</si>
  <si>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</si>
  <si>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</si>
  <si>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</si>
  <si>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</si>
  <si>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</si>
  <si>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</si>
  <si>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</si>
  <si>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</si>
  <si>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</si>
  <si>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</si>
  <si>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</si>
  <si>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</si>
  <si>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</si>
  <si>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</si>
  <si>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</si>
  <si>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</si>
  <si>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</si>
  <si>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</si>
  <si>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</si>
  <si>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</si>
  <si>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</si>
  <si>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</si>
  <si>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</si>
  <si>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</si>
  <si>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</si>
  <si>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</si>
  <si>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</si>
  <si>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</si>
  <si>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</si>
  <si>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</si>
  <si>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</si>
  <si>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</si>
  <si>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</si>
  <si>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</si>
  <si>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</si>
  <si>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</si>
  <si>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Pancharatna Developers</t>
  </si>
  <si>
    <t>Panchratna Sapphire</t>
  </si>
  <si>
    <t>P51700050689</t>
  </si>
  <si>
    <t>Survey No</t>
  </si>
  <si>
    <t>Pisavli</t>
  </si>
  <si>
    <t>Thane</t>
  </si>
  <si>
    <t>Kalyan</t>
  </si>
  <si>
    <t>Wing A</t>
  </si>
  <si>
    <t>Kalyan Dombivli Municipal Corporation (KDMC)</t>
  </si>
  <si>
    <t>KDMCC/B/2022/APL/00126</t>
  </si>
  <si>
    <t>As per RERA - 31/03/2026</t>
  </si>
  <si>
    <t>Kids' Play Areas/Sand Pits, Jogging/Cycle Track, Power Backup, Yoga Areas, Indoor Games, Badminton Court etc.</t>
  </si>
  <si>
    <t>Shop</t>
  </si>
  <si>
    <t>Ground + Mazzanine Floor For Commercial &amp; Parking</t>
  </si>
  <si>
    <t>A Wing = Gr + Mazzanine + 1st to 16th Floor</t>
  </si>
  <si>
    <t>1BHK</t>
  </si>
  <si>
    <t>2BHK</t>
  </si>
  <si>
    <t>7th &amp; 12th Floor (Part Refuge Area)</t>
  </si>
  <si>
    <t>2nd to 6th, 8th to 11th &amp; 13th to 16th Floor (Part Refuge Area)</t>
  </si>
  <si>
    <t>Refuge Area</t>
  </si>
  <si>
    <t>We considered Gross carpet area = Net carpet + Enclose balcony + Balcony.</t>
  </si>
  <si>
    <t>19.212810, 73.132898</t>
  </si>
  <si>
    <t>https://goo.gl/maps/HEMyKURMHdbWGvQX9?coh=178572&amp;entry=tt</t>
  </si>
  <si>
    <t>Nandivali Road</t>
  </si>
  <si>
    <t>1st Floor For Residential, Recreational Ground &amp; Double Height Parking</t>
  </si>
  <si>
    <t>6 KM from Kalyan Railway Station</t>
  </si>
  <si>
    <t>Kalyan (East)</t>
  </si>
  <si>
    <t>Nandivali</t>
  </si>
  <si>
    <t>B.T.Gaikwad School</t>
  </si>
  <si>
    <t>33, H.No.4 (2)</t>
  </si>
  <si>
    <t>Internal Road</t>
  </si>
  <si>
    <t>Ek Veera aai apartment</t>
  </si>
  <si>
    <t>Panchwati Kala Mandir</t>
  </si>
  <si>
    <t>Trimurti Chaya Building</t>
  </si>
  <si>
    <t>Flats</t>
  </si>
  <si>
    <t>Flats - 122, Shops - 13</t>
  </si>
  <si>
    <t>Approved Plans, CC</t>
  </si>
  <si>
    <t>A Wing = Gr + Mezzanine + 1st to 16th Floor</t>
  </si>
  <si>
    <t>Gross Carpet + Mezzanine area</t>
  </si>
  <si>
    <t>Mr. Shreyash 8369496500</t>
  </si>
  <si>
    <t>Construction work is in process at the time of Visit.</t>
  </si>
  <si>
    <t>Pranita Mhatre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</si>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</sst>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2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209</xdr:row>
      <xdr:rowOff>24848</xdr:rowOff>
    </xdr:from>
    <xdr:to>
      <xdr:col>5</xdr:col>
      <xdr:colOff>131905</xdr:colOff>
      <xdr:row>223</xdr:row>
      <xdr:rowOff>121892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672"/>
        <a:stretch/>
      </xdr:blipFill>
      <xdr:spPr>
        <a:xfrm>
          <a:off x="1946413" y="47790652"/>
          <a:ext cx="231851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571267</xdr:colOff>
      <xdr:row>224</xdr:row>
      <xdr:rowOff>62354</xdr:rowOff>
    </xdr:from>
    <xdr:to>
      <xdr:col>4</xdr:col>
      <xdr:colOff>720203</xdr:colOff>
      <xdr:row>238</xdr:row>
      <xdr:rowOff>159399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130" b="873"/>
        <a:stretch/>
      </xdr:blipFill>
      <xdr:spPr>
        <a:xfrm>
          <a:off x="2136680" y="50809897"/>
          <a:ext cx="193798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481767</xdr:colOff>
      <xdr:row>263</xdr:row>
      <xdr:rowOff>123113</xdr:rowOff>
    </xdr:from>
    <xdr:to>
      <xdr:col>6</xdr:col>
      <xdr:colOff>402324</xdr:colOff>
      <xdr:row>277</xdr:row>
      <xdr:rowOff>83356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3767" y="58225613"/>
          <a:ext cx="4070144" cy="27432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447261</xdr:colOff>
      <xdr:row>249</xdr:row>
      <xdr:rowOff>24848</xdr:rowOff>
    </xdr:from>
    <xdr:to>
      <xdr:col>6</xdr:col>
      <xdr:colOff>418974</xdr:colOff>
      <xdr:row>262</xdr:row>
      <xdr:rowOff>183875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9261" y="55344391"/>
          <a:ext cx="4121300" cy="27432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679174</xdr:colOff>
      <xdr:row>269</xdr:row>
      <xdr:rowOff>33130</xdr:rowOff>
    </xdr:from>
    <xdr:to>
      <xdr:col>4</xdr:col>
      <xdr:colOff>149086</xdr:colOff>
      <xdr:row>271</xdr:row>
      <xdr:rowOff>99391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9413" y="59328326"/>
          <a:ext cx="414130" cy="46382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763230</xdr:colOff>
      <xdr:row>165</xdr:row>
      <xdr:rowOff>8614</xdr:rowOff>
    </xdr:from>
    <xdr:to>
      <xdr:col>16</xdr:col>
      <xdr:colOff>241804</xdr:colOff>
      <xdr:row>201</xdr:row>
      <xdr:rowOff>158955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7459865" y="33160096"/>
          <a:ext cx="6067633" cy="7241424"/>
          <a:chOff x="673100" y="1921007"/>
          <a:chExt cx="5028924" cy="6295360"/>
        </a:xfrm>
      </xdr:grpSpPr>
      <xdr:pic>
        <xdr:nvPicPr>
          <xdr:cNvPr id="32" name="Picture 31" descr="https://vsjcllp.vsjadon.com/upload/insp-236790-844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3100" y="1921007"/>
            <a:ext cx="3301974" cy="440722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6790-845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2415" y="6415449"/>
            <a:ext cx="1349282" cy="18009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790-860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90781" y="6415449"/>
            <a:ext cx="1349282" cy="18009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790-1525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3131" y="6415449"/>
            <a:ext cx="1349282" cy="180091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790-862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4083711" y="192100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790-861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3710" y="416822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238539</xdr:colOff>
      <xdr:row>166</xdr:row>
      <xdr:rowOff>76863</xdr:rowOff>
    </xdr:from>
    <xdr:to>
      <xdr:col>7</xdr:col>
      <xdr:colOff>459519</xdr:colOff>
      <xdr:row>205</xdr:row>
      <xdr:rowOff>23523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77DAE11-1E11-4424-9A25-7DDE22FBAE99}"/>
            </a:ext>
          </a:extLst>
        </xdr:cNvPr>
        <xdr:cNvGrpSpPr/>
      </xdr:nvGrpSpPr>
      <xdr:grpSpPr>
        <a:xfrm>
          <a:off x="238539" y="33425569"/>
          <a:ext cx="6065968" cy="7629413"/>
          <a:chOff x="408420" y="-253732"/>
          <a:chExt cx="6084022" cy="804645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0DC7BF6-3056-227D-73E0-DEE6C70533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4834" y="6091336"/>
            <a:ext cx="1274856" cy="17013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BD98E75-856B-787A-F218-4C778F05C7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20" y="-253732"/>
            <a:ext cx="2946776" cy="39326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1A6BE09-543B-ED6B-1B19-002CA80D58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8426" y="3800296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869BDFD-ADEE-A694-F6E7-83FBC7019D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5666" y="-243100"/>
            <a:ext cx="2946776" cy="39326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8C8B22E-974C-A3BB-F8F1-8660B10FBB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0100" y="3812268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0C878F2-7978-CDB4-7A7A-4BF60B859F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6752" y="3812268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3A8FE0F-5B20-69C8-CB2C-E95074884B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808" y="6081648"/>
            <a:ext cx="1274856" cy="17013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EMyKURMHdbWGvQX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8"/>
  <sheetViews>
    <sheetView tabSelected="1" view="pageBreakPreview" topLeftCell="A103" zoomScale="85" zoomScaleNormal="100" zoomScaleSheetLayoutView="85" workbookViewId="0">
      <selection activeCell="J111" sqref="J111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27" t="s">
        <v>172</v>
      </c>
      <c r="B1" s="127"/>
      <c r="C1" s="127"/>
      <c r="D1" s="127"/>
      <c r="E1" s="127"/>
      <c r="F1" s="127"/>
      <c r="G1" s="127"/>
      <c r="H1" s="127"/>
    </row>
    <row r="2" spans="1:8" ht="16.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">
      <c r="A3" s="68" t="s">
        <v>1</v>
      </c>
      <c r="B3" s="68"/>
      <c r="C3" s="68"/>
      <c r="D3" s="68"/>
      <c r="E3" s="68" t="str">
        <f ca="1">TEXT(TODAY(),"DD/MM/YYYY")</f>
        <v>13/09/2025</v>
      </c>
      <c r="F3" s="68"/>
      <c r="G3" s="68"/>
      <c r="H3" s="68"/>
    </row>
    <row r="4" spans="1:8" x14ac:dyDescent="0.3">
      <c r="A4" s="68" t="s">
        <v>2</v>
      </c>
      <c r="B4" s="68"/>
      <c r="C4" s="68"/>
      <c r="D4" s="68"/>
      <c r="E4" s="68" t="s">
        <v>177</v>
      </c>
      <c r="F4" s="68"/>
      <c r="G4" s="68"/>
      <c r="H4" s="68"/>
    </row>
    <row r="5" spans="1:8" x14ac:dyDescent="0.3">
      <c r="A5" s="68" t="s">
        <v>3</v>
      </c>
      <c r="B5" s="68"/>
      <c r="C5" s="68"/>
      <c r="D5" s="68"/>
      <c r="E5" s="132">
        <v>45908</v>
      </c>
      <c r="F5" s="68"/>
      <c r="G5" s="68"/>
      <c r="H5" s="68"/>
    </row>
    <row r="6" spans="1:8" ht="16.5" customHeight="1" x14ac:dyDescent="0.3">
      <c r="A6" s="68" t="s">
        <v>4</v>
      </c>
      <c r="B6" s="68"/>
      <c r="C6" s="68"/>
      <c r="D6" s="68"/>
      <c r="E6" s="68" t="s">
        <v>178</v>
      </c>
      <c r="F6" s="68"/>
      <c r="G6" s="68"/>
      <c r="H6" s="68"/>
    </row>
    <row r="7" spans="1:8" ht="15" customHeight="1" x14ac:dyDescent="0.3">
      <c r="A7" s="68" t="s">
        <v>5</v>
      </c>
      <c r="B7" s="68"/>
      <c r="C7" s="68"/>
      <c r="D7" s="68"/>
      <c r="E7" s="68" t="str">
        <f>E6</f>
        <v>Pancharatna Developers</v>
      </c>
      <c r="F7" s="68"/>
      <c r="G7" s="68"/>
      <c r="H7" s="68"/>
    </row>
    <row r="8" spans="1:8" x14ac:dyDescent="0.3">
      <c r="A8" s="68" t="s">
        <v>6</v>
      </c>
      <c r="B8" s="68"/>
      <c r="C8" s="68"/>
      <c r="D8" s="68"/>
      <c r="E8" s="129" t="s">
        <v>179</v>
      </c>
      <c r="F8" s="130"/>
      <c r="G8" s="130"/>
      <c r="H8" s="131"/>
    </row>
    <row r="9" spans="1:8" x14ac:dyDescent="0.3">
      <c r="A9" s="68" t="s">
        <v>175</v>
      </c>
      <c r="B9" s="68"/>
      <c r="C9" s="68"/>
      <c r="D9" s="68"/>
      <c r="E9" s="68">
        <v>8828375837</v>
      </c>
      <c r="F9" s="68"/>
      <c r="G9" s="68"/>
      <c r="H9" s="68"/>
    </row>
    <row r="10" spans="1:8" x14ac:dyDescent="0.3">
      <c r="A10" s="68" t="s">
        <v>176</v>
      </c>
      <c r="B10" s="68"/>
      <c r="C10" s="68"/>
      <c r="D10" s="68"/>
      <c r="E10" s="68" t="s">
        <v>217</v>
      </c>
      <c r="F10" s="68"/>
      <c r="G10" s="68"/>
      <c r="H10" s="68"/>
    </row>
    <row r="11" spans="1:8" x14ac:dyDescent="0.3">
      <c r="A11" s="68" t="s">
        <v>7</v>
      </c>
      <c r="B11" s="68"/>
      <c r="C11" s="68"/>
      <c r="D11" s="68"/>
      <c r="E11" s="68" t="s">
        <v>185</v>
      </c>
      <c r="F11" s="68"/>
      <c r="G11" s="68"/>
      <c r="H11" s="68"/>
    </row>
    <row r="12" spans="1:8" x14ac:dyDescent="0.3">
      <c r="A12" s="64" t="s">
        <v>8</v>
      </c>
      <c r="B12" s="64"/>
      <c r="C12" s="64"/>
      <c r="D12" s="64"/>
      <c r="E12" s="133" t="s">
        <v>214</v>
      </c>
      <c r="F12" s="133"/>
      <c r="G12" s="133"/>
      <c r="H12" s="133"/>
    </row>
    <row r="13" spans="1:8" x14ac:dyDescent="0.3">
      <c r="A13" s="64" t="s">
        <v>9</v>
      </c>
      <c r="B13" s="64"/>
      <c r="C13" s="64"/>
      <c r="D13" s="64"/>
      <c r="E13" s="67" t="s">
        <v>180</v>
      </c>
      <c r="F13" s="68"/>
      <c r="G13" s="68"/>
      <c r="H13" s="68"/>
    </row>
    <row r="14" spans="1:8" ht="33.75" customHeight="1" x14ac:dyDescent="0.3">
      <c r="A14" s="107" t="s">
        <v>10</v>
      </c>
      <c r="B14" s="107"/>
      <c r="C14" s="10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Panchratna Sapphire, Survey No.33, H.No.4 (2), near B.T.Gaikwad School, Nandivali Road, Nandivali, Pisavli, Kalyan (East), Kalyan, Thane - 421306.</v>
      </c>
      <c r="D14" s="107"/>
      <c r="E14" s="107"/>
      <c r="F14" s="107"/>
      <c r="G14" s="107"/>
      <c r="H14" s="107"/>
    </row>
    <row r="15" spans="1:8" x14ac:dyDescent="0.3">
      <c r="A15" s="67" t="s">
        <v>181</v>
      </c>
      <c r="B15" s="67"/>
      <c r="C15" s="67" t="s">
        <v>207</v>
      </c>
      <c r="D15" s="67"/>
      <c r="E15" s="67"/>
      <c r="F15" s="67"/>
      <c r="G15" s="67"/>
      <c r="H15" s="67"/>
    </row>
    <row r="16" spans="1:8" ht="15.75" customHeight="1" x14ac:dyDescent="0.3">
      <c r="A16" s="67" t="s">
        <v>170</v>
      </c>
      <c r="B16" s="67"/>
      <c r="C16" s="67" t="s">
        <v>205</v>
      </c>
      <c r="D16" s="67"/>
      <c r="E16" s="67"/>
      <c r="F16" s="67"/>
      <c r="G16" s="67"/>
      <c r="H16" s="67"/>
    </row>
    <row r="17" spans="1:8" ht="15.75" customHeight="1" x14ac:dyDescent="0.3">
      <c r="A17" s="107" t="s">
        <v>11</v>
      </c>
      <c r="B17" s="107"/>
      <c r="C17" s="68" t="s">
        <v>201</v>
      </c>
      <c r="D17" s="68"/>
      <c r="E17" s="107" t="s">
        <v>75</v>
      </c>
      <c r="F17" s="107"/>
      <c r="G17" s="67" t="s">
        <v>182</v>
      </c>
      <c r="H17" s="67"/>
    </row>
    <row r="18" spans="1:8" x14ac:dyDescent="0.3">
      <c r="A18" s="64" t="s">
        <v>13</v>
      </c>
      <c r="B18" s="64"/>
      <c r="C18" s="67" t="s">
        <v>204</v>
      </c>
      <c r="D18" s="67"/>
      <c r="E18" s="107" t="s">
        <v>12</v>
      </c>
      <c r="F18" s="107"/>
      <c r="G18" s="134" t="s">
        <v>183</v>
      </c>
      <c r="H18" s="134"/>
    </row>
    <row r="19" spans="1:8" x14ac:dyDescent="0.3">
      <c r="A19" s="64" t="s">
        <v>76</v>
      </c>
      <c r="B19" s="64"/>
      <c r="C19" s="67" t="s">
        <v>184</v>
      </c>
      <c r="D19" s="67"/>
      <c r="E19" s="107" t="s">
        <v>14</v>
      </c>
      <c r="F19" s="107"/>
      <c r="G19" s="67">
        <v>421306</v>
      </c>
      <c r="H19" s="67"/>
    </row>
    <row r="20" spans="1:8" ht="32.25" customHeight="1" x14ac:dyDescent="0.3">
      <c r="A20" s="64" t="s">
        <v>128</v>
      </c>
      <c r="B20" s="64"/>
      <c r="C20" s="67" t="s">
        <v>206</v>
      </c>
      <c r="D20" s="67"/>
      <c r="E20" s="107" t="s">
        <v>15</v>
      </c>
      <c r="F20" s="107"/>
      <c r="G20" s="67" t="s">
        <v>203</v>
      </c>
      <c r="H20" s="67"/>
    </row>
    <row r="21" spans="1:8" ht="15" customHeight="1" x14ac:dyDescent="0.3">
      <c r="A21" s="107" t="s">
        <v>79</v>
      </c>
      <c r="B21" s="107"/>
      <c r="C21" s="107"/>
      <c r="D21" s="107"/>
      <c r="E21" s="68" t="s">
        <v>16</v>
      </c>
      <c r="F21" s="68"/>
      <c r="G21" s="68"/>
      <c r="H21" s="68"/>
    </row>
    <row r="22" spans="1:8" ht="18.75" customHeight="1" x14ac:dyDescent="0.3">
      <c r="A22" s="107"/>
      <c r="B22" s="107"/>
      <c r="C22" s="107"/>
      <c r="D22" s="107"/>
      <c r="E22" s="68"/>
      <c r="F22" s="68"/>
      <c r="G22" s="68"/>
      <c r="H22" s="68"/>
    </row>
    <row r="23" spans="1:8" ht="15" customHeight="1" x14ac:dyDescent="0.3">
      <c r="A23" s="107" t="s">
        <v>17</v>
      </c>
      <c r="B23" s="107"/>
      <c r="C23" s="107"/>
      <c r="D23" s="107"/>
      <c r="E23" s="67" t="s">
        <v>18</v>
      </c>
      <c r="F23" s="67"/>
      <c r="G23" s="67"/>
      <c r="H23" s="67"/>
    </row>
    <row r="24" spans="1:8" ht="15" customHeight="1" x14ac:dyDescent="0.3">
      <c r="A24" s="64" t="s">
        <v>19</v>
      </c>
      <c r="B24" s="64"/>
      <c r="C24" s="64"/>
      <c r="D24" s="64"/>
      <c r="E24" s="67" t="str">
        <f>IF(AND(G18="Mumbai"),"Upper Class","Middle Class")</f>
        <v>Middle Class</v>
      </c>
      <c r="F24" s="67"/>
      <c r="G24" s="67"/>
      <c r="H24" s="67"/>
    </row>
    <row r="25" spans="1:8" x14ac:dyDescent="0.3">
      <c r="A25" s="64" t="s">
        <v>20</v>
      </c>
      <c r="B25" s="64"/>
      <c r="C25" s="64"/>
      <c r="D25" s="64"/>
      <c r="E25" s="67" t="s">
        <v>21</v>
      </c>
      <c r="F25" s="67"/>
      <c r="G25" s="67"/>
      <c r="H25" s="67"/>
    </row>
    <row r="26" spans="1:8" ht="15.75" customHeight="1" x14ac:dyDescent="0.3">
      <c r="A26" s="64" t="s">
        <v>22</v>
      </c>
      <c r="B26" s="64"/>
      <c r="C26" s="64"/>
      <c r="D26" s="64"/>
      <c r="E26" s="67" t="str">
        <f>IF(AND(G18="Mumbai"),"Developed","Developing")</f>
        <v>Developing</v>
      </c>
      <c r="F26" s="67"/>
      <c r="G26" s="67"/>
      <c r="H26" s="67"/>
    </row>
    <row r="27" spans="1:8" x14ac:dyDescent="0.3">
      <c r="A27" s="64" t="s">
        <v>23</v>
      </c>
      <c r="B27" s="64"/>
      <c r="C27" s="64"/>
      <c r="D27" s="64"/>
      <c r="E27" s="67" t="s">
        <v>24</v>
      </c>
      <c r="F27" s="67"/>
      <c r="G27" s="67"/>
      <c r="H27" s="67"/>
    </row>
    <row r="28" spans="1:8" ht="15.75" customHeight="1" x14ac:dyDescent="0.3">
      <c r="A28" s="64" t="s">
        <v>84</v>
      </c>
      <c r="B28" s="64"/>
      <c r="C28" s="64"/>
      <c r="D28" s="64"/>
      <c r="E28" s="67" t="s">
        <v>85</v>
      </c>
      <c r="F28" s="67"/>
      <c r="G28" s="67"/>
      <c r="H28" s="67"/>
    </row>
    <row r="29" spans="1:8" ht="15" customHeight="1" x14ac:dyDescent="0.3">
      <c r="A29" s="64" t="s">
        <v>33</v>
      </c>
      <c r="B29" s="64"/>
      <c r="C29" s="64"/>
      <c r="D29" s="64"/>
      <c r="E29" s="6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7"/>
      <c r="G29" s="67"/>
      <c r="H29" s="67"/>
    </row>
    <row r="30" spans="1:8" ht="15.75" customHeight="1" x14ac:dyDescent="0.3">
      <c r="A30" s="64" t="s">
        <v>96</v>
      </c>
      <c r="B30" s="64"/>
      <c r="C30" s="64"/>
      <c r="D30" s="64"/>
      <c r="E30" s="67" t="s">
        <v>34</v>
      </c>
      <c r="F30" s="67"/>
      <c r="G30" s="67"/>
      <c r="H30" s="67"/>
    </row>
    <row r="31" spans="1:8" s="22" customFormat="1" x14ac:dyDescent="0.3">
      <c r="A31" s="138" t="s">
        <v>97</v>
      </c>
      <c r="B31" s="138"/>
      <c r="C31" s="137" t="s">
        <v>29</v>
      </c>
      <c r="D31" s="137"/>
      <c r="E31" s="137"/>
      <c r="F31" s="137" t="s">
        <v>31</v>
      </c>
      <c r="G31" s="137"/>
      <c r="H31" s="137"/>
    </row>
    <row r="32" spans="1:8" s="22" customFormat="1" x14ac:dyDescent="0.3">
      <c r="A32" s="135" t="s">
        <v>25</v>
      </c>
      <c r="B32" s="135" t="s">
        <v>30</v>
      </c>
      <c r="C32" s="136" t="s">
        <v>30</v>
      </c>
      <c r="D32" s="136"/>
      <c r="E32" s="136"/>
      <c r="F32" s="136" t="s">
        <v>208</v>
      </c>
      <c r="G32" s="136"/>
      <c r="H32" s="136"/>
    </row>
    <row r="33" spans="1:8" x14ac:dyDescent="0.3">
      <c r="A33" s="135" t="s">
        <v>26</v>
      </c>
      <c r="B33" s="135" t="s">
        <v>30</v>
      </c>
      <c r="C33" s="136" t="s">
        <v>30</v>
      </c>
      <c r="D33" s="136"/>
      <c r="E33" s="136"/>
      <c r="F33" s="136" t="s">
        <v>209</v>
      </c>
      <c r="G33" s="136"/>
      <c r="H33" s="136"/>
    </row>
    <row r="34" spans="1:8" s="22" customFormat="1" x14ac:dyDescent="0.3">
      <c r="A34" s="135" t="s">
        <v>28</v>
      </c>
      <c r="B34" s="135" t="s">
        <v>30</v>
      </c>
      <c r="C34" s="136" t="s">
        <v>30</v>
      </c>
      <c r="D34" s="136"/>
      <c r="E34" s="136"/>
      <c r="F34" s="136" t="s">
        <v>210</v>
      </c>
      <c r="G34" s="136"/>
      <c r="H34" s="136"/>
    </row>
    <row r="35" spans="1:8" x14ac:dyDescent="0.3">
      <c r="A35" s="135" t="s">
        <v>27</v>
      </c>
      <c r="B35" s="135" t="s">
        <v>30</v>
      </c>
      <c r="C35" s="136" t="s">
        <v>30</v>
      </c>
      <c r="D35" s="136"/>
      <c r="E35" s="136"/>
      <c r="F35" s="136" t="s">
        <v>211</v>
      </c>
      <c r="G35" s="136"/>
      <c r="H35" s="136"/>
    </row>
    <row r="36" spans="1:8" x14ac:dyDescent="0.3">
      <c r="A36" s="64" t="s">
        <v>32</v>
      </c>
      <c r="B36" s="64"/>
      <c r="C36" s="64"/>
      <c r="D36" s="64"/>
      <c r="E36" s="64"/>
      <c r="F36" s="64"/>
      <c r="G36" s="64"/>
      <c r="H36" s="64"/>
    </row>
    <row r="37" spans="1:8" ht="15.75" customHeight="1" x14ac:dyDescent="0.3">
      <c r="A37" s="64" t="s">
        <v>173</v>
      </c>
      <c r="B37" s="64"/>
      <c r="C37" s="124" t="s">
        <v>199</v>
      </c>
      <c r="D37" s="124"/>
      <c r="E37" s="124"/>
      <c r="F37" s="124"/>
      <c r="G37" s="124"/>
      <c r="H37" s="124"/>
    </row>
    <row r="38" spans="1:8" x14ac:dyDescent="0.3">
      <c r="A38" s="64" t="s">
        <v>169</v>
      </c>
      <c r="B38" s="64"/>
      <c r="C38" s="140" t="s">
        <v>200</v>
      </c>
      <c r="D38" s="67"/>
      <c r="E38" s="67"/>
      <c r="F38" s="67"/>
      <c r="G38" s="67"/>
      <c r="H38" s="67"/>
    </row>
    <row r="39" spans="1:8" x14ac:dyDescent="0.3">
      <c r="A39" s="124" t="s">
        <v>35</v>
      </c>
      <c r="B39" s="124"/>
      <c r="C39" s="124"/>
      <c r="D39" s="124"/>
      <c r="E39" s="124"/>
      <c r="F39" s="124"/>
      <c r="G39" s="124"/>
      <c r="H39" s="124"/>
    </row>
    <row r="40" spans="1:8" x14ac:dyDescent="0.3">
      <c r="A40" s="64" t="s">
        <v>36</v>
      </c>
      <c r="B40" s="64"/>
      <c r="C40" s="64"/>
      <c r="D40" s="64"/>
      <c r="E40" s="139">
        <v>3475.74</v>
      </c>
      <c r="F40" s="139"/>
      <c r="G40" s="139"/>
      <c r="H40" s="139"/>
    </row>
    <row r="41" spans="1:8" x14ac:dyDescent="0.3">
      <c r="A41" s="64" t="s">
        <v>37</v>
      </c>
      <c r="B41" s="64"/>
      <c r="C41" s="64"/>
      <c r="D41" s="64"/>
      <c r="E41" s="147">
        <v>1.1000000000000001</v>
      </c>
      <c r="F41" s="147"/>
      <c r="G41" s="147"/>
      <c r="H41" s="147"/>
    </row>
    <row r="42" spans="1:8" x14ac:dyDescent="0.3">
      <c r="A42" s="64" t="s">
        <v>38</v>
      </c>
      <c r="B42" s="64"/>
      <c r="C42" s="64"/>
      <c r="D42" s="64"/>
      <c r="E42" s="147">
        <f>E44/E40-E41</f>
        <v>1.5201096744865841</v>
      </c>
      <c r="F42" s="147"/>
      <c r="G42" s="147"/>
      <c r="H42" s="147"/>
    </row>
    <row r="43" spans="1:8" x14ac:dyDescent="0.3">
      <c r="A43" s="64" t="s">
        <v>39</v>
      </c>
      <c r="B43" s="64"/>
      <c r="C43" s="64"/>
      <c r="D43" s="64"/>
      <c r="E43" s="147">
        <f>E41+E42</f>
        <v>2.6201096744865842</v>
      </c>
      <c r="F43" s="147"/>
      <c r="G43" s="147"/>
      <c r="H43" s="147"/>
    </row>
    <row r="44" spans="1:8" x14ac:dyDescent="0.3">
      <c r="A44" s="64" t="s">
        <v>95</v>
      </c>
      <c r="B44" s="64"/>
      <c r="C44" s="64"/>
      <c r="D44" s="64"/>
      <c r="E44" s="161">
        <v>9106.82</v>
      </c>
      <c r="F44" s="161"/>
      <c r="G44" s="161"/>
      <c r="H44" s="161"/>
    </row>
    <row r="45" spans="1:8" x14ac:dyDescent="0.3">
      <c r="A45" s="68" t="s">
        <v>40</v>
      </c>
      <c r="B45" s="68"/>
      <c r="C45" s="68"/>
      <c r="D45" s="68"/>
      <c r="E45" s="68" t="s">
        <v>127</v>
      </c>
      <c r="F45" s="68"/>
      <c r="G45" s="68"/>
      <c r="H45" s="68"/>
    </row>
    <row r="46" spans="1:8" x14ac:dyDescent="0.3">
      <c r="A46" s="124" t="s">
        <v>41</v>
      </c>
      <c r="B46" s="124"/>
      <c r="C46" s="124"/>
      <c r="D46" s="124"/>
      <c r="E46" s="124"/>
      <c r="F46" s="124"/>
      <c r="G46" s="124"/>
      <c r="H46" s="124"/>
    </row>
    <row r="47" spans="1:8" ht="33.75" customHeight="1" x14ac:dyDescent="0.3">
      <c r="A47" s="59" t="s">
        <v>156</v>
      </c>
      <c r="B47" s="61"/>
      <c r="C47" s="129" t="s">
        <v>186</v>
      </c>
      <c r="D47" s="130"/>
      <c r="E47" s="130"/>
      <c r="F47" s="130"/>
      <c r="G47" s="130"/>
      <c r="H47" s="131"/>
    </row>
    <row r="48" spans="1:8" ht="15.75" customHeight="1" x14ac:dyDescent="0.3">
      <c r="A48" s="59" t="s">
        <v>42</v>
      </c>
      <c r="B48" s="61"/>
      <c r="C48" s="59" t="s">
        <v>187</v>
      </c>
      <c r="D48" s="60"/>
      <c r="E48" s="61"/>
      <c r="F48" s="18" t="s">
        <v>43</v>
      </c>
      <c r="G48" s="62">
        <v>44911</v>
      </c>
      <c r="H48" s="61"/>
    </row>
    <row r="49" spans="1:14" x14ac:dyDescent="0.3">
      <c r="A49" s="59" t="s">
        <v>44</v>
      </c>
      <c r="B49" s="61"/>
      <c r="C49" s="59" t="str">
        <f>C48</f>
        <v>KDMCC/B/2022/APL/00126</v>
      </c>
      <c r="D49" s="60"/>
      <c r="E49" s="61"/>
      <c r="F49" s="18" t="s">
        <v>43</v>
      </c>
      <c r="G49" s="62">
        <f>G48</f>
        <v>44911</v>
      </c>
      <c r="H49" s="63"/>
    </row>
    <row r="50" spans="1:14" s="23" customFormat="1" ht="15.75" customHeight="1" x14ac:dyDescent="0.3">
      <c r="A50" s="143" t="s">
        <v>160</v>
      </c>
      <c r="B50" s="144"/>
      <c r="C50" s="59" t="str">
        <f>C49</f>
        <v>KDMCC/B/2022/APL/00126</v>
      </c>
      <c r="D50" s="60"/>
      <c r="E50" s="61"/>
      <c r="F50" s="18" t="s">
        <v>43</v>
      </c>
      <c r="G50" s="62">
        <f>G49</f>
        <v>44911</v>
      </c>
      <c r="H50" s="63"/>
    </row>
    <row r="51" spans="1:14" s="23" customFormat="1" x14ac:dyDescent="0.3">
      <c r="A51" s="145"/>
      <c r="B51" s="146"/>
      <c r="C51" s="59" t="s">
        <v>192</v>
      </c>
      <c r="D51" s="60"/>
      <c r="E51" s="60"/>
      <c r="F51" s="60"/>
      <c r="G51" s="60"/>
      <c r="H51" s="61"/>
    </row>
    <row r="52" spans="1:14" x14ac:dyDescent="0.3">
      <c r="A52" s="103" t="s">
        <v>45</v>
      </c>
      <c r="B52" s="104"/>
      <c r="C52" s="103" t="s">
        <v>109</v>
      </c>
      <c r="D52" s="105"/>
      <c r="E52" s="104"/>
      <c r="F52" s="46" t="s">
        <v>43</v>
      </c>
      <c r="G52" s="108" t="s">
        <v>30</v>
      </c>
      <c r="H52" s="109"/>
    </row>
    <row r="53" spans="1:14" x14ac:dyDescent="0.3">
      <c r="A53" s="106" t="s">
        <v>47</v>
      </c>
      <c r="B53" s="106"/>
      <c r="C53" s="106"/>
      <c r="D53" s="106"/>
      <c r="E53" s="106"/>
      <c r="F53" s="106"/>
      <c r="G53" s="106"/>
      <c r="H53" s="106"/>
    </row>
    <row r="54" spans="1:14" x14ac:dyDescent="0.3">
      <c r="A54" s="107" t="s">
        <v>94</v>
      </c>
      <c r="B54" s="107"/>
      <c r="C54" s="107"/>
      <c r="D54" s="64">
        <f>E44</f>
        <v>9106.82</v>
      </c>
      <c r="E54" s="64"/>
      <c r="F54" s="64"/>
      <c r="G54" s="64"/>
      <c r="H54" s="64"/>
    </row>
    <row r="55" spans="1:14" x14ac:dyDescent="0.3">
      <c r="A55" s="67" t="s">
        <v>48</v>
      </c>
      <c r="B55" s="68"/>
      <c r="C55" s="68"/>
      <c r="D55" s="68" t="s">
        <v>213</v>
      </c>
      <c r="E55" s="68"/>
      <c r="F55" s="68"/>
      <c r="G55" s="68"/>
      <c r="H55" s="68"/>
      <c r="I55" s="24"/>
    </row>
    <row r="56" spans="1:14" x14ac:dyDescent="0.3">
      <c r="A56" s="65" t="s">
        <v>49</v>
      </c>
      <c r="B56" s="66"/>
      <c r="C56" s="142"/>
      <c r="D56" s="112" t="s">
        <v>215</v>
      </c>
      <c r="E56" s="141"/>
      <c r="F56" s="141"/>
      <c r="G56" s="141"/>
      <c r="H56" s="141"/>
    </row>
    <row r="57" spans="1:14" ht="15.75" customHeight="1" x14ac:dyDescent="0.3">
      <c r="A57" s="65" t="s">
        <v>92</v>
      </c>
      <c r="B57" s="66"/>
      <c r="C57" s="66"/>
      <c r="D57" s="67" t="s">
        <v>215</v>
      </c>
      <c r="E57" s="68"/>
      <c r="F57" s="68"/>
      <c r="G57" s="68"/>
      <c r="H57" s="68"/>
    </row>
    <row r="58" spans="1:14" ht="15.75" customHeight="1" x14ac:dyDescent="0.3">
      <c r="A58" s="64" t="s">
        <v>46</v>
      </c>
      <c r="B58" s="64"/>
      <c r="C58" s="64"/>
      <c r="D58" s="148" t="s">
        <v>188</v>
      </c>
      <c r="E58" s="148"/>
      <c r="F58" s="148"/>
      <c r="G58" s="148"/>
      <c r="H58" s="148"/>
      <c r="J58" s="25"/>
      <c r="K58" s="24"/>
      <c r="N58" s="24"/>
    </row>
    <row r="59" spans="1:14" ht="15.75" customHeight="1" x14ac:dyDescent="0.3">
      <c r="A59" s="64" t="s">
        <v>90</v>
      </c>
      <c r="B59" s="64"/>
      <c r="C59" s="64"/>
      <c r="D59" s="160" t="str">
        <f>(IF(G52="NA","60 Years After Completion",IF(G52&lt;&gt;"NA",""&amp;60-ROUNDDOWN((E3-G52)/360,0)&amp;" Years"," ")))</f>
        <v>60 Years After Completion</v>
      </c>
      <c r="E59" s="160"/>
      <c r="F59" s="160"/>
      <c r="G59" s="160"/>
      <c r="H59" s="160"/>
      <c r="N59" s="24"/>
    </row>
    <row r="60" spans="1:14" ht="15.75" customHeight="1" x14ac:dyDescent="0.3">
      <c r="A60" s="64" t="s">
        <v>91</v>
      </c>
      <c r="B60" s="64"/>
      <c r="C60" s="64"/>
      <c r="D60" s="107" t="s">
        <v>24</v>
      </c>
      <c r="E60" s="107"/>
      <c r="F60" s="107"/>
      <c r="G60" s="107"/>
      <c r="H60" s="107"/>
      <c r="J60" s="26"/>
      <c r="K60" s="26"/>
    </row>
    <row r="61" spans="1:14" ht="33" customHeight="1" x14ac:dyDescent="0.3">
      <c r="A61" s="64" t="s">
        <v>77</v>
      </c>
      <c r="B61" s="64"/>
      <c r="C61" s="64"/>
      <c r="D61" s="67" t="s">
        <v>189</v>
      </c>
      <c r="E61" s="107"/>
      <c r="F61" s="107"/>
      <c r="G61" s="107"/>
      <c r="H61" s="107"/>
    </row>
    <row r="62" spans="1:14" x14ac:dyDescent="0.3">
      <c r="A62" s="107" t="s">
        <v>154</v>
      </c>
      <c r="B62" s="107"/>
      <c r="C62" s="107"/>
      <c r="D62" s="107" t="s">
        <v>30</v>
      </c>
      <c r="E62" s="107"/>
      <c r="F62" s="107"/>
      <c r="G62" s="107"/>
      <c r="H62" s="107"/>
      <c r="I62" s="27"/>
      <c r="J62" s="27"/>
      <c r="K62" s="27"/>
      <c r="L62" s="27"/>
      <c r="M62" s="27"/>
      <c r="N62" s="27"/>
    </row>
    <row r="63" spans="1:14" ht="15.75" customHeight="1" x14ac:dyDescent="0.3">
      <c r="A63" s="111" t="s">
        <v>89</v>
      </c>
      <c r="B63" s="111"/>
      <c r="C63" s="111"/>
      <c r="D63" s="112" t="str">
        <f ca="1">(IF(G69&gt;95%,"Nothing",IF(G69&gt;0%,"Cement, Aggregate, Steel, etc",IF(G69=0%,"Work not yet Started"))))</f>
        <v>Cement, Aggregate, Steel, etc</v>
      </c>
      <c r="E63" s="112"/>
      <c r="F63" s="112"/>
      <c r="G63" s="112"/>
      <c r="H63" s="112"/>
      <c r="J63" s="26"/>
    </row>
    <row r="64" spans="1:14" ht="33.75" customHeight="1" thickBot="1" x14ac:dyDescent="0.35">
      <c r="A64" s="126" t="s">
        <v>122</v>
      </c>
      <c r="B64" s="126"/>
      <c r="C64" s="126"/>
      <c r="D64" s="112" t="str">
        <f ca="1">(IF(D63="Nothing","Yes",IF(D63="Cement, Aggregate, Steel, etc","Under Construction",IF(D63="Work not yet Started","Work not yet Started"))))</f>
        <v>Under Construction</v>
      </c>
      <c r="E64" s="112"/>
      <c r="F64" s="112" t="str">
        <f ca="1">(IF(D63="Nothing","Yes",IF(D63="Cement, Aggregate, Steel, etc","Under Construction",IF(D63="Work not yet Started","Work not yet Started"))))</f>
        <v>Under Construction</v>
      </c>
      <c r="G64" s="112"/>
      <c r="H64" s="112"/>
    </row>
    <row r="65" spans="1:10" ht="15.75" customHeight="1" x14ac:dyDescent="0.3">
      <c r="A65" s="164" t="s">
        <v>146</v>
      </c>
      <c r="B65" s="165"/>
      <c r="C65" s="166" t="str">
        <f>D57</f>
        <v>A Wing = Gr + Mezzanine + 1st to 16th Floor</v>
      </c>
      <c r="D65" s="167"/>
      <c r="E65" s="167"/>
      <c r="F65" s="167"/>
      <c r="G65" s="167"/>
      <c r="H65" s="168"/>
      <c r="I65" s="50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 Floor, External Plaster upto 7 Floor Completed</v>
      </c>
      <c r="J65" s="5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 Floor, External Plaster upto 7 Floor</v>
      </c>
    </row>
    <row r="66" spans="1:10" x14ac:dyDescent="0.3">
      <c r="A66" s="16" t="s">
        <v>148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1</v>
      </c>
      <c r="G66" s="49" t="s">
        <v>83</v>
      </c>
      <c r="H66" s="17">
        <f ca="1">--TRIM(RIGHT(SUBSTITUTE(LEFT(C65,_xlfn.AGGREGATE(16,6,FIND({0,1,2,3,4,5,6,7,8,9},C65,ROW(INDIRECT("1:"&amp;LEN(C65)))),1))," ",REPT(" ",LEN(C65))),LEN(C65)))</f>
        <v>16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5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.4" customHeight="1" x14ac:dyDescent="0.3">
      <c r="A67" s="162" t="s">
        <v>93</v>
      </c>
      <c r="B67" s="163"/>
      <c r="C67" s="119" t="str">
        <f ca="1">I65</f>
        <v>Excavation, Plinth, RCC Slab, Brickwork Completed, Internal Plaster upto 1 Floor, External Plaster upto 7 Floor Completed</v>
      </c>
      <c r="D67" s="119"/>
      <c r="E67" s="119"/>
      <c r="F67" s="119"/>
      <c r="G67" s="119"/>
      <c r="H67" s="120"/>
      <c r="I67" s="52" t="str">
        <f ca="1">IF(I66&lt;&gt;""," Completed","")</f>
        <v xml:space="preserve"> Completed</v>
      </c>
      <c r="J67" s="53" t="str">
        <f ca="1">IF(J65&lt;&gt;"","Completed","")</f>
        <v>Completed</v>
      </c>
    </row>
    <row r="68" spans="1:10" ht="15.75" customHeight="1" x14ac:dyDescent="0.3">
      <c r="A68" s="90" t="s">
        <v>50</v>
      </c>
      <c r="B68" s="91"/>
      <c r="C68" s="44" t="s">
        <v>145</v>
      </c>
      <c r="D68" s="44" t="s">
        <v>86</v>
      </c>
      <c r="E68" s="91" t="s">
        <v>88</v>
      </c>
      <c r="F68" s="91"/>
      <c r="G68" s="91" t="s">
        <v>87</v>
      </c>
      <c r="H68" s="113"/>
      <c r="I68" s="14" t="s">
        <v>147</v>
      </c>
      <c r="J68" s="28">
        <f ca="1">H66*25%</f>
        <v>4</v>
      </c>
    </row>
    <row r="69" spans="1:10" x14ac:dyDescent="0.3">
      <c r="A69" s="90" t="s">
        <v>134</v>
      </c>
      <c r="B69" s="91"/>
      <c r="C69" s="44">
        <f ca="1">J70</f>
        <v>16</v>
      </c>
      <c r="D69" s="19">
        <f ca="1">((100/H66)*C69)/100</f>
        <v>1</v>
      </c>
      <c r="E69" s="149">
        <f ca="1">(((C70/H66*10)+(40/(D66+F66+H66)*C71)+(7.5/(H66)*C72)+(7.5/(H66)*C73)+(10/H66*C74)+(10/H66*C75)+(5/H66*C76)+(5/H66*C77)+(5/H66*C78))/100)</f>
        <v>0.62343749999999998</v>
      </c>
      <c r="F69" s="150"/>
      <c r="G69" s="149">
        <f ca="1">((((C69/H66)*20)+((C70/H66)*25)+(30/(H66+F66+D66)*C71)+(5/H66*C72)+(5/H66*C73)+(5/H66*C74)+(5/H66*C75)+(0/H66*C76)+(0/H66*C77)+(5/H66*C78))/100)</f>
        <v>0.82499999999999996</v>
      </c>
      <c r="H69" s="155"/>
      <c r="I69" s="14" t="s">
        <v>104</v>
      </c>
      <c r="J69" s="29">
        <f ca="1">H66*50%</f>
        <v>8</v>
      </c>
    </row>
    <row r="70" spans="1:10" x14ac:dyDescent="0.3">
      <c r="A70" s="90" t="s">
        <v>51</v>
      </c>
      <c r="B70" s="91"/>
      <c r="C70" s="58">
        <v>16</v>
      </c>
      <c r="D70" s="19">
        <f ca="1">((100/H66)*C70)/100</f>
        <v>1</v>
      </c>
      <c r="E70" s="151"/>
      <c r="F70" s="152"/>
      <c r="G70" s="151"/>
      <c r="H70" s="156"/>
      <c r="I70" s="14" t="s">
        <v>105</v>
      </c>
      <c r="J70" s="29">
        <f ca="1">H66</f>
        <v>16</v>
      </c>
    </row>
    <row r="71" spans="1:10" ht="15.75" customHeight="1" x14ac:dyDescent="0.3">
      <c r="A71" s="90" t="s">
        <v>135</v>
      </c>
      <c r="B71" s="91"/>
      <c r="C71" s="44">
        <v>18</v>
      </c>
      <c r="D71" s="19">
        <f ca="1">((100/(D66+F66+H66))*C71)/100</f>
        <v>1</v>
      </c>
      <c r="E71" s="151"/>
      <c r="F71" s="152"/>
      <c r="G71" s="151"/>
      <c r="H71" s="156"/>
      <c r="I71" s="14" t="s">
        <v>106</v>
      </c>
      <c r="J71" s="30">
        <f ca="1">(IF(B66&gt;1,(H66/(B66+2)),H66/4))</f>
        <v>4</v>
      </c>
    </row>
    <row r="72" spans="1:10" ht="15.75" customHeight="1" x14ac:dyDescent="0.3">
      <c r="A72" s="90" t="s">
        <v>142</v>
      </c>
      <c r="B72" s="91" t="s">
        <v>136</v>
      </c>
      <c r="C72" s="44">
        <v>16</v>
      </c>
      <c r="D72" s="19">
        <f ca="1">((100/H66)*C72)/100</f>
        <v>1</v>
      </c>
      <c r="E72" s="151"/>
      <c r="F72" s="152"/>
      <c r="G72" s="151"/>
      <c r="H72" s="156"/>
      <c r="I72" s="14" t="s">
        <v>107</v>
      </c>
      <c r="J72" s="30">
        <f ca="1">(IF(B66&gt;1,(H66/(B66+2)+J71),H66/4+J71))</f>
        <v>8</v>
      </c>
    </row>
    <row r="73" spans="1:10" ht="15.75" customHeight="1" x14ac:dyDescent="0.3">
      <c r="A73" s="90" t="s">
        <v>143</v>
      </c>
      <c r="B73" s="91" t="s">
        <v>136</v>
      </c>
      <c r="C73" s="44">
        <v>1</v>
      </c>
      <c r="D73" s="19">
        <f ca="1">((100/H66)*C73)/100</f>
        <v>6.25E-2</v>
      </c>
      <c r="E73" s="151"/>
      <c r="F73" s="152"/>
      <c r="G73" s="151"/>
      <c r="H73" s="156"/>
      <c r="I73" s="14" t="s">
        <v>152</v>
      </c>
      <c r="J73" s="30">
        <f>(IF(B66&gt;1,(H66/(B66+2)+J72),0))</f>
        <v>0</v>
      </c>
    </row>
    <row r="74" spans="1:10" ht="15" customHeight="1" x14ac:dyDescent="0.3">
      <c r="A74" s="90" t="s">
        <v>141</v>
      </c>
      <c r="B74" s="91" t="s">
        <v>138</v>
      </c>
      <c r="C74" s="44">
        <v>7</v>
      </c>
      <c r="D74" s="19">
        <f ca="1">((100/(H66))*C74)/100</f>
        <v>0.4375</v>
      </c>
      <c r="E74" s="151"/>
      <c r="F74" s="152"/>
      <c r="G74" s="151"/>
      <c r="H74" s="156"/>
      <c r="I74" s="14" t="s">
        <v>149</v>
      </c>
      <c r="J74" s="30">
        <f>(IF(B66&gt;2,(H66/(B66+2)+J73),0))</f>
        <v>0</v>
      </c>
    </row>
    <row r="75" spans="1:10" ht="15.75" customHeight="1" x14ac:dyDescent="0.3">
      <c r="A75" s="90" t="s">
        <v>137</v>
      </c>
      <c r="B75" s="91" t="s">
        <v>137</v>
      </c>
      <c r="C75" s="44">
        <v>0</v>
      </c>
      <c r="D75" s="19">
        <f ca="1">((100/H66)*C75)/100</f>
        <v>0</v>
      </c>
      <c r="E75" s="151"/>
      <c r="F75" s="152"/>
      <c r="G75" s="151"/>
      <c r="H75" s="156"/>
      <c r="I75" s="14" t="s">
        <v>150</v>
      </c>
      <c r="J75" s="31">
        <f>(IF(B66&gt;3,(H66/(B66+2)+J74),0))</f>
        <v>0</v>
      </c>
    </row>
    <row r="76" spans="1:10" ht="15.75" customHeight="1" x14ac:dyDescent="0.3">
      <c r="A76" s="90" t="s">
        <v>144</v>
      </c>
      <c r="B76" s="91"/>
      <c r="C76" s="44">
        <v>0</v>
      </c>
      <c r="D76" s="19">
        <f ca="1">((100/H66)*C76)/100</f>
        <v>0</v>
      </c>
      <c r="E76" s="151"/>
      <c r="F76" s="152"/>
      <c r="G76" s="151"/>
      <c r="H76" s="156"/>
      <c r="I76" s="14" t="s">
        <v>151</v>
      </c>
      <c r="J76" s="30">
        <f>(IF(B66&gt;4,(H66/(B66+2)+J75),0))</f>
        <v>0</v>
      </c>
    </row>
    <row r="77" spans="1:10" ht="15.75" customHeight="1" x14ac:dyDescent="0.3">
      <c r="A77" s="90" t="s">
        <v>139</v>
      </c>
      <c r="B77" s="91" t="s">
        <v>139</v>
      </c>
      <c r="C77" s="44">
        <v>0</v>
      </c>
      <c r="D77" s="19">
        <f ca="1">((100/(H66))*C77)/100</f>
        <v>0</v>
      </c>
      <c r="E77" s="151"/>
      <c r="F77" s="152"/>
      <c r="G77" s="151"/>
      <c r="H77" s="156"/>
      <c r="I77" s="14" t="s">
        <v>153</v>
      </c>
      <c r="J77" s="30">
        <f ca="1">(IF(B66=1,(H66/(B66+3)+J72),IF(B66=0,(H66/4+J72),IF(B66&gt;1,0))))</f>
        <v>12</v>
      </c>
    </row>
    <row r="78" spans="1:10" ht="16.2" thickBot="1" x14ac:dyDescent="0.35">
      <c r="A78" s="158" t="s">
        <v>140</v>
      </c>
      <c r="B78" s="159"/>
      <c r="C78" s="45">
        <v>0</v>
      </c>
      <c r="D78" s="20">
        <f ca="1">((100/(H66))*C78)/100</f>
        <v>0</v>
      </c>
      <c r="E78" s="153"/>
      <c r="F78" s="154"/>
      <c r="G78" s="153"/>
      <c r="H78" s="157"/>
      <c r="I78" s="15" t="s">
        <v>108</v>
      </c>
      <c r="J78" s="32">
        <f ca="1">(IF(B66&gt;1.5,(H66/(B66+2)+J72+MAX(0,J73-J72)+MAX(0,J74-J73)+MAX(0,J75-J74)+MAX(0,J76-J75)+MAX(0,J77-J76)),IF(B66=1,(H66/(B66+3)+J77),IF(B66=0,H66/4+J77))))</f>
        <v>16</v>
      </c>
    </row>
    <row r="79" spans="1:10" x14ac:dyDescent="0.3">
      <c r="A79" s="169" t="s">
        <v>162</v>
      </c>
      <c r="B79" s="169"/>
      <c r="C79" s="169"/>
      <c r="D79" s="169"/>
      <c r="E79" s="169"/>
      <c r="F79" s="110" t="s">
        <v>167</v>
      </c>
      <c r="G79" s="110"/>
      <c r="H79" s="110"/>
    </row>
    <row r="80" spans="1:10" x14ac:dyDescent="0.3">
      <c r="A80" s="64" t="s">
        <v>165</v>
      </c>
      <c r="B80" s="64"/>
      <c r="C80" s="64"/>
      <c r="D80" s="64"/>
      <c r="E80" s="64"/>
      <c r="F80" s="92">
        <v>6500</v>
      </c>
      <c r="G80" s="92"/>
      <c r="H80" s="92"/>
    </row>
    <row r="81" spans="1:8" x14ac:dyDescent="0.3">
      <c r="A81" s="64" t="s">
        <v>164</v>
      </c>
      <c r="B81" s="64"/>
      <c r="C81" s="64"/>
      <c r="D81" s="64"/>
      <c r="E81" s="64"/>
      <c r="F81" s="92">
        <v>12000</v>
      </c>
      <c r="G81" s="92"/>
      <c r="H81" s="92"/>
    </row>
    <row r="82" spans="1:8" hidden="1" x14ac:dyDescent="0.3">
      <c r="A82" s="64" t="s">
        <v>166</v>
      </c>
      <c r="B82" s="64"/>
      <c r="C82" s="64"/>
      <c r="D82" s="64"/>
      <c r="E82" s="64"/>
      <c r="F82" s="92"/>
      <c r="G82" s="92"/>
      <c r="H82" s="92"/>
    </row>
    <row r="83" spans="1:8" s="33" customFormat="1" hidden="1" x14ac:dyDescent="0.25">
      <c r="A83" s="64" t="s">
        <v>163</v>
      </c>
      <c r="B83" s="64"/>
      <c r="C83" s="64"/>
      <c r="D83" s="64"/>
      <c r="E83" s="64"/>
      <c r="F83" s="92"/>
      <c r="G83" s="92"/>
      <c r="H83" s="92"/>
    </row>
    <row r="84" spans="1:8" s="33" customFormat="1" hidden="1" x14ac:dyDescent="0.25">
      <c r="A84" s="64" t="s">
        <v>98</v>
      </c>
      <c r="B84" s="64"/>
      <c r="C84" s="64"/>
      <c r="D84" s="64"/>
      <c r="E84" s="64"/>
      <c r="F84" s="92"/>
      <c r="G84" s="92"/>
      <c r="H84" s="92"/>
    </row>
    <row r="85" spans="1:8" s="33" customFormat="1" hidden="1" x14ac:dyDescent="0.25">
      <c r="A85" s="64" t="s">
        <v>99</v>
      </c>
      <c r="B85" s="64"/>
      <c r="C85" s="64"/>
      <c r="D85" s="64"/>
      <c r="E85" s="64"/>
      <c r="F85" s="92"/>
      <c r="G85" s="92"/>
      <c r="H85" s="92"/>
    </row>
    <row r="86" spans="1:8" s="33" customFormat="1" hidden="1" x14ac:dyDescent="0.25">
      <c r="A86" s="64" t="s">
        <v>168</v>
      </c>
      <c r="B86" s="64"/>
      <c r="C86" s="64"/>
      <c r="D86" s="64"/>
      <c r="E86" s="64"/>
      <c r="F86" s="92"/>
      <c r="G86" s="92"/>
      <c r="H86" s="92"/>
    </row>
    <row r="87" spans="1:8" s="33" customFormat="1" hidden="1" x14ac:dyDescent="0.25">
      <c r="A87" s="64" t="s">
        <v>100</v>
      </c>
      <c r="B87" s="64"/>
      <c r="C87" s="64"/>
      <c r="D87" s="64"/>
      <c r="E87" s="64"/>
      <c r="F87" s="92"/>
      <c r="G87" s="92"/>
      <c r="H87" s="92"/>
    </row>
    <row r="88" spans="1:8" s="33" customFormat="1" hidden="1" x14ac:dyDescent="0.25">
      <c r="A88" s="64" t="s">
        <v>101</v>
      </c>
      <c r="B88" s="64"/>
      <c r="C88" s="64"/>
      <c r="D88" s="64"/>
      <c r="E88" s="64"/>
      <c r="F88" s="92"/>
      <c r="G88" s="92"/>
      <c r="H88" s="92"/>
    </row>
    <row r="89" spans="1:8" s="33" customFormat="1" hidden="1" x14ac:dyDescent="0.25">
      <c r="A89" s="64" t="s">
        <v>102</v>
      </c>
      <c r="B89" s="64"/>
      <c r="C89" s="64"/>
      <c r="D89" s="64"/>
      <c r="E89" s="64"/>
      <c r="F89" s="92"/>
      <c r="G89" s="92"/>
      <c r="H89" s="92"/>
    </row>
    <row r="90" spans="1:8" s="33" customFormat="1" hidden="1" x14ac:dyDescent="0.25">
      <c r="A90" s="64" t="s">
        <v>103</v>
      </c>
      <c r="B90" s="64"/>
      <c r="C90" s="64"/>
      <c r="D90" s="64"/>
      <c r="E90" s="64"/>
      <c r="F90" s="92"/>
      <c r="G90" s="92"/>
      <c r="H90" s="92"/>
    </row>
    <row r="91" spans="1:8" x14ac:dyDescent="0.3">
      <c r="A91" s="64" t="s">
        <v>52</v>
      </c>
      <c r="B91" s="64"/>
      <c r="C91" s="64"/>
      <c r="D91" s="64"/>
      <c r="E91" s="64"/>
      <c r="F91" s="92">
        <v>300000</v>
      </c>
      <c r="G91" s="92"/>
      <c r="H91" s="92"/>
    </row>
    <row r="92" spans="1:8" s="34" customFormat="1" x14ac:dyDescent="0.3">
      <c r="A92" s="124" t="s">
        <v>53</v>
      </c>
      <c r="B92" s="124"/>
      <c r="C92" s="124"/>
      <c r="D92" s="124"/>
      <c r="E92" s="124"/>
      <c r="F92" s="92">
        <f>F80*0.8</f>
        <v>5200</v>
      </c>
      <c r="G92" s="92"/>
      <c r="H92" s="92"/>
    </row>
    <row r="93" spans="1:8" s="35" customFormat="1" ht="15.75" customHeight="1" x14ac:dyDescent="0.3">
      <c r="A93" s="123" t="s">
        <v>78</v>
      </c>
      <c r="B93" s="123"/>
      <c r="C93" s="123"/>
      <c r="D93" s="123"/>
      <c r="E93" s="123"/>
      <c r="F93" s="123"/>
      <c r="G93" s="123"/>
      <c r="H93" s="123"/>
    </row>
    <row r="94" spans="1:8" s="35" customFormat="1" ht="15.75" customHeight="1" x14ac:dyDescent="0.3">
      <c r="A94" s="81" t="s">
        <v>54</v>
      </c>
      <c r="B94" s="81"/>
      <c r="C94" s="118" t="s">
        <v>81</v>
      </c>
      <c r="D94" s="118"/>
      <c r="E94" s="117" t="s">
        <v>55</v>
      </c>
      <c r="F94" s="117"/>
      <c r="G94" s="81" t="s">
        <v>56</v>
      </c>
      <c r="H94" s="81"/>
    </row>
    <row r="95" spans="1:8" s="35" customFormat="1" x14ac:dyDescent="0.3">
      <c r="A95" s="125" t="s">
        <v>190</v>
      </c>
      <c r="B95" s="125"/>
      <c r="C95" s="95">
        <f>COUNT(D105:D117)</f>
        <v>13</v>
      </c>
      <c r="D95" s="96"/>
      <c r="E95" s="93">
        <f>SUM(D105:D117)</f>
        <v>6052.7048400000003</v>
      </c>
      <c r="F95" s="94"/>
      <c r="G95" s="93">
        <f>SUM(F105:F117)</f>
        <v>9684.3277439999983</v>
      </c>
      <c r="H95" s="94"/>
    </row>
    <row r="96" spans="1:8" s="35" customFormat="1" x14ac:dyDescent="0.3">
      <c r="A96" s="123" t="s">
        <v>72</v>
      </c>
      <c r="B96" s="123"/>
      <c r="C96" s="123"/>
      <c r="D96" s="123"/>
      <c r="E96" s="123"/>
      <c r="F96" s="123"/>
      <c r="G96" s="123"/>
      <c r="H96" s="123"/>
    </row>
    <row r="97" spans="1:14" s="35" customFormat="1" ht="15.75" customHeight="1" x14ac:dyDescent="0.3">
      <c r="A97" s="81" t="s">
        <v>54</v>
      </c>
      <c r="B97" s="81"/>
      <c r="C97" s="118" t="s">
        <v>81</v>
      </c>
      <c r="D97" s="118"/>
      <c r="E97" s="117" t="s">
        <v>55</v>
      </c>
      <c r="F97" s="117"/>
      <c r="G97" s="81" t="s">
        <v>56</v>
      </c>
      <c r="H97" s="81"/>
    </row>
    <row r="98" spans="1:14" s="35" customFormat="1" ht="16.2" thickBot="1" x14ac:dyDescent="0.35">
      <c r="A98" s="125" t="s">
        <v>212</v>
      </c>
      <c r="B98" s="125"/>
      <c r="C98" s="95">
        <f>COUNT(D122:D125)+COUNT(D127:D134)*13+COUNT(D136:D142)*2</f>
        <v>122</v>
      </c>
      <c r="D98" s="95"/>
      <c r="E98" s="93">
        <f>SUM(D122:D125)+SUM(D127:D134)*13+SUM(D136:D142)*2</f>
        <v>62539.862580000001</v>
      </c>
      <c r="F98" s="93"/>
      <c r="G98" s="93">
        <f>SUM(F122:F125)+SUM(F127:F134)*13+SUM(F136:F142)*2</f>
        <v>93977.712270000018</v>
      </c>
      <c r="H98" s="93"/>
    </row>
    <row r="99" spans="1:14" s="35" customFormat="1" ht="16.2" thickBot="1" x14ac:dyDescent="0.35">
      <c r="A99" s="174" t="s">
        <v>174</v>
      </c>
      <c r="B99" s="175"/>
      <c r="C99" s="170">
        <f>C95+C98</f>
        <v>135</v>
      </c>
      <c r="D99" s="171"/>
      <c r="E99" s="170">
        <f>E95+E98</f>
        <v>68592.567420000007</v>
      </c>
      <c r="F99" s="171"/>
      <c r="G99" s="170">
        <f>G95+G98</f>
        <v>103662.04001400001</v>
      </c>
      <c r="H99" s="171"/>
    </row>
    <row r="100" spans="1:14" s="34" customFormat="1" x14ac:dyDescent="0.3">
      <c r="A100" s="110" t="s">
        <v>57</v>
      </c>
      <c r="B100" s="110"/>
      <c r="C100" s="110"/>
      <c r="D100" s="110"/>
      <c r="E100" s="110"/>
      <c r="F100" s="110"/>
      <c r="G100" s="110"/>
      <c r="H100" s="110"/>
    </row>
    <row r="101" spans="1:14" x14ac:dyDescent="0.3">
      <c r="A101" s="128" t="s">
        <v>58</v>
      </c>
      <c r="B101" s="128"/>
      <c r="C101" s="128"/>
      <c r="D101" s="128"/>
      <c r="E101" s="128"/>
      <c r="F101" s="128"/>
      <c r="G101" s="128"/>
      <c r="H101" s="128"/>
    </row>
    <row r="102" spans="1:14" ht="47.25" customHeight="1" x14ac:dyDescent="0.3">
      <c r="A102" s="82" t="s">
        <v>124</v>
      </c>
      <c r="B102" s="82" t="s">
        <v>123</v>
      </c>
      <c r="C102" s="82" t="s">
        <v>59</v>
      </c>
      <c r="D102" s="82" t="s">
        <v>216</v>
      </c>
      <c r="E102" s="84" t="s">
        <v>161</v>
      </c>
      <c r="F102" s="43" t="s">
        <v>155</v>
      </c>
      <c r="G102" s="86" t="s">
        <v>62</v>
      </c>
      <c r="H102" s="87"/>
    </row>
    <row r="103" spans="1:14" s="37" customFormat="1" x14ac:dyDescent="0.3">
      <c r="A103" s="83"/>
      <c r="B103" s="83"/>
      <c r="C103" s="83"/>
      <c r="D103" s="83"/>
      <c r="E103" s="85"/>
      <c r="F103" s="13">
        <v>0.6</v>
      </c>
      <c r="G103" s="88"/>
      <c r="H103" s="89"/>
    </row>
    <row r="104" spans="1:14" s="37" customFormat="1" x14ac:dyDescent="0.3">
      <c r="A104" s="114" t="s">
        <v>191</v>
      </c>
      <c r="B104" s="115"/>
      <c r="C104" s="115"/>
      <c r="D104" s="115"/>
      <c r="E104" s="115"/>
      <c r="F104" s="115"/>
      <c r="G104" s="115"/>
      <c r="H104" s="116"/>
      <c r="J104" s="36"/>
    </row>
    <row r="105" spans="1:14" s="37" customFormat="1" ht="15.75" customHeight="1" x14ac:dyDescent="0.3">
      <c r="A105" s="74">
        <v>1</v>
      </c>
      <c r="B105" s="76"/>
      <c r="C105" s="42" t="s">
        <v>190</v>
      </c>
      <c r="D105" s="57">
        <f>(42.53)*(10.764)</f>
        <v>457.79291999999998</v>
      </c>
      <c r="E105" s="42">
        <v>0</v>
      </c>
      <c r="F105" s="42">
        <f>(D105+E105)*(($F$103)+1)</f>
        <v>732.46867199999997</v>
      </c>
      <c r="G105" s="70" t="str">
        <f>A104</f>
        <v>Ground + Mazzanine Floor For Commercial &amp; Parking</v>
      </c>
      <c r="H105" s="71"/>
      <c r="I105" s="54">
        <f>6.75*4.2</f>
        <v>28.35</v>
      </c>
      <c r="J105" s="37">
        <f>3.37*4.2</f>
        <v>14.154000000000002</v>
      </c>
      <c r="K105" s="54">
        <f>I105+J105</f>
        <v>42.504000000000005</v>
      </c>
      <c r="L105" s="172"/>
      <c r="M105" s="172"/>
      <c r="N105" s="36"/>
    </row>
    <row r="106" spans="1:14" s="37" customFormat="1" ht="15.75" customHeight="1" x14ac:dyDescent="0.3">
      <c r="A106" s="74">
        <f t="shared" ref="A106:A117" si="0">A105+1</f>
        <v>2</v>
      </c>
      <c r="B106" s="76"/>
      <c r="C106" s="42" t="s">
        <v>190</v>
      </c>
      <c r="D106" s="57">
        <f>(60.24)*(10.764)</f>
        <v>648.42336</v>
      </c>
      <c r="E106" s="42">
        <v>0</v>
      </c>
      <c r="F106" s="42">
        <f t="shared" ref="F106:F108" si="1">(D106+E106)*(($F$103)+1)</f>
        <v>1037.477376</v>
      </c>
      <c r="G106" s="72"/>
      <c r="H106" s="73"/>
      <c r="I106" s="54">
        <f>6.75*5.95</f>
        <v>40.162500000000001</v>
      </c>
      <c r="J106" s="37">
        <f>3.37*5.95</f>
        <v>20.051500000000001</v>
      </c>
      <c r="K106" s="54">
        <f>I106+J106</f>
        <v>60.213999999999999</v>
      </c>
      <c r="L106" s="173">
        <f>10.764</f>
        <v>10.763999999999999</v>
      </c>
      <c r="M106" s="173"/>
      <c r="N106" s="36"/>
    </row>
    <row r="107" spans="1:14" s="37" customFormat="1" ht="15.75" customHeight="1" x14ac:dyDescent="0.3">
      <c r="A107" s="74">
        <f t="shared" si="0"/>
        <v>3</v>
      </c>
      <c r="B107" s="76"/>
      <c r="C107" s="42" t="s">
        <v>190</v>
      </c>
      <c r="D107" s="57">
        <f>(42.52)*(10.764)</f>
        <v>457.68527999999998</v>
      </c>
      <c r="E107" s="42">
        <v>0</v>
      </c>
      <c r="F107" s="42">
        <f t="shared" si="1"/>
        <v>732.29644800000005</v>
      </c>
      <c r="G107" s="72"/>
      <c r="H107" s="73"/>
      <c r="I107" s="36">
        <f>6.75*4.2</f>
        <v>28.35</v>
      </c>
      <c r="L107" s="172"/>
      <c r="M107" s="172"/>
      <c r="N107" s="36"/>
    </row>
    <row r="108" spans="1:14" s="37" customFormat="1" ht="15.75" customHeight="1" x14ac:dyDescent="0.3">
      <c r="A108" s="74">
        <f t="shared" si="0"/>
        <v>4</v>
      </c>
      <c r="B108" s="76"/>
      <c r="C108" s="42" t="s">
        <v>190</v>
      </c>
      <c r="D108" s="57">
        <f>(32.4)*(10.764)</f>
        <v>348.75359999999995</v>
      </c>
      <c r="E108" s="42">
        <v>0</v>
      </c>
      <c r="F108" s="42">
        <f t="shared" si="1"/>
        <v>558.0057599999999</v>
      </c>
      <c r="G108" s="72"/>
      <c r="H108" s="73"/>
      <c r="I108" s="36"/>
      <c r="L108" s="172"/>
      <c r="M108" s="172"/>
      <c r="N108" s="36"/>
    </row>
    <row r="109" spans="1:14" s="37" customFormat="1" x14ac:dyDescent="0.3">
      <c r="A109" s="74">
        <f t="shared" si="0"/>
        <v>5</v>
      </c>
      <c r="B109" s="76"/>
      <c r="C109" s="42" t="s">
        <v>190</v>
      </c>
      <c r="D109" s="57">
        <f>(31.89)*(10.764)</f>
        <v>343.26396</v>
      </c>
      <c r="E109" s="42">
        <v>0</v>
      </c>
      <c r="F109" s="42">
        <f>(D109+E109)*(($F$103)+1)</f>
        <v>549.22233600000004</v>
      </c>
      <c r="G109" s="72"/>
      <c r="H109" s="73"/>
      <c r="I109" s="57">
        <f>10.764</f>
        <v>10.763999999999999</v>
      </c>
      <c r="L109" s="172"/>
      <c r="M109" s="172"/>
      <c r="N109" s="36"/>
    </row>
    <row r="110" spans="1:14" s="37" customFormat="1" x14ac:dyDescent="0.3">
      <c r="A110" s="74">
        <f t="shared" si="0"/>
        <v>6</v>
      </c>
      <c r="B110" s="76"/>
      <c r="C110" s="42" t="s">
        <v>190</v>
      </c>
      <c r="D110" s="57">
        <f>(30.88)*(10.764)</f>
        <v>332.39231999999998</v>
      </c>
      <c r="E110" s="42">
        <v>0</v>
      </c>
      <c r="F110" s="42">
        <f t="shared" ref="F110:F113" si="2">(D110+E110)*(($F$103)+1)</f>
        <v>531.82771200000002</v>
      </c>
      <c r="G110" s="72"/>
      <c r="H110" s="73"/>
      <c r="I110" s="36"/>
      <c r="L110" s="172"/>
      <c r="M110" s="172"/>
      <c r="N110" s="36"/>
    </row>
    <row r="111" spans="1:14" s="37" customFormat="1" x14ac:dyDescent="0.3">
      <c r="A111" s="74">
        <f t="shared" si="0"/>
        <v>7</v>
      </c>
      <c r="B111" s="76"/>
      <c r="C111" s="42" t="s">
        <v>190</v>
      </c>
      <c r="D111" s="57">
        <f>(31.89)*(10.764)</f>
        <v>343.26396</v>
      </c>
      <c r="E111" s="42">
        <v>0</v>
      </c>
      <c r="F111" s="42">
        <f t="shared" si="2"/>
        <v>549.22233600000004</v>
      </c>
      <c r="G111" s="72"/>
      <c r="H111" s="73"/>
      <c r="I111" s="36"/>
      <c r="L111" s="172"/>
      <c r="M111" s="172"/>
      <c r="N111" s="36"/>
    </row>
    <row r="112" spans="1:14" s="37" customFormat="1" x14ac:dyDescent="0.3">
      <c r="A112" s="74">
        <f t="shared" si="0"/>
        <v>8</v>
      </c>
      <c r="B112" s="76"/>
      <c r="C112" s="42" t="s">
        <v>190</v>
      </c>
      <c r="D112" s="57">
        <f>(32.4)*(10.764)</f>
        <v>348.75359999999995</v>
      </c>
      <c r="E112" s="42">
        <v>0</v>
      </c>
      <c r="F112" s="42">
        <f t="shared" si="2"/>
        <v>558.0057599999999</v>
      </c>
      <c r="G112" s="72"/>
      <c r="H112" s="73"/>
      <c r="I112" s="36"/>
      <c r="L112" s="172"/>
      <c r="M112" s="172"/>
      <c r="N112" s="36"/>
    </row>
    <row r="113" spans="1:14" s="37" customFormat="1" x14ac:dyDescent="0.3">
      <c r="A113" s="74">
        <f t="shared" si="0"/>
        <v>9</v>
      </c>
      <c r="B113" s="76"/>
      <c r="C113" s="42" t="s">
        <v>190</v>
      </c>
      <c r="D113" s="57">
        <f>(41.89)*(10.764)</f>
        <v>450.90395999999998</v>
      </c>
      <c r="E113" s="42">
        <v>0</v>
      </c>
      <c r="F113" s="42">
        <f t="shared" si="2"/>
        <v>721.44633599999997</v>
      </c>
      <c r="G113" s="72"/>
      <c r="H113" s="73"/>
      <c r="I113" s="36"/>
      <c r="L113" s="172"/>
      <c r="M113" s="172"/>
      <c r="N113" s="36"/>
    </row>
    <row r="114" spans="1:14" s="37" customFormat="1" x14ac:dyDescent="0.3">
      <c r="A114" s="74">
        <f t="shared" si="0"/>
        <v>10</v>
      </c>
      <c r="B114" s="76"/>
      <c r="C114" s="42" t="s">
        <v>190</v>
      </c>
      <c r="D114" s="57">
        <f>(49.37)*(10.764)</f>
        <v>531.41867999999999</v>
      </c>
      <c r="E114" s="42">
        <v>0</v>
      </c>
      <c r="F114" s="42">
        <f>(D114+E114)*(($F$103)+1)</f>
        <v>850.26988800000004</v>
      </c>
      <c r="G114" s="72"/>
      <c r="H114" s="73"/>
      <c r="I114" s="36"/>
      <c r="L114" s="172"/>
      <c r="M114" s="172"/>
      <c r="N114" s="36"/>
    </row>
    <row r="115" spans="1:14" s="37" customFormat="1" x14ac:dyDescent="0.3">
      <c r="A115" s="74">
        <f t="shared" si="0"/>
        <v>11</v>
      </c>
      <c r="B115" s="76"/>
      <c r="C115" s="42" t="s">
        <v>190</v>
      </c>
      <c r="D115" s="57">
        <f>(51.54)*(10.764)</f>
        <v>554.7765599999999</v>
      </c>
      <c r="E115" s="42">
        <v>0</v>
      </c>
      <c r="F115" s="42">
        <f t="shared" ref="F115:F117" si="3">(D115+E115)*(($F$103)+1)</f>
        <v>887.64249599999994</v>
      </c>
      <c r="G115" s="72"/>
      <c r="H115" s="73"/>
      <c r="I115" s="36"/>
      <c r="L115" s="172"/>
      <c r="M115" s="172"/>
      <c r="N115" s="36"/>
    </row>
    <row r="116" spans="1:14" s="37" customFormat="1" x14ac:dyDescent="0.3">
      <c r="A116" s="74">
        <f t="shared" si="0"/>
        <v>12</v>
      </c>
      <c r="B116" s="76"/>
      <c r="C116" s="42" t="s">
        <v>190</v>
      </c>
      <c r="D116" s="57">
        <f>(42.19)*(10.764)</f>
        <v>454.13315999999998</v>
      </c>
      <c r="E116" s="42">
        <v>0</v>
      </c>
      <c r="F116" s="42">
        <f t="shared" si="3"/>
        <v>726.61305600000003</v>
      </c>
      <c r="G116" s="72"/>
      <c r="H116" s="73"/>
      <c r="I116" s="36"/>
      <c r="L116" s="172"/>
      <c r="M116" s="172"/>
      <c r="N116" s="36"/>
    </row>
    <row r="117" spans="1:14" s="37" customFormat="1" x14ac:dyDescent="0.3">
      <c r="A117" s="74">
        <f t="shared" si="0"/>
        <v>13</v>
      </c>
      <c r="B117" s="76"/>
      <c r="C117" s="42" t="s">
        <v>190</v>
      </c>
      <c r="D117" s="57">
        <f>(72.57)*(10.764)</f>
        <v>781.14347999999984</v>
      </c>
      <c r="E117" s="42">
        <v>0</v>
      </c>
      <c r="F117" s="42">
        <f t="shared" si="3"/>
        <v>1249.8295679999999</v>
      </c>
      <c r="G117" s="77"/>
      <c r="H117" s="78"/>
      <c r="I117" s="36">
        <f>5.54*8.75</f>
        <v>48.475000000000001</v>
      </c>
      <c r="J117" s="37">
        <f>5.54*4.35</f>
        <v>24.098999999999997</v>
      </c>
      <c r="K117" s="54">
        <f>I117+J117</f>
        <v>72.573999999999998</v>
      </c>
      <c r="L117" s="172"/>
      <c r="M117" s="172"/>
      <c r="N117" s="36"/>
    </row>
    <row r="118" spans="1:14" s="37" customFormat="1" x14ac:dyDescent="0.3">
      <c r="A118" s="74"/>
      <c r="B118" s="75"/>
      <c r="C118" s="75"/>
      <c r="D118" s="75"/>
      <c r="E118" s="75"/>
      <c r="F118" s="75"/>
      <c r="G118" s="75"/>
      <c r="H118" s="76"/>
      <c r="I118" s="36"/>
      <c r="N118" s="36"/>
    </row>
    <row r="119" spans="1:14" ht="47.25" customHeight="1" x14ac:dyDescent="0.3">
      <c r="A119" s="86" t="s">
        <v>125</v>
      </c>
      <c r="B119" s="86" t="s">
        <v>126</v>
      </c>
      <c r="C119" s="82" t="s">
        <v>59</v>
      </c>
      <c r="D119" s="82" t="s">
        <v>60</v>
      </c>
      <c r="E119" s="84" t="s">
        <v>61</v>
      </c>
      <c r="F119" s="43" t="s">
        <v>155</v>
      </c>
      <c r="G119" s="86" t="s">
        <v>62</v>
      </c>
      <c r="H119" s="87"/>
      <c r="I119" s="36"/>
    </row>
    <row r="120" spans="1:14" s="37" customFormat="1" x14ac:dyDescent="0.3">
      <c r="A120" s="88"/>
      <c r="B120" s="88"/>
      <c r="C120" s="83"/>
      <c r="D120" s="83"/>
      <c r="E120" s="85"/>
      <c r="F120" s="13">
        <v>0.5</v>
      </c>
      <c r="G120" s="88"/>
      <c r="H120" s="89"/>
      <c r="I120" s="36"/>
    </row>
    <row r="121" spans="1:14" s="37" customFormat="1" x14ac:dyDescent="0.3">
      <c r="A121" s="114" t="s">
        <v>202</v>
      </c>
      <c r="B121" s="115"/>
      <c r="C121" s="115"/>
      <c r="D121" s="115"/>
      <c r="E121" s="115"/>
      <c r="F121" s="115"/>
      <c r="G121" s="115"/>
      <c r="H121" s="116"/>
      <c r="J121" s="36"/>
    </row>
    <row r="122" spans="1:14" s="37" customFormat="1" ht="15.75" customHeight="1" x14ac:dyDescent="0.3">
      <c r="A122" s="74">
        <v>1</v>
      </c>
      <c r="B122" s="76"/>
      <c r="C122" s="42" t="s">
        <v>193</v>
      </c>
      <c r="D122" s="57">
        <f>(2.9*4.75+2.3*3.85+3.25*2.7+1.2*2.1+1.9*0.6+0.95*0.6+1.2*2.1+0.9*2.9)*(10.764)</f>
        <v>438.79446000000007</v>
      </c>
      <c r="E122" s="42">
        <v>0</v>
      </c>
      <c r="F122" s="42">
        <f>D122*(($F$120)+1)+(IF(E122&lt;101,E122,IF(E122&lt;201,E122/2,IF(E122&lt;=301,E122/3,E122/4))))</f>
        <v>658.19169000000011</v>
      </c>
      <c r="G122" s="70" t="str">
        <f>A121</f>
        <v>1st Floor For Residential, Recreational Ground &amp; Double Height Parking</v>
      </c>
      <c r="H122" s="71"/>
      <c r="I122" s="55">
        <f>2.9*4.75+2.3*3.85+3.25*2.7+1.2*2.1+1.9*0.6+0.95*0.6+1.2*2.1</f>
        <v>38.155000000000008</v>
      </c>
      <c r="J122" s="37">
        <f>1*2.3</f>
        <v>2.2999999999999998</v>
      </c>
      <c r="K122" s="37">
        <f>0.9*2.9</f>
        <v>2.61</v>
      </c>
      <c r="L122" s="172"/>
      <c r="M122" s="172"/>
      <c r="N122" s="36"/>
    </row>
    <row r="123" spans="1:14" s="37" customFormat="1" ht="15.75" customHeight="1" x14ac:dyDescent="0.3">
      <c r="A123" s="74">
        <f t="shared" ref="A123:A125" si="4">A122+1</f>
        <v>2</v>
      </c>
      <c r="B123" s="76"/>
      <c r="C123" s="42" t="s">
        <v>194</v>
      </c>
      <c r="D123" s="57">
        <f>(4.95*3.75+2.4*3.25+1.2*2.1+3.6*2.75+1.2*1.15+1.75*1.2+2.1*1.2+2.7*2.4+1*2.4)*(10.764)</f>
        <v>577.62315000000001</v>
      </c>
      <c r="E123" s="42">
        <f>2.4*3.25*10.764</f>
        <v>83.959199999999996</v>
      </c>
      <c r="F123" s="42">
        <f>D123*(($F$120)+1)+(IF(E123&lt;101,E123,IF(E123&lt;201,E123/2,IF(E123&lt;=301,E123/3,E123/4))))</f>
        <v>950.39392500000008</v>
      </c>
      <c r="G123" s="72"/>
      <c r="H123" s="73"/>
      <c r="I123" s="36">
        <f>40.73</f>
        <v>40.729999999999997</v>
      </c>
      <c r="J123" s="37">
        <f>2.3</f>
        <v>2.2999999999999998</v>
      </c>
      <c r="K123" s="37">
        <f>2.61</f>
        <v>2.61</v>
      </c>
      <c r="L123" s="172">
        <f>43.03</f>
        <v>43.03</v>
      </c>
      <c r="M123" s="172"/>
      <c r="N123" s="36"/>
    </row>
    <row r="124" spans="1:14" s="37" customFormat="1" ht="15.75" customHeight="1" x14ac:dyDescent="0.3">
      <c r="A124" s="74">
        <f t="shared" si="4"/>
        <v>3</v>
      </c>
      <c r="B124" s="76"/>
      <c r="C124" s="42" t="s">
        <v>194</v>
      </c>
      <c r="D124" s="57">
        <f>(4.95*3.75+2.4*3.25+1.2*2.1+3.6*2.75+1.2*1.15+1.75*1.2+2.1*1.2+2.7*2.4+1*2.4)*(10.764)</f>
        <v>577.62315000000001</v>
      </c>
      <c r="E124" s="42">
        <f>2.4*3.25*10.764</f>
        <v>83.959199999999996</v>
      </c>
      <c r="F124" s="42">
        <f>D124*(($F$120)+1)+(IF(E124&lt;101,E124,IF(E124&lt;201,E124/2,IF(E124&lt;=301,E124/3,E124/4))))</f>
        <v>950.39392500000008</v>
      </c>
      <c r="G124" s="72"/>
      <c r="H124" s="73"/>
      <c r="I124" s="36"/>
      <c r="L124" s="172"/>
      <c r="M124" s="172"/>
      <c r="N124" s="36"/>
    </row>
    <row r="125" spans="1:14" s="37" customFormat="1" ht="15.75" customHeight="1" x14ac:dyDescent="0.3">
      <c r="A125" s="74">
        <f t="shared" si="4"/>
        <v>4</v>
      </c>
      <c r="B125" s="76"/>
      <c r="C125" s="42" t="s">
        <v>193</v>
      </c>
      <c r="D125" s="57">
        <f>(2.9*4.75+2.3*3.85+3.25*2.7+1.2*2.1+1.9*0.6+0.95*0.6+1.2*2.1+0.9*2.9)*(10.764)</f>
        <v>438.79446000000007</v>
      </c>
      <c r="E125" s="42">
        <v>0</v>
      </c>
      <c r="F125" s="42">
        <f>D125*(($F$120)+1)+(IF(E125&lt;101,E125,IF(E125&lt;201,E125/2,IF(E125&lt;=301,E125/3,E125/4))))</f>
        <v>658.19169000000011</v>
      </c>
      <c r="G125" s="77"/>
      <c r="H125" s="78"/>
      <c r="I125" s="36">
        <f>2.9*4.75+1.2*2.1+0.95*0.6+1.9*0.6+1.2*2.1+3.25*2.7+2.3*3.85</f>
        <v>38.155000000000001</v>
      </c>
      <c r="L125" s="172">
        <f>13.77+8.85+8.77+2.52+1.14+0.57+2.52</f>
        <v>38.14</v>
      </c>
      <c r="M125" s="172"/>
      <c r="N125" s="36"/>
    </row>
    <row r="126" spans="1:14" s="37" customFormat="1" x14ac:dyDescent="0.3">
      <c r="A126" s="79" t="s">
        <v>196</v>
      </c>
      <c r="B126" s="79"/>
      <c r="C126" s="79"/>
      <c r="D126" s="79"/>
      <c r="E126" s="79"/>
      <c r="F126" s="79"/>
      <c r="G126" s="79"/>
      <c r="H126" s="79"/>
      <c r="I126" s="54"/>
      <c r="J126" s="37">
        <f>13.77+8.85+8.77+2.52+2.52+1.14+0.57</f>
        <v>38.14</v>
      </c>
      <c r="L126" s="172"/>
      <c r="M126" s="172"/>
    </row>
    <row r="127" spans="1:14" s="37" customFormat="1" ht="15.75" customHeight="1" x14ac:dyDescent="0.3">
      <c r="A127" s="69">
        <v>1</v>
      </c>
      <c r="B127" s="69"/>
      <c r="C127" s="42" t="s">
        <v>193</v>
      </c>
      <c r="D127" s="57">
        <f>(2.9*4.75+2.3*3.85+3.25*2.7+1.2*2.1+1.9*0.6+0.95*0.6+1.2*2.1+1*3.25)*(10.764)</f>
        <v>445.68342000000007</v>
      </c>
      <c r="E127" s="42">
        <v>0</v>
      </c>
      <c r="F127" s="42">
        <f t="shared" ref="F127:F128" si="5">D127*(($F$120)+1)+(IF(E127&lt;101,E127,IF(E127&lt;201,E127/2,IF(E127&lt;=301,E127/3,E127/4))))</f>
        <v>668.5251300000001</v>
      </c>
      <c r="G127" s="70" t="str">
        <f>A126</f>
        <v>2nd to 6th, 8th to 11th &amp; 13th to 16th Floor (Part Refuge Area)</v>
      </c>
      <c r="H127" s="71"/>
      <c r="I127" s="36"/>
      <c r="N127" s="36"/>
    </row>
    <row r="128" spans="1:14" s="37" customFormat="1" ht="15.75" customHeight="1" x14ac:dyDescent="0.3">
      <c r="A128" s="69">
        <f>A127+1</f>
        <v>2</v>
      </c>
      <c r="B128" s="69"/>
      <c r="C128" s="42" t="s">
        <v>194</v>
      </c>
      <c r="D128" s="57">
        <f>(4.95*3.75+2.4*3.25+1.2*2.1+3.6*2.75+1.2*1.15+1.75*1.2+2.1*1.2+2.7*2.4+1*2.4)*(10.764)</f>
        <v>577.62315000000001</v>
      </c>
      <c r="E128" s="42">
        <v>0</v>
      </c>
      <c r="F128" s="42">
        <f t="shared" si="5"/>
        <v>866.43472500000007</v>
      </c>
      <c r="G128" s="72"/>
      <c r="H128" s="73"/>
      <c r="I128" s="36"/>
      <c r="J128" s="56">
        <f>4.95*3.75+2.4*3.25+1.2*2.1+3.6*2.75+1.2*1.15+1.75*1.2+2.1*1.2+2.7*2.4</f>
        <v>51.262500000000003</v>
      </c>
      <c r="K128" s="56">
        <f>18.56+7.8+2.52+9.9+1.38+2.1+2.52+6.48</f>
        <v>51.260000000000005</v>
      </c>
      <c r="N128" s="36"/>
    </row>
    <row r="129" spans="1:14" s="37" customFormat="1" ht="15.75" customHeight="1" x14ac:dyDescent="0.3">
      <c r="A129" s="69">
        <f t="shared" ref="A129:A134" si="6">A128+1</f>
        <v>3</v>
      </c>
      <c r="B129" s="69"/>
      <c r="C129" s="42" t="s">
        <v>194</v>
      </c>
      <c r="D129" s="57">
        <f>(4.95*3.75+2.4*3.25+1.2*2.1+3.6*2.75+1.2*1.15+1.75*1.2+2.1*1.2+2.7*2.4+1*2.4)*(10.764)</f>
        <v>577.62315000000001</v>
      </c>
      <c r="E129" s="42">
        <v>0</v>
      </c>
      <c r="F129" s="42">
        <f>D129*(($F$120)+1)+(IF(E129&lt;101,E129,IF(E129&lt;201,E129/2,IF(E129&lt;=301,E129/3,E129/4))))</f>
        <v>866.43472500000007</v>
      </c>
      <c r="G129" s="72"/>
      <c r="H129" s="73"/>
      <c r="I129" s="36"/>
      <c r="J129" s="56"/>
      <c r="K129" s="56"/>
      <c r="N129" s="36"/>
    </row>
    <row r="130" spans="1:14" s="37" customFormat="1" ht="15.75" customHeight="1" x14ac:dyDescent="0.3">
      <c r="A130" s="69">
        <f t="shared" si="6"/>
        <v>4</v>
      </c>
      <c r="B130" s="69"/>
      <c r="C130" s="42" t="s">
        <v>193</v>
      </c>
      <c r="D130" s="57">
        <f>(2.9*4.75+2.3*3.85+3.25*2.7+1.2*2.1+1.9*0.6+0.95*0.6+1.2*2.1+1*3.25)*(10.764)</f>
        <v>445.68342000000007</v>
      </c>
      <c r="E130" s="42">
        <v>0</v>
      </c>
      <c r="F130" s="42">
        <f>D130*(($F$120)+1)+(IF(E130&lt;101,E130,IF(E130&lt;201,E130/2,IF(E130&lt;=301,E130/3,E130/4))))</f>
        <v>668.5251300000001</v>
      </c>
      <c r="G130" s="72"/>
      <c r="H130" s="73"/>
      <c r="I130" s="36"/>
      <c r="N130" s="36"/>
    </row>
    <row r="131" spans="1:14" s="37" customFormat="1" ht="15.75" customHeight="1" x14ac:dyDescent="0.3">
      <c r="A131" s="69">
        <f t="shared" si="6"/>
        <v>5</v>
      </c>
      <c r="B131" s="69"/>
      <c r="C131" s="42" t="s">
        <v>193</v>
      </c>
      <c r="D131" s="57">
        <f>(2.9*4.75+2.3*3.85+3.25*2.7+1.2*2.1+1.9*0.6+0.95*0.6+1.2*2.1+1*3.25)*(10.764)</f>
        <v>445.68342000000007</v>
      </c>
      <c r="E131" s="42">
        <v>0</v>
      </c>
      <c r="F131" s="42">
        <f>D131*(($F$120)+1)+(IF(E131&lt;101,E131,IF(E131&lt;201,E131/2,IF(E131&lt;=301,E131/3,E131/4))))</f>
        <v>668.5251300000001</v>
      </c>
      <c r="G131" s="72"/>
      <c r="H131" s="73"/>
      <c r="I131" s="36"/>
      <c r="N131" s="36"/>
    </row>
    <row r="132" spans="1:14" s="37" customFormat="1" x14ac:dyDescent="0.3">
      <c r="A132" s="69">
        <f t="shared" si="6"/>
        <v>6</v>
      </c>
      <c r="B132" s="69"/>
      <c r="C132" s="42" t="s">
        <v>194</v>
      </c>
      <c r="D132" s="57">
        <f>(4.95*3.75+2.4*3.25+1.2*2.1+3.6*2.75+1.2*1.15+1.75*1.2+2.1*1.2+2.7*2.4+1*2.4)*(10.764)</f>
        <v>577.62315000000001</v>
      </c>
      <c r="E132" s="42">
        <v>0</v>
      </c>
      <c r="F132" s="42">
        <f t="shared" ref="F132:F133" si="7">D132*(($F$120)+1)+(IF(E132&lt;101,E132,IF(E132&lt;201,E132/2,IF(E132&lt;=301,E132/3,E132/4))))</f>
        <v>866.43472500000007</v>
      </c>
      <c r="G132" s="72"/>
      <c r="H132" s="73"/>
      <c r="I132" s="36"/>
      <c r="N132" s="36"/>
    </row>
    <row r="133" spans="1:14" s="37" customFormat="1" x14ac:dyDescent="0.3">
      <c r="A133" s="69">
        <f t="shared" si="6"/>
        <v>7</v>
      </c>
      <c r="B133" s="69"/>
      <c r="C133" s="42" t="s">
        <v>194</v>
      </c>
      <c r="D133" s="57">
        <f>(4.95*3.75+2.4*3.25+1.2*2.1+3.6*2.75+1.2*1.15+1.75*1.2+2.1*1.2+2.7*2.4+1*2.4)*(10.764)</f>
        <v>577.62315000000001</v>
      </c>
      <c r="E133" s="42">
        <v>0</v>
      </c>
      <c r="F133" s="42">
        <f t="shared" si="7"/>
        <v>866.43472500000007</v>
      </c>
      <c r="G133" s="72"/>
      <c r="H133" s="73"/>
      <c r="I133" s="36"/>
      <c r="N133" s="36"/>
    </row>
    <row r="134" spans="1:14" s="37" customFormat="1" x14ac:dyDescent="0.3">
      <c r="A134" s="69">
        <f t="shared" si="6"/>
        <v>8</v>
      </c>
      <c r="B134" s="69"/>
      <c r="C134" s="42" t="s">
        <v>193</v>
      </c>
      <c r="D134" s="57">
        <f>(2.9*4.75+2.3*3.85+3.25*2.7+1.2*2.1+1.9*0.6+0.95*0.6+1.2*2.1+1*3.25)*(10.764)</f>
        <v>445.68342000000007</v>
      </c>
      <c r="E134" s="42">
        <v>0</v>
      </c>
      <c r="F134" s="42">
        <f>D134*(($F$120)+1)+(IF(E134&lt;101,E134,IF(E134&lt;201,E134/2,IF(E134&lt;=301,E134/3,E134/4))))</f>
        <v>668.5251300000001</v>
      </c>
      <c r="G134" s="72"/>
      <c r="H134" s="73"/>
      <c r="I134" s="36">
        <f>13.77+2.52+0.57+1.14+2.52+8.77+8.85+2.45</f>
        <v>40.590000000000003</v>
      </c>
      <c r="J134" s="56"/>
      <c r="K134" s="56"/>
      <c r="N134" s="36"/>
    </row>
    <row r="135" spans="1:14" s="37" customFormat="1" x14ac:dyDescent="0.3">
      <c r="A135" s="79" t="s">
        <v>195</v>
      </c>
      <c r="B135" s="79"/>
      <c r="C135" s="79"/>
      <c r="D135" s="79"/>
      <c r="E135" s="79"/>
      <c r="F135" s="79"/>
      <c r="G135" s="79"/>
      <c r="H135" s="79"/>
      <c r="I135" s="54"/>
      <c r="L135" s="172"/>
      <c r="M135" s="172"/>
    </row>
    <row r="136" spans="1:14" s="37" customFormat="1" ht="15.75" customHeight="1" x14ac:dyDescent="0.3">
      <c r="A136" s="69">
        <v>1</v>
      </c>
      <c r="B136" s="69"/>
      <c r="C136" s="42" t="s">
        <v>193</v>
      </c>
      <c r="D136" s="57">
        <f>(2.9*4.75+2.3*3.85+3.25*2.7+1.2*2.1+1.9*0.6+0.95*0.6+1.2*2.1+1*3.25)*(10.764)</f>
        <v>445.68342000000007</v>
      </c>
      <c r="E136" s="42">
        <v>0</v>
      </c>
      <c r="F136" s="42">
        <f t="shared" ref="F136:F137" si="8">D136*(($F$120)+1)+(IF(E136&lt;101,E136,IF(E136&lt;201,E136/2,IF(E136&lt;=301,E136/3,E136/4))))</f>
        <v>668.5251300000001</v>
      </c>
      <c r="G136" s="70" t="str">
        <f>A135</f>
        <v>7th &amp; 12th Floor (Part Refuge Area)</v>
      </c>
      <c r="H136" s="71"/>
      <c r="I136" s="36">
        <f>6500*F136</f>
        <v>4345413.3450000007</v>
      </c>
      <c r="N136" s="36"/>
    </row>
    <row r="137" spans="1:14" s="37" customFormat="1" ht="15.75" customHeight="1" x14ac:dyDescent="0.3">
      <c r="A137" s="69">
        <f>A136+1</f>
        <v>2</v>
      </c>
      <c r="B137" s="69"/>
      <c r="C137" s="42" t="s">
        <v>194</v>
      </c>
      <c r="D137" s="57">
        <f>(4.95*3.75+2.4*3.25+1.2*2.1+3.6*2.75+1.2*1.15+1.75*1.2+2.1*1.2+2.7*2.4+1*2.4)*(10.764)</f>
        <v>577.62315000000001</v>
      </c>
      <c r="E137" s="42">
        <v>0</v>
      </c>
      <c r="F137" s="42">
        <f t="shared" si="8"/>
        <v>866.43472500000007</v>
      </c>
      <c r="G137" s="72"/>
      <c r="H137" s="73"/>
      <c r="I137" s="36"/>
      <c r="N137" s="36"/>
    </row>
    <row r="138" spans="1:14" s="37" customFormat="1" ht="15.75" customHeight="1" x14ac:dyDescent="0.3">
      <c r="A138" s="69">
        <f t="shared" ref="A138:A143" si="9">A137+1</f>
        <v>3</v>
      </c>
      <c r="B138" s="69"/>
      <c r="C138" s="42" t="s">
        <v>194</v>
      </c>
      <c r="D138" s="57">
        <f>(4.95*3.75+2.4*3.25+1.2*2.1+3.6*2.75+1.2*1.15+1.75*1.2+2.1*1.2+2.7*2.4+1*2.4)*(10.764)</f>
        <v>577.62315000000001</v>
      </c>
      <c r="E138" s="42">
        <v>0</v>
      </c>
      <c r="F138" s="42">
        <f>D138*(($F$120)+1)+(IF(E138&lt;101,E138,IF(E138&lt;201,E138/2,IF(E138&lt;=301,E138/3,E138/4))))</f>
        <v>866.43472500000007</v>
      </c>
      <c r="G138" s="72"/>
      <c r="H138" s="73"/>
      <c r="I138" s="36"/>
      <c r="N138" s="36"/>
    </row>
    <row r="139" spans="1:14" s="37" customFormat="1" ht="15.75" customHeight="1" x14ac:dyDescent="0.3">
      <c r="A139" s="69">
        <f t="shared" si="9"/>
        <v>4</v>
      </c>
      <c r="B139" s="69"/>
      <c r="C139" s="42" t="s">
        <v>193</v>
      </c>
      <c r="D139" s="57">
        <f>(2.9*4.75+2.3*3.85+3.25*2.7+1.2*2.1+1.9*0.6+0.95*0.6+1.2*2.1+1*3.25)*(10.764)</f>
        <v>445.68342000000007</v>
      </c>
      <c r="E139" s="42">
        <v>0</v>
      </c>
      <c r="F139" s="42">
        <f>D139*(($F$120)+1)+(IF(E139&lt;101,E139,IF(E139&lt;201,E139/2,IF(E139&lt;=301,E139/3,E139/4))))</f>
        <v>668.5251300000001</v>
      </c>
      <c r="G139" s="72"/>
      <c r="H139" s="73"/>
      <c r="I139" s="36"/>
      <c r="N139" s="36"/>
    </row>
    <row r="140" spans="1:14" s="37" customFormat="1" ht="15.75" customHeight="1" x14ac:dyDescent="0.3">
      <c r="A140" s="69">
        <f t="shared" si="9"/>
        <v>5</v>
      </c>
      <c r="B140" s="69"/>
      <c r="C140" s="42" t="s">
        <v>193</v>
      </c>
      <c r="D140" s="57">
        <f>(2.9*4.75+2.3*3.85+3.25*2.7+1.2*2.1+1.9*0.6+0.95*0.6+1.2*2.1+1*3.25)*(10.764)</f>
        <v>445.68342000000007</v>
      </c>
      <c r="E140" s="42">
        <v>0</v>
      </c>
      <c r="F140" s="42">
        <f>D140*(($F$120)+1)+(IF(E140&lt;101,E140,IF(E140&lt;201,E140/2,IF(E140&lt;=301,E140/3,E140/4))))</f>
        <v>668.5251300000001</v>
      </c>
      <c r="G140" s="72"/>
      <c r="H140" s="73"/>
      <c r="I140" s="36"/>
      <c r="N140" s="36"/>
    </row>
    <row r="141" spans="1:14" s="37" customFormat="1" x14ac:dyDescent="0.3">
      <c r="A141" s="69">
        <f t="shared" si="9"/>
        <v>6</v>
      </c>
      <c r="B141" s="69"/>
      <c r="C141" s="42" t="s">
        <v>194</v>
      </c>
      <c r="D141" s="57">
        <f>(4.95*3.75+2.4*3.25+1.2*2.1+3.6*2.75+1.2*1.15+1.75*1.2+2.1*1.2+2.7*2.4+1*2.4)*(10.764)</f>
        <v>577.62315000000001</v>
      </c>
      <c r="E141" s="42">
        <v>0</v>
      </c>
      <c r="F141" s="42">
        <f t="shared" ref="F141:F142" si="10">D141*(($F$120)+1)+(IF(E141&lt;101,E141,IF(E141&lt;201,E141/2,IF(E141&lt;=301,E141/3,E141/4))))</f>
        <v>866.43472500000007</v>
      </c>
      <c r="G141" s="72"/>
      <c r="H141" s="73"/>
      <c r="I141" s="36"/>
      <c r="N141" s="36"/>
    </row>
    <row r="142" spans="1:14" s="37" customFormat="1" x14ac:dyDescent="0.3">
      <c r="A142" s="69">
        <f t="shared" si="9"/>
        <v>7</v>
      </c>
      <c r="B142" s="69"/>
      <c r="C142" s="42" t="s">
        <v>194</v>
      </c>
      <c r="D142" s="57">
        <f>(4.95*3.75+2.4*3.25+1.2*2.1+3.6*2.75+1.2*1.15+1.75*1.2+2.1*1.2+2.7*2.4+1*2.4)*(10.764)</f>
        <v>577.62315000000001</v>
      </c>
      <c r="E142" s="42">
        <v>0</v>
      </c>
      <c r="F142" s="42">
        <f t="shared" si="10"/>
        <v>866.43472500000007</v>
      </c>
      <c r="G142" s="72"/>
      <c r="H142" s="73"/>
      <c r="I142" s="36"/>
      <c r="N142" s="36"/>
    </row>
    <row r="143" spans="1:14" s="37" customFormat="1" x14ac:dyDescent="0.3">
      <c r="A143" s="69">
        <f t="shared" si="9"/>
        <v>8</v>
      </c>
      <c r="B143" s="69"/>
      <c r="C143" s="74" t="s">
        <v>197</v>
      </c>
      <c r="D143" s="75"/>
      <c r="E143" s="75"/>
      <c r="F143" s="76"/>
      <c r="G143" s="72"/>
      <c r="H143" s="73"/>
      <c r="I143" s="36"/>
      <c r="J143" s="56"/>
      <c r="K143" s="56"/>
      <c r="N143" s="36"/>
    </row>
    <row r="144" spans="1:14" s="35" customFormat="1" x14ac:dyDescent="0.3">
      <c r="A144" s="176" t="s">
        <v>70</v>
      </c>
      <c r="B144" s="176"/>
      <c r="C144" s="176"/>
      <c r="D144" s="176"/>
      <c r="E144" s="176"/>
      <c r="F144" s="176"/>
      <c r="G144" s="176"/>
      <c r="H144" s="176"/>
    </row>
    <row r="145" spans="1:8" s="35" customFormat="1" x14ac:dyDescent="0.3">
      <c r="A145" s="47" t="s">
        <v>158</v>
      </c>
      <c r="B145" s="100" t="s">
        <v>218</v>
      </c>
      <c r="C145" s="101"/>
      <c r="D145" s="101"/>
      <c r="E145" s="101"/>
      <c r="F145" s="101"/>
      <c r="G145" s="101"/>
      <c r="H145" s="102"/>
    </row>
    <row r="146" spans="1:8" s="35" customFormat="1" x14ac:dyDescent="0.3">
      <c r="A146" s="47" t="s">
        <v>158</v>
      </c>
      <c r="B146" s="100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146" s="101"/>
      <c r="D146" s="101"/>
      <c r="E146" s="101"/>
      <c r="F146" s="101"/>
      <c r="G146" s="101"/>
      <c r="H146" s="102"/>
    </row>
    <row r="147" spans="1:8" s="35" customFormat="1" x14ac:dyDescent="0.3">
      <c r="A147" s="47" t="s">
        <v>158</v>
      </c>
      <c r="B147" s="100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7" s="101"/>
      <c r="D147" s="101"/>
      <c r="E147" s="101"/>
      <c r="F147" s="101"/>
      <c r="G147" s="101"/>
      <c r="H147" s="102"/>
    </row>
    <row r="148" spans="1:8" s="35" customFormat="1" x14ac:dyDescent="0.3">
      <c r="A148" s="47" t="s">
        <v>158</v>
      </c>
      <c r="B148" s="97" t="s">
        <v>129</v>
      </c>
      <c r="C148" s="98"/>
      <c r="D148" s="98"/>
      <c r="E148" s="98"/>
      <c r="F148" s="98"/>
      <c r="G148" s="98"/>
      <c r="H148" s="99"/>
    </row>
    <row r="149" spans="1:8" s="35" customFormat="1" x14ac:dyDescent="0.3">
      <c r="A149" s="47" t="s">
        <v>158</v>
      </c>
      <c r="B149" s="97" t="s">
        <v>198</v>
      </c>
      <c r="C149" s="98"/>
      <c r="D149" s="98"/>
      <c r="E149" s="98"/>
      <c r="F149" s="98"/>
      <c r="G149" s="98"/>
      <c r="H149" s="99"/>
    </row>
    <row r="150" spans="1:8" s="35" customFormat="1" x14ac:dyDescent="0.3">
      <c r="A150" s="47" t="s">
        <v>158</v>
      </c>
      <c r="B150" s="97" t="s">
        <v>157</v>
      </c>
      <c r="C150" s="98"/>
      <c r="D150" s="98"/>
      <c r="E150" s="98"/>
      <c r="F150" s="98"/>
      <c r="G150" s="98"/>
      <c r="H150" s="99"/>
    </row>
    <row r="151" spans="1:8" s="35" customFormat="1" x14ac:dyDescent="0.3">
      <c r="A151" s="47" t="s">
        <v>158</v>
      </c>
      <c r="B151" s="97" t="s">
        <v>130</v>
      </c>
      <c r="C151" s="98"/>
      <c r="D151" s="98"/>
      <c r="E151" s="98"/>
      <c r="F151" s="98"/>
      <c r="G151" s="98"/>
      <c r="H151" s="99"/>
    </row>
    <row r="152" spans="1:8" s="35" customFormat="1" ht="34.5" customHeight="1" x14ac:dyDescent="0.3">
      <c r="A152" s="47" t="s">
        <v>158</v>
      </c>
      <c r="B152" s="97" t="s">
        <v>159</v>
      </c>
      <c r="C152" s="98"/>
      <c r="D152" s="98"/>
      <c r="E152" s="98"/>
      <c r="F152" s="98"/>
      <c r="G152" s="98"/>
      <c r="H152" s="99"/>
    </row>
    <row r="153" spans="1:8" s="35" customFormat="1" x14ac:dyDescent="0.3">
      <c r="A153" s="47" t="s">
        <v>158</v>
      </c>
      <c r="B153" s="97" t="s">
        <v>131</v>
      </c>
      <c r="C153" s="98"/>
      <c r="D153" s="98"/>
      <c r="E153" s="98"/>
      <c r="F153" s="98"/>
      <c r="G153" s="98"/>
      <c r="H153" s="99"/>
    </row>
    <row r="154" spans="1:8" x14ac:dyDescent="0.3">
      <c r="A154" s="106" t="s">
        <v>63</v>
      </c>
      <c r="B154" s="106"/>
      <c r="C154" s="106"/>
      <c r="D154" s="106"/>
      <c r="E154" s="106"/>
      <c r="F154" s="106"/>
      <c r="G154" s="106"/>
      <c r="H154" s="106"/>
    </row>
    <row r="155" spans="1:8" x14ac:dyDescent="0.3">
      <c r="A155" s="64" t="s">
        <v>64</v>
      </c>
      <c r="B155" s="64"/>
      <c r="C155" s="64"/>
      <c r="D155" s="64"/>
      <c r="E155" s="64"/>
      <c r="F155" s="64"/>
      <c r="G155" s="64"/>
      <c r="H155" s="64"/>
    </row>
    <row r="156" spans="1:8" ht="15.75" customHeight="1" x14ac:dyDescent="0.3">
      <c r="A156" s="80" t="s">
        <v>65</v>
      </c>
      <c r="B156" s="80"/>
      <c r="C156" s="80"/>
      <c r="D156" s="80"/>
      <c r="E156" s="80"/>
      <c r="F156" s="80"/>
      <c r="G156" s="80"/>
      <c r="H156" s="80"/>
    </row>
    <row r="157" spans="1:8" x14ac:dyDescent="0.3">
      <c r="A157" s="64" t="s">
        <v>66</v>
      </c>
      <c r="B157" s="64"/>
      <c r="C157" s="64"/>
      <c r="D157" s="64"/>
      <c r="E157" s="64"/>
      <c r="F157" s="64"/>
      <c r="G157" s="64"/>
      <c r="H157" s="64"/>
    </row>
    <row r="158" spans="1:8" x14ac:dyDescent="0.3">
      <c r="A158" s="64" t="s">
        <v>67</v>
      </c>
      <c r="B158" s="64"/>
      <c r="C158" s="64"/>
      <c r="D158" s="64"/>
      <c r="E158" s="64"/>
      <c r="F158" s="64"/>
      <c r="G158" s="64"/>
      <c r="H158" s="64"/>
    </row>
    <row r="159" spans="1:8" hidden="1" x14ac:dyDescent="0.3">
      <c r="A159" s="64" t="s">
        <v>132</v>
      </c>
      <c r="B159" s="64"/>
      <c r="C159" s="64"/>
      <c r="D159" s="64"/>
      <c r="E159" s="64"/>
      <c r="F159" s="64"/>
      <c r="G159" s="64"/>
      <c r="H159" s="64"/>
    </row>
    <row r="160" spans="1:8" ht="33" hidden="1" customHeight="1" x14ac:dyDescent="0.3">
      <c r="A160" s="107" t="s">
        <v>133</v>
      </c>
      <c r="B160" s="107"/>
      <c r="C160" s="107"/>
      <c r="D160" s="107"/>
      <c r="E160" s="107"/>
      <c r="F160" s="107"/>
      <c r="G160" s="107"/>
      <c r="H160" s="107"/>
    </row>
    <row r="161" spans="1:8" x14ac:dyDescent="0.3">
      <c r="A161" s="122" t="s">
        <v>80</v>
      </c>
      <c r="B161" s="122"/>
      <c r="C161" s="122" t="s">
        <v>220</v>
      </c>
      <c r="D161" s="122"/>
      <c r="E161" s="122" t="s">
        <v>110</v>
      </c>
      <c r="F161" s="122"/>
      <c r="G161" s="122" t="s">
        <v>219</v>
      </c>
      <c r="H161" s="122"/>
    </row>
    <row r="162" spans="1:8" x14ac:dyDescent="0.3">
      <c r="A162" s="121" t="s">
        <v>82</v>
      </c>
      <c r="B162" s="121"/>
      <c r="C162" s="121"/>
      <c r="D162" s="121"/>
      <c r="E162" s="121"/>
      <c r="F162" s="121"/>
      <c r="G162" s="121"/>
      <c r="H162" s="121"/>
    </row>
    <row r="163" spans="1:8" x14ac:dyDescent="0.3">
      <c r="A163" s="121"/>
      <c r="B163" s="121"/>
      <c r="C163" s="121"/>
      <c r="D163" s="121"/>
      <c r="E163" s="121"/>
      <c r="F163" s="121"/>
      <c r="G163" s="121"/>
      <c r="H163" s="121"/>
    </row>
    <row r="164" spans="1:8" x14ac:dyDescent="0.3">
      <c r="A164" s="121"/>
      <c r="B164" s="121"/>
      <c r="C164" s="121"/>
      <c r="D164" s="121"/>
      <c r="E164" s="121"/>
      <c r="F164" s="121"/>
      <c r="G164" s="121"/>
      <c r="H164" s="121"/>
    </row>
    <row r="165" spans="1:8" x14ac:dyDescent="0.3">
      <c r="A165" s="121"/>
      <c r="B165" s="121"/>
      <c r="C165" s="121"/>
      <c r="D165" s="121"/>
      <c r="E165" s="121"/>
      <c r="F165" s="121"/>
      <c r="G165" s="121"/>
      <c r="H165" s="121"/>
    </row>
    <row r="166" spans="1:8" x14ac:dyDescent="0.3">
      <c r="A166" s="38" t="s">
        <v>68</v>
      </c>
      <c r="B166" s="39"/>
      <c r="C166" s="39"/>
      <c r="D166" s="38" t="str">
        <f>E8</f>
        <v>Panchratna Sapphire</v>
      </c>
      <c r="F166" s="39"/>
      <c r="G166" s="39"/>
      <c r="H166" s="39"/>
    </row>
    <row r="167" spans="1:8" x14ac:dyDescent="0.3">
      <c r="A167" s="39"/>
      <c r="B167" s="39"/>
      <c r="C167" s="39"/>
      <c r="D167" s="39"/>
      <c r="E167" s="39"/>
      <c r="F167" s="39"/>
      <c r="G167" s="39"/>
      <c r="H167" s="39"/>
    </row>
    <row r="168" spans="1:8" x14ac:dyDescent="0.3">
      <c r="A168" s="39"/>
      <c r="B168" s="39"/>
      <c r="C168" s="39"/>
      <c r="D168" s="39"/>
      <c r="E168" s="39"/>
      <c r="F168" s="39"/>
      <c r="G168" s="39"/>
      <c r="H168" s="39"/>
    </row>
    <row r="169" spans="1:8" ht="15" customHeight="1" x14ac:dyDescent="0.3"/>
    <row r="208" spans="1:1" x14ac:dyDescent="0.3">
      <c r="A208" s="41" t="s">
        <v>171</v>
      </c>
    </row>
    <row r="248" spans="1:1" x14ac:dyDescent="0.3">
      <c r="A248" s="41" t="s">
        <v>69</v>
      </c>
    </row>
  </sheetData>
  <mergeCells count="303">
    <mergeCell ref="L135:M135"/>
    <mergeCell ref="A118:H118"/>
    <mergeCell ref="A119:A120"/>
    <mergeCell ref="A140:B140"/>
    <mergeCell ref="A137:B137"/>
    <mergeCell ref="A138:B138"/>
    <mergeCell ref="L126:M126"/>
    <mergeCell ref="B148:H148"/>
    <mergeCell ref="B149:H149"/>
    <mergeCell ref="A144:H144"/>
    <mergeCell ref="G122:H125"/>
    <mergeCell ref="C102:C103"/>
    <mergeCell ref="B119:B120"/>
    <mergeCell ref="A125:B125"/>
    <mergeCell ref="A122:B122"/>
    <mergeCell ref="A108:B108"/>
    <mergeCell ref="A139:B139"/>
    <mergeCell ref="A107:B107"/>
    <mergeCell ref="D102:D103"/>
    <mergeCell ref="A105:B105"/>
    <mergeCell ref="A106:B106"/>
    <mergeCell ref="A90:E90"/>
    <mergeCell ref="E99:F99"/>
    <mergeCell ref="G99:H99"/>
    <mergeCell ref="L125:M125"/>
    <mergeCell ref="L122:M122"/>
    <mergeCell ref="A123:B123"/>
    <mergeCell ref="L108:M108"/>
    <mergeCell ref="L107:M107"/>
    <mergeCell ref="L106:M106"/>
    <mergeCell ref="L105:M105"/>
    <mergeCell ref="A99:B99"/>
    <mergeCell ref="C99:D99"/>
    <mergeCell ref="L115:M115"/>
    <mergeCell ref="L116:M116"/>
    <mergeCell ref="L117:M117"/>
    <mergeCell ref="L112:M112"/>
    <mergeCell ref="L113:M113"/>
    <mergeCell ref="L114:M114"/>
    <mergeCell ref="L109:M109"/>
    <mergeCell ref="L110:M110"/>
    <mergeCell ref="L111:M111"/>
    <mergeCell ref="L123:M123"/>
    <mergeCell ref="A124:B124"/>
    <mergeCell ref="L124:M124"/>
    <mergeCell ref="A76:B76"/>
    <mergeCell ref="C98:D98"/>
    <mergeCell ref="E98:F98"/>
    <mergeCell ref="G98:H98"/>
    <mergeCell ref="F86:H86"/>
    <mergeCell ref="A80:E80"/>
    <mergeCell ref="A104:H104"/>
    <mergeCell ref="E102:E103"/>
    <mergeCell ref="G102:H103"/>
    <mergeCell ref="F79:H79"/>
    <mergeCell ref="F84:H84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F90:H90"/>
    <mergeCell ref="F88:H88"/>
    <mergeCell ref="A101:H101"/>
    <mergeCell ref="G94:H94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4:D44"/>
    <mergeCell ref="A47:B47"/>
    <mergeCell ref="C47:H47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E41:H41"/>
    <mergeCell ref="A41:D41"/>
    <mergeCell ref="A48:B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E68:F68"/>
    <mergeCell ref="A61:C61"/>
    <mergeCell ref="D61:H61"/>
    <mergeCell ref="A64:C64"/>
    <mergeCell ref="D64:H64"/>
    <mergeCell ref="A62:C6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162:H165"/>
    <mergeCell ref="A161:B161"/>
    <mergeCell ref="E161:F161"/>
    <mergeCell ref="C161:D161"/>
    <mergeCell ref="G161:H161"/>
    <mergeCell ref="A93:H93"/>
    <mergeCell ref="A91:E91"/>
    <mergeCell ref="F91:H91"/>
    <mergeCell ref="A92:E92"/>
    <mergeCell ref="F92:H92"/>
    <mergeCell ref="A135:H135"/>
    <mergeCell ref="A98:B98"/>
    <mergeCell ref="A95:B95"/>
    <mergeCell ref="A157:H157"/>
    <mergeCell ref="A96:H96"/>
    <mergeCell ref="A160:H160"/>
    <mergeCell ref="A158:H158"/>
    <mergeCell ref="A154:H154"/>
    <mergeCell ref="C97:D97"/>
    <mergeCell ref="G97:H97"/>
    <mergeCell ref="B152:H152"/>
    <mergeCell ref="B150:H150"/>
    <mergeCell ref="A155:H155"/>
    <mergeCell ref="E97:F97"/>
    <mergeCell ref="A100:H100"/>
    <mergeCell ref="B145:H145"/>
    <mergeCell ref="B146:H146"/>
    <mergeCell ref="D62:H62"/>
    <mergeCell ref="A63:C63"/>
    <mergeCell ref="D63:H63"/>
    <mergeCell ref="A69:B69"/>
    <mergeCell ref="G68:H68"/>
    <mergeCell ref="A84:E84"/>
    <mergeCell ref="F81:H81"/>
    <mergeCell ref="A81:E81"/>
    <mergeCell ref="A83:E83"/>
    <mergeCell ref="B102:B103"/>
    <mergeCell ref="A102:A103"/>
    <mergeCell ref="C119:C120"/>
    <mergeCell ref="A121:H121"/>
    <mergeCell ref="F89:H89"/>
    <mergeCell ref="E94:F94"/>
    <mergeCell ref="A94:B94"/>
    <mergeCell ref="F87:H87"/>
    <mergeCell ref="C94:D94"/>
    <mergeCell ref="C67:H67"/>
    <mergeCell ref="A70:B70"/>
    <mergeCell ref="A72:B72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59:H159"/>
    <mergeCell ref="A156:H156"/>
    <mergeCell ref="A136:B136"/>
    <mergeCell ref="A97:B97"/>
    <mergeCell ref="D119:D120"/>
    <mergeCell ref="E119:E120"/>
    <mergeCell ref="G119:H120"/>
    <mergeCell ref="A74:B74"/>
    <mergeCell ref="F80:H80"/>
    <mergeCell ref="G95:H95"/>
    <mergeCell ref="A143:B143"/>
    <mergeCell ref="A128:B128"/>
    <mergeCell ref="A129:B129"/>
    <mergeCell ref="A130:B130"/>
    <mergeCell ref="A131:B131"/>
    <mergeCell ref="A132:B132"/>
    <mergeCell ref="A133:B133"/>
    <mergeCell ref="A134:B134"/>
    <mergeCell ref="A89:E89"/>
    <mergeCell ref="C95:D95"/>
    <mergeCell ref="E95:F95"/>
    <mergeCell ref="B153:H153"/>
    <mergeCell ref="B151:H151"/>
    <mergeCell ref="B147:H147"/>
    <mergeCell ref="C48:E48"/>
    <mergeCell ref="G48:H48"/>
    <mergeCell ref="G50:H50"/>
    <mergeCell ref="D54:H54"/>
    <mergeCell ref="C50:E50"/>
    <mergeCell ref="A57:C57"/>
    <mergeCell ref="D57:H57"/>
    <mergeCell ref="A141:B141"/>
    <mergeCell ref="A142:B142"/>
    <mergeCell ref="G136:H143"/>
    <mergeCell ref="C143:F143"/>
    <mergeCell ref="A115:B115"/>
    <mergeCell ref="A116:B116"/>
    <mergeCell ref="A117:B117"/>
    <mergeCell ref="G105:H117"/>
    <mergeCell ref="A112:B112"/>
    <mergeCell ref="A113:B113"/>
    <mergeCell ref="A114:B114"/>
    <mergeCell ref="A109:B109"/>
    <mergeCell ref="A110:B110"/>
    <mergeCell ref="A111:B111"/>
    <mergeCell ref="A126:H126"/>
    <mergeCell ref="A127:B127"/>
    <mergeCell ref="G127:H13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5" max="16383" man="1"/>
    <brk id="207" max="16383" man="1"/>
    <brk id="2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7" t="s">
        <v>111</v>
      </c>
      <c r="C3" s="177"/>
      <c r="D3" s="177"/>
      <c r="E3" s="177"/>
      <c r="F3" s="177"/>
      <c r="G3" s="177"/>
      <c r="H3" s="177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2025-09-13T01:26:18Z</cp:lastPrinted>
  <dcterms:created xsi:type="dcterms:W3CDTF">2019-07-16T09:29:46Z</dcterms:created>
  <dcterms:modified xsi:type="dcterms:W3CDTF">2025-09-13T01:37:40Z</dcterms:modified>
</cp:coreProperties>
</file>