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8" i="1" l="1"/>
  <c r="D120" i="1" l="1"/>
  <c r="E7" i="1"/>
  <c r="D196" i="1" l="1"/>
  <c r="F196" i="1" s="1"/>
  <c r="D199" i="1"/>
  <c r="F199" i="1" s="1"/>
  <c r="D191" i="1"/>
  <c r="F191" i="1" s="1"/>
  <c r="D193" i="1"/>
  <c r="F193" i="1" s="1"/>
  <c r="D192" i="1"/>
  <c r="D187" i="1"/>
  <c r="F187" i="1" s="1"/>
  <c r="D186" i="1"/>
  <c r="F186" i="1" s="1"/>
  <c r="D185" i="1"/>
  <c r="F185" i="1" s="1"/>
  <c r="D184" i="1"/>
  <c r="D177" i="1"/>
  <c r="F177" i="1" s="1"/>
  <c r="D178" i="1"/>
  <c r="F178" i="1" s="1"/>
  <c r="D190" i="1"/>
  <c r="F190" i="1" s="1"/>
  <c r="F192" i="1"/>
  <c r="A191" i="1"/>
  <c r="A192" i="1" s="1"/>
  <c r="G189" i="1"/>
  <c r="G183" i="1"/>
  <c r="F184" i="1"/>
  <c r="A185" i="1"/>
  <c r="A186" i="1" s="1"/>
  <c r="G195" i="1"/>
  <c r="G177" i="1"/>
  <c r="A196" i="1"/>
  <c r="D195" i="1"/>
  <c r="F195" i="1" s="1"/>
  <c r="D181" i="1"/>
  <c r="F181" i="1" s="1"/>
  <c r="D180" i="1"/>
  <c r="F180" i="1" s="1"/>
  <c r="D179" i="1"/>
  <c r="F179" i="1" s="1"/>
  <c r="A178" i="1"/>
  <c r="A179" i="1" s="1"/>
  <c r="A180" i="1" s="1"/>
  <c r="A172" i="1"/>
  <c r="A173" i="1" s="1"/>
  <c r="A174" i="1" s="1"/>
  <c r="D175" i="1"/>
  <c r="F175" i="1" s="1"/>
  <c r="D174" i="1"/>
  <c r="F174" i="1" s="1"/>
  <c r="D173" i="1"/>
  <c r="F173" i="1" s="1"/>
  <c r="D172" i="1"/>
  <c r="F172" i="1" s="1"/>
  <c r="G171" i="1"/>
  <c r="D171" i="1"/>
  <c r="F171" i="1" s="1"/>
  <c r="D169" i="1"/>
  <c r="F169" i="1" s="1"/>
  <c r="D168" i="1"/>
  <c r="F168" i="1" s="1"/>
  <c r="D167" i="1"/>
  <c r="F167" i="1" s="1"/>
  <c r="D166" i="1"/>
  <c r="F166" i="1" s="1"/>
  <c r="A166" i="1"/>
  <c r="A167" i="1" s="1"/>
  <c r="A168" i="1" s="1"/>
  <c r="G165" i="1"/>
  <c r="D165" i="1"/>
  <c r="F165" i="1" s="1"/>
  <c r="D162" i="1"/>
  <c r="F162" i="1" s="1"/>
  <c r="D159" i="1"/>
  <c r="F148" i="1"/>
  <c r="D147" i="1"/>
  <c r="F147" i="1" s="1"/>
  <c r="D146" i="1"/>
  <c r="F146" i="1" s="1"/>
  <c r="G145" i="1"/>
  <c r="D145" i="1"/>
  <c r="F145" i="1" s="1"/>
  <c r="D142" i="1"/>
  <c r="F142" i="1" s="1"/>
  <c r="D141" i="1"/>
  <c r="F141" i="1" s="1"/>
  <c r="D140" i="1"/>
  <c r="F140" i="1" s="1"/>
  <c r="D143" i="1"/>
  <c r="F143" i="1" s="1"/>
  <c r="D154" i="1"/>
  <c r="F154" i="1" s="1"/>
  <c r="A154" i="1"/>
  <c r="D153" i="1"/>
  <c r="F153" i="1" s="1"/>
  <c r="G150" i="1"/>
  <c r="D150" i="1"/>
  <c r="F150" i="1" s="1"/>
  <c r="G140" i="1"/>
  <c r="D138" i="1"/>
  <c r="F138" i="1" s="1"/>
  <c r="D137" i="1"/>
  <c r="F137" i="1" s="1"/>
  <c r="D136" i="1"/>
  <c r="F136" i="1" s="1"/>
  <c r="D135" i="1"/>
  <c r="F135" i="1" s="1"/>
  <c r="A135" i="1"/>
  <c r="A136" i="1" s="1"/>
  <c r="A137" i="1" s="1"/>
  <c r="A138" i="1" s="1"/>
  <c r="G134" i="1"/>
  <c r="D134" i="1"/>
  <c r="F134" i="1" s="1"/>
  <c r="G159" i="1"/>
  <c r="D161" i="1"/>
  <c r="F161" i="1" s="1"/>
  <c r="D160" i="1"/>
  <c r="F160" i="1" s="1"/>
  <c r="A160" i="1"/>
  <c r="A161" i="1" s="1"/>
  <c r="A162" i="1" s="1"/>
  <c r="D163" i="1"/>
  <c r="D132" i="1"/>
  <c r="F132" i="1" s="1"/>
  <c r="D131" i="1"/>
  <c r="F131" i="1" s="1"/>
  <c r="D130" i="1"/>
  <c r="F130" i="1" s="1"/>
  <c r="D129" i="1"/>
  <c r="F129" i="1" s="1"/>
  <c r="A129" i="1"/>
  <c r="A130" i="1" s="1"/>
  <c r="A131" i="1" s="1"/>
  <c r="A132" i="1" s="1"/>
  <c r="G128" i="1"/>
  <c r="D128" i="1"/>
  <c r="F128" i="1" s="1"/>
  <c r="D124" i="1"/>
  <c r="D123" i="1"/>
  <c r="D122" i="1"/>
  <c r="F159" i="1" l="1"/>
  <c r="E111" i="1"/>
  <c r="C111" i="1"/>
  <c r="D126" i="1"/>
  <c r="D125" i="1"/>
  <c r="F163" i="1"/>
  <c r="F120" i="1"/>
  <c r="G120" i="1"/>
  <c r="C110" i="1" l="1"/>
  <c r="C112" i="1" s="1"/>
  <c r="E110" i="1"/>
  <c r="G111" i="1"/>
  <c r="E42" i="1"/>
  <c r="E43" i="1" s="1"/>
  <c r="E112" i="1" l="1"/>
  <c r="C14" i="1"/>
  <c r="E29" i="1" l="1"/>
  <c r="F107" i="1" l="1"/>
  <c r="B202" i="1" l="1"/>
  <c r="F126" i="1" l="1"/>
  <c r="F125" i="1"/>
  <c r="F123" i="1"/>
  <c r="F122" i="1"/>
  <c r="F124" i="1"/>
  <c r="G110" i="1" l="1"/>
  <c r="G112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6" i="1"/>
  <c r="G122" i="1"/>
  <c r="A123" i="1"/>
  <c r="A124" i="1" s="1"/>
  <c r="A125" i="1" s="1"/>
  <c r="A126" i="1" s="1"/>
  <c r="J91" i="1"/>
  <c r="J90" i="1"/>
  <c r="J89" i="1"/>
  <c r="J88" i="1"/>
  <c r="C80" i="1"/>
  <c r="J77" i="1"/>
  <c r="J76" i="1"/>
  <c r="J75" i="1"/>
  <c r="J74" i="1"/>
  <c r="C66" i="1"/>
  <c r="D54" i="1"/>
  <c r="G49" i="1"/>
  <c r="C49" i="1"/>
  <c r="E26" i="1"/>
  <c r="E24" i="1"/>
  <c r="E3" i="1"/>
  <c r="H81" i="1"/>
  <c r="H67" i="1"/>
  <c r="D86" i="1" l="1"/>
  <c r="D72" i="1"/>
  <c r="D60" i="1"/>
  <c r="D91" i="1"/>
  <c r="D92" i="1"/>
  <c r="D93" i="1"/>
  <c r="D87" i="1"/>
  <c r="D88" i="1"/>
  <c r="D89" i="1"/>
  <c r="D90" i="1"/>
  <c r="J80" i="1"/>
  <c r="J82" i="1" s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s="1"/>
  <c r="J86" i="1"/>
  <c r="J84" i="1"/>
  <c r="J85" i="1"/>
  <c r="J83" i="1"/>
  <c r="J87" i="1" l="1"/>
  <c r="J92" i="1" s="1"/>
  <c r="J79" i="1"/>
  <c r="D71" i="1"/>
  <c r="J68" i="1"/>
  <c r="E70" i="1"/>
  <c r="D70" i="1"/>
  <c r="D84" i="1"/>
  <c r="J93" i="1" l="1"/>
  <c r="J81" i="1" s="1"/>
  <c r="G70" i="1"/>
  <c r="D64" i="1" s="1"/>
  <c r="D65" i="1" s="1"/>
  <c r="I67" i="1"/>
  <c r="J67" i="1"/>
  <c r="G84" i="1" l="1"/>
  <c r="E84" i="1"/>
  <c r="D85" i="1"/>
  <c r="I81" i="1" s="1"/>
  <c r="I82" i="1" s="1"/>
  <c r="I80" i="1" s="1"/>
  <c r="C82" i="1" s="1"/>
  <c r="F65" i="1"/>
  <c r="I68" i="1"/>
  <c r="I66" i="1" s="1"/>
  <c r="C68" i="1" s="1"/>
</calcChain>
</file>

<file path=xl/sharedStrings.xml><?xml version="1.0" encoding="utf-8"?>
<sst xmlns="http://schemas.openxmlformats.org/spreadsheetml/2006/main" count="372" uniqueCount="241">
  <si>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</si>
  <si>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</si>
  <si>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</si>
  <si>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</si>
  <si>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</si>
  <si>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</si>
  <si>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</si>
  <si>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</si>
  <si>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</si>
  <si>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</si>
  <si>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</si>
  <si>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</si>
  <si>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</si>
  <si>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</si>
  <si>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</si>
  <si>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</si>
  <si>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</si>
  <si>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</si>
  <si>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</si>
  <si>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</si>
  <si>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</si>
  <si>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</si>
  <si>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</si>
  <si>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</si>
  <si>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</si>
  <si>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</si>
  <si>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</si>
  <si>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</si>
  <si>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</si>
  <si>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</si>
  <si>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</si>
  <si>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</si>
  <si>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</si>
  <si>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</si>
  <si>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</si>
  <si>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</si>
  <si>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</si>
  <si>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</si>
  <si>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</si>
  <si>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</si>
  <si>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</si>
  <si>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</si>
  <si>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</si>
  <si>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</si>
  <si>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</si>
  <si>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</si>
  <si>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</si>
  <si>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</si>
  <si>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</si>
  <si>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</si>
  <si>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</si>
  <si>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</si>
  <si>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</si>
  <si>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</si>
  <si>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</si>
  <si>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</si>
  <si>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</si>
  <si>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</si>
  <si>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</si>
  <si>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</si>
  <si>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</si>
  <si>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</si>
  <si>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</si>
  <si>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</si>
  <si>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</si>
  <si>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</si>
  <si>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</si>
  <si>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</si>
  <si>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</si>
  <si>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</si>
  <si>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</si>
  <si>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</si>
  <si>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</si>
  <si>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</si>
  <si>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</si>
  <si>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</si>
  <si>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</si>
  <si>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</si>
  <si>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</si>
  <si>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</si>
  <si>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</si>
  <si>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</si>
  <si>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</si>
  <si>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</si>
  <si>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</si>
  <si>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</si>
  <si>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</si>
  <si>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</si>
  <si>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</si>
  <si>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</si>
  <si>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</si>
  <si>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</si>
  <si>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</si>
  <si>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</si>
  <si>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</si>
  <si>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</si>
  <si>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</si>
  <si>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</si>
  <si>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</si>
  <si>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</si>
  <si>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</si>
  <si>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</si>
  <si>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</si>
  <si>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</si>
  <si>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</si>
  <si>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</si>
  <si>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</si>
  <si>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</si>
  <si>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</si>
  <si>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</si>
  <si>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</si>
  <si>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</si>
  <si>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</si>
  <si>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</si>
  <si>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</si>
  <si>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</si>
  <si>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</si>
  <si>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</si>
  <si>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</si>
  <si>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</si>
  <si>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</si>
  <si>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</si>
  <si>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</si>
  <si>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</si>
  <si>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</si>
  <si>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</si>
  <si>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</si>
  <si>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</si>
  <si>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</si>
  <si>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</si>
  <si>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</si>
  <si>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</si>
  <si>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</si>
  <si>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</si>
  <si>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</si>
  <si>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</si>
  <si>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</si>
  <si>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</si>
  <si>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</si>
  <si>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</si>
  <si>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</si>
  <si>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</si>
  <si>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</si>
  <si>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</si>
  <si>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</si>
  <si>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</si>
  <si>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</si>
  <si>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</si>
  <si>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</si>
  <si>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</si>
  <si>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</si>
  <si>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</si>
  <si>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</si>
  <si>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</si>
  <si>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</si>
  <si>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</si>
  <si>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</si>
  <si>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</si>
  <si>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</si>
  <si>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</si>
  <si>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</si>
  <si>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</si>
  <si>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</si>
  <si>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</si>
  <si>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</si>
  <si>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</si>
  <si>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</si>
  <si>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</si>
  <si>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</si>
  <si>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</si>
  <si>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</si>
  <si>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</si>
  <si>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Goregaon</t>
  </si>
  <si>
    <t>Sethia Marine View</t>
  </si>
  <si>
    <t>P51800047794</t>
  </si>
  <si>
    <t>Sethia Developers</t>
  </si>
  <si>
    <t>As per RERA - 30/06/2026</t>
  </si>
  <si>
    <t>Wing A &amp; B</t>
  </si>
  <si>
    <t>Borivali</t>
  </si>
  <si>
    <t>Mumbai</t>
  </si>
  <si>
    <t>Borivali (West)</t>
  </si>
  <si>
    <t xml:space="preserve"> Maharashtra Housing and Area Development (MHADA)</t>
  </si>
  <si>
    <t>02 Building</t>
  </si>
  <si>
    <t>Plot No</t>
  </si>
  <si>
    <t>Mr.Vivek Shetty - 8828828553</t>
  </si>
  <si>
    <t>Approved Plans, CC, Sale Plans, Cost Sheet</t>
  </si>
  <si>
    <t>Gorai 2</t>
  </si>
  <si>
    <t>Lokmanya Tilak Road</t>
  </si>
  <si>
    <t>1.8KM from Borivali Railway Station</t>
  </si>
  <si>
    <t>https://goo.gl/maps/fXwAsegYEc5iyEYh7</t>
  </si>
  <si>
    <t>Neelam's Pride</t>
  </si>
  <si>
    <t>Gorai Shreeji</t>
  </si>
  <si>
    <t>Gorai Rd</t>
  </si>
  <si>
    <t>Ak's fashion</t>
  </si>
  <si>
    <t>Ground Floor For Parking</t>
  </si>
  <si>
    <t>A Wing = Ground Floor + 1st to 23rd Floor</t>
  </si>
  <si>
    <t xml:space="preserve">A Wing </t>
  </si>
  <si>
    <t>B Wing</t>
  </si>
  <si>
    <t>Basement Floor For Rain Water Tank, Fire Fighting Water Tank &amp; Pump Room</t>
  </si>
  <si>
    <t>1BHK</t>
  </si>
  <si>
    <t>2BHK</t>
  </si>
  <si>
    <t>1st Floor For Residential (Part Terrace)</t>
  </si>
  <si>
    <t>A Wing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</si>
  <si>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
</t>
  </si>
  <si>
    <t>63, CTS No.18(pt), S.No.164, Redevlopement of "Goeai Mulshi CHSL"</t>
  </si>
  <si>
    <t xml:space="preserve">Club House, Swimming Pool, Gym &amp; Spa, Banquet Hall, Yoga and meditation zone, Roof top Garden.
</t>
  </si>
  <si>
    <t>We considered Gross carpet area = Net carpet + Enclose balcony.</t>
  </si>
  <si>
    <t>Ground Floor For Parking, Restaurant</t>
  </si>
  <si>
    <t>2nd Floor for Residential</t>
  </si>
  <si>
    <t>1st Floor For Residential, Restaurant</t>
  </si>
  <si>
    <t>23rd Floor For Residential</t>
  </si>
  <si>
    <t xml:space="preserve">2nd Floor For Residential </t>
  </si>
  <si>
    <t xml:space="preserve">3rd to 7th Floor For Residential </t>
  </si>
  <si>
    <t>B Wing = Ground Floor + 1st to 23rd Floor</t>
  </si>
  <si>
    <t>Other plot</t>
  </si>
  <si>
    <t>MHADA-71/1035/2024</t>
  </si>
  <si>
    <t>A Wing = Ground Floor + 1st to 23rd Floor
B Wing = Ground Floor + 1st to 23rd Floor</t>
  </si>
  <si>
    <t>We have updated revised approved floor plan (on 06/04/2024)</t>
  </si>
  <si>
    <t>3rd to 7th Floor For Residential</t>
  </si>
  <si>
    <t>Fitness Center</t>
  </si>
  <si>
    <t xml:space="preserve">8th &amp; 15th Floor For Residential (Part Refuge Area) </t>
  </si>
  <si>
    <t xml:space="preserve">22nd Floor For Residential (Part Refuge Area) </t>
  </si>
  <si>
    <t>23rd Floor For Residential &amp; Fitness Centre</t>
  </si>
  <si>
    <t>Refuge Area</t>
  </si>
  <si>
    <t>4BHK</t>
  </si>
  <si>
    <t xml:space="preserve">  9th to 14th, 16th to 21st Floor Residential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</si>
  <si>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22nd Floor For Residential (Part Refuge Area)</t>
  </si>
  <si>
    <t>Flats - 216</t>
  </si>
  <si>
    <t>Development &amp; Club Membership Charges</t>
  </si>
  <si>
    <t>2.15L charges</t>
  </si>
  <si>
    <t>trupti</t>
  </si>
  <si>
    <t>Other Charges of the Property have been revised on 15/04/2024.</t>
  </si>
  <si>
    <t>We have updated revised approved CC (on 17/07/2024).</t>
  </si>
  <si>
    <t>We have updated latest CC from Mhada site (On 09/10/2024).</t>
  </si>
  <si>
    <t>Twinkle : 9082736084</t>
  </si>
  <si>
    <t>MH/EE/(BP)/GM/MHADA-71/1035/2025/FCC/7/Amend</t>
  </si>
  <si>
    <t>This F.C.C. is now further extended for Building comprising of Wing A upto 23rd upper Residential Floors + LMR/OHT with height 75.75mt. and Wing B upto 23rd upper Residential Floors + LMR/OHT with height 75.75mt. along with parking Tower with height 72.20mt. (i.e. for entire work ) As per approved Amended plans issued dated.28.03.2024.</t>
  </si>
  <si>
    <t>We have updated latest CC from Mhada site (On 18/01/2025, 27/03/2025 &amp; 20/06/2025).</t>
  </si>
  <si>
    <t>Construction work is in process at the time of Visit. (Internal photographs was not allowed.)</t>
  </si>
  <si>
    <t>Pranita Mhatre</t>
  </si>
  <si>
    <t>Sanket Salvi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</si>
</sst>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6" xfId="0" applyFont="1" applyFill="1" applyBorder="1"/>
    <xf numFmtId="0" fontId="25" fillId="0" borderId="27" xfId="0" applyFont="1" applyBorder="1"/>
    <xf numFmtId="0" fontId="25" fillId="0" borderId="1" xfId="0" applyFont="1" applyBorder="1"/>
    <xf numFmtId="0" fontId="25" fillId="0" borderId="5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6" fillId="2" borderId="0" xfId="1" applyFont="1" applyFill="1"/>
    <xf numFmtId="14" fontId="16" fillId="2" borderId="0" xfId="1" applyNumberFormat="1" applyFont="1" applyFill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13" xfId="0" applyFont="1" applyFill="1" applyBorder="1"/>
    <xf numFmtId="0" fontId="25" fillId="0" borderId="9" xfId="0" applyFont="1" applyBorder="1"/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9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19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horizontal="left" vertical="top" wrapText="1"/>
      <protection locked="0"/>
    </xf>
    <xf numFmtId="1" fontId="8" fillId="0" borderId="19" xfId="0" applyNumberFormat="1" applyFont="1" applyBorder="1" applyAlignment="1" applyProtection="1">
      <alignment horizontal="left" vertical="top" wrapText="1"/>
      <protection locked="0"/>
    </xf>
    <xf numFmtId="1" fontId="8" fillId="0" borderId="9" xfId="0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2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2" xfId="1" applyFont="1" applyBorder="1" applyAlignment="1" applyProtection="1">
      <alignment horizontal="left" vertical="top" wrapText="1"/>
      <protection locked="0"/>
    </xf>
    <xf numFmtId="0" fontId="8" fillId="0" borderId="29" xfId="1" applyFont="1" applyBorder="1" applyAlignment="1" applyProtection="1">
      <alignment horizontal="left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center" vertical="top" wrapText="1"/>
      <protection locked="0"/>
    </xf>
    <xf numFmtId="0" fontId="13" fillId="0" borderId="20" xfId="1" applyFont="1" applyBorder="1" applyAlignment="1" applyProtection="1">
      <alignment horizontal="center" vertical="top" wrapText="1"/>
      <protection locked="0"/>
    </xf>
    <xf numFmtId="0" fontId="13" fillId="0" borderId="16" xfId="1" applyFont="1" applyBorder="1" applyAlignment="1" applyProtection="1">
      <alignment horizontal="center" vertical="top" wrapText="1"/>
      <protection locked="0"/>
    </xf>
    <xf numFmtId="0" fontId="13" fillId="0" borderId="21" xfId="1" applyFont="1" applyBorder="1" applyAlignment="1" applyProtection="1">
      <alignment horizontal="center" vertical="top" wrapText="1"/>
      <protection locked="0"/>
    </xf>
    <xf numFmtId="0" fontId="13" fillId="0" borderId="0" xfId="1" applyFont="1" applyBorder="1" applyAlignment="1" applyProtection="1">
      <alignment horizontal="center" vertical="top" wrapText="1"/>
      <protection locked="0"/>
    </xf>
    <xf numFmtId="0" fontId="13" fillId="0" borderId="22" xfId="1" applyFont="1" applyBorder="1" applyAlignment="1" applyProtection="1">
      <alignment horizontal="center" vertical="top" wrapText="1"/>
      <protection locked="0"/>
    </xf>
    <xf numFmtId="0" fontId="13" fillId="0" borderId="17" xfId="1" applyFont="1" applyBorder="1" applyAlignment="1" applyProtection="1">
      <alignment horizontal="center" vertical="top" wrapText="1"/>
      <protection locked="0"/>
    </xf>
    <xf numFmtId="0" fontId="13" fillId="0" borderId="2" xfId="1" applyFont="1" applyBorder="1" applyAlignment="1" applyProtection="1">
      <alignment horizontal="center" vertical="top" wrapText="1"/>
      <protection locked="0"/>
    </xf>
    <xf numFmtId="0" fontId="13" fillId="0" borderId="18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0" fontId="6" fillId="0" borderId="19" xfId="1" applyFont="1" applyBorder="1" applyAlignment="1" applyProtection="1">
      <alignment horizontal="left" vertical="top"/>
      <protection locked="0"/>
    </xf>
    <xf numFmtId="0" fontId="6" fillId="0" borderId="9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vertical="top"/>
      <protection locked="0"/>
    </xf>
    <xf numFmtId="0" fontId="6" fillId="0" borderId="19" xfId="1" applyFont="1" applyBorder="1" applyAlignment="1" applyProtection="1">
      <alignment vertical="top"/>
      <protection locked="0"/>
    </xf>
    <xf numFmtId="0" fontId="6" fillId="0" borderId="9" xfId="1" applyFont="1" applyBorder="1" applyAlignment="1" applyProtection="1">
      <alignment vertical="top"/>
      <protection locked="0"/>
    </xf>
    <xf numFmtId="0" fontId="8" fillId="0" borderId="8" xfId="1" applyFont="1" applyBorder="1" applyAlignment="1" applyProtection="1">
      <alignment vertical="top"/>
      <protection locked="0"/>
    </xf>
    <xf numFmtId="0" fontId="8" fillId="0" borderId="19" xfId="1" applyFont="1" applyBorder="1" applyAlignment="1" applyProtection="1">
      <alignment vertical="top"/>
      <protection locked="0"/>
    </xf>
    <xf numFmtId="0" fontId="8" fillId="0" borderId="9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4" xfId="1" applyFont="1" applyBorder="1" applyAlignment="1" applyProtection="1">
      <alignment horizontal="center" vertical="top"/>
      <protection locked="0"/>
    </xf>
    <xf numFmtId="0" fontId="8" fillId="0" borderId="14" xfId="1" applyFont="1" applyBorder="1" applyAlignment="1" applyProtection="1">
      <alignment horizontal="left" vertical="top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horizontal="center" vertical="center" wrapText="1"/>
      <protection locked="0"/>
    </xf>
    <xf numFmtId="1" fontId="8" fillId="0" borderId="9" xfId="0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  <xf numFmtId="0" fontId="7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1" fontId="13" fillId="0" borderId="8" xfId="0" applyNumberFormat="1" applyFont="1" applyBorder="1" applyAlignment="1" applyProtection="1">
      <alignment vertical="top"/>
      <protection locked="0"/>
    </xf>
    <xf numFmtId="1" fontId="13" fillId="0" borderId="19" xfId="0" applyNumberFormat="1" applyFont="1" applyBorder="1" applyAlignment="1" applyProtection="1">
      <alignment vertical="top"/>
      <protection locked="0"/>
    </xf>
    <xf numFmtId="1" fontId="13" fillId="0" borderId="9" xfId="0" applyNumberFormat="1" applyFont="1" applyBorder="1" applyAlignment="1" applyProtection="1">
      <alignment vertical="top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95243</xdr:colOff>
      <xdr:row>315</xdr:row>
      <xdr:rowOff>0</xdr:rowOff>
    </xdr:from>
    <xdr:to>
      <xdr:col>6</xdr:col>
      <xdr:colOff>684107</xdr:colOff>
      <xdr:row>330</xdr:row>
      <xdr:rowOff>92597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7243" y="59040346"/>
          <a:ext cx="4750556" cy="306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95243</xdr:colOff>
      <xdr:row>331</xdr:row>
      <xdr:rowOff>41255</xdr:rowOff>
    </xdr:from>
    <xdr:to>
      <xdr:col>6</xdr:col>
      <xdr:colOff>693552</xdr:colOff>
      <xdr:row>346</xdr:row>
      <xdr:rowOff>133851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7243" y="62246832"/>
          <a:ext cx="4760001" cy="306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815285</xdr:colOff>
      <xdr:row>339</xdr:row>
      <xdr:rowOff>68858</xdr:rowOff>
    </xdr:from>
    <xdr:to>
      <xdr:col>4</xdr:col>
      <xdr:colOff>420246</xdr:colOff>
      <xdr:row>341</xdr:row>
      <xdr:rowOff>102987</xdr:rowOff>
    </xdr:to>
    <xdr:sp macro="" textlink="">
      <xdr:nvSpPr>
        <xdr:cNvPr id="6" name="Rectangle 5"/>
        <xdr:cNvSpPr/>
      </xdr:nvSpPr>
      <xdr:spPr>
        <a:xfrm rot="870679">
          <a:off x="3225843" y="63857050"/>
          <a:ext cx="550134" cy="429783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</xdr:col>
      <xdr:colOff>164221</xdr:colOff>
      <xdr:row>287</xdr:row>
      <xdr:rowOff>140175</xdr:rowOff>
    </xdr:from>
    <xdr:to>
      <xdr:col>6</xdr:col>
      <xdr:colOff>565186</xdr:colOff>
      <xdr:row>301</xdr:row>
      <xdr:rowOff>150168</xdr:rowOff>
    </xdr:to>
    <xdr:pic>
      <xdr:nvPicPr>
        <xdr:cNvPr id="19" name="Picture 18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6221" y="52186089"/>
          <a:ext cx="4559120" cy="2768958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164221</xdr:colOff>
      <xdr:row>272</xdr:row>
      <xdr:rowOff>111671</xdr:rowOff>
    </xdr:from>
    <xdr:to>
      <xdr:col>6</xdr:col>
      <xdr:colOff>539428</xdr:colOff>
      <xdr:row>286</xdr:row>
      <xdr:rowOff>108784</xdr:rowOff>
    </xdr:to>
    <xdr:pic>
      <xdr:nvPicPr>
        <xdr:cNvPr id="20" name="Picture 19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6221" y="49201550"/>
          <a:ext cx="4533362" cy="2756079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2</xdr:col>
      <xdr:colOff>190500</xdr:colOff>
      <xdr:row>293</xdr:row>
      <xdr:rowOff>13138</xdr:rowOff>
    </xdr:from>
    <xdr:to>
      <xdr:col>3</xdr:col>
      <xdr:colOff>630621</xdr:colOff>
      <xdr:row>296</xdr:row>
      <xdr:rowOff>170794</xdr:rowOff>
    </xdr:to>
    <xdr:sp macro="" textlink="">
      <xdr:nvSpPr>
        <xdr:cNvPr id="2" name="Rectangle 1"/>
        <xdr:cNvSpPr/>
      </xdr:nvSpPr>
      <xdr:spPr>
        <a:xfrm>
          <a:off x="1753914" y="53241466"/>
          <a:ext cx="1287517" cy="748862"/>
        </a:xfrm>
        <a:prstGeom prst="rect">
          <a:avLst/>
        </a:pr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624048</xdr:colOff>
      <xdr:row>293</xdr:row>
      <xdr:rowOff>13137</xdr:rowOff>
    </xdr:from>
    <xdr:to>
      <xdr:col>5</xdr:col>
      <xdr:colOff>269327</xdr:colOff>
      <xdr:row>296</xdr:row>
      <xdr:rowOff>177362</xdr:rowOff>
    </xdr:to>
    <xdr:sp macro="" textlink="">
      <xdr:nvSpPr>
        <xdr:cNvPr id="21" name="Rectangle 20"/>
        <xdr:cNvSpPr/>
      </xdr:nvSpPr>
      <xdr:spPr>
        <a:xfrm>
          <a:off x="3034858" y="53241465"/>
          <a:ext cx="1372917" cy="755431"/>
        </a:xfrm>
        <a:prstGeom prst="rect">
          <a:avLst/>
        </a:pr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479535</xdr:colOff>
      <xdr:row>296</xdr:row>
      <xdr:rowOff>177362</xdr:rowOff>
    </xdr:from>
    <xdr:to>
      <xdr:col>3</xdr:col>
      <xdr:colOff>262759</xdr:colOff>
      <xdr:row>298</xdr:row>
      <xdr:rowOff>35224</xdr:rowOff>
    </xdr:to>
    <xdr:sp macro="" textlink="">
      <xdr:nvSpPr>
        <xdr:cNvPr id="3" name="TextBox 2"/>
        <xdr:cNvSpPr txBox="1"/>
      </xdr:nvSpPr>
      <xdr:spPr>
        <a:xfrm>
          <a:off x="2042949" y="53996896"/>
          <a:ext cx="630620" cy="25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rgbClr val="FFFF00"/>
              </a:solidFill>
            </a:rPr>
            <a:t>Wing B</a:t>
          </a:r>
        </a:p>
      </xdr:txBody>
    </xdr:sp>
    <xdr:clientData/>
  </xdr:twoCellAnchor>
  <xdr:twoCellAnchor>
    <xdr:from>
      <xdr:col>3</xdr:col>
      <xdr:colOff>919652</xdr:colOff>
      <xdr:row>296</xdr:row>
      <xdr:rowOff>186158</xdr:rowOff>
    </xdr:from>
    <xdr:to>
      <xdr:col>4</xdr:col>
      <xdr:colOff>604341</xdr:colOff>
      <xdr:row>298</xdr:row>
      <xdr:rowOff>44020</xdr:rowOff>
    </xdr:to>
    <xdr:sp macro="" textlink="">
      <xdr:nvSpPr>
        <xdr:cNvPr id="22" name="TextBox 21"/>
        <xdr:cNvSpPr txBox="1"/>
      </xdr:nvSpPr>
      <xdr:spPr>
        <a:xfrm>
          <a:off x="3330462" y="54005692"/>
          <a:ext cx="630620" cy="25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rgbClr val="FFFF00"/>
              </a:solidFill>
            </a:rPr>
            <a:t>Wing A</a:t>
          </a:r>
        </a:p>
      </xdr:txBody>
    </xdr:sp>
    <xdr:clientData/>
  </xdr:twoCellAnchor>
  <xdr:twoCellAnchor>
    <xdr:from>
      <xdr:col>8</xdr:col>
      <xdr:colOff>981075</xdr:colOff>
      <xdr:row>224</xdr:row>
      <xdr:rowOff>142875</xdr:rowOff>
    </xdr:from>
    <xdr:to>
      <xdr:col>9</xdr:col>
      <xdr:colOff>415599</xdr:colOff>
      <xdr:row>226</xdr:row>
      <xdr:rowOff>10560</xdr:rowOff>
    </xdr:to>
    <xdr:sp macro="" textlink="">
      <xdr:nvSpPr>
        <xdr:cNvPr id="23" name="TextBox 22"/>
        <xdr:cNvSpPr txBox="1"/>
      </xdr:nvSpPr>
      <xdr:spPr>
        <a:xfrm>
          <a:off x="7324725" y="48682275"/>
          <a:ext cx="596574" cy="2677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A</a:t>
          </a:r>
        </a:p>
      </xdr:txBody>
    </xdr:sp>
    <xdr:clientData/>
  </xdr:twoCellAnchor>
  <xdr:twoCellAnchor>
    <xdr:from>
      <xdr:col>8</xdr:col>
      <xdr:colOff>682625</xdr:colOff>
      <xdr:row>226</xdr:row>
      <xdr:rowOff>22225</xdr:rowOff>
    </xdr:from>
    <xdr:to>
      <xdr:col>16</xdr:col>
      <xdr:colOff>101300</xdr:colOff>
      <xdr:row>266</xdr:row>
      <xdr:rowOff>85725</xdr:rowOff>
    </xdr:to>
    <xdr:grpSp>
      <xdr:nvGrpSpPr>
        <xdr:cNvPr id="7" name="Group 6"/>
        <xdr:cNvGrpSpPr/>
      </xdr:nvGrpSpPr>
      <xdr:grpSpPr>
        <a:xfrm>
          <a:off x="7036360" y="49148813"/>
          <a:ext cx="5839646" cy="8120530"/>
          <a:chOff x="215900" y="48418750"/>
          <a:chExt cx="6098875" cy="7931150"/>
        </a:xfrm>
      </xdr:grpSpPr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36490" y="54790028"/>
            <a:ext cx="2387823" cy="155987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5900" y="4841875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86319" y="52504389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72667" y="52504389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79493" y="52504389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36490" y="4841875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97518" y="54790028"/>
            <a:ext cx="2396667" cy="1559872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154641</xdr:colOff>
      <xdr:row>226</xdr:row>
      <xdr:rowOff>89646</xdr:rowOff>
    </xdr:from>
    <xdr:to>
      <xdr:col>7</xdr:col>
      <xdr:colOff>336177</xdr:colOff>
      <xdr:row>266</xdr:row>
      <xdr:rowOff>109817</xdr:rowOff>
    </xdr:to>
    <xdr:grpSp>
      <xdr:nvGrpSpPr>
        <xdr:cNvPr id="8" name="Group 7"/>
        <xdr:cNvGrpSpPr/>
      </xdr:nvGrpSpPr>
      <xdr:grpSpPr>
        <a:xfrm>
          <a:off x="154641" y="49216234"/>
          <a:ext cx="5885330" cy="8077201"/>
          <a:chOff x="76200" y="49545688"/>
          <a:chExt cx="6103844" cy="8095130"/>
        </a:xfrm>
      </xdr:grpSpPr>
      <xdr:grpSp>
        <xdr:nvGrpSpPr>
          <xdr:cNvPr id="24" name="Group 23"/>
          <xdr:cNvGrpSpPr/>
        </xdr:nvGrpSpPr>
        <xdr:grpSpPr>
          <a:xfrm>
            <a:off x="76200" y="49545688"/>
            <a:ext cx="6103844" cy="8095130"/>
            <a:chOff x="764898" y="1030637"/>
            <a:chExt cx="5690200" cy="7656163"/>
          </a:xfrm>
        </xdr:grpSpPr>
        <xdr:pic>
          <xdr:nvPicPr>
            <xdr:cNvPr id="25" name="Picture 24" descr="https://vsjcllp.vsjadon.com/upload/insp-246896-92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64898" y="1030637"/>
              <a:ext cx="2752046" cy="366939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6" name="Picture 25" descr="https://vsjcllp.vsjadon.com/upload/insp-246896-928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706725" y="7085630"/>
              <a:ext cx="1200877" cy="160116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7" name="Picture 26" descr="https://vsjcllp.vsjadon.com/upload/insp-246896-135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706725" y="4837512"/>
              <a:ext cx="16200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8" name="Picture 27" descr="https://vsjcllp.vsjadon.com/upload/insp-246896-21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391140" y="7085631"/>
              <a:ext cx="1201628" cy="160116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9" name="Picture 28" descr="https://vsjcllp.vsjadon.com/upload/insp-246896-2144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703052" y="1030637"/>
              <a:ext cx="2752046" cy="366939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7" name="Picture 36"/>
            <xdr:cNvPicPr>
              <a:picLocks noChangeAspect="1"/>
            </xdr:cNvPicPr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1933575" y="4812831"/>
              <a:ext cx="162000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38" name="TextBox 37"/>
          <xdr:cNvSpPr txBox="1"/>
        </xdr:nvSpPr>
        <xdr:spPr>
          <a:xfrm>
            <a:off x="2084294" y="49653825"/>
            <a:ext cx="759060" cy="2694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6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A</a:t>
            </a:r>
          </a:p>
        </xdr:txBody>
      </xdr:sp>
      <xdr:sp macro="" textlink="">
        <xdr:nvSpPr>
          <xdr:cNvPr id="39" name="TextBox 38"/>
          <xdr:cNvSpPr txBox="1"/>
        </xdr:nvSpPr>
        <xdr:spPr>
          <a:xfrm>
            <a:off x="299341" y="50545228"/>
            <a:ext cx="706248" cy="2968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B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fXwAsegYEc5iyEYh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12"/>
  <sheetViews>
    <sheetView tabSelected="1" view="pageBreakPreview" topLeftCell="A199" zoomScale="85" zoomScaleNormal="100" zoomScaleSheetLayoutView="85" zoomScalePageLayoutView="130" workbookViewId="0">
      <selection activeCell="K215" sqref="K215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7109375" style="39" customWidth="1"/>
    <col min="4" max="4" width="14.140625" style="39" customWidth="1"/>
    <col min="5" max="7" width="11.7109375" style="39" customWidth="1"/>
    <col min="8" max="8" width="9.7109375" style="39" customWidth="1"/>
    <col min="9" max="9" width="17.42578125" style="20" customWidth="1"/>
    <col min="10" max="10" width="11.42578125" style="20" customWidth="1"/>
    <col min="11" max="11" width="10.5703125" style="20" bestFit="1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8" ht="46.5" customHeight="1" x14ac:dyDescent="0.25">
      <c r="A1" s="165" t="s">
        <v>203</v>
      </c>
      <c r="B1" s="165"/>
      <c r="C1" s="165"/>
      <c r="D1" s="165"/>
      <c r="E1" s="165"/>
      <c r="F1" s="165"/>
      <c r="G1" s="165"/>
      <c r="H1" s="165"/>
    </row>
    <row r="2" spans="1:8" ht="16.5" customHeight="1" x14ac:dyDescent="0.25">
      <c r="A2" s="166" t="s">
        <v>0</v>
      </c>
      <c r="B2" s="166"/>
      <c r="C2" s="166"/>
      <c r="D2" s="166"/>
      <c r="E2" s="166"/>
      <c r="F2" s="166"/>
      <c r="G2" s="166"/>
      <c r="H2" s="166"/>
    </row>
    <row r="3" spans="1:8" x14ac:dyDescent="0.25">
      <c r="A3" s="131" t="s">
        <v>1</v>
      </c>
      <c r="B3" s="131"/>
      <c r="C3" s="131"/>
      <c r="D3" s="131"/>
      <c r="E3" s="131" t="str">
        <f ca="1">TEXT(TODAY(),"DD/MM/YYYY")</f>
        <v>11/09/2025</v>
      </c>
      <c r="F3" s="131"/>
      <c r="G3" s="131"/>
      <c r="H3" s="131"/>
    </row>
    <row r="4" spans="1:8" ht="15" customHeight="1" x14ac:dyDescent="0.25">
      <c r="A4" s="131" t="s">
        <v>2</v>
      </c>
      <c r="B4" s="131"/>
      <c r="C4" s="131"/>
      <c r="D4" s="131"/>
      <c r="E4" s="131" t="s">
        <v>172</v>
      </c>
      <c r="F4" s="131"/>
      <c r="G4" s="131"/>
      <c r="H4" s="131"/>
    </row>
    <row r="5" spans="1:8" x14ac:dyDescent="0.25">
      <c r="A5" s="131" t="s">
        <v>3</v>
      </c>
      <c r="B5" s="131"/>
      <c r="C5" s="131"/>
      <c r="D5" s="131"/>
      <c r="E5" s="168">
        <v>45908</v>
      </c>
      <c r="F5" s="131"/>
      <c r="G5" s="131"/>
      <c r="H5" s="131"/>
    </row>
    <row r="6" spans="1:8" ht="16.5" customHeight="1" x14ac:dyDescent="0.25">
      <c r="A6" s="131" t="s">
        <v>4</v>
      </c>
      <c r="B6" s="131"/>
      <c r="C6" s="131"/>
      <c r="D6" s="131"/>
      <c r="E6" s="131" t="s">
        <v>175</v>
      </c>
      <c r="F6" s="131"/>
      <c r="G6" s="131"/>
      <c r="H6" s="131"/>
    </row>
    <row r="7" spans="1:8" ht="15" customHeight="1" x14ac:dyDescent="0.25">
      <c r="A7" s="131" t="s">
        <v>5</v>
      </c>
      <c r="B7" s="131"/>
      <c r="C7" s="131"/>
      <c r="D7" s="131"/>
      <c r="E7" s="131" t="str">
        <f>E6</f>
        <v>Sethia Developers</v>
      </c>
      <c r="F7" s="131"/>
      <c r="G7" s="131"/>
      <c r="H7" s="131"/>
    </row>
    <row r="8" spans="1:8" x14ac:dyDescent="0.25">
      <c r="A8" s="131" t="s">
        <v>6</v>
      </c>
      <c r="B8" s="131"/>
      <c r="C8" s="131"/>
      <c r="D8" s="131"/>
      <c r="E8" s="167" t="s">
        <v>173</v>
      </c>
      <c r="F8" s="167"/>
      <c r="G8" s="167"/>
      <c r="H8" s="167"/>
    </row>
    <row r="9" spans="1:8" x14ac:dyDescent="0.25">
      <c r="A9" s="131" t="s">
        <v>169</v>
      </c>
      <c r="B9" s="131"/>
      <c r="C9" s="131"/>
      <c r="D9" s="131"/>
      <c r="E9" s="131" t="s">
        <v>184</v>
      </c>
      <c r="F9" s="131"/>
      <c r="G9" s="131"/>
      <c r="H9" s="131"/>
    </row>
    <row r="10" spans="1:8" x14ac:dyDescent="0.25">
      <c r="A10" s="131" t="s">
        <v>170</v>
      </c>
      <c r="B10" s="131"/>
      <c r="C10" s="131"/>
      <c r="D10" s="131"/>
      <c r="E10" s="131" t="s">
        <v>234</v>
      </c>
      <c r="F10" s="131"/>
      <c r="G10" s="131"/>
      <c r="H10" s="131"/>
    </row>
    <row r="11" spans="1:8" x14ac:dyDescent="0.25">
      <c r="A11" s="131" t="s">
        <v>7</v>
      </c>
      <c r="B11" s="131"/>
      <c r="C11" s="131"/>
      <c r="D11" s="131"/>
      <c r="E11" s="131" t="s">
        <v>177</v>
      </c>
      <c r="F11" s="131"/>
      <c r="G11" s="131"/>
      <c r="H11" s="131"/>
    </row>
    <row r="12" spans="1:8" x14ac:dyDescent="0.25">
      <c r="A12" s="100" t="s">
        <v>8</v>
      </c>
      <c r="B12" s="100"/>
      <c r="C12" s="100"/>
      <c r="D12" s="100"/>
      <c r="E12" s="98" t="s">
        <v>185</v>
      </c>
      <c r="F12" s="98"/>
      <c r="G12" s="98"/>
      <c r="H12" s="98"/>
    </row>
    <row r="13" spans="1:8" x14ac:dyDescent="0.25">
      <c r="A13" s="100" t="s">
        <v>9</v>
      </c>
      <c r="B13" s="100"/>
      <c r="C13" s="100"/>
      <c r="D13" s="100"/>
      <c r="E13" s="98" t="s">
        <v>174</v>
      </c>
      <c r="F13" s="131"/>
      <c r="G13" s="131"/>
      <c r="H13" s="131"/>
    </row>
    <row r="14" spans="1:8" ht="48.75" customHeight="1" x14ac:dyDescent="0.25">
      <c r="A14" s="130" t="s">
        <v>10</v>
      </c>
      <c r="B14" s="130"/>
      <c r="C14" s="130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Sethia Marine View, Plot No.63, CTS No.18(pt), S.No.164, Redevlopement of "Goeai Mulshi CHSL", near Neelam's Pride, Lokmanya Tilak Road, Gorai 2, Borivali, Borivali (West), Borivali, Mumbai - 400092.</v>
      </c>
      <c r="D14" s="130"/>
      <c r="E14" s="130"/>
      <c r="F14" s="130"/>
      <c r="G14" s="130"/>
      <c r="H14" s="130"/>
    </row>
    <row r="15" spans="1:8" x14ac:dyDescent="0.25">
      <c r="A15" s="98" t="s">
        <v>183</v>
      </c>
      <c r="B15" s="98"/>
      <c r="C15" s="98" t="s">
        <v>204</v>
      </c>
      <c r="D15" s="98"/>
      <c r="E15" s="98"/>
      <c r="F15" s="98"/>
      <c r="G15" s="98"/>
      <c r="H15" s="98"/>
    </row>
    <row r="16" spans="1:8" ht="15.75" customHeight="1" x14ac:dyDescent="0.25">
      <c r="A16" s="98" t="s">
        <v>168</v>
      </c>
      <c r="B16" s="98"/>
      <c r="C16" s="98" t="s">
        <v>186</v>
      </c>
      <c r="D16" s="98"/>
      <c r="E16" s="98"/>
      <c r="F16" s="98"/>
      <c r="G16" s="98"/>
      <c r="H16" s="98"/>
    </row>
    <row r="17" spans="1:8" ht="15.75" customHeight="1" x14ac:dyDescent="0.25">
      <c r="A17" s="130" t="s">
        <v>11</v>
      </c>
      <c r="B17" s="130"/>
      <c r="C17" s="131" t="s">
        <v>187</v>
      </c>
      <c r="D17" s="131"/>
      <c r="E17" s="130" t="s">
        <v>77</v>
      </c>
      <c r="F17" s="130"/>
      <c r="G17" s="98" t="s">
        <v>178</v>
      </c>
      <c r="H17" s="98"/>
    </row>
    <row r="18" spans="1:8" x14ac:dyDescent="0.25">
      <c r="A18" s="100" t="s">
        <v>13</v>
      </c>
      <c r="B18" s="100"/>
      <c r="C18" s="98" t="s">
        <v>180</v>
      </c>
      <c r="D18" s="98"/>
      <c r="E18" s="130" t="s">
        <v>12</v>
      </c>
      <c r="F18" s="130"/>
      <c r="G18" s="173" t="s">
        <v>179</v>
      </c>
      <c r="H18" s="173"/>
    </row>
    <row r="19" spans="1:8" x14ac:dyDescent="0.25">
      <c r="A19" s="100" t="s">
        <v>78</v>
      </c>
      <c r="B19" s="100"/>
      <c r="C19" s="98" t="s">
        <v>178</v>
      </c>
      <c r="D19" s="98"/>
      <c r="E19" s="130" t="s">
        <v>14</v>
      </c>
      <c r="F19" s="130"/>
      <c r="G19" s="98">
        <v>400092</v>
      </c>
      <c r="H19" s="98"/>
    </row>
    <row r="20" spans="1:8" ht="32.25" customHeight="1" x14ac:dyDescent="0.25">
      <c r="A20" s="100" t="s">
        <v>126</v>
      </c>
      <c r="B20" s="100"/>
      <c r="C20" s="98" t="s">
        <v>190</v>
      </c>
      <c r="D20" s="98"/>
      <c r="E20" s="130" t="s">
        <v>15</v>
      </c>
      <c r="F20" s="130"/>
      <c r="G20" s="98" t="s">
        <v>188</v>
      </c>
      <c r="H20" s="98"/>
    </row>
    <row r="21" spans="1:8" ht="15" customHeight="1" x14ac:dyDescent="0.25">
      <c r="A21" s="130" t="s">
        <v>80</v>
      </c>
      <c r="B21" s="130"/>
      <c r="C21" s="130"/>
      <c r="D21" s="130"/>
      <c r="E21" s="131" t="s">
        <v>16</v>
      </c>
      <c r="F21" s="131"/>
      <c r="G21" s="131"/>
      <c r="H21" s="131"/>
    </row>
    <row r="22" spans="1:8" ht="18.75" customHeight="1" x14ac:dyDescent="0.25">
      <c r="A22" s="130"/>
      <c r="B22" s="130"/>
      <c r="C22" s="130"/>
      <c r="D22" s="130"/>
      <c r="E22" s="131"/>
      <c r="F22" s="131"/>
      <c r="G22" s="131"/>
      <c r="H22" s="131"/>
    </row>
    <row r="23" spans="1:8" ht="15" customHeight="1" x14ac:dyDescent="0.25">
      <c r="A23" s="130" t="s">
        <v>17</v>
      </c>
      <c r="B23" s="130"/>
      <c r="C23" s="130"/>
      <c r="D23" s="130"/>
      <c r="E23" s="98" t="s">
        <v>18</v>
      </c>
      <c r="F23" s="98"/>
      <c r="G23" s="98"/>
      <c r="H23" s="98"/>
    </row>
    <row r="24" spans="1:8" ht="15" customHeight="1" x14ac:dyDescent="0.25">
      <c r="A24" s="100" t="s">
        <v>19</v>
      </c>
      <c r="B24" s="100"/>
      <c r="C24" s="100"/>
      <c r="D24" s="100"/>
      <c r="E24" s="98" t="str">
        <f>IF(AND(G18="Mumbai"),"Upper Class","Middle Class")</f>
        <v>Upper Class</v>
      </c>
      <c r="F24" s="98"/>
      <c r="G24" s="98"/>
      <c r="H24" s="98"/>
    </row>
    <row r="25" spans="1:8" x14ac:dyDescent="0.25">
      <c r="A25" s="100" t="s">
        <v>20</v>
      </c>
      <c r="B25" s="100"/>
      <c r="C25" s="100"/>
      <c r="D25" s="100"/>
      <c r="E25" s="98" t="s">
        <v>21</v>
      </c>
      <c r="F25" s="98"/>
      <c r="G25" s="98"/>
      <c r="H25" s="98"/>
    </row>
    <row r="26" spans="1:8" ht="15.75" customHeight="1" x14ac:dyDescent="0.25">
      <c r="A26" s="100" t="s">
        <v>22</v>
      </c>
      <c r="B26" s="100"/>
      <c r="C26" s="100"/>
      <c r="D26" s="100"/>
      <c r="E26" s="98" t="str">
        <f>IF(AND(G18="Mumbai"),"Developed","Developing")</f>
        <v>Developed</v>
      </c>
      <c r="F26" s="98"/>
      <c r="G26" s="98"/>
      <c r="H26" s="98"/>
    </row>
    <row r="27" spans="1:8" x14ac:dyDescent="0.25">
      <c r="A27" s="100" t="s">
        <v>23</v>
      </c>
      <c r="B27" s="100"/>
      <c r="C27" s="100"/>
      <c r="D27" s="100"/>
      <c r="E27" s="98" t="s">
        <v>24</v>
      </c>
      <c r="F27" s="98"/>
      <c r="G27" s="98"/>
      <c r="H27" s="98"/>
    </row>
    <row r="28" spans="1:8" ht="15.75" customHeight="1" x14ac:dyDescent="0.25">
      <c r="A28" s="100" t="s">
        <v>85</v>
      </c>
      <c r="B28" s="100"/>
      <c r="C28" s="100"/>
      <c r="D28" s="100"/>
      <c r="E28" s="98" t="s">
        <v>86</v>
      </c>
      <c r="F28" s="98"/>
      <c r="G28" s="98"/>
      <c r="H28" s="98"/>
    </row>
    <row r="29" spans="1:8" ht="15" customHeight="1" x14ac:dyDescent="0.25">
      <c r="A29" s="100" t="s">
        <v>35</v>
      </c>
      <c r="B29" s="100"/>
      <c r="C29" s="100"/>
      <c r="D29" s="100"/>
      <c r="E29" s="98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98"/>
      <c r="G29" s="98"/>
      <c r="H29" s="98"/>
    </row>
    <row r="30" spans="1:8" ht="15.75" customHeight="1" x14ac:dyDescent="0.25">
      <c r="A30" s="100" t="s">
        <v>97</v>
      </c>
      <c r="B30" s="100"/>
      <c r="C30" s="100"/>
      <c r="D30" s="100"/>
      <c r="E30" s="98" t="s">
        <v>36</v>
      </c>
      <c r="F30" s="98"/>
      <c r="G30" s="98"/>
      <c r="H30" s="98"/>
    </row>
    <row r="31" spans="1:8" s="21" customFormat="1" x14ac:dyDescent="0.25">
      <c r="A31" s="177" t="s">
        <v>98</v>
      </c>
      <c r="B31" s="177"/>
      <c r="C31" s="176" t="s">
        <v>29</v>
      </c>
      <c r="D31" s="176"/>
      <c r="E31" s="176"/>
      <c r="F31" s="176" t="s">
        <v>31</v>
      </c>
      <c r="G31" s="176"/>
      <c r="H31" s="176"/>
    </row>
    <row r="32" spans="1:8" s="21" customFormat="1" x14ac:dyDescent="0.25">
      <c r="A32" s="174" t="s">
        <v>25</v>
      </c>
      <c r="B32" s="174" t="s">
        <v>30</v>
      </c>
      <c r="C32" s="175" t="s">
        <v>214</v>
      </c>
      <c r="D32" s="175"/>
      <c r="E32" s="175"/>
      <c r="F32" s="175" t="s">
        <v>190</v>
      </c>
      <c r="G32" s="175"/>
      <c r="H32" s="175"/>
    </row>
    <row r="33" spans="1:9" x14ac:dyDescent="0.25">
      <c r="A33" s="174" t="s">
        <v>26</v>
      </c>
      <c r="B33" s="174" t="s">
        <v>30</v>
      </c>
      <c r="C33" s="175" t="s">
        <v>214</v>
      </c>
      <c r="D33" s="175"/>
      <c r="E33" s="175"/>
      <c r="F33" s="175" t="s">
        <v>191</v>
      </c>
      <c r="G33" s="175"/>
      <c r="H33" s="175"/>
    </row>
    <row r="34" spans="1:9" s="21" customFormat="1" x14ac:dyDescent="0.25">
      <c r="A34" s="174" t="s">
        <v>28</v>
      </c>
      <c r="B34" s="174" t="s">
        <v>30</v>
      </c>
      <c r="C34" s="175" t="s">
        <v>214</v>
      </c>
      <c r="D34" s="175"/>
      <c r="E34" s="175"/>
      <c r="F34" s="175" t="s">
        <v>192</v>
      </c>
      <c r="G34" s="175"/>
      <c r="H34" s="175"/>
    </row>
    <row r="35" spans="1:9" x14ac:dyDescent="0.25">
      <c r="A35" s="174" t="s">
        <v>27</v>
      </c>
      <c r="B35" s="174" t="s">
        <v>30</v>
      </c>
      <c r="C35" s="175" t="s">
        <v>214</v>
      </c>
      <c r="D35" s="175"/>
      <c r="E35" s="175"/>
      <c r="F35" s="175" t="s">
        <v>193</v>
      </c>
      <c r="G35" s="175"/>
      <c r="H35" s="175"/>
    </row>
    <row r="36" spans="1:9" x14ac:dyDescent="0.25">
      <c r="A36" s="100" t="s">
        <v>32</v>
      </c>
      <c r="B36" s="100"/>
      <c r="C36" s="100"/>
      <c r="D36" s="100"/>
      <c r="E36" s="100"/>
      <c r="F36" s="100"/>
      <c r="G36" s="100"/>
      <c r="H36" s="100"/>
    </row>
    <row r="37" spans="1:9" ht="15.75" customHeight="1" x14ac:dyDescent="0.25">
      <c r="A37" s="166" t="s">
        <v>33</v>
      </c>
      <c r="B37" s="166"/>
      <c r="C37" s="182">
        <v>19.232744</v>
      </c>
      <c r="D37" s="182"/>
      <c r="E37" s="166" t="s">
        <v>34</v>
      </c>
      <c r="F37" s="166"/>
      <c r="G37" s="183">
        <v>72.825305999999998</v>
      </c>
      <c r="H37" s="183"/>
    </row>
    <row r="38" spans="1:9" x14ac:dyDescent="0.25">
      <c r="A38" s="166" t="s">
        <v>167</v>
      </c>
      <c r="B38" s="166"/>
      <c r="C38" s="184" t="s">
        <v>189</v>
      </c>
      <c r="D38" s="98"/>
      <c r="E38" s="98"/>
      <c r="F38" s="98"/>
      <c r="G38" s="98"/>
      <c r="H38" s="98"/>
    </row>
    <row r="39" spans="1:9" x14ac:dyDescent="0.25">
      <c r="A39" s="163" t="s">
        <v>37</v>
      </c>
      <c r="B39" s="163"/>
      <c r="C39" s="163"/>
      <c r="D39" s="163"/>
      <c r="E39" s="163"/>
      <c r="F39" s="163"/>
      <c r="G39" s="163"/>
      <c r="H39" s="163"/>
    </row>
    <row r="40" spans="1:9" x14ac:dyDescent="0.25">
      <c r="A40" s="100" t="s">
        <v>38</v>
      </c>
      <c r="B40" s="100"/>
      <c r="C40" s="100"/>
      <c r="D40" s="100"/>
      <c r="E40" s="185">
        <v>1756.25</v>
      </c>
      <c r="F40" s="185"/>
      <c r="G40" s="185"/>
      <c r="H40" s="185"/>
    </row>
    <row r="41" spans="1:9" x14ac:dyDescent="0.25">
      <c r="A41" s="100" t="s">
        <v>39</v>
      </c>
      <c r="B41" s="100"/>
      <c r="C41" s="100"/>
      <c r="D41" s="100"/>
      <c r="E41" s="99">
        <v>3</v>
      </c>
      <c r="F41" s="99"/>
      <c r="G41" s="99"/>
      <c r="H41" s="99"/>
    </row>
    <row r="42" spans="1:9" x14ac:dyDescent="0.25">
      <c r="A42" s="100" t="s">
        <v>40</v>
      </c>
      <c r="B42" s="100"/>
      <c r="C42" s="100"/>
      <c r="D42" s="100"/>
      <c r="E42" s="99">
        <f>E44/E40-E41</f>
        <v>1.721138790035587</v>
      </c>
      <c r="F42" s="99"/>
      <c r="G42" s="99"/>
      <c r="H42" s="99"/>
    </row>
    <row r="43" spans="1:9" x14ac:dyDescent="0.25">
      <c r="A43" s="100" t="s">
        <v>41</v>
      </c>
      <c r="B43" s="100"/>
      <c r="C43" s="100"/>
      <c r="D43" s="100"/>
      <c r="E43" s="99">
        <f>E41+E42</f>
        <v>4.721138790035587</v>
      </c>
      <c r="F43" s="99"/>
      <c r="G43" s="99"/>
      <c r="H43" s="99"/>
    </row>
    <row r="44" spans="1:9" x14ac:dyDescent="0.25">
      <c r="A44" s="100" t="s">
        <v>96</v>
      </c>
      <c r="B44" s="100"/>
      <c r="C44" s="100"/>
      <c r="D44" s="100"/>
      <c r="E44" s="180">
        <v>8291.5</v>
      </c>
      <c r="F44" s="180"/>
      <c r="G44" s="180"/>
      <c r="H44" s="180"/>
    </row>
    <row r="45" spans="1:9" x14ac:dyDescent="0.25">
      <c r="A45" s="131" t="s">
        <v>42</v>
      </c>
      <c r="B45" s="131"/>
      <c r="C45" s="131"/>
      <c r="D45" s="131"/>
      <c r="E45" s="131" t="s">
        <v>182</v>
      </c>
      <c r="F45" s="131"/>
      <c r="G45" s="131"/>
      <c r="H45" s="131"/>
    </row>
    <row r="46" spans="1:9" x14ac:dyDescent="0.25">
      <c r="A46" s="163" t="s">
        <v>43</v>
      </c>
      <c r="B46" s="163"/>
      <c r="C46" s="163"/>
      <c r="D46" s="163"/>
      <c r="E46" s="163"/>
      <c r="F46" s="163"/>
      <c r="G46" s="163"/>
      <c r="H46" s="163"/>
    </row>
    <row r="47" spans="1:9" ht="33.75" customHeight="1" x14ac:dyDescent="0.25">
      <c r="A47" s="116" t="s">
        <v>155</v>
      </c>
      <c r="B47" s="118"/>
      <c r="C47" s="186" t="s">
        <v>181</v>
      </c>
      <c r="D47" s="187"/>
      <c r="E47" s="187"/>
      <c r="F47" s="187"/>
      <c r="G47" s="187"/>
      <c r="H47" s="188"/>
      <c r="I47"/>
    </row>
    <row r="48" spans="1:9" ht="15.75" customHeight="1" x14ac:dyDescent="0.25">
      <c r="A48" s="116" t="s">
        <v>44</v>
      </c>
      <c r="B48" s="118"/>
      <c r="C48" s="116" t="s">
        <v>215</v>
      </c>
      <c r="D48" s="117"/>
      <c r="E48" s="118"/>
      <c r="F48" s="17" t="s">
        <v>45</v>
      </c>
      <c r="G48" s="132">
        <v>45379</v>
      </c>
      <c r="H48" s="133"/>
    </row>
    <row r="49" spans="1:14" x14ac:dyDescent="0.25">
      <c r="A49" s="116" t="s">
        <v>46</v>
      </c>
      <c r="B49" s="118"/>
      <c r="C49" s="116" t="str">
        <f>C48</f>
        <v>MHADA-71/1035/2024</v>
      </c>
      <c r="D49" s="117"/>
      <c r="E49" s="118"/>
      <c r="F49" s="17" t="s">
        <v>45</v>
      </c>
      <c r="G49" s="132">
        <f>G48</f>
        <v>45379</v>
      </c>
      <c r="H49" s="133"/>
    </row>
    <row r="50" spans="1:14" s="22" customFormat="1" ht="33" customHeight="1" x14ac:dyDescent="0.25">
      <c r="A50" s="112" t="s">
        <v>159</v>
      </c>
      <c r="B50" s="113"/>
      <c r="C50" s="116" t="s">
        <v>235</v>
      </c>
      <c r="D50" s="117"/>
      <c r="E50" s="118"/>
      <c r="F50" s="17" t="s">
        <v>45</v>
      </c>
      <c r="G50" s="132">
        <v>45827</v>
      </c>
      <c r="H50" s="118"/>
    </row>
    <row r="51" spans="1:14" s="22" customFormat="1" ht="145.5" customHeight="1" x14ac:dyDescent="0.25">
      <c r="A51" s="114"/>
      <c r="B51" s="115"/>
      <c r="C51" s="116" t="s">
        <v>236</v>
      </c>
      <c r="D51" s="117"/>
      <c r="E51" s="118"/>
      <c r="F51" s="17" t="s">
        <v>125</v>
      </c>
      <c r="G51" s="132">
        <v>46085</v>
      </c>
      <c r="H51" s="118"/>
    </row>
    <row r="52" spans="1:14" x14ac:dyDescent="0.25">
      <c r="A52" s="126" t="s">
        <v>47</v>
      </c>
      <c r="B52" s="127"/>
      <c r="C52" s="126" t="s">
        <v>109</v>
      </c>
      <c r="D52" s="128"/>
      <c r="E52" s="127"/>
      <c r="F52" s="44" t="s">
        <v>45</v>
      </c>
      <c r="G52" s="169" t="s">
        <v>30</v>
      </c>
      <c r="H52" s="170"/>
    </row>
    <row r="53" spans="1:14" x14ac:dyDescent="0.25">
      <c r="A53" s="129" t="s">
        <v>49</v>
      </c>
      <c r="B53" s="129"/>
      <c r="C53" s="129"/>
      <c r="D53" s="129"/>
      <c r="E53" s="129"/>
      <c r="F53" s="129"/>
      <c r="G53" s="129"/>
      <c r="H53" s="129"/>
    </row>
    <row r="54" spans="1:14" x14ac:dyDescent="0.25">
      <c r="A54" s="130" t="s">
        <v>95</v>
      </c>
      <c r="B54" s="130"/>
      <c r="C54" s="130"/>
      <c r="D54" s="100">
        <f>E44</f>
        <v>8291.5</v>
      </c>
      <c r="E54" s="100"/>
      <c r="F54" s="100"/>
      <c r="G54" s="100"/>
      <c r="H54" s="100"/>
    </row>
    <row r="55" spans="1:14" x14ac:dyDescent="0.25">
      <c r="A55" s="98" t="s">
        <v>50</v>
      </c>
      <c r="B55" s="131"/>
      <c r="C55" s="131"/>
      <c r="D55" s="131" t="s">
        <v>227</v>
      </c>
      <c r="E55" s="131"/>
      <c r="F55" s="131"/>
      <c r="G55" s="131"/>
      <c r="H55" s="131"/>
      <c r="I55" s="23"/>
    </row>
    <row r="56" spans="1:14" ht="30" customHeight="1" x14ac:dyDescent="0.25">
      <c r="A56" s="154" t="s">
        <v>51</v>
      </c>
      <c r="B56" s="155"/>
      <c r="C56" s="181"/>
      <c r="D56" s="171" t="s">
        <v>216</v>
      </c>
      <c r="E56" s="172"/>
      <c r="F56" s="172"/>
      <c r="G56" s="172"/>
      <c r="H56" s="172"/>
    </row>
    <row r="57" spans="1:14" ht="15.75" customHeight="1" x14ac:dyDescent="0.25">
      <c r="A57" s="154" t="s">
        <v>93</v>
      </c>
      <c r="B57" s="155"/>
      <c r="C57" s="155"/>
      <c r="D57" s="120" t="s">
        <v>195</v>
      </c>
      <c r="E57" s="121"/>
      <c r="F57" s="121"/>
      <c r="G57" s="121"/>
      <c r="H57" s="122"/>
    </row>
    <row r="58" spans="1:14" ht="16.5" customHeight="1" x14ac:dyDescent="0.25">
      <c r="A58" s="156"/>
      <c r="B58" s="157"/>
      <c r="C58" s="157"/>
      <c r="D58" s="123" t="s">
        <v>213</v>
      </c>
      <c r="E58" s="124"/>
      <c r="F58" s="124"/>
      <c r="G58" s="124"/>
      <c r="H58" s="125"/>
    </row>
    <row r="59" spans="1:14" ht="15.75" customHeight="1" x14ac:dyDescent="0.25">
      <c r="A59" s="100" t="s">
        <v>48</v>
      </c>
      <c r="B59" s="100"/>
      <c r="C59" s="100"/>
      <c r="D59" s="178" t="s">
        <v>176</v>
      </c>
      <c r="E59" s="178"/>
      <c r="F59" s="178"/>
      <c r="G59" s="178"/>
      <c r="H59" s="178"/>
      <c r="J59" s="24"/>
      <c r="K59" s="23"/>
      <c r="N59" s="23"/>
    </row>
    <row r="60" spans="1:14" ht="15.75" customHeight="1" x14ac:dyDescent="0.25">
      <c r="A60" s="100" t="s">
        <v>91</v>
      </c>
      <c r="B60" s="100"/>
      <c r="C60" s="100"/>
      <c r="D60" s="179" t="str">
        <f>(IF(G52="NA","60 Years After Completion",IF(G52&lt;&gt;"NA",""&amp;60-ROUNDDOWN((E3-G52)/360,0)&amp;" Years"," ")))</f>
        <v>60 Years After Completion</v>
      </c>
      <c r="E60" s="179"/>
      <c r="F60" s="179"/>
      <c r="G60" s="179"/>
      <c r="H60" s="179"/>
      <c r="N60" s="23"/>
    </row>
    <row r="61" spans="1:14" ht="15.75" customHeight="1" x14ac:dyDescent="0.25">
      <c r="A61" s="100" t="s">
        <v>92</v>
      </c>
      <c r="B61" s="100"/>
      <c r="C61" s="100"/>
      <c r="D61" s="130" t="s">
        <v>24</v>
      </c>
      <c r="E61" s="130"/>
      <c r="F61" s="130"/>
      <c r="G61" s="130"/>
      <c r="H61" s="130"/>
      <c r="J61" s="25"/>
      <c r="K61" s="25"/>
    </row>
    <row r="62" spans="1:14" ht="30" customHeight="1" x14ac:dyDescent="0.25">
      <c r="A62" s="100" t="s">
        <v>79</v>
      </c>
      <c r="B62" s="100"/>
      <c r="C62" s="100"/>
      <c r="D62" s="98" t="s">
        <v>205</v>
      </c>
      <c r="E62" s="130"/>
      <c r="F62" s="130"/>
      <c r="G62" s="130"/>
      <c r="H62" s="130"/>
    </row>
    <row r="63" spans="1:14" x14ac:dyDescent="0.25">
      <c r="A63" s="130" t="s">
        <v>152</v>
      </c>
      <c r="B63" s="130"/>
      <c r="C63" s="130"/>
      <c r="D63" s="130" t="s">
        <v>30</v>
      </c>
      <c r="E63" s="130"/>
      <c r="F63" s="130"/>
      <c r="G63" s="130"/>
      <c r="H63" s="130"/>
      <c r="I63" s="26"/>
      <c r="J63" s="26"/>
      <c r="K63" s="26"/>
      <c r="L63" s="26"/>
      <c r="M63" s="26"/>
      <c r="N63" s="26"/>
    </row>
    <row r="64" spans="1:14" ht="15.75" customHeight="1" x14ac:dyDescent="0.25">
      <c r="A64" s="191" t="s">
        <v>90</v>
      </c>
      <c r="B64" s="191"/>
      <c r="C64" s="191"/>
      <c r="D64" s="171" t="str">
        <f ca="1">(IF(G70&gt;95%,"Nothing",IF(G70&gt;0%,"Cement, Aggregate, Steel, etc",IF(G70=0%,"Work not yet Started"))))</f>
        <v>Cement, Aggregate, Steel, etc</v>
      </c>
      <c r="E64" s="171"/>
      <c r="F64" s="171"/>
      <c r="G64" s="171"/>
      <c r="H64" s="171"/>
      <c r="J64" s="25"/>
    </row>
    <row r="65" spans="1:10" ht="33.75" customHeight="1" thickBot="1" x14ac:dyDescent="0.3">
      <c r="A65" s="130" t="s">
        <v>122</v>
      </c>
      <c r="B65" s="130"/>
      <c r="C65" s="130"/>
      <c r="D65" s="98" t="str">
        <f ca="1">(IF(D64="Nothing","Yes",IF(D64="Cement, Aggregate, Steel, etc","Under Construction",IF(D64="Work not yet Started","Work not yet Started"))))</f>
        <v>Under Construction</v>
      </c>
      <c r="E65" s="98"/>
      <c r="F65" s="98" t="str">
        <f ca="1">(IF(D64="Nothing","Yes",IF(D64="Cement, Aggregate, Steel, etc","Under Construction",IF(D64="Work not yet Started","Work not yet Started"))))</f>
        <v>Under Construction</v>
      </c>
      <c r="G65" s="98"/>
      <c r="H65" s="98"/>
    </row>
    <row r="66" spans="1:10" ht="15.75" customHeight="1" x14ac:dyDescent="0.25">
      <c r="A66" s="189" t="s">
        <v>144</v>
      </c>
      <c r="B66" s="189"/>
      <c r="C66" s="189" t="str">
        <f>D57</f>
        <v>A Wing = Ground Floor + 1st to 23rd Floor</v>
      </c>
      <c r="D66" s="189"/>
      <c r="E66" s="189"/>
      <c r="F66" s="189"/>
      <c r="G66" s="189"/>
      <c r="H66" s="189"/>
      <c r="I66" s="70" t="str">
        <f ca="1">IF(D79=100%,"All work Completed. Possession granted to the Building.",IF(D78=100%,"All work Completed, Waiting for OC",I67&amp;""&amp;I68&amp;""&amp;J67&amp;""&amp;J66&amp;" "&amp;J68))</f>
        <v>Excavation, Plinth, RCC Slab Completed, Brickwork upto 22 Floor, Internal Plaster upto 18 Floor, External Plaster upto 9 Floor, Flooring upto 6 Floor Completed</v>
      </c>
      <c r="J66" s="48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Brickwork upto 22 Floor, Internal Plaster upto 18 Floor, External Plaster upto 9 Floor, Flooring upto 6 Floor</v>
      </c>
    </row>
    <row r="67" spans="1:10" x14ac:dyDescent="0.25">
      <c r="A67" s="68" t="s">
        <v>146</v>
      </c>
      <c r="B67" s="68">
        <v>0</v>
      </c>
      <c r="C67" s="68" t="s">
        <v>76</v>
      </c>
      <c r="D67" s="68">
        <v>1</v>
      </c>
      <c r="E67" s="68" t="s">
        <v>75</v>
      </c>
      <c r="F67" s="68">
        <v>0</v>
      </c>
      <c r="G67" s="69" t="s">
        <v>84</v>
      </c>
      <c r="H67" s="68">
        <f ca="1">--TRIM(RIGHT(SUBSTITUTE(LEFT(C66,_xlfn.AGGREGATE(16,6,FIND({0,1,2,3,4,5,6,7,8,9},C66,ROW(INDIRECT("1:"&amp;LEN(C66)))),1))," ",REPT(" ",LEN(C66))),LEN(C66)))</f>
        <v>23</v>
      </c>
      <c r="I67" s="71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</v>
      </c>
      <c r="J67" s="50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3" customHeight="1" x14ac:dyDescent="0.25">
      <c r="A68" s="167" t="s">
        <v>94</v>
      </c>
      <c r="B68" s="167"/>
      <c r="C68" s="190" t="str">
        <f ca="1">I66</f>
        <v>Excavation, Plinth, RCC Slab Completed, Brickwork upto 22 Floor, Internal Plaster upto 18 Floor, External Plaster upto 9 Floor, Flooring upto 6 Floor Completed</v>
      </c>
      <c r="D68" s="190"/>
      <c r="E68" s="190"/>
      <c r="F68" s="190"/>
      <c r="G68" s="190"/>
      <c r="H68" s="190"/>
      <c r="I68" s="71" t="str">
        <f ca="1">IF(I67&lt;&gt;""," Completed","")</f>
        <v xml:space="preserve"> Completed</v>
      </c>
      <c r="J68" s="50" t="str">
        <f ca="1">IF(J66&lt;&gt;"","Completed","")</f>
        <v>Completed</v>
      </c>
    </row>
    <row r="69" spans="1:10" ht="15.75" customHeight="1" x14ac:dyDescent="0.25">
      <c r="A69" s="213" t="s">
        <v>52</v>
      </c>
      <c r="B69" s="213"/>
      <c r="C69" s="67" t="s">
        <v>143</v>
      </c>
      <c r="D69" s="67" t="s">
        <v>87</v>
      </c>
      <c r="E69" s="105" t="s">
        <v>89</v>
      </c>
      <c r="F69" s="105"/>
      <c r="G69" s="105" t="s">
        <v>88</v>
      </c>
      <c r="H69" s="105"/>
      <c r="I69" s="13" t="s">
        <v>145</v>
      </c>
      <c r="J69" s="27">
        <f ca="1">H67*25%</f>
        <v>5.75</v>
      </c>
    </row>
    <row r="70" spans="1:10" x14ac:dyDescent="0.25">
      <c r="A70" s="213" t="s">
        <v>132</v>
      </c>
      <c r="B70" s="213"/>
      <c r="C70" s="67">
        <f ca="1">J71</f>
        <v>23</v>
      </c>
      <c r="D70" s="18">
        <f ca="1">((100/H67)*C70)/100</f>
        <v>1</v>
      </c>
      <c r="E70" s="192">
        <f ca="1">(((C71/H67*10)+(40/(D67+F67+H67)*C72)+(7.5/(H67)*C73)+(7.5/(H67)*C74)+(10/H67*C75)+(10/H67*C76)+(5/H67*C77)+(5/H67*C78)+(5/H67*C79))/100)</f>
        <v>0.69565217391304346</v>
      </c>
      <c r="F70" s="192"/>
      <c r="G70" s="192">
        <f ca="1">((((C70/H67)*20)+((C71/H67)*25)+(30/(H67+F67+D67)*C72)+(5/H67*C73)+(5/H67*C74)+(5/H67*C75)+(5/H67*C76)+(0/H67*C77)+(0/H67*C78)+(5/H67*C79))/100)</f>
        <v>0.86956521739130432</v>
      </c>
      <c r="H70" s="192"/>
      <c r="I70" s="13" t="s">
        <v>104</v>
      </c>
      <c r="J70" s="28">
        <f ca="1">H67*50%</f>
        <v>11.5</v>
      </c>
    </row>
    <row r="71" spans="1:10" x14ac:dyDescent="0.25">
      <c r="A71" s="213" t="s">
        <v>53</v>
      </c>
      <c r="B71" s="213"/>
      <c r="C71" s="55">
        <v>23</v>
      </c>
      <c r="D71" s="18">
        <f ca="1">((100/H67)*C71)/100</f>
        <v>1</v>
      </c>
      <c r="E71" s="192"/>
      <c r="F71" s="192"/>
      <c r="G71" s="192"/>
      <c r="H71" s="192"/>
      <c r="I71" s="13" t="s">
        <v>105</v>
      </c>
      <c r="J71" s="28">
        <f ca="1">H67</f>
        <v>23</v>
      </c>
    </row>
    <row r="72" spans="1:10" ht="15.75" customHeight="1" x14ac:dyDescent="0.25">
      <c r="A72" s="213" t="s">
        <v>133</v>
      </c>
      <c r="B72" s="213"/>
      <c r="C72" s="67">
        <v>24</v>
      </c>
      <c r="D72" s="18">
        <f ca="1">((100/(D67+F67+H67))*C72)/100</f>
        <v>1</v>
      </c>
      <c r="E72" s="192"/>
      <c r="F72" s="192"/>
      <c r="G72" s="192"/>
      <c r="H72" s="192"/>
      <c r="I72" s="13" t="s">
        <v>106</v>
      </c>
      <c r="J72" s="29">
        <f ca="1">(IF(B67&gt;1,(H67/(B67+2)),H67/4))</f>
        <v>5.75</v>
      </c>
    </row>
    <row r="73" spans="1:10" ht="15.75" customHeight="1" x14ac:dyDescent="0.25">
      <c r="A73" s="213" t="s">
        <v>140</v>
      </c>
      <c r="B73" s="213" t="s">
        <v>134</v>
      </c>
      <c r="C73" s="67">
        <v>22</v>
      </c>
      <c r="D73" s="18">
        <f ca="1">((100/H67)*C73)/100</f>
        <v>0.9565217391304347</v>
      </c>
      <c r="E73" s="192"/>
      <c r="F73" s="192"/>
      <c r="G73" s="192"/>
      <c r="H73" s="192"/>
      <c r="I73" s="13" t="s">
        <v>107</v>
      </c>
      <c r="J73" s="29">
        <f ca="1">(IF(B67&gt;1,(H67/(B67+2)+J72),H67/4+J72))</f>
        <v>11.5</v>
      </c>
    </row>
    <row r="74" spans="1:10" ht="15.75" customHeight="1" x14ac:dyDescent="0.25">
      <c r="A74" s="213" t="s">
        <v>141</v>
      </c>
      <c r="B74" s="213" t="s">
        <v>134</v>
      </c>
      <c r="C74" s="67">
        <v>18</v>
      </c>
      <c r="D74" s="18">
        <f ca="1">((100/H67)*C74)/100</f>
        <v>0.78260869565217395</v>
      </c>
      <c r="E74" s="192"/>
      <c r="F74" s="192"/>
      <c r="G74" s="192"/>
      <c r="H74" s="192"/>
      <c r="I74" s="13" t="s">
        <v>150</v>
      </c>
      <c r="J74" s="29">
        <f>(IF(B67&gt;1,(H67/(B67+2)+J73),0))</f>
        <v>0</v>
      </c>
    </row>
    <row r="75" spans="1:10" ht="15" customHeight="1" x14ac:dyDescent="0.25">
      <c r="A75" s="213" t="s">
        <v>139</v>
      </c>
      <c r="B75" s="213" t="s">
        <v>136</v>
      </c>
      <c r="C75" s="67">
        <v>9</v>
      </c>
      <c r="D75" s="18">
        <f ca="1">((100/(H67))*C75)/100</f>
        <v>0.39130434782608697</v>
      </c>
      <c r="E75" s="192"/>
      <c r="F75" s="192"/>
      <c r="G75" s="192"/>
      <c r="H75" s="192"/>
      <c r="I75" s="13" t="s">
        <v>147</v>
      </c>
      <c r="J75" s="29">
        <f>(IF(B67&gt;2,(H67/(B67+2)+J74),0))</f>
        <v>0</v>
      </c>
    </row>
    <row r="76" spans="1:10" ht="15.75" customHeight="1" x14ac:dyDescent="0.25">
      <c r="A76" s="213" t="s">
        <v>135</v>
      </c>
      <c r="B76" s="213" t="s">
        <v>135</v>
      </c>
      <c r="C76" s="67">
        <v>6</v>
      </c>
      <c r="D76" s="18">
        <f ca="1">((100/H67)*C76)/100</f>
        <v>0.2608695652173913</v>
      </c>
      <c r="E76" s="192"/>
      <c r="F76" s="192"/>
      <c r="G76" s="192"/>
      <c r="H76" s="192"/>
      <c r="I76" s="13" t="s">
        <v>148</v>
      </c>
      <c r="J76" s="30">
        <f>(IF(B67&gt;3,(H67/(B67+2)+J75),0))</f>
        <v>0</v>
      </c>
    </row>
    <row r="77" spans="1:10" ht="15.75" customHeight="1" x14ac:dyDescent="0.25">
      <c r="A77" s="213" t="s">
        <v>142</v>
      </c>
      <c r="B77" s="213"/>
      <c r="C77" s="67">
        <v>0</v>
      </c>
      <c r="D77" s="18">
        <f ca="1">((100/H67)*C77)/100</f>
        <v>0</v>
      </c>
      <c r="E77" s="192"/>
      <c r="F77" s="192"/>
      <c r="G77" s="192"/>
      <c r="H77" s="192"/>
      <c r="I77" s="13" t="s">
        <v>149</v>
      </c>
      <c r="J77" s="29">
        <f>(IF(B67&gt;4,(H67/(B67+2)+J76),0))</f>
        <v>0</v>
      </c>
    </row>
    <row r="78" spans="1:10" ht="15.75" customHeight="1" x14ac:dyDescent="0.25">
      <c r="A78" s="105" t="s">
        <v>137</v>
      </c>
      <c r="B78" s="105" t="s">
        <v>137</v>
      </c>
      <c r="C78" s="67">
        <v>0</v>
      </c>
      <c r="D78" s="18">
        <f ca="1">((100/(H67))*C78)/100</f>
        <v>0</v>
      </c>
      <c r="E78" s="192"/>
      <c r="F78" s="192"/>
      <c r="G78" s="192"/>
      <c r="H78" s="192"/>
      <c r="I78" s="13" t="s">
        <v>151</v>
      </c>
      <c r="J78" s="29">
        <f ca="1">(IF(B67=1,(H67/(B67+3)+J73),IF(B67=0,(H67/4+J73),IF(B67&gt;1,0))))</f>
        <v>17.25</v>
      </c>
    </row>
    <row r="79" spans="1:10" ht="16.5" thickBot="1" x14ac:dyDescent="0.3">
      <c r="A79" s="105" t="s">
        <v>138</v>
      </c>
      <c r="B79" s="105"/>
      <c r="C79" s="67">
        <v>0</v>
      </c>
      <c r="D79" s="18">
        <f ca="1">((100/(H67))*C79)/100</f>
        <v>0</v>
      </c>
      <c r="E79" s="192"/>
      <c r="F79" s="192"/>
      <c r="G79" s="192"/>
      <c r="H79" s="192"/>
      <c r="I79" s="14" t="s">
        <v>108</v>
      </c>
      <c r="J79" s="31">
        <f ca="1">(IF(B67&gt;1.5,(H67/(B67+2)+J73+MAX(0,J74-J73)+MAX(0,J75-J74)+MAX(0,J76-J75)+MAX(0,J77-J76)+MAX(0,J78-J77)),IF(B67=1,(H67/(B67+3)+J78),IF(B67=0,H67/4+J78))))</f>
        <v>23</v>
      </c>
    </row>
    <row r="80" spans="1:10" ht="15.75" customHeight="1" x14ac:dyDescent="0.25">
      <c r="A80" s="106" t="s">
        <v>144</v>
      </c>
      <c r="B80" s="107"/>
      <c r="C80" s="108" t="str">
        <f>D58</f>
        <v>B Wing = Ground Floor + 1st to 23rd Floor</v>
      </c>
      <c r="D80" s="109"/>
      <c r="E80" s="109"/>
      <c r="F80" s="109"/>
      <c r="G80" s="109"/>
      <c r="H80" s="110"/>
      <c r="I80" s="47" t="str">
        <f ca="1">IF(D93=100%,"All work Completed. Possession granted to the Building.",IF(D92=100%,"All work Completed, Waiting for OC",I81&amp;""&amp;I82&amp;""&amp;J81&amp;""&amp;J80&amp;" "&amp;J82))</f>
        <v>Excavation, Plinth, RCC Slab Completed, Brickwork upto 22 Floor, Internal Plaster upto 18 Floor, External Plaster upto 9 Floor, Flooring upto 6 Floor Completed</v>
      </c>
      <c r="J80" s="48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Brickwork upto 22 Floor, Internal Plaster upto 18 Floor, External Plaster upto 9 Floor, Flooring upto 6 Floor</v>
      </c>
    </row>
    <row r="81" spans="1:10" x14ac:dyDescent="0.25">
      <c r="A81" s="15" t="s">
        <v>146</v>
      </c>
      <c r="B81" s="52">
        <v>0</v>
      </c>
      <c r="C81" s="52" t="s">
        <v>76</v>
      </c>
      <c r="D81" s="52">
        <v>1</v>
      </c>
      <c r="E81" s="52" t="s">
        <v>75</v>
      </c>
      <c r="F81" s="52">
        <v>0</v>
      </c>
      <c r="G81" s="46" t="s">
        <v>84</v>
      </c>
      <c r="H81" s="16">
        <f ca="1">--TRIM(RIGHT(SUBSTITUTE(LEFT(C80,_xlfn.AGGREGATE(16,6,FIND({0,1,2,3,4,5,6,7,8,9},C80,ROW(INDIRECT("1:"&amp;LEN(C80)))),1))," ",REPT(" ",LEN(C80))),LEN(C80)))</f>
        <v>23</v>
      </c>
      <c r="I81" s="49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</v>
      </c>
      <c r="J81" s="50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t="32.1" customHeight="1" x14ac:dyDescent="0.25">
      <c r="A82" s="208" t="s">
        <v>94</v>
      </c>
      <c r="B82" s="167"/>
      <c r="C82" s="190" t="str">
        <f ca="1">(IF($G$52="NA",I80,"All work Completed. OC Received."))</f>
        <v>Excavation, Plinth, RCC Slab Completed, Brickwork upto 22 Floor, Internal Plaster upto 18 Floor, External Plaster upto 9 Floor, Flooring upto 6 Floor Completed</v>
      </c>
      <c r="D82" s="190"/>
      <c r="E82" s="190"/>
      <c r="F82" s="190"/>
      <c r="G82" s="190"/>
      <c r="H82" s="209"/>
      <c r="I82" s="49" t="str">
        <f ca="1">IF(I81&lt;&gt;""," Completed","")</f>
        <v xml:space="preserve"> Completed</v>
      </c>
      <c r="J82" s="50" t="str">
        <f ca="1">IF(J80&lt;&gt;"","Completed","")</f>
        <v>Completed</v>
      </c>
    </row>
    <row r="83" spans="1:10" ht="15.75" customHeight="1" x14ac:dyDescent="0.25">
      <c r="A83" s="104" t="s">
        <v>52</v>
      </c>
      <c r="B83" s="105"/>
      <c r="C83" s="42" t="s">
        <v>143</v>
      </c>
      <c r="D83" s="42" t="s">
        <v>87</v>
      </c>
      <c r="E83" s="105" t="s">
        <v>89</v>
      </c>
      <c r="F83" s="105"/>
      <c r="G83" s="105" t="s">
        <v>88</v>
      </c>
      <c r="H83" s="210"/>
      <c r="I83" s="13" t="s">
        <v>145</v>
      </c>
      <c r="J83" s="27">
        <f ca="1">H81*25%</f>
        <v>5.75</v>
      </c>
    </row>
    <row r="84" spans="1:10" x14ac:dyDescent="0.25">
      <c r="A84" s="104" t="s">
        <v>132</v>
      </c>
      <c r="B84" s="105"/>
      <c r="C84" s="42">
        <v>23</v>
      </c>
      <c r="D84" s="18">
        <f ca="1">((100/H81)*C84)/100</f>
        <v>1</v>
      </c>
      <c r="E84" s="193">
        <f ca="1">(((C85/H81*10)+(40/(D81+F81+H81)*C86)+(7.5/(H81)*C87)+(7.5/(H81)*C88)+(10/H81*C89)+(10/H81*C90)+(5/H81*C91)+(5/H81*C92)+(5/H81*C93))/100)</f>
        <v>0.69565217391304346</v>
      </c>
      <c r="F84" s="194"/>
      <c r="G84" s="193">
        <f ca="1">((((C84/H81)*20)+((C85/H81)*25)+(30/(H81+F81+D81)*C86)+(5/H81*C87)+(5/H81*C88)+(5/H81*C89)+(5/H81*C90)+(0/H81*C91)+(0/H81*C92)+(5/H81*C93))/100)</f>
        <v>0.86956521739130432</v>
      </c>
      <c r="H84" s="203"/>
      <c r="I84" s="13" t="s">
        <v>104</v>
      </c>
      <c r="J84" s="28">
        <f ca="1">H81*50%</f>
        <v>11.5</v>
      </c>
    </row>
    <row r="85" spans="1:10" x14ac:dyDescent="0.25">
      <c r="A85" s="212" t="s">
        <v>53</v>
      </c>
      <c r="B85" s="213"/>
      <c r="C85" s="55">
        <v>23</v>
      </c>
      <c r="D85" s="18">
        <f ca="1">((100/H81)*C85)/100</f>
        <v>1</v>
      </c>
      <c r="E85" s="195"/>
      <c r="F85" s="196"/>
      <c r="G85" s="195"/>
      <c r="H85" s="204"/>
      <c r="I85" s="13" t="s">
        <v>105</v>
      </c>
      <c r="J85" s="28">
        <f ca="1">H81</f>
        <v>23</v>
      </c>
    </row>
    <row r="86" spans="1:10" ht="15.75" customHeight="1" x14ac:dyDescent="0.25">
      <c r="A86" s="212" t="s">
        <v>133</v>
      </c>
      <c r="B86" s="213"/>
      <c r="C86" s="42">
        <v>24</v>
      </c>
      <c r="D86" s="18">
        <f ca="1">((100/(D81+F81+H81))*C86)/100</f>
        <v>1</v>
      </c>
      <c r="E86" s="195"/>
      <c r="F86" s="196"/>
      <c r="G86" s="195"/>
      <c r="H86" s="204"/>
      <c r="I86" s="13" t="s">
        <v>106</v>
      </c>
      <c r="J86" s="29">
        <f ca="1">(IF(B81&gt;1,(H81/(B81+2)),H81/4))</f>
        <v>5.75</v>
      </c>
    </row>
    <row r="87" spans="1:10" ht="15.75" customHeight="1" x14ac:dyDescent="0.25">
      <c r="A87" s="212" t="s">
        <v>140</v>
      </c>
      <c r="B87" s="213" t="s">
        <v>134</v>
      </c>
      <c r="C87" s="42">
        <v>22</v>
      </c>
      <c r="D87" s="18">
        <f ca="1">((100/H81)*C87)/100</f>
        <v>0.9565217391304347</v>
      </c>
      <c r="E87" s="195"/>
      <c r="F87" s="196"/>
      <c r="G87" s="195"/>
      <c r="H87" s="204"/>
      <c r="I87" s="13" t="s">
        <v>107</v>
      </c>
      <c r="J87" s="29">
        <f ca="1">(IF(B81&gt;1,(H81/(B81+2)+J86),H81/4+J86))</f>
        <v>11.5</v>
      </c>
    </row>
    <row r="88" spans="1:10" ht="15.75" customHeight="1" x14ac:dyDescent="0.25">
      <c r="A88" s="212" t="s">
        <v>141</v>
      </c>
      <c r="B88" s="213" t="s">
        <v>134</v>
      </c>
      <c r="C88" s="42">
        <v>18</v>
      </c>
      <c r="D88" s="18">
        <f ca="1">((100/H81)*C88)/100</f>
        <v>0.78260869565217395</v>
      </c>
      <c r="E88" s="195"/>
      <c r="F88" s="196"/>
      <c r="G88" s="195"/>
      <c r="H88" s="204"/>
      <c r="I88" s="13" t="s">
        <v>150</v>
      </c>
      <c r="J88" s="29">
        <f>(IF(B81&gt;1,(H81/(B81+2)+J87),0))</f>
        <v>0</v>
      </c>
    </row>
    <row r="89" spans="1:10" ht="15" customHeight="1" x14ac:dyDescent="0.25">
      <c r="A89" s="212" t="s">
        <v>139</v>
      </c>
      <c r="B89" s="213" t="s">
        <v>136</v>
      </c>
      <c r="C89" s="42">
        <v>9</v>
      </c>
      <c r="D89" s="18">
        <f ca="1">((100/(H81))*C89)/100</f>
        <v>0.39130434782608697</v>
      </c>
      <c r="E89" s="195"/>
      <c r="F89" s="196"/>
      <c r="G89" s="195"/>
      <c r="H89" s="204"/>
      <c r="I89" s="13" t="s">
        <v>147</v>
      </c>
      <c r="J89" s="29">
        <f>(IF(B81&gt;2,(H81/(B81+2)+J88),0))</f>
        <v>0</v>
      </c>
    </row>
    <row r="90" spans="1:10" ht="15.75" customHeight="1" x14ac:dyDescent="0.25">
      <c r="A90" s="212" t="s">
        <v>135</v>
      </c>
      <c r="B90" s="213" t="s">
        <v>135</v>
      </c>
      <c r="C90" s="42">
        <v>6</v>
      </c>
      <c r="D90" s="18">
        <f ca="1">((100/H81)*C90)/100</f>
        <v>0.2608695652173913</v>
      </c>
      <c r="E90" s="195"/>
      <c r="F90" s="196"/>
      <c r="G90" s="195"/>
      <c r="H90" s="204"/>
      <c r="I90" s="13" t="s">
        <v>148</v>
      </c>
      <c r="J90" s="30">
        <f>(IF(B81&gt;3,(H81/(B81+2)+J89),0))</f>
        <v>0</v>
      </c>
    </row>
    <row r="91" spans="1:10" ht="15.75" customHeight="1" x14ac:dyDescent="0.25">
      <c r="A91" s="212" t="s">
        <v>142</v>
      </c>
      <c r="B91" s="213"/>
      <c r="C91" s="42">
        <v>0</v>
      </c>
      <c r="D91" s="18">
        <f ca="1">((100/H81)*C91)/100</f>
        <v>0</v>
      </c>
      <c r="E91" s="195"/>
      <c r="F91" s="196"/>
      <c r="G91" s="195"/>
      <c r="H91" s="204"/>
      <c r="I91" s="13" t="s">
        <v>149</v>
      </c>
      <c r="J91" s="29">
        <f>(IF(B81&gt;4,(H81/(B81+2)+J90),0))</f>
        <v>0</v>
      </c>
    </row>
    <row r="92" spans="1:10" ht="15.75" customHeight="1" x14ac:dyDescent="0.25">
      <c r="A92" s="104" t="s">
        <v>137</v>
      </c>
      <c r="B92" s="105" t="s">
        <v>137</v>
      </c>
      <c r="C92" s="42">
        <v>0</v>
      </c>
      <c r="D92" s="18">
        <f ca="1">((100/(H81))*C92)/100</f>
        <v>0</v>
      </c>
      <c r="E92" s="195"/>
      <c r="F92" s="196"/>
      <c r="G92" s="195"/>
      <c r="H92" s="204"/>
      <c r="I92" s="13" t="s">
        <v>151</v>
      </c>
      <c r="J92" s="29">
        <f ca="1">(IF(B81=1,(H81/(B81+3)+J87),IF(B81=0,(H81/4+J87),IF(B81&gt;1,0))))</f>
        <v>17.25</v>
      </c>
    </row>
    <row r="93" spans="1:10" ht="16.5" thickBot="1" x14ac:dyDescent="0.3">
      <c r="A93" s="199" t="s">
        <v>138</v>
      </c>
      <c r="B93" s="200"/>
      <c r="C93" s="43">
        <v>0</v>
      </c>
      <c r="D93" s="19">
        <f ca="1">((100/(H81))*C93)/100</f>
        <v>0</v>
      </c>
      <c r="E93" s="197"/>
      <c r="F93" s="198"/>
      <c r="G93" s="197"/>
      <c r="H93" s="205"/>
      <c r="I93" s="14" t="s">
        <v>108</v>
      </c>
      <c r="J93" s="31">
        <f ca="1">(IF(B81&gt;1.5,(H81/(B81+2)+J87+MAX(0,J88-J87)+MAX(0,J89-J88)+MAX(0,J90-J89)+MAX(0,J91-J90)+MAX(0,J92-J91)),IF(B81=1,(H81/(B81+3)+J92),IF(B81=0,H81/4+J92))))</f>
        <v>23</v>
      </c>
    </row>
    <row r="94" spans="1:10" x14ac:dyDescent="0.25">
      <c r="A94" s="202" t="s">
        <v>160</v>
      </c>
      <c r="B94" s="202"/>
      <c r="C94" s="202"/>
      <c r="D94" s="202"/>
      <c r="E94" s="202"/>
      <c r="F94" s="201" t="s">
        <v>165</v>
      </c>
      <c r="G94" s="201"/>
      <c r="H94" s="201"/>
    </row>
    <row r="95" spans="1:10" x14ac:dyDescent="0.25">
      <c r="A95" s="100" t="s">
        <v>163</v>
      </c>
      <c r="B95" s="100"/>
      <c r="C95" s="100"/>
      <c r="D95" s="100"/>
      <c r="E95" s="100"/>
      <c r="F95" s="111">
        <v>16000</v>
      </c>
      <c r="G95" s="111"/>
      <c r="H95" s="111"/>
    </row>
    <row r="96" spans="1:10" hidden="1" x14ac:dyDescent="0.25">
      <c r="A96" s="100" t="s">
        <v>162</v>
      </c>
      <c r="B96" s="100"/>
      <c r="C96" s="100"/>
      <c r="D96" s="100"/>
      <c r="E96" s="100"/>
      <c r="F96" s="111"/>
      <c r="G96" s="111"/>
      <c r="H96" s="111"/>
    </row>
    <row r="97" spans="1:12" hidden="1" x14ac:dyDescent="0.25">
      <c r="A97" s="100" t="s">
        <v>164</v>
      </c>
      <c r="B97" s="100"/>
      <c r="C97" s="100"/>
      <c r="D97" s="100"/>
      <c r="E97" s="100"/>
      <c r="F97" s="111"/>
      <c r="G97" s="111"/>
      <c r="H97" s="111"/>
    </row>
    <row r="98" spans="1:12" s="32" customFormat="1" hidden="1" x14ac:dyDescent="0.25">
      <c r="A98" s="100" t="s">
        <v>161</v>
      </c>
      <c r="B98" s="100"/>
      <c r="C98" s="100"/>
      <c r="D98" s="100"/>
      <c r="E98" s="100"/>
      <c r="F98" s="111"/>
      <c r="G98" s="111"/>
      <c r="H98" s="111"/>
    </row>
    <row r="99" spans="1:12" s="32" customFormat="1" x14ac:dyDescent="0.25">
      <c r="A99" s="100" t="s">
        <v>228</v>
      </c>
      <c r="B99" s="100"/>
      <c r="C99" s="100"/>
      <c r="D99" s="100"/>
      <c r="E99" s="100"/>
      <c r="F99" s="111">
        <v>215000</v>
      </c>
      <c r="G99" s="111"/>
      <c r="H99" s="111"/>
      <c r="J99" s="62" t="s">
        <v>229</v>
      </c>
      <c r="K99" s="63">
        <v>45397</v>
      </c>
      <c r="L99" s="62" t="s">
        <v>230</v>
      </c>
    </row>
    <row r="100" spans="1:12" s="32" customFormat="1" hidden="1" x14ac:dyDescent="0.25">
      <c r="A100" s="100" t="s">
        <v>99</v>
      </c>
      <c r="B100" s="100"/>
      <c r="C100" s="100"/>
      <c r="D100" s="100"/>
      <c r="E100" s="100"/>
      <c r="F100" s="111"/>
      <c r="G100" s="111"/>
      <c r="H100" s="111"/>
    </row>
    <row r="101" spans="1:12" s="32" customFormat="1" hidden="1" x14ac:dyDescent="0.25">
      <c r="A101" s="100" t="s">
        <v>166</v>
      </c>
      <c r="B101" s="100"/>
      <c r="C101" s="100"/>
      <c r="D101" s="100"/>
      <c r="E101" s="100"/>
      <c r="F101" s="111"/>
      <c r="G101" s="111"/>
      <c r="H101" s="111"/>
    </row>
    <row r="102" spans="1:12" s="32" customFormat="1" hidden="1" x14ac:dyDescent="0.25">
      <c r="A102" s="100" t="s">
        <v>100</v>
      </c>
      <c r="B102" s="100"/>
      <c r="C102" s="100"/>
      <c r="D102" s="100"/>
      <c r="E102" s="100"/>
      <c r="F102" s="111"/>
      <c r="G102" s="111"/>
      <c r="H102" s="111"/>
    </row>
    <row r="103" spans="1:12" s="32" customFormat="1" hidden="1" x14ac:dyDescent="0.25">
      <c r="A103" s="100" t="s">
        <v>101</v>
      </c>
      <c r="B103" s="100"/>
      <c r="C103" s="100"/>
      <c r="D103" s="100"/>
      <c r="E103" s="100"/>
      <c r="F103" s="111"/>
      <c r="G103" s="111"/>
      <c r="H103" s="111"/>
    </row>
    <row r="104" spans="1:12" s="32" customFormat="1" hidden="1" x14ac:dyDescent="0.25">
      <c r="A104" s="100" t="s">
        <v>102</v>
      </c>
      <c r="B104" s="100"/>
      <c r="C104" s="100"/>
      <c r="D104" s="100"/>
      <c r="E104" s="100"/>
      <c r="F104" s="111"/>
      <c r="G104" s="111"/>
      <c r="H104" s="111"/>
    </row>
    <row r="105" spans="1:12" s="32" customFormat="1" hidden="1" x14ac:dyDescent="0.25">
      <c r="A105" s="100" t="s">
        <v>103</v>
      </c>
      <c r="B105" s="100"/>
      <c r="C105" s="100"/>
      <c r="D105" s="100"/>
      <c r="E105" s="100"/>
      <c r="F105" s="111"/>
      <c r="G105" s="111"/>
      <c r="H105" s="111"/>
    </row>
    <row r="106" spans="1:12" x14ac:dyDescent="0.25">
      <c r="A106" s="100" t="s">
        <v>54</v>
      </c>
      <c r="B106" s="100"/>
      <c r="C106" s="100"/>
      <c r="D106" s="100"/>
      <c r="E106" s="100"/>
      <c r="F106" s="111">
        <v>700000</v>
      </c>
      <c r="G106" s="111"/>
      <c r="H106" s="111"/>
    </row>
    <row r="107" spans="1:12" s="33" customFormat="1" x14ac:dyDescent="0.25">
      <c r="A107" s="163" t="s">
        <v>55</v>
      </c>
      <c r="B107" s="163"/>
      <c r="C107" s="163"/>
      <c r="D107" s="163"/>
      <c r="E107" s="163"/>
      <c r="F107" s="111">
        <f>F95*0.8</f>
        <v>12800</v>
      </c>
      <c r="G107" s="111"/>
      <c r="H107" s="111"/>
    </row>
    <row r="108" spans="1:12" s="34" customFormat="1" x14ac:dyDescent="0.25">
      <c r="A108" s="164" t="s">
        <v>74</v>
      </c>
      <c r="B108" s="164"/>
      <c r="C108" s="164"/>
      <c r="D108" s="164"/>
      <c r="E108" s="164"/>
      <c r="F108" s="164"/>
      <c r="G108" s="164"/>
      <c r="H108" s="164"/>
    </row>
    <row r="109" spans="1:12" s="34" customFormat="1" ht="15.75" customHeight="1" x14ac:dyDescent="0.25">
      <c r="A109" s="101" t="s">
        <v>56</v>
      </c>
      <c r="B109" s="101"/>
      <c r="C109" s="159" t="s">
        <v>82</v>
      </c>
      <c r="D109" s="159"/>
      <c r="E109" s="119" t="s">
        <v>57</v>
      </c>
      <c r="F109" s="119"/>
      <c r="G109" s="101" t="s">
        <v>58</v>
      </c>
      <c r="H109" s="101"/>
    </row>
    <row r="110" spans="1:12" s="34" customFormat="1" x14ac:dyDescent="0.25">
      <c r="A110" s="160" t="s">
        <v>202</v>
      </c>
      <c r="B110" s="160"/>
      <c r="C110" s="161">
        <f>COUNT(D120)+COUNT(D122:D126)+COUNT(D128:D132)*5+COUNT(D134:D138)*12+COUNT(D140:D143)*2+COUNT(D145:D148)+COUNT(D150,D153:D154)</f>
        <v>106</v>
      </c>
      <c r="D110" s="161"/>
      <c r="E110" s="153">
        <f>SUM(D120)+SUM(D122:D126)+SUM(D128:D132)*5+SUM(D134:D138)*12+SUM(D140:D143)*2+SUM(D145:D148)+SUM(D150,D153:D154)</f>
        <v>51774.62472</v>
      </c>
      <c r="F110" s="153"/>
      <c r="G110" s="153">
        <f>SUM(F120)+SUM(F122:F126)+SUM(F128:F132)*5+SUM(F134:F138)*12+SUM(F140:F143)*2+SUM(F145:F148)+SUM(F150,F153:F154)</f>
        <v>77661.937079999989</v>
      </c>
      <c r="H110" s="153"/>
    </row>
    <row r="111" spans="1:12" s="34" customFormat="1" x14ac:dyDescent="0.25">
      <c r="A111" s="160" t="s">
        <v>197</v>
      </c>
      <c r="B111" s="160"/>
      <c r="C111" s="161">
        <f>COUNT(D159:D160)+COUNT(D161:D163)+COUNT(D165:D169)+COUNT(D171:D175)*5+COUNT(D177:D181)*12+COUNT(D184:D187)*2+COUNT(D190:D193)+COUNT(D195:D196,D199)</f>
        <v>110</v>
      </c>
      <c r="D111" s="161"/>
      <c r="E111" s="153">
        <f>SUM(D159:D160)+SUM(D161:D163)+SUM(D165:D169)+SUM(D171:D175)*5+SUM(D177:D181)*12+SUM(D184:D187)*8+SUM(D190:D193)+SUM(D195:D196,D199)</f>
        <v>57109.047839999999</v>
      </c>
      <c r="F111" s="162"/>
      <c r="G111" s="153">
        <f>SUM(F159:F160)+SUM(F161:F163)+SUM(F165:F169)+SUM(F171:F175)*5+SUM(F177:F181)*12+SUM(F184:F187)*8+SUM(F190:F193)+SUM(F195:F196,F199)</f>
        <v>85663.571760000006</v>
      </c>
      <c r="H111" s="162"/>
    </row>
    <row r="112" spans="1:12" s="34" customFormat="1" x14ac:dyDescent="0.25">
      <c r="A112" s="206" t="s">
        <v>154</v>
      </c>
      <c r="B112" s="207"/>
      <c r="C112" s="158">
        <f>SUM(C110:C111)</f>
        <v>216</v>
      </c>
      <c r="D112" s="159"/>
      <c r="E112" s="158">
        <f t="shared" ref="E112" si="0">SUM(E110:E111)</f>
        <v>108883.67256000001</v>
      </c>
      <c r="F112" s="159"/>
      <c r="G112" s="158">
        <f t="shared" ref="G112" si="1">SUM(G110:G111)</f>
        <v>163325.50883999999</v>
      </c>
      <c r="H112" s="159"/>
    </row>
    <row r="113" spans="1:14" s="33" customFormat="1" x14ac:dyDescent="0.25">
      <c r="A113" s="166" t="s">
        <v>59</v>
      </c>
      <c r="B113" s="166"/>
      <c r="C113" s="166"/>
      <c r="D113" s="166"/>
      <c r="E113" s="166"/>
      <c r="F113" s="166"/>
      <c r="G113" s="166"/>
      <c r="H113" s="166"/>
    </row>
    <row r="114" spans="1:14" x14ac:dyDescent="0.25">
      <c r="A114" s="166" t="s">
        <v>60</v>
      </c>
      <c r="B114" s="166"/>
      <c r="C114" s="166"/>
      <c r="D114" s="166"/>
      <c r="E114" s="166"/>
      <c r="F114" s="166"/>
      <c r="G114" s="166"/>
      <c r="H114" s="166"/>
    </row>
    <row r="115" spans="1:14" ht="47.25" customHeight="1" x14ac:dyDescent="0.25">
      <c r="A115" s="102" t="s">
        <v>123</v>
      </c>
      <c r="B115" s="102" t="s">
        <v>124</v>
      </c>
      <c r="C115" s="102" t="s">
        <v>61</v>
      </c>
      <c r="D115" s="102" t="s">
        <v>62</v>
      </c>
      <c r="E115" s="103" t="s">
        <v>63</v>
      </c>
      <c r="F115" s="72" t="s">
        <v>153</v>
      </c>
      <c r="G115" s="102" t="s">
        <v>64</v>
      </c>
      <c r="H115" s="102"/>
      <c r="I115" s="35"/>
    </row>
    <row r="116" spans="1:14" s="36" customFormat="1" x14ac:dyDescent="0.25">
      <c r="A116" s="102"/>
      <c r="B116" s="102"/>
      <c r="C116" s="102"/>
      <c r="D116" s="102"/>
      <c r="E116" s="103"/>
      <c r="F116" s="73">
        <v>0.5</v>
      </c>
      <c r="G116" s="102"/>
      <c r="H116" s="102"/>
      <c r="I116" s="35"/>
    </row>
    <row r="117" spans="1:14" s="53" customFormat="1" x14ac:dyDescent="0.25">
      <c r="A117" s="96" t="s">
        <v>196</v>
      </c>
      <c r="B117" s="96"/>
      <c r="C117" s="96"/>
      <c r="D117" s="96"/>
      <c r="E117" s="96"/>
      <c r="F117" s="96"/>
      <c r="G117" s="96"/>
      <c r="H117" s="96"/>
      <c r="J117" s="35"/>
    </row>
    <row r="118" spans="1:14" s="36" customFormat="1" x14ac:dyDescent="0.25">
      <c r="A118" s="96" t="s">
        <v>207</v>
      </c>
      <c r="B118" s="96"/>
      <c r="C118" s="96"/>
      <c r="D118" s="96"/>
      <c r="E118" s="96"/>
      <c r="F118" s="96"/>
      <c r="G118" s="96"/>
      <c r="H118" s="96"/>
      <c r="J118" s="35"/>
    </row>
    <row r="119" spans="1:14" s="53" customFormat="1" x14ac:dyDescent="0.25">
      <c r="A119" s="96" t="s">
        <v>209</v>
      </c>
      <c r="B119" s="96"/>
      <c r="C119" s="96"/>
      <c r="D119" s="96"/>
      <c r="E119" s="96"/>
      <c r="F119" s="96"/>
      <c r="G119" s="96"/>
      <c r="H119" s="96"/>
      <c r="I119" s="35"/>
      <c r="L119" s="97"/>
      <c r="M119" s="97"/>
    </row>
    <row r="120" spans="1:14" s="53" customFormat="1" ht="29.25" customHeight="1" x14ac:dyDescent="0.25">
      <c r="A120" s="83">
        <v>1</v>
      </c>
      <c r="B120" s="83"/>
      <c r="C120" s="51" t="s">
        <v>199</v>
      </c>
      <c r="D120" s="54">
        <f>35.92*10.764</f>
        <v>386.64287999999999</v>
      </c>
      <c r="E120" s="51">
        <v>0</v>
      </c>
      <c r="F120" s="51">
        <f t="shared" ref="F120" si="2">D120*(($F$116)+1)+(IF(E120&lt;101,E120,IF(E120&lt;201,E120/2,IF(E120&lt;=301,E120/3,E120/4))))</f>
        <v>579.96432000000004</v>
      </c>
      <c r="G120" s="86" t="str">
        <f>A119</f>
        <v>1st Floor For Residential, Restaurant</v>
      </c>
      <c r="H120" s="87"/>
      <c r="I120" s="35"/>
      <c r="N120" s="35"/>
    </row>
    <row r="121" spans="1:14" s="36" customFormat="1" ht="15.75" customHeight="1" x14ac:dyDescent="0.25">
      <c r="A121" s="93" t="s">
        <v>208</v>
      </c>
      <c r="B121" s="94"/>
      <c r="C121" s="94"/>
      <c r="D121" s="94"/>
      <c r="E121" s="94"/>
      <c r="F121" s="94"/>
      <c r="G121" s="94"/>
      <c r="H121" s="95"/>
      <c r="I121" s="35"/>
      <c r="L121" s="97"/>
      <c r="M121" s="97"/>
    </row>
    <row r="122" spans="1:14" s="36" customFormat="1" ht="15.75" customHeight="1" x14ac:dyDescent="0.25">
      <c r="A122" s="83">
        <v>1</v>
      </c>
      <c r="B122" s="83"/>
      <c r="C122" s="51" t="s">
        <v>199</v>
      </c>
      <c r="D122" s="54">
        <f>(35.92)*(10.764)</f>
        <v>386.64287999999999</v>
      </c>
      <c r="E122" s="41">
        <v>0</v>
      </c>
      <c r="F122" s="41">
        <f t="shared" ref="F122:F123" si="3">D122*(($F$116)+1)+(IF(E122&lt;101,E122,IF(E122&lt;201,E122/2,IF(E122&lt;=301,E122/3,E122/4))))</f>
        <v>579.96432000000004</v>
      </c>
      <c r="G122" s="86" t="str">
        <f>A121</f>
        <v>2nd Floor for Residential</v>
      </c>
      <c r="H122" s="87"/>
      <c r="I122" s="35"/>
      <c r="N122" s="35"/>
    </row>
    <row r="123" spans="1:14" s="36" customFormat="1" ht="15.75" customHeight="1" x14ac:dyDescent="0.25">
      <c r="A123" s="83">
        <f>A122+1</f>
        <v>2</v>
      </c>
      <c r="B123" s="83"/>
      <c r="C123" s="51" t="s">
        <v>200</v>
      </c>
      <c r="D123" s="54">
        <f>(51.1)*(10.764)</f>
        <v>550.04039999999998</v>
      </c>
      <c r="E123" s="41">
        <v>0</v>
      </c>
      <c r="F123" s="41">
        <f t="shared" si="3"/>
        <v>825.06060000000002</v>
      </c>
      <c r="G123" s="88"/>
      <c r="H123" s="89"/>
      <c r="I123" s="35"/>
      <c r="N123" s="35"/>
    </row>
    <row r="124" spans="1:14" s="36" customFormat="1" ht="15.75" customHeight="1" x14ac:dyDescent="0.25">
      <c r="A124" s="83">
        <f>A123+1</f>
        <v>3</v>
      </c>
      <c r="B124" s="83"/>
      <c r="C124" s="51" t="s">
        <v>199</v>
      </c>
      <c r="D124" s="54">
        <f>(36.06)*(10.764)</f>
        <v>388.14983999999998</v>
      </c>
      <c r="E124" s="41">
        <v>0</v>
      </c>
      <c r="F124" s="41">
        <f>D124*(($F$116)+1)+(IF(E124&lt;101,E124,IF(E124&lt;201,E124/2,IF(E124&lt;=301,E124/3,E124/4))))</f>
        <v>582.22475999999995</v>
      </c>
      <c r="G124" s="88"/>
      <c r="H124" s="89"/>
      <c r="I124" s="35"/>
      <c r="N124" s="35"/>
    </row>
    <row r="125" spans="1:14" s="36" customFormat="1" ht="15.75" customHeight="1" x14ac:dyDescent="0.25">
      <c r="A125" s="83">
        <f>A124+1</f>
        <v>4</v>
      </c>
      <c r="B125" s="83"/>
      <c r="C125" s="51" t="s">
        <v>200</v>
      </c>
      <c r="D125" s="54">
        <f>(51.28)*(10.764)</f>
        <v>551.97791999999993</v>
      </c>
      <c r="E125" s="41">
        <v>0</v>
      </c>
      <c r="F125" s="41">
        <f>D125*(($F$116)+1)+(IF(E125&lt;101,E125,IF(E125&lt;201,E125/2,IF(E125&lt;=301,E125/3,E125/4))))</f>
        <v>827.96687999999995</v>
      </c>
      <c r="G125" s="88"/>
      <c r="H125" s="89"/>
      <c r="I125" s="35"/>
      <c r="N125" s="35"/>
    </row>
    <row r="126" spans="1:14" s="36" customFormat="1" ht="15.75" customHeight="1" x14ac:dyDescent="0.25">
      <c r="A126" s="83">
        <f>A125+1</f>
        <v>5</v>
      </c>
      <c r="B126" s="83"/>
      <c r="C126" s="51" t="s">
        <v>200</v>
      </c>
      <c r="D126" s="54">
        <f>(51.28)*(10.764)</f>
        <v>551.97791999999993</v>
      </c>
      <c r="E126" s="41">
        <v>0</v>
      </c>
      <c r="F126" s="41">
        <f>D126*(($F$116)+1)+(IF(E126&lt;101,E126,IF(E126&lt;201,E126/2,IF(E126&lt;=301,E126/3,E126/4))))</f>
        <v>827.96687999999995</v>
      </c>
      <c r="G126" s="90"/>
      <c r="H126" s="91"/>
      <c r="I126" s="35"/>
      <c r="N126" s="35"/>
    </row>
    <row r="127" spans="1:14" s="57" customFormat="1" ht="15.75" customHeight="1" x14ac:dyDescent="0.25">
      <c r="A127" s="93" t="s">
        <v>218</v>
      </c>
      <c r="B127" s="94"/>
      <c r="C127" s="94"/>
      <c r="D127" s="94"/>
      <c r="E127" s="94"/>
      <c r="F127" s="94"/>
      <c r="G127" s="94"/>
      <c r="H127" s="95"/>
      <c r="I127" s="35"/>
      <c r="L127" s="97"/>
      <c r="M127" s="97"/>
    </row>
    <row r="128" spans="1:14" s="57" customFormat="1" ht="15.75" customHeight="1" x14ac:dyDescent="0.25">
      <c r="A128" s="83">
        <v>1</v>
      </c>
      <c r="B128" s="83"/>
      <c r="C128" s="58" t="s">
        <v>199</v>
      </c>
      <c r="D128" s="54">
        <f>(35.92)*(10.764)</f>
        <v>386.64287999999999</v>
      </c>
      <c r="E128" s="58">
        <v>0</v>
      </c>
      <c r="F128" s="58">
        <f t="shared" ref="F128:F129" si="4">D128*(($F$116)+1)+(IF(E128&lt;101,E128,IF(E128&lt;201,E128/2,IF(E128&lt;=301,E128/3,E128/4))))</f>
        <v>579.96432000000004</v>
      </c>
      <c r="G128" s="86" t="str">
        <f>A127</f>
        <v>3rd to 7th Floor For Residential</v>
      </c>
      <c r="H128" s="87"/>
      <c r="I128" s="35"/>
      <c r="N128" s="35"/>
    </row>
    <row r="129" spans="1:14" s="57" customFormat="1" ht="15.75" customHeight="1" x14ac:dyDescent="0.25">
      <c r="A129" s="83">
        <f>A128+1</f>
        <v>2</v>
      </c>
      <c r="B129" s="83"/>
      <c r="C129" s="58" t="s">
        <v>200</v>
      </c>
      <c r="D129" s="54">
        <f>(51.1)*(10.764)</f>
        <v>550.04039999999998</v>
      </c>
      <c r="E129" s="58">
        <v>0</v>
      </c>
      <c r="F129" s="58">
        <f t="shared" si="4"/>
        <v>825.06060000000002</v>
      </c>
      <c r="G129" s="88"/>
      <c r="H129" s="89"/>
      <c r="I129" s="35"/>
      <c r="N129" s="35"/>
    </row>
    <row r="130" spans="1:14" s="57" customFormat="1" ht="15.75" customHeight="1" x14ac:dyDescent="0.25">
      <c r="A130" s="83">
        <f>A129+1</f>
        <v>3</v>
      </c>
      <c r="B130" s="83"/>
      <c r="C130" s="58" t="s">
        <v>199</v>
      </c>
      <c r="D130" s="54">
        <f>(36.06)*(10.764)</f>
        <v>388.14983999999998</v>
      </c>
      <c r="E130" s="58">
        <v>0</v>
      </c>
      <c r="F130" s="58">
        <f>D130*(($F$116)+1)+(IF(E130&lt;101,E130,IF(E130&lt;201,E130/2,IF(E130&lt;=301,E130/3,E130/4))))</f>
        <v>582.22475999999995</v>
      </c>
      <c r="G130" s="88"/>
      <c r="H130" s="89"/>
      <c r="I130" s="35"/>
      <c r="N130" s="35"/>
    </row>
    <row r="131" spans="1:14" s="57" customFormat="1" ht="15.75" customHeight="1" x14ac:dyDescent="0.25">
      <c r="A131" s="83">
        <f>A130+1</f>
        <v>4</v>
      </c>
      <c r="B131" s="83"/>
      <c r="C131" s="58" t="s">
        <v>200</v>
      </c>
      <c r="D131" s="54">
        <f>(51.28)*(10.764)</f>
        <v>551.97791999999993</v>
      </c>
      <c r="E131" s="58">
        <v>0</v>
      </c>
      <c r="F131" s="58">
        <f>D131*(($F$116)+1)+(IF(E131&lt;101,E131,IF(E131&lt;201,E131/2,IF(E131&lt;=301,E131/3,E131/4))))</f>
        <v>827.96687999999995</v>
      </c>
      <c r="G131" s="88"/>
      <c r="H131" s="89"/>
      <c r="I131" s="35"/>
      <c r="N131" s="35"/>
    </row>
    <row r="132" spans="1:14" s="57" customFormat="1" ht="15.75" customHeight="1" x14ac:dyDescent="0.25">
      <c r="A132" s="83">
        <f>A131+1</f>
        <v>5</v>
      </c>
      <c r="B132" s="83"/>
      <c r="C132" s="58" t="s">
        <v>200</v>
      </c>
      <c r="D132" s="54">
        <f>(51.28)*(10.764)</f>
        <v>551.97791999999993</v>
      </c>
      <c r="E132" s="58">
        <v>0</v>
      </c>
      <c r="F132" s="58">
        <f>D132*(($F$116)+1)+(IF(E132&lt;101,E132,IF(E132&lt;201,E132/2,IF(E132&lt;=301,E132/3,E132/4))))</f>
        <v>827.96687999999995</v>
      </c>
      <c r="G132" s="90"/>
      <c r="H132" s="91"/>
      <c r="I132" s="35"/>
      <c r="N132" s="35"/>
    </row>
    <row r="133" spans="1:14" s="57" customFormat="1" ht="15.75" customHeight="1" x14ac:dyDescent="0.25">
      <c r="A133" s="93" t="s">
        <v>225</v>
      </c>
      <c r="B133" s="94"/>
      <c r="C133" s="94"/>
      <c r="D133" s="94"/>
      <c r="E133" s="94"/>
      <c r="F133" s="94"/>
      <c r="G133" s="94"/>
      <c r="H133" s="95"/>
      <c r="I133" s="35"/>
      <c r="L133" s="97"/>
      <c r="M133" s="97"/>
    </row>
    <row r="134" spans="1:14" s="57" customFormat="1" ht="17.25" customHeight="1" x14ac:dyDescent="0.25">
      <c r="A134" s="83">
        <v>1</v>
      </c>
      <c r="B134" s="83"/>
      <c r="C134" s="58" t="s">
        <v>199</v>
      </c>
      <c r="D134" s="54">
        <f>(35.92)*(10.764)</f>
        <v>386.64287999999999</v>
      </c>
      <c r="E134" s="58">
        <v>0</v>
      </c>
      <c r="F134" s="58">
        <f t="shared" ref="F134:F135" si="5">D134*(($F$116)+1)+(IF(E134&lt;101,E134,IF(E134&lt;201,E134/2,IF(E134&lt;=301,E134/3,E134/4))))</f>
        <v>579.96432000000004</v>
      </c>
      <c r="G134" s="86" t="str">
        <f>A133</f>
        <v xml:space="preserve">  9th to 14th, 16th to 21st Floor Residential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H134" s="87"/>
      <c r="I134" s="35"/>
      <c r="N134" s="35"/>
    </row>
    <row r="135" spans="1:14" s="57" customFormat="1" ht="17.25" customHeight="1" x14ac:dyDescent="0.25">
      <c r="A135" s="83">
        <f>A134+1</f>
        <v>2</v>
      </c>
      <c r="B135" s="83"/>
      <c r="C135" s="58" t="s">
        <v>200</v>
      </c>
      <c r="D135" s="54">
        <f>(51.1)*(10.764)</f>
        <v>550.04039999999998</v>
      </c>
      <c r="E135" s="58">
        <v>0</v>
      </c>
      <c r="F135" s="58">
        <f t="shared" si="5"/>
        <v>825.06060000000002</v>
      </c>
      <c r="G135" s="88"/>
      <c r="H135" s="89"/>
      <c r="I135" s="35"/>
      <c r="N135" s="35"/>
    </row>
    <row r="136" spans="1:14" s="57" customFormat="1" ht="17.25" customHeight="1" x14ac:dyDescent="0.25">
      <c r="A136" s="83">
        <f>A135+1</f>
        <v>3</v>
      </c>
      <c r="B136" s="83"/>
      <c r="C136" s="58" t="s">
        <v>199</v>
      </c>
      <c r="D136" s="54">
        <f>(36.06)*(10.764)</f>
        <v>388.14983999999998</v>
      </c>
      <c r="E136" s="58">
        <v>0</v>
      </c>
      <c r="F136" s="58">
        <f>D136*(($F$116)+1)+(IF(E136&lt;101,E136,IF(E136&lt;201,E136/2,IF(E136&lt;=301,E136/3,E136/4))))</f>
        <v>582.22475999999995</v>
      </c>
      <c r="G136" s="88"/>
      <c r="H136" s="89"/>
      <c r="I136" s="35"/>
      <c r="N136" s="35"/>
    </row>
    <row r="137" spans="1:14" s="57" customFormat="1" ht="17.25" customHeight="1" x14ac:dyDescent="0.25">
      <c r="A137" s="83">
        <f>A136+1</f>
        <v>4</v>
      </c>
      <c r="B137" s="83"/>
      <c r="C137" s="58" t="s">
        <v>200</v>
      </c>
      <c r="D137" s="54">
        <f>(51.28)*(10.764)</f>
        <v>551.97791999999993</v>
      </c>
      <c r="E137" s="58">
        <v>0</v>
      </c>
      <c r="F137" s="58">
        <f>D137*(($F$116)+1)+(IF(E137&lt;101,E137,IF(E137&lt;201,E137/2,IF(E137&lt;=301,E137/3,E137/4))))</f>
        <v>827.96687999999995</v>
      </c>
      <c r="G137" s="88"/>
      <c r="H137" s="89"/>
      <c r="I137" s="35"/>
      <c r="N137" s="35"/>
    </row>
    <row r="138" spans="1:14" s="57" customFormat="1" ht="17.25" customHeight="1" x14ac:dyDescent="0.25">
      <c r="A138" s="83">
        <f>A137+1</f>
        <v>5</v>
      </c>
      <c r="B138" s="83"/>
      <c r="C138" s="58" t="s">
        <v>200</v>
      </c>
      <c r="D138" s="54">
        <f>(51.67)*(10.764)</f>
        <v>556.17588000000001</v>
      </c>
      <c r="E138" s="58">
        <v>0</v>
      </c>
      <c r="F138" s="58">
        <f>D138*(($F$116)+1)+(IF(E138&lt;101,E138,IF(E138&lt;201,E138/2,IF(E138&lt;=301,E138/3,E138/4))))</f>
        <v>834.26382000000001</v>
      </c>
      <c r="G138" s="90"/>
      <c r="H138" s="91"/>
      <c r="I138" s="35"/>
      <c r="N138" s="35"/>
    </row>
    <row r="139" spans="1:14" s="53" customFormat="1" x14ac:dyDescent="0.25">
      <c r="A139" s="93" t="s">
        <v>220</v>
      </c>
      <c r="B139" s="94"/>
      <c r="C139" s="94"/>
      <c r="D139" s="94"/>
      <c r="E139" s="94"/>
      <c r="F139" s="94"/>
      <c r="G139" s="94"/>
      <c r="H139" s="95"/>
      <c r="I139" s="35"/>
    </row>
    <row r="140" spans="1:14" s="57" customFormat="1" ht="18" customHeight="1" x14ac:dyDescent="0.25">
      <c r="A140" s="83">
        <v>1</v>
      </c>
      <c r="B140" s="83"/>
      <c r="C140" s="58" t="s">
        <v>199</v>
      </c>
      <c r="D140" s="54">
        <f>(35.52)*(10.764)</f>
        <v>382.33728000000002</v>
      </c>
      <c r="E140" s="58">
        <v>0</v>
      </c>
      <c r="F140" s="58">
        <f t="shared" ref="F140" si="6">D140*(($F$116)+1)+(IF(E140&lt;101,E140,IF(E140&lt;201,E140/2,IF(E140&lt;=301,E140/3,E140/4))))</f>
        <v>573.50592000000006</v>
      </c>
      <c r="G140" s="86" t="str">
        <f>A139</f>
        <v xml:space="preserve">8th &amp; 15th Floor For Residential (Part Refuge Area) </v>
      </c>
      <c r="H140" s="87"/>
      <c r="I140" s="35"/>
      <c r="N140" s="35"/>
    </row>
    <row r="141" spans="1:14" s="57" customFormat="1" ht="17.25" customHeight="1" x14ac:dyDescent="0.25">
      <c r="A141" s="83">
        <v>2</v>
      </c>
      <c r="B141" s="83"/>
      <c r="C141" s="58" t="s">
        <v>200</v>
      </c>
      <c r="D141" s="54">
        <f>(52.59)*(10.764)</f>
        <v>566.07875999999999</v>
      </c>
      <c r="E141" s="58">
        <v>0</v>
      </c>
      <c r="F141" s="58">
        <f>D141*(($F$116)+1)+(IF(E141&lt;101,E141,IF(E141&lt;201,E141/2,IF(E141&lt;=301,E141/3,E141/4))))</f>
        <v>849.11814000000004</v>
      </c>
      <c r="G141" s="88"/>
      <c r="H141" s="89"/>
      <c r="I141" s="35"/>
      <c r="N141" s="35"/>
    </row>
    <row r="142" spans="1:14" s="57" customFormat="1" ht="17.25" customHeight="1" x14ac:dyDescent="0.25">
      <c r="A142" s="83">
        <v>3</v>
      </c>
      <c r="B142" s="83"/>
      <c r="C142" s="58" t="s">
        <v>199</v>
      </c>
      <c r="D142" s="54">
        <f>(37.44)*(10.764)</f>
        <v>403.00415999999996</v>
      </c>
      <c r="E142" s="58">
        <v>0</v>
      </c>
      <c r="F142" s="58">
        <f>D142*(($F$116)+1)+(IF(E142&lt;101,E142,IF(E142&lt;201,E142/2,IF(E142&lt;=301,E142/3,E142/4))))</f>
        <v>604.50623999999993</v>
      </c>
      <c r="G142" s="88"/>
      <c r="H142" s="89"/>
      <c r="I142" s="35"/>
      <c r="N142" s="35"/>
    </row>
    <row r="143" spans="1:14" s="57" customFormat="1" ht="17.25" customHeight="1" x14ac:dyDescent="0.25">
      <c r="A143" s="83">
        <v>4</v>
      </c>
      <c r="B143" s="83"/>
      <c r="C143" s="58" t="s">
        <v>200</v>
      </c>
      <c r="D143" s="54">
        <f>(51.67)*(10.764)</f>
        <v>556.17588000000001</v>
      </c>
      <c r="E143" s="58">
        <v>0</v>
      </c>
      <c r="F143" s="58">
        <f>D143*(($F$116)+1)+(IF(E143&lt;101,E143,IF(E143&lt;201,E143/2,IF(E143&lt;=301,E143/3,E143/4))))</f>
        <v>834.26382000000001</v>
      </c>
      <c r="G143" s="90"/>
      <c r="H143" s="91"/>
      <c r="I143" s="35"/>
      <c r="N143" s="35"/>
    </row>
    <row r="144" spans="1:14" s="57" customFormat="1" x14ac:dyDescent="0.25">
      <c r="A144" s="93" t="s">
        <v>226</v>
      </c>
      <c r="B144" s="94"/>
      <c r="C144" s="94"/>
      <c r="D144" s="94"/>
      <c r="E144" s="94"/>
      <c r="F144" s="94"/>
      <c r="G144" s="94"/>
      <c r="H144" s="95"/>
      <c r="I144" s="35"/>
    </row>
    <row r="145" spans="1:14" s="57" customFormat="1" ht="18" customHeight="1" x14ac:dyDescent="0.25">
      <c r="A145" s="83">
        <v>1</v>
      </c>
      <c r="B145" s="83"/>
      <c r="C145" s="58" t="s">
        <v>199</v>
      </c>
      <c r="D145" s="54">
        <f>(35.52)*(10.764)</f>
        <v>382.33728000000002</v>
      </c>
      <c r="E145" s="58">
        <v>0</v>
      </c>
      <c r="F145" s="58">
        <f t="shared" ref="F145" si="7">D145*(($F$116)+1)+(IF(E145&lt;101,E145,IF(E145&lt;201,E145/2,IF(E145&lt;=301,E145/3,E145/4))))</f>
        <v>573.50592000000006</v>
      </c>
      <c r="G145" s="86" t="str">
        <f>A144</f>
        <v>22nd Floor For Residential (Part Refuge Area)</v>
      </c>
      <c r="H145" s="87"/>
      <c r="I145" s="35"/>
      <c r="N145" s="35"/>
    </row>
    <row r="146" spans="1:14" s="57" customFormat="1" ht="17.25" customHeight="1" x14ac:dyDescent="0.25">
      <c r="A146" s="83">
        <v>2</v>
      </c>
      <c r="B146" s="83"/>
      <c r="C146" s="58" t="s">
        <v>200</v>
      </c>
      <c r="D146" s="54">
        <f>(52.59)*(10.764)</f>
        <v>566.07875999999999</v>
      </c>
      <c r="E146" s="58">
        <v>0</v>
      </c>
      <c r="F146" s="58">
        <f>D146*(($F$116)+1)+(IF(E146&lt;101,E146,IF(E146&lt;201,E146/2,IF(E146&lt;=301,E146/3,E146/4))))</f>
        <v>849.11814000000004</v>
      </c>
      <c r="G146" s="88"/>
      <c r="H146" s="89"/>
      <c r="I146" s="35"/>
      <c r="N146" s="35"/>
    </row>
    <row r="147" spans="1:14" s="57" customFormat="1" ht="17.25" customHeight="1" x14ac:dyDescent="0.25">
      <c r="A147" s="83">
        <v>3</v>
      </c>
      <c r="B147" s="83"/>
      <c r="C147" s="58" t="s">
        <v>199</v>
      </c>
      <c r="D147" s="54">
        <f>(37.44)*(10.764)</f>
        <v>403.00415999999996</v>
      </c>
      <c r="E147" s="58">
        <v>0</v>
      </c>
      <c r="F147" s="58">
        <f>D147*(($F$116)+1)+(IF(E147&lt;101,E147,IF(E147&lt;201,E147/2,IF(E147&lt;=301,E147/3,E147/4))))</f>
        <v>604.50623999999993</v>
      </c>
      <c r="G147" s="88"/>
      <c r="H147" s="89"/>
      <c r="I147" s="35"/>
      <c r="N147" s="35"/>
    </row>
    <row r="148" spans="1:14" s="57" customFormat="1" ht="17.25" customHeight="1" x14ac:dyDescent="0.25">
      <c r="A148" s="83">
        <v>4</v>
      </c>
      <c r="B148" s="83"/>
      <c r="C148" s="58" t="s">
        <v>224</v>
      </c>
      <c r="D148" s="54">
        <f>(89.4)*(10.764)</f>
        <v>962.30160000000001</v>
      </c>
      <c r="E148" s="58">
        <v>0</v>
      </c>
      <c r="F148" s="58">
        <f>D148*(($F$116)+1)+(IF(E148&lt;101,E148,IF(E148&lt;201,E148/2,IF(E148&lt;=301,E148/3,E148/4))))</f>
        <v>1443.4524000000001</v>
      </c>
      <c r="G148" s="90"/>
      <c r="H148" s="91"/>
      <c r="I148" s="35"/>
      <c r="N148" s="35"/>
    </row>
    <row r="149" spans="1:14" s="57" customFormat="1" x14ac:dyDescent="0.25">
      <c r="A149" s="96" t="s">
        <v>210</v>
      </c>
      <c r="B149" s="96"/>
      <c r="C149" s="96"/>
      <c r="D149" s="96"/>
      <c r="E149" s="96"/>
      <c r="F149" s="96"/>
      <c r="G149" s="96"/>
      <c r="H149" s="96"/>
      <c r="I149" s="35"/>
    </row>
    <row r="150" spans="1:14" s="57" customFormat="1" ht="18" customHeight="1" x14ac:dyDescent="0.25">
      <c r="A150" s="83">
        <v>1</v>
      </c>
      <c r="B150" s="83"/>
      <c r="C150" s="66" t="s">
        <v>199</v>
      </c>
      <c r="D150" s="54">
        <f>(35.52)*(10.764)</f>
        <v>382.33728000000002</v>
      </c>
      <c r="E150" s="66">
        <v>0</v>
      </c>
      <c r="F150" s="66">
        <f t="shared" ref="F150" si="8">D150*(($F$116)+1)+(IF(E150&lt;101,E150,IF(E150&lt;201,E150/2,IF(E150&lt;=301,E150/3,E150/4))))</f>
        <v>573.50592000000006</v>
      </c>
      <c r="G150" s="83" t="str">
        <f>A149</f>
        <v>23rd Floor For Residential</v>
      </c>
      <c r="H150" s="83"/>
      <c r="I150" s="35"/>
      <c r="N150" s="35"/>
    </row>
    <row r="151" spans="1:14" s="60" customFormat="1" ht="17.25" customHeight="1" x14ac:dyDescent="0.25">
      <c r="A151" s="83">
        <v>2</v>
      </c>
      <c r="B151" s="83"/>
      <c r="C151" s="83" t="s">
        <v>219</v>
      </c>
      <c r="D151" s="83"/>
      <c r="E151" s="83"/>
      <c r="F151" s="83"/>
      <c r="G151" s="83"/>
      <c r="H151" s="83"/>
      <c r="I151" s="35"/>
      <c r="N151" s="35"/>
    </row>
    <row r="152" spans="1:14" s="60" customFormat="1" ht="17.25" customHeight="1" x14ac:dyDescent="0.25">
      <c r="A152" s="83">
        <v>3</v>
      </c>
      <c r="B152" s="83"/>
      <c r="C152" s="83"/>
      <c r="D152" s="83"/>
      <c r="E152" s="83"/>
      <c r="F152" s="83"/>
      <c r="G152" s="83"/>
      <c r="H152" s="83"/>
      <c r="I152" s="35"/>
      <c r="N152" s="35"/>
    </row>
    <row r="153" spans="1:14" s="57" customFormat="1" ht="17.25" customHeight="1" x14ac:dyDescent="0.25">
      <c r="A153" s="83">
        <v>4</v>
      </c>
      <c r="B153" s="83"/>
      <c r="C153" s="66" t="s">
        <v>200</v>
      </c>
      <c r="D153" s="54">
        <f>(51.28)*(10.764)</f>
        <v>551.97791999999993</v>
      </c>
      <c r="E153" s="66">
        <v>0</v>
      </c>
      <c r="F153" s="66">
        <f>D153*(($F$116)+1)+(IF(E153&lt;101,E153,IF(E153&lt;201,E153/2,IF(E153&lt;=301,E153/3,E153/4))))</f>
        <v>827.96687999999995</v>
      </c>
      <c r="G153" s="83"/>
      <c r="H153" s="83"/>
      <c r="I153" s="35"/>
      <c r="N153" s="35"/>
    </row>
    <row r="154" spans="1:14" s="57" customFormat="1" ht="17.25" customHeight="1" x14ac:dyDescent="0.25">
      <c r="A154" s="83">
        <f>A153+1</f>
        <v>5</v>
      </c>
      <c r="B154" s="83"/>
      <c r="C154" s="66" t="s">
        <v>200</v>
      </c>
      <c r="D154" s="54">
        <f>(51.67)*(10.764)</f>
        <v>556.17588000000001</v>
      </c>
      <c r="E154" s="66">
        <v>0</v>
      </c>
      <c r="F154" s="66">
        <f>D154*(($F$116)+1)+(IF(E154&lt;101,E154,IF(E154&lt;201,E154/2,IF(E154&lt;=301,E154/3,E154/4))))</f>
        <v>834.26382000000001</v>
      </c>
      <c r="G154" s="83"/>
      <c r="H154" s="83"/>
      <c r="I154" s="35"/>
      <c r="N154" s="35"/>
    </row>
    <row r="155" spans="1:14" s="53" customFormat="1" x14ac:dyDescent="0.25">
      <c r="A155" s="93" t="s">
        <v>197</v>
      </c>
      <c r="B155" s="94"/>
      <c r="C155" s="94"/>
      <c r="D155" s="94"/>
      <c r="E155" s="94"/>
      <c r="F155" s="94"/>
      <c r="G155" s="94"/>
      <c r="H155" s="95"/>
      <c r="I155" s="35"/>
    </row>
    <row r="156" spans="1:14" s="53" customFormat="1" ht="15.75" customHeight="1" x14ac:dyDescent="0.25">
      <c r="A156" s="93" t="s">
        <v>198</v>
      </c>
      <c r="B156" s="94"/>
      <c r="C156" s="94"/>
      <c r="D156" s="94"/>
      <c r="E156" s="94"/>
      <c r="F156" s="94"/>
      <c r="G156" s="94"/>
      <c r="H156" s="95"/>
      <c r="I156" s="35"/>
    </row>
    <row r="157" spans="1:14" s="53" customFormat="1" ht="15.75" customHeight="1" x14ac:dyDescent="0.25">
      <c r="A157" s="93" t="s">
        <v>194</v>
      </c>
      <c r="B157" s="94"/>
      <c r="C157" s="94"/>
      <c r="D157" s="94"/>
      <c r="E157" s="94"/>
      <c r="F157" s="94"/>
      <c r="G157" s="94"/>
      <c r="H157" s="95"/>
      <c r="I157" s="35"/>
    </row>
    <row r="158" spans="1:14" s="53" customFormat="1" ht="15.75" customHeight="1" x14ac:dyDescent="0.25">
      <c r="A158" s="93" t="s">
        <v>201</v>
      </c>
      <c r="B158" s="94"/>
      <c r="C158" s="94"/>
      <c r="D158" s="94"/>
      <c r="E158" s="94"/>
      <c r="F158" s="94"/>
      <c r="G158" s="94"/>
      <c r="H158" s="95"/>
      <c r="I158" s="35"/>
      <c r="L158" s="97"/>
      <c r="M158" s="97"/>
    </row>
    <row r="159" spans="1:14" s="57" customFormat="1" ht="15.75" customHeight="1" x14ac:dyDescent="0.25">
      <c r="A159" s="84">
        <v>1</v>
      </c>
      <c r="B159" s="85"/>
      <c r="C159" s="58" t="s">
        <v>199</v>
      </c>
      <c r="D159" s="54">
        <f>(35.81)*(10.764)</f>
        <v>385.45884000000001</v>
      </c>
      <c r="E159" s="58">
        <v>0</v>
      </c>
      <c r="F159" s="58">
        <f>D159*(($F$116)+1)+(IF(E159&lt;101,E159,IF(E159&lt;201,E159/2,IF(E159&lt;=301,E159/3,E159/4))))</f>
        <v>578.18826000000001</v>
      </c>
      <c r="G159" s="86" t="str">
        <f>A158</f>
        <v>1st Floor For Residential (Part Terrace)</v>
      </c>
      <c r="H159" s="87"/>
      <c r="I159" s="35"/>
      <c r="L159" s="97"/>
      <c r="M159" s="97"/>
      <c r="N159" s="35"/>
    </row>
    <row r="160" spans="1:14" s="57" customFormat="1" ht="15.75" customHeight="1" x14ac:dyDescent="0.25">
      <c r="A160" s="84">
        <f t="shared" ref="A160:A162" si="9">A159+1</f>
        <v>2</v>
      </c>
      <c r="B160" s="85"/>
      <c r="C160" s="58" t="s">
        <v>199</v>
      </c>
      <c r="D160" s="54">
        <f>(35.81)*(10.764)</f>
        <v>385.45884000000001</v>
      </c>
      <c r="E160" s="58">
        <v>0</v>
      </c>
      <c r="F160" s="58">
        <f>D160*(($F$116)+1)+(IF(E160&lt;101,E160,IF(E160&lt;201,E160/2,IF(E160&lt;=301,E160/3,E160/4))))</f>
        <v>578.18826000000001</v>
      </c>
      <c r="G160" s="88"/>
      <c r="H160" s="89"/>
      <c r="I160" s="35"/>
      <c r="L160" s="97"/>
      <c r="M160" s="97"/>
      <c r="N160" s="35"/>
    </row>
    <row r="161" spans="1:14" s="57" customFormat="1" ht="15.75" customHeight="1" x14ac:dyDescent="0.25">
      <c r="A161" s="84">
        <f t="shared" si="9"/>
        <v>3</v>
      </c>
      <c r="B161" s="85"/>
      <c r="C161" s="58" t="s">
        <v>199</v>
      </c>
      <c r="D161" s="54">
        <f>(35.78)*(10.764)</f>
        <v>385.13592</v>
      </c>
      <c r="E161" s="58">
        <v>0</v>
      </c>
      <c r="F161" s="58">
        <f>D161*(($F$116)+1)+(IF(E161&lt;101,E161,IF(E161&lt;201,E161/2,IF(E161&lt;=301,E161/3,E161/4))))</f>
        <v>577.70388000000003</v>
      </c>
      <c r="G161" s="88"/>
      <c r="H161" s="89"/>
      <c r="I161" s="35"/>
      <c r="L161" s="97"/>
      <c r="M161" s="97"/>
      <c r="N161" s="35"/>
    </row>
    <row r="162" spans="1:14" s="57" customFormat="1" ht="15.75" customHeight="1" x14ac:dyDescent="0.25">
      <c r="A162" s="84">
        <f t="shared" si="9"/>
        <v>4</v>
      </c>
      <c r="B162" s="85"/>
      <c r="C162" s="58" t="s">
        <v>199</v>
      </c>
      <c r="D162" s="54">
        <f>(51.1)*(10.764)</f>
        <v>550.04039999999998</v>
      </c>
      <c r="E162" s="58">
        <v>0</v>
      </c>
      <c r="F162" s="58">
        <f>D162*(($F$116)+1)+(IF(E162&lt;101,E162,IF(E162&lt;201,E162/2,IF(E162&lt;=301,E162/3,E162/4))))</f>
        <v>825.06060000000002</v>
      </c>
      <c r="G162" s="88"/>
      <c r="H162" s="89"/>
      <c r="I162" s="35"/>
      <c r="L162" s="97"/>
      <c r="M162" s="97"/>
      <c r="N162" s="35"/>
    </row>
    <row r="163" spans="1:14" s="53" customFormat="1" ht="15.75" customHeight="1" x14ac:dyDescent="0.25">
      <c r="A163" s="83">
        <v>5</v>
      </c>
      <c r="B163" s="83"/>
      <c r="C163" s="51" t="s">
        <v>199</v>
      </c>
      <c r="D163" s="54">
        <f>(35.86)*(10.764)</f>
        <v>385.99703999999997</v>
      </c>
      <c r="E163" s="51">
        <v>0</v>
      </c>
      <c r="F163" s="51">
        <f>D163*(($F$116)+1)+(IF(E163&lt;101,E163,IF(E163&lt;201,E163/2,IF(E163&lt;=301,E163/3,E163/4))))</f>
        <v>578.99555999999995</v>
      </c>
      <c r="G163" s="90"/>
      <c r="H163" s="91"/>
      <c r="I163" s="35"/>
      <c r="N163" s="35"/>
    </row>
    <row r="164" spans="1:14" s="57" customFormat="1" ht="15.75" customHeight="1" x14ac:dyDescent="0.25">
      <c r="A164" s="93" t="s">
        <v>211</v>
      </c>
      <c r="B164" s="94"/>
      <c r="C164" s="94"/>
      <c r="D164" s="94"/>
      <c r="E164" s="94"/>
      <c r="F164" s="94"/>
      <c r="G164" s="94"/>
      <c r="H164" s="95"/>
      <c r="I164" s="35"/>
      <c r="L164" s="97"/>
      <c r="M164" s="97"/>
    </row>
    <row r="165" spans="1:14" s="57" customFormat="1" ht="15.75" customHeight="1" x14ac:dyDescent="0.25">
      <c r="A165" s="84">
        <v>1</v>
      </c>
      <c r="B165" s="85"/>
      <c r="C165" s="58" t="s">
        <v>199</v>
      </c>
      <c r="D165" s="54">
        <f>(35.81)*(10.764)</f>
        <v>385.45884000000001</v>
      </c>
      <c r="E165" s="58">
        <v>0</v>
      </c>
      <c r="F165" s="58">
        <f>D165*(($F$116)+1)+(IF(E165&lt;101,E165,IF(E165&lt;201,E165/2,IF(E165&lt;=301,E165/3,E165/4))))</f>
        <v>578.18826000000001</v>
      </c>
      <c r="G165" s="86" t="str">
        <f>A164</f>
        <v xml:space="preserve">2nd Floor For Residential </v>
      </c>
      <c r="H165" s="87"/>
      <c r="I165" s="35"/>
      <c r="L165" s="97"/>
      <c r="M165" s="97"/>
      <c r="N165" s="35"/>
    </row>
    <row r="166" spans="1:14" s="57" customFormat="1" ht="15.75" customHeight="1" x14ac:dyDescent="0.25">
      <c r="A166" s="84">
        <f t="shared" ref="A166:A168" si="10">A165+1</f>
        <v>2</v>
      </c>
      <c r="B166" s="85"/>
      <c r="C166" s="58" t="s">
        <v>199</v>
      </c>
      <c r="D166" s="54">
        <f>(35.81)*(10.764)</f>
        <v>385.45884000000001</v>
      </c>
      <c r="E166" s="58">
        <v>0</v>
      </c>
      <c r="F166" s="58">
        <f>D166*(($F$116)+1)+(IF(E166&lt;101,E166,IF(E166&lt;201,E166/2,IF(E166&lt;=301,E166/3,E166/4))))</f>
        <v>578.18826000000001</v>
      </c>
      <c r="G166" s="88"/>
      <c r="H166" s="89"/>
      <c r="I166" s="35"/>
      <c r="L166" s="97"/>
      <c r="M166" s="97"/>
      <c r="N166" s="35"/>
    </row>
    <row r="167" spans="1:14" s="57" customFormat="1" ht="15.75" customHeight="1" x14ac:dyDescent="0.25">
      <c r="A167" s="84">
        <f t="shared" si="10"/>
        <v>3</v>
      </c>
      <c r="B167" s="85"/>
      <c r="C167" s="58" t="s">
        <v>199</v>
      </c>
      <c r="D167" s="54">
        <f>(35.78)*(10.764)</f>
        <v>385.13592</v>
      </c>
      <c r="E167" s="58">
        <v>0</v>
      </c>
      <c r="F167" s="58">
        <f>D167*(($F$116)+1)+(IF(E167&lt;101,E167,IF(E167&lt;201,E167/2,IF(E167&lt;=301,E167/3,E167/4))))</f>
        <v>577.70388000000003</v>
      </c>
      <c r="G167" s="88"/>
      <c r="H167" s="89"/>
      <c r="I167" s="35"/>
      <c r="L167" s="97"/>
      <c r="M167" s="97"/>
      <c r="N167" s="35"/>
    </row>
    <row r="168" spans="1:14" s="57" customFormat="1" ht="15.75" customHeight="1" x14ac:dyDescent="0.25">
      <c r="A168" s="84">
        <f t="shared" si="10"/>
        <v>4</v>
      </c>
      <c r="B168" s="85"/>
      <c r="C168" s="58" t="s">
        <v>199</v>
      </c>
      <c r="D168" s="54">
        <f>(51.1)*(10.764)</f>
        <v>550.04039999999998</v>
      </c>
      <c r="E168" s="58">
        <v>0</v>
      </c>
      <c r="F168" s="58">
        <f>D168*(($F$116)+1)+(IF(E168&lt;101,E168,IF(E168&lt;201,E168/2,IF(E168&lt;=301,E168/3,E168/4))))</f>
        <v>825.06060000000002</v>
      </c>
      <c r="G168" s="88"/>
      <c r="H168" s="89"/>
      <c r="I168" s="35"/>
      <c r="L168" s="97"/>
      <c r="M168" s="97"/>
      <c r="N168" s="35"/>
    </row>
    <row r="169" spans="1:14" s="57" customFormat="1" ht="15.75" customHeight="1" x14ac:dyDescent="0.25">
      <c r="A169" s="83">
        <v>5</v>
      </c>
      <c r="B169" s="83"/>
      <c r="C169" s="58" t="s">
        <v>199</v>
      </c>
      <c r="D169" s="54">
        <f>(35.86)*(10.764)</f>
        <v>385.99703999999997</v>
      </c>
      <c r="E169" s="58">
        <v>0</v>
      </c>
      <c r="F169" s="58">
        <f>D169*(($F$116)+1)+(IF(E169&lt;101,E169,IF(E169&lt;201,E169/2,IF(E169&lt;=301,E169/3,E169/4))))</f>
        <v>578.99555999999995</v>
      </c>
      <c r="G169" s="90"/>
      <c r="H169" s="91"/>
      <c r="I169" s="35"/>
      <c r="N169" s="35"/>
    </row>
    <row r="170" spans="1:14" s="57" customFormat="1" ht="15.75" customHeight="1" x14ac:dyDescent="0.25">
      <c r="A170" s="93" t="s">
        <v>212</v>
      </c>
      <c r="B170" s="94"/>
      <c r="C170" s="94"/>
      <c r="D170" s="94"/>
      <c r="E170" s="94"/>
      <c r="F170" s="94"/>
      <c r="G170" s="94"/>
      <c r="H170" s="95"/>
      <c r="I170" s="35"/>
      <c r="L170" s="97"/>
      <c r="M170" s="97"/>
    </row>
    <row r="171" spans="1:14" s="57" customFormat="1" ht="15.75" customHeight="1" x14ac:dyDescent="0.25">
      <c r="A171" s="84">
        <v>1</v>
      </c>
      <c r="B171" s="85"/>
      <c r="C171" s="58" t="s">
        <v>199</v>
      </c>
      <c r="D171" s="54">
        <f>(35.81)*(10.764)</f>
        <v>385.45884000000001</v>
      </c>
      <c r="E171" s="58">
        <v>0</v>
      </c>
      <c r="F171" s="58">
        <f>D171*(($F$116)+1)+(IF(E171&lt;101,E171,IF(E171&lt;201,E171/2,IF(E171&lt;=301,E171/3,E171/4))))</f>
        <v>578.18826000000001</v>
      </c>
      <c r="G171" s="86" t="str">
        <f>A170</f>
        <v xml:space="preserve">3rd to 7th Floor For Residential </v>
      </c>
      <c r="H171" s="87"/>
      <c r="I171" s="35"/>
      <c r="L171" s="97"/>
      <c r="M171" s="97"/>
      <c r="N171" s="35"/>
    </row>
    <row r="172" spans="1:14" s="57" customFormat="1" ht="15.75" customHeight="1" x14ac:dyDescent="0.25">
      <c r="A172" s="84">
        <f>A171+1</f>
        <v>2</v>
      </c>
      <c r="B172" s="85"/>
      <c r="C172" s="58" t="s">
        <v>199</v>
      </c>
      <c r="D172" s="54">
        <f>(35.81)*(10.764)</f>
        <v>385.45884000000001</v>
      </c>
      <c r="E172" s="58">
        <v>0</v>
      </c>
      <c r="F172" s="58">
        <f>D172*(($F$116)+1)+(IF(E172&lt;101,E172,IF(E172&lt;201,E172/2,IF(E172&lt;=301,E172/3,E172/4))))</f>
        <v>578.18826000000001</v>
      </c>
      <c r="G172" s="88"/>
      <c r="H172" s="89"/>
      <c r="I172" s="35"/>
      <c r="L172" s="97"/>
      <c r="M172" s="97"/>
      <c r="N172" s="35"/>
    </row>
    <row r="173" spans="1:14" s="57" customFormat="1" ht="15.75" customHeight="1" x14ac:dyDescent="0.25">
      <c r="A173" s="84">
        <f t="shared" ref="A173:A174" si="11">A172+1</f>
        <v>3</v>
      </c>
      <c r="B173" s="85"/>
      <c r="C173" s="58" t="s">
        <v>199</v>
      </c>
      <c r="D173" s="54">
        <f>(35.78)*(10.764)</f>
        <v>385.13592</v>
      </c>
      <c r="E173" s="58">
        <v>0</v>
      </c>
      <c r="F173" s="58">
        <f>D173*(($F$116)+1)+(IF(E173&lt;101,E173,IF(E173&lt;201,E173/2,IF(E173&lt;=301,E173/3,E173/4))))</f>
        <v>577.70388000000003</v>
      </c>
      <c r="G173" s="88"/>
      <c r="H173" s="89"/>
      <c r="I173" s="35"/>
      <c r="L173" s="97"/>
      <c r="M173" s="97"/>
      <c r="N173" s="35"/>
    </row>
    <row r="174" spans="1:14" s="57" customFormat="1" ht="15.75" customHeight="1" x14ac:dyDescent="0.25">
      <c r="A174" s="84">
        <f t="shared" si="11"/>
        <v>4</v>
      </c>
      <c r="B174" s="85"/>
      <c r="C174" s="58" t="s">
        <v>199</v>
      </c>
      <c r="D174" s="54">
        <f>(51.1)*(10.764)</f>
        <v>550.04039999999998</v>
      </c>
      <c r="E174" s="58">
        <v>0</v>
      </c>
      <c r="F174" s="58">
        <f>D174*(($F$116)+1)+(IF(E174&lt;101,E174,IF(E174&lt;201,E174/2,IF(E174&lt;=301,E174/3,E174/4))))</f>
        <v>825.06060000000002</v>
      </c>
      <c r="G174" s="88"/>
      <c r="H174" s="89"/>
      <c r="I174" s="35"/>
      <c r="L174" s="97"/>
      <c r="M174" s="97"/>
      <c r="N174" s="35"/>
    </row>
    <row r="175" spans="1:14" s="57" customFormat="1" ht="15.75" customHeight="1" x14ac:dyDescent="0.25">
      <c r="A175" s="83">
        <v>5</v>
      </c>
      <c r="B175" s="83"/>
      <c r="C175" s="58" t="s">
        <v>199</v>
      </c>
      <c r="D175" s="54">
        <f>(35.86)*(10.764)</f>
        <v>385.99703999999997</v>
      </c>
      <c r="E175" s="58">
        <v>0</v>
      </c>
      <c r="F175" s="58">
        <f>D175*(($F$116)+1)+(IF(E175&lt;101,E175,IF(E175&lt;201,E175/2,IF(E175&lt;=301,E175/3,E175/4))))</f>
        <v>578.99555999999995</v>
      </c>
      <c r="G175" s="90"/>
      <c r="H175" s="91"/>
      <c r="I175" s="35"/>
      <c r="N175" s="35"/>
    </row>
    <row r="176" spans="1:14" s="57" customFormat="1" ht="15.75" customHeight="1" x14ac:dyDescent="0.25">
      <c r="A176" s="93" t="s">
        <v>225</v>
      </c>
      <c r="B176" s="94"/>
      <c r="C176" s="94"/>
      <c r="D176" s="94"/>
      <c r="E176" s="94"/>
      <c r="F176" s="94"/>
      <c r="G176" s="94"/>
      <c r="H176" s="95"/>
      <c r="I176" s="35"/>
      <c r="L176" s="97"/>
      <c r="M176" s="97"/>
    </row>
    <row r="177" spans="1:14" s="57" customFormat="1" ht="15.75" customHeight="1" x14ac:dyDescent="0.25">
      <c r="A177" s="84">
        <v>1</v>
      </c>
      <c r="B177" s="85"/>
      <c r="C177" s="58" t="s">
        <v>199</v>
      </c>
      <c r="D177" s="54">
        <f>(36.42)*(10.764)</f>
        <v>392.02488</v>
      </c>
      <c r="E177" s="58">
        <v>0</v>
      </c>
      <c r="F177" s="58">
        <f>D177*(($F$116)+1)+(IF(E177&lt;101,E177,IF(E177&lt;201,E177/2,IF(E177&lt;=301,E177/3,E177/4))))</f>
        <v>588.03732000000002</v>
      </c>
      <c r="G177" s="86" t="str">
        <f>A176</f>
        <v xml:space="preserve">  9th to 14th, 16th to 21st Floor Residential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H177" s="87"/>
      <c r="I177" s="35"/>
      <c r="L177" s="97"/>
      <c r="M177" s="97"/>
      <c r="N177" s="35"/>
    </row>
    <row r="178" spans="1:14" s="57" customFormat="1" ht="15.75" customHeight="1" x14ac:dyDescent="0.25">
      <c r="A178" s="84">
        <f>A177+1</f>
        <v>2</v>
      </c>
      <c r="B178" s="85"/>
      <c r="C178" s="58" t="s">
        <v>199</v>
      </c>
      <c r="D178" s="54">
        <f>(36.42)*(10.764)</f>
        <v>392.02488</v>
      </c>
      <c r="E178" s="58">
        <v>0</v>
      </c>
      <c r="F178" s="58">
        <f>D178*(($F$116)+1)+(IF(E178&lt;101,E178,IF(E178&lt;201,E178/2,IF(E178&lt;=301,E178/3,E178/4))))</f>
        <v>588.03732000000002</v>
      </c>
      <c r="G178" s="88"/>
      <c r="H178" s="89"/>
      <c r="I178" s="35"/>
      <c r="L178" s="97"/>
      <c r="M178" s="97"/>
      <c r="N178" s="35"/>
    </row>
    <row r="179" spans="1:14" s="57" customFormat="1" ht="15.75" customHeight="1" x14ac:dyDescent="0.25">
      <c r="A179" s="84">
        <f t="shared" ref="A179:A180" si="12">A178+1</f>
        <v>3</v>
      </c>
      <c r="B179" s="85"/>
      <c r="C179" s="58" t="s">
        <v>199</v>
      </c>
      <c r="D179" s="54">
        <f>(35.78)*(10.764)</f>
        <v>385.13592</v>
      </c>
      <c r="E179" s="58">
        <v>0</v>
      </c>
      <c r="F179" s="58">
        <f>D179*(($F$116)+1)+(IF(E179&lt;101,E179,IF(E179&lt;201,E179/2,IF(E179&lt;=301,E179/3,E179/4))))</f>
        <v>577.70388000000003</v>
      </c>
      <c r="G179" s="88"/>
      <c r="H179" s="89"/>
      <c r="I179" s="35"/>
      <c r="L179" s="97"/>
      <c r="M179" s="97"/>
      <c r="N179" s="35"/>
    </row>
    <row r="180" spans="1:14" s="57" customFormat="1" ht="15.75" customHeight="1" x14ac:dyDescent="0.25">
      <c r="A180" s="84">
        <f t="shared" si="12"/>
        <v>4</v>
      </c>
      <c r="B180" s="85"/>
      <c r="C180" s="58" t="s">
        <v>199</v>
      </c>
      <c r="D180" s="54">
        <f>(51.1)*(10.764)</f>
        <v>550.04039999999998</v>
      </c>
      <c r="E180" s="58">
        <v>0</v>
      </c>
      <c r="F180" s="58">
        <f>D180*(($F$116)+1)+(IF(E180&lt;101,E180,IF(E180&lt;201,E180/2,IF(E180&lt;=301,E180/3,E180/4))))</f>
        <v>825.06060000000002</v>
      </c>
      <c r="G180" s="88"/>
      <c r="H180" s="89"/>
      <c r="I180" s="35"/>
      <c r="L180" s="97"/>
      <c r="M180" s="97"/>
      <c r="N180" s="35"/>
    </row>
    <row r="181" spans="1:14" s="57" customFormat="1" ht="15.75" customHeight="1" x14ac:dyDescent="0.25">
      <c r="A181" s="83">
        <v>5</v>
      </c>
      <c r="B181" s="83"/>
      <c r="C181" s="58" t="s">
        <v>199</v>
      </c>
      <c r="D181" s="54">
        <f>(35.86)*(10.764)</f>
        <v>385.99703999999997</v>
      </c>
      <c r="E181" s="58">
        <v>0</v>
      </c>
      <c r="F181" s="58">
        <f>D181*(($F$116)+1)+(IF(E181&lt;101,E181,IF(E181&lt;201,E181/2,IF(E181&lt;=301,E181/3,E181/4))))</f>
        <v>578.99555999999995</v>
      </c>
      <c r="G181" s="90"/>
      <c r="H181" s="91"/>
      <c r="I181" s="35"/>
      <c r="N181" s="35"/>
    </row>
    <row r="182" spans="1:14" s="57" customFormat="1" x14ac:dyDescent="0.25">
      <c r="A182" s="93" t="s">
        <v>220</v>
      </c>
      <c r="B182" s="94"/>
      <c r="C182" s="94"/>
      <c r="D182" s="94"/>
      <c r="E182" s="94"/>
      <c r="F182" s="94"/>
      <c r="G182" s="94"/>
      <c r="H182" s="95"/>
      <c r="I182" s="35"/>
    </row>
    <row r="183" spans="1:14" s="60" customFormat="1" ht="15.75" customHeight="1" x14ac:dyDescent="0.25">
      <c r="A183" s="84">
        <v>1</v>
      </c>
      <c r="B183" s="85"/>
      <c r="C183" s="84" t="s">
        <v>223</v>
      </c>
      <c r="D183" s="92"/>
      <c r="E183" s="92"/>
      <c r="F183" s="85"/>
      <c r="G183" s="86" t="str">
        <f>A182</f>
        <v xml:space="preserve">8th &amp; 15th Floor For Residential (Part Refuge Area) </v>
      </c>
      <c r="H183" s="87"/>
      <c r="I183" s="35"/>
      <c r="L183" s="97"/>
      <c r="M183" s="97"/>
      <c r="N183" s="35"/>
    </row>
    <row r="184" spans="1:14" s="57" customFormat="1" ht="15.75" customHeight="1" x14ac:dyDescent="0.25">
      <c r="A184" s="84">
        <v>2</v>
      </c>
      <c r="B184" s="85"/>
      <c r="C184" s="58" t="s">
        <v>199</v>
      </c>
      <c r="D184" s="54">
        <f>(36.42)*(10.764)</f>
        <v>392.02488</v>
      </c>
      <c r="E184" s="58">
        <v>0</v>
      </c>
      <c r="F184" s="58">
        <f>D184*(($F$116)+1)+(IF(E184&lt;101,E184,IF(E184&lt;201,E184/2,IF(E184&lt;=301,E184/3,E184/4))))</f>
        <v>588.03732000000002</v>
      </c>
      <c r="G184" s="88"/>
      <c r="H184" s="89"/>
      <c r="I184" s="35"/>
      <c r="L184" s="97"/>
      <c r="M184" s="97"/>
      <c r="N184" s="35"/>
    </row>
    <row r="185" spans="1:14" s="57" customFormat="1" ht="15.75" customHeight="1" x14ac:dyDescent="0.25">
      <c r="A185" s="84">
        <f t="shared" ref="A185:A186" si="13">A184+1</f>
        <v>3</v>
      </c>
      <c r="B185" s="85"/>
      <c r="C185" s="58" t="s">
        <v>199</v>
      </c>
      <c r="D185" s="54">
        <f>(37.25)*(10.764)</f>
        <v>400.959</v>
      </c>
      <c r="E185" s="58">
        <v>0</v>
      </c>
      <c r="F185" s="58">
        <f>D185*(($F$116)+1)+(IF(E185&lt;101,E185,IF(E185&lt;201,E185/2,IF(E185&lt;=301,E185/3,E185/4))))</f>
        <v>601.43849999999998</v>
      </c>
      <c r="G185" s="88"/>
      <c r="H185" s="89"/>
      <c r="I185" s="35"/>
      <c r="L185" s="97"/>
      <c r="M185" s="97"/>
      <c r="N185" s="35"/>
    </row>
    <row r="186" spans="1:14" s="57" customFormat="1" ht="15.75" customHeight="1" x14ac:dyDescent="0.25">
      <c r="A186" s="84">
        <f t="shared" si="13"/>
        <v>4</v>
      </c>
      <c r="B186" s="85"/>
      <c r="C186" s="58" t="s">
        <v>199</v>
      </c>
      <c r="D186" s="54">
        <f>(52.59)*(10.764)</f>
        <v>566.07875999999999</v>
      </c>
      <c r="E186" s="58">
        <v>0</v>
      </c>
      <c r="F186" s="58">
        <f>D186*(($F$116)+1)+(IF(E186&lt;101,E186,IF(E186&lt;201,E186/2,IF(E186&lt;=301,E186/3,E186/4))))</f>
        <v>849.11814000000004</v>
      </c>
      <c r="G186" s="88"/>
      <c r="H186" s="89"/>
      <c r="I186" s="35"/>
      <c r="L186" s="97"/>
      <c r="M186" s="97"/>
      <c r="N186" s="35"/>
    </row>
    <row r="187" spans="1:14" s="57" customFormat="1" ht="15.75" customHeight="1" x14ac:dyDescent="0.25">
      <c r="A187" s="83">
        <v>5</v>
      </c>
      <c r="B187" s="83"/>
      <c r="C187" s="58" t="s">
        <v>199</v>
      </c>
      <c r="D187" s="54">
        <f>(36.48)*(10.764)</f>
        <v>392.67071999999996</v>
      </c>
      <c r="E187" s="58">
        <v>0</v>
      </c>
      <c r="F187" s="58">
        <f>D187*(($F$116)+1)+(IF(E187&lt;101,E187,IF(E187&lt;201,E187/2,IF(E187&lt;=301,E187/3,E187/4))))</f>
        <v>589.00607999999988</v>
      </c>
      <c r="G187" s="90"/>
      <c r="H187" s="91"/>
      <c r="I187" s="35"/>
      <c r="N187" s="35"/>
    </row>
    <row r="188" spans="1:14" s="57" customFormat="1" x14ac:dyDescent="0.25">
      <c r="A188" s="96" t="s">
        <v>221</v>
      </c>
      <c r="B188" s="96"/>
      <c r="C188" s="96"/>
      <c r="D188" s="96"/>
      <c r="E188" s="96"/>
      <c r="F188" s="96"/>
      <c r="G188" s="96"/>
      <c r="H188" s="96"/>
      <c r="I188" s="35"/>
    </row>
    <row r="189" spans="1:14" s="60" customFormat="1" ht="15.75" customHeight="1" x14ac:dyDescent="0.25">
      <c r="A189" s="83">
        <v>1</v>
      </c>
      <c r="B189" s="83"/>
      <c r="C189" s="83" t="s">
        <v>223</v>
      </c>
      <c r="D189" s="83"/>
      <c r="E189" s="83"/>
      <c r="F189" s="83"/>
      <c r="G189" s="83" t="str">
        <f>A188</f>
        <v xml:space="preserve">22nd Floor For Residential (Part Refuge Area) </v>
      </c>
      <c r="H189" s="83"/>
      <c r="I189" s="35"/>
      <c r="L189" s="97"/>
      <c r="M189" s="97"/>
      <c r="N189" s="35"/>
    </row>
    <row r="190" spans="1:14" s="57" customFormat="1" ht="15.75" customHeight="1" x14ac:dyDescent="0.25">
      <c r="A190" s="83">
        <v>2</v>
      </c>
      <c r="B190" s="83"/>
      <c r="C190" s="66" t="s">
        <v>200</v>
      </c>
      <c r="D190" s="54">
        <f>(61.3)*(10.764)</f>
        <v>659.83319999999992</v>
      </c>
      <c r="E190" s="66">
        <v>0</v>
      </c>
      <c r="F190" s="66">
        <f>D190*(($F$116)+1)+(IF(E190&lt;101,E190,IF(E190&lt;201,E190/2,IF(E190&lt;=301,E190/3,E190/4))))</f>
        <v>989.74979999999982</v>
      </c>
      <c r="G190" s="83"/>
      <c r="H190" s="83"/>
      <c r="I190" s="35"/>
      <c r="L190" s="97"/>
      <c r="M190" s="97"/>
      <c r="N190" s="35"/>
    </row>
    <row r="191" spans="1:14" s="57" customFormat="1" ht="15.75" customHeight="1" x14ac:dyDescent="0.25">
      <c r="A191" s="83">
        <f t="shared" ref="A191:A192" si="14">A190+1</f>
        <v>3</v>
      </c>
      <c r="B191" s="83"/>
      <c r="C191" s="66" t="s">
        <v>199</v>
      </c>
      <c r="D191" s="54">
        <f>(37.25)*(10.764)</f>
        <v>400.959</v>
      </c>
      <c r="E191" s="66">
        <v>0</v>
      </c>
      <c r="F191" s="66">
        <f>D191*(($F$116)+1)+(IF(E191&lt;101,E191,IF(E191&lt;201,E191/2,IF(E191&lt;=301,E191/3,E191/4))))</f>
        <v>601.43849999999998</v>
      </c>
      <c r="G191" s="83"/>
      <c r="H191" s="83"/>
      <c r="I191" s="35"/>
      <c r="L191" s="97"/>
      <c r="M191" s="97"/>
      <c r="N191" s="35"/>
    </row>
    <row r="192" spans="1:14" s="57" customFormat="1" ht="15.75" customHeight="1" x14ac:dyDescent="0.25">
      <c r="A192" s="83">
        <f t="shared" si="14"/>
        <v>4</v>
      </c>
      <c r="B192" s="83"/>
      <c r="C192" s="66" t="s">
        <v>199</v>
      </c>
      <c r="D192" s="54">
        <f>(52.59)*(10.764)</f>
        <v>566.07875999999999</v>
      </c>
      <c r="E192" s="66">
        <v>0</v>
      </c>
      <c r="F192" s="66">
        <f>D192*(($F$116)+1)+(IF(E192&lt;101,E192,IF(E192&lt;201,E192/2,IF(E192&lt;=301,E192/3,E192/4))))</f>
        <v>849.11814000000004</v>
      </c>
      <c r="G192" s="83"/>
      <c r="H192" s="83"/>
      <c r="I192" s="35"/>
      <c r="L192" s="97"/>
      <c r="M192" s="97"/>
      <c r="N192" s="35"/>
    </row>
    <row r="193" spans="1:14" s="57" customFormat="1" ht="15.75" customHeight="1" x14ac:dyDescent="0.25">
      <c r="A193" s="83">
        <v>5</v>
      </c>
      <c r="B193" s="83"/>
      <c r="C193" s="66" t="s">
        <v>199</v>
      </c>
      <c r="D193" s="54">
        <f>(35.48)*(10.764)</f>
        <v>381.90671999999995</v>
      </c>
      <c r="E193" s="66">
        <v>0</v>
      </c>
      <c r="F193" s="66">
        <f>D193*(($F$116)+1)+(IF(E193&lt;101,E193,IF(E193&lt;201,E193/2,IF(E193&lt;=301,E193/3,E193/4))))</f>
        <v>572.86007999999993</v>
      </c>
      <c r="G193" s="83"/>
      <c r="H193" s="83"/>
      <c r="I193" s="35"/>
      <c r="N193" s="35"/>
    </row>
    <row r="194" spans="1:14" s="57" customFormat="1" x14ac:dyDescent="0.25">
      <c r="A194" s="96" t="s">
        <v>222</v>
      </c>
      <c r="B194" s="96"/>
      <c r="C194" s="96"/>
      <c r="D194" s="96"/>
      <c r="E194" s="96"/>
      <c r="F194" s="96"/>
      <c r="G194" s="96"/>
      <c r="H194" s="96"/>
      <c r="I194" s="35"/>
    </row>
    <row r="195" spans="1:14" s="57" customFormat="1" ht="15.75" customHeight="1" x14ac:dyDescent="0.25">
      <c r="A195" s="83">
        <v>1</v>
      </c>
      <c r="B195" s="83"/>
      <c r="C195" s="66" t="s">
        <v>199</v>
      </c>
      <c r="D195" s="54">
        <f>(35.81)*(10.764)</f>
        <v>385.45884000000001</v>
      </c>
      <c r="E195" s="66">
        <v>0</v>
      </c>
      <c r="F195" s="66">
        <f>D195*(($F$116)+1)+(IF(E195&lt;101,E195,IF(E195&lt;201,E195/2,IF(E195&lt;=301,E195/3,E195/4))))</f>
        <v>578.18826000000001</v>
      </c>
      <c r="G195" s="83" t="str">
        <f>A194</f>
        <v>23rd Floor For Residential &amp; Fitness Centre</v>
      </c>
      <c r="H195" s="83"/>
      <c r="I195" s="35"/>
      <c r="L195" s="97"/>
      <c r="M195" s="97"/>
      <c r="N195" s="35"/>
    </row>
    <row r="196" spans="1:14" s="57" customFormat="1" ht="15.75" customHeight="1" x14ac:dyDescent="0.25">
      <c r="A196" s="83">
        <f>A195+1</f>
        <v>2</v>
      </c>
      <c r="B196" s="83"/>
      <c r="C196" s="66" t="s">
        <v>199</v>
      </c>
      <c r="D196" s="54">
        <f>(37.25)*(10.764)</f>
        <v>400.959</v>
      </c>
      <c r="E196" s="66">
        <v>0</v>
      </c>
      <c r="F196" s="66">
        <f>D196*(($F$116)+1)+(IF(E196&lt;101,E196,IF(E196&lt;201,E196/2,IF(E196&lt;=301,E196/3,E196/4))))</f>
        <v>601.43849999999998</v>
      </c>
      <c r="G196" s="83"/>
      <c r="H196" s="83"/>
      <c r="I196" s="35"/>
      <c r="L196" s="97"/>
      <c r="M196" s="97"/>
      <c r="N196" s="35"/>
    </row>
    <row r="197" spans="1:14" s="60" customFormat="1" ht="17.25" customHeight="1" x14ac:dyDescent="0.25">
      <c r="A197" s="83">
        <v>3</v>
      </c>
      <c r="B197" s="83"/>
      <c r="C197" s="83" t="s">
        <v>219</v>
      </c>
      <c r="D197" s="83"/>
      <c r="E197" s="83"/>
      <c r="F197" s="83"/>
      <c r="G197" s="83"/>
      <c r="H197" s="83"/>
      <c r="I197" s="35"/>
      <c r="N197" s="35"/>
    </row>
    <row r="198" spans="1:14" s="60" customFormat="1" ht="17.25" customHeight="1" x14ac:dyDescent="0.25">
      <c r="A198" s="83">
        <v>4</v>
      </c>
      <c r="B198" s="83"/>
      <c r="C198" s="83"/>
      <c r="D198" s="83"/>
      <c r="E198" s="83"/>
      <c r="F198" s="83"/>
      <c r="G198" s="83"/>
      <c r="H198" s="83"/>
      <c r="I198" s="35"/>
      <c r="N198" s="35"/>
    </row>
    <row r="199" spans="1:14" s="57" customFormat="1" ht="15.75" customHeight="1" x14ac:dyDescent="0.25">
      <c r="A199" s="83">
        <v>5</v>
      </c>
      <c r="B199" s="83"/>
      <c r="C199" s="66" t="s">
        <v>199</v>
      </c>
      <c r="D199" s="54">
        <f>(36.48)*(10.764)</f>
        <v>392.67071999999996</v>
      </c>
      <c r="E199" s="66">
        <v>0</v>
      </c>
      <c r="F199" s="66">
        <f>D199*(($F$116)+1)+(IF(E199&lt;101,E199,IF(E199&lt;201,E199/2,IF(E199&lt;=301,E199/3,E199/4))))</f>
        <v>589.00607999999988</v>
      </c>
      <c r="G199" s="83"/>
      <c r="H199" s="83"/>
      <c r="I199" s="35"/>
      <c r="N199" s="35"/>
    </row>
    <row r="200" spans="1:14" s="34" customFormat="1" x14ac:dyDescent="0.25">
      <c r="A200" s="80" t="s">
        <v>72</v>
      </c>
      <c r="B200" s="81"/>
      <c r="C200" s="81"/>
      <c r="D200" s="81"/>
      <c r="E200" s="81"/>
      <c r="F200" s="81"/>
      <c r="G200" s="81"/>
      <c r="H200" s="82"/>
    </row>
    <row r="201" spans="1:14" s="34" customFormat="1" x14ac:dyDescent="0.25">
      <c r="A201" s="45" t="s">
        <v>157</v>
      </c>
      <c r="B201" s="214" t="s">
        <v>238</v>
      </c>
      <c r="C201" s="215"/>
      <c r="D201" s="215"/>
      <c r="E201" s="215"/>
      <c r="F201" s="215"/>
      <c r="G201" s="215"/>
      <c r="H201" s="216"/>
    </row>
    <row r="202" spans="1:14" s="34" customFormat="1" ht="15.75" customHeight="1" x14ac:dyDescent="0.25">
      <c r="A202" s="45" t="s">
        <v>157</v>
      </c>
      <c r="B202" s="77" t="str">
        <f>(IF(F115="Saleable area Loading :","We have considered Saleable area of Flats as per our Calculation.","We considered Saleable area of Flat as per Builder area Sheet."))</f>
        <v>We have considered Saleable area of Flats as per our Calculation.</v>
      </c>
      <c r="C202" s="78"/>
      <c r="D202" s="78"/>
      <c r="E202" s="78"/>
      <c r="F202" s="78"/>
      <c r="G202" s="78"/>
      <c r="H202" s="79"/>
    </row>
    <row r="203" spans="1:14" s="34" customFormat="1" ht="15.75" customHeight="1" x14ac:dyDescent="0.25">
      <c r="A203" s="45" t="s">
        <v>157</v>
      </c>
      <c r="B203" s="74" t="s">
        <v>127</v>
      </c>
      <c r="C203" s="75"/>
      <c r="D203" s="75"/>
      <c r="E203" s="75"/>
      <c r="F203" s="75"/>
      <c r="G203" s="75"/>
      <c r="H203" s="76"/>
    </row>
    <row r="204" spans="1:14" s="34" customFormat="1" ht="15.75" customHeight="1" x14ac:dyDescent="0.25">
      <c r="A204" s="45" t="s">
        <v>157</v>
      </c>
      <c r="B204" s="74" t="s">
        <v>206</v>
      </c>
      <c r="C204" s="75"/>
      <c r="D204" s="75"/>
      <c r="E204" s="75"/>
      <c r="F204" s="75"/>
      <c r="G204" s="75"/>
      <c r="H204" s="76"/>
    </row>
    <row r="205" spans="1:14" s="34" customFormat="1" ht="15.75" customHeight="1" x14ac:dyDescent="0.25">
      <c r="A205" s="45" t="s">
        <v>157</v>
      </c>
      <c r="B205" s="74" t="s">
        <v>156</v>
      </c>
      <c r="C205" s="75"/>
      <c r="D205" s="75"/>
      <c r="E205" s="75"/>
      <c r="F205" s="75"/>
      <c r="G205" s="75"/>
      <c r="H205" s="76"/>
    </row>
    <row r="206" spans="1:14" s="34" customFormat="1" ht="15.75" customHeight="1" x14ac:dyDescent="0.25">
      <c r="A206" s="45" t="s">
        <v>157</v>
      </c>
      <c r="B206" s="74" t="s">
        <v>128</v>
      </c>
      <c r="C206" s="75"/>
      <c r="D206" s="75"/>
      <c r="E206" s="75"/>
      <c r="F206" s="75"/>
      <c r="G206" s="75"/>
      <c r="H206" s="76"/>
    </row>
    <row r="207" spans="1:14" s="34" customFormat="1" ht="34.5" customHeight="1" x14ac:dyDescent="0.25">
      <c r="A207" s="45" t="s">
        <v>157</v>
      </c>
      <c r="B207" s="74" t="s">
        <v>158</v>
      </c>
      <c r="C207" s="75"/>
      <c r="D207" s="75"/>
      <c r="E207" s="75"/>
      <c r="F207" s="75"/>
      <c r="G207" s="75"/>
      <c r="H207" s="76"/>
    </row>
    <row r="208" spans="1:14" s="34" customFormat="1" ht="15.75" customHeight="1" x14ac:dyDescent="0.25">
      <c r="A208" s="45" t="s">
        <v>157</v>
      </c>
      <c r="B208" s="74" t="s">
        <v>129</v>
      </c>
      <c r="C208" s="75"/>
      <c r="D208" s="75"/>
      <c r="E208" s="75"/>
      <c r="F208" s="75"/>
      <c r="G208" s="75"/>
      <c r="H208" s="76"/>
    </row>
    <row r="209" spans="1:8" s="34" customFormat="1" ht="15.75" customHeight="1" x14ac:dyDescent="0.25">
      <c r="A209" s="59" t="s">
        <v>157</v>
      </c>
      <c r="B209" s="74" t="s">
        <v>217</v>
      </c>
      <c r="C209" s="75"/>
      <c r="D209" s="75"/>
      <c r="E209" s="75"/>
      <c r="F209" s="75"/>
      <c r="G209" s="75"/>
      <c r="H209" s="76"/>
    </row>
    <row r="210" spans="1:8" s="34" customFormat="1" ht="15.75" customHeight="1" x14ac:dyDescent="0.25">
      <c r="A210" s="61" t="s">
        <v>157</v>
      </c>
      <c r="B210" s="74" t="s">
        <v>231</v>
      </c>
      <c r="C210" s="75"/>
      <c r="D210" s="75"/>
      <c r="E210" s="75"/>
      <c r="F210" s="75"/>
      <c r="G210" s="75"/>
      <c r="H210" s="76"/>
    </row>
    <row r="211" spans="1:8" s="34" customFormat="1" ht="15.75" customHeight="1" x14ac:dyDescent="0.25">
      <c r="A211" s="56" t="s">
        <v>157</v>
      </c>
      <c r="B211" s="74" t="s">
        <v>232</v>
      </c>
      <c r="C211" s="75"/>
      <c r="D211" s="75"/>
      <c r="E211" s="75"/>
      <c r="F211" s="75"/>
      <c r="G211" s="75"/>
      <c r="H211" s="76"/>
    </row>
    <row r="212" spans="1:8" s="34" customFormat="1" ht="15.75" customHeight="1" x14ac:dyDescent="0.25">
      <c r="A212" s="64" t="s">
        <v>157</v>
      </c>
      <c r="B212" s="74" t="s">
        <v>233</v>
      </c>
      <c r="C212" s="75"/>
      <c r="D212" s="75"/>
      <c r="E212" s="75"/>
      <c r="F212" s="75"/>
      <c r="G212" s="75"/>
      <c r="H212" s="76"/>
    </row>
    <row r="213" spans="1:8" s="34" customFormat="1" ht="15.75" customHeight="1" x14ac:dyDescent="0.25">
      <c r="A213" s="65" t="s">
        <v>157</v>
      </c>
      <c r="B213" s="74" t="s">
        <v>237</v>
      </c>
      <c r="C213" s="75"/>
      <c r="D213" s="75"/>
      <c r="E213" s="75"/>
      <c r="F213" s="75"/>
      <c r="G213" s="75"/>
      <c r="H213" s="76"/>
    </row>
    <row r="214" spans="1:8" x14ac:dyDescent="0.25">
      <c r="A214" s="150" t="s">
        <v>65</v>
      </c>
      <c r="B214" s="151"/>
      <c r="C214" s="151"/>
      <c r="D214" s="151"/>
      <c r="E214" s="151"/>
      <c r="F214" s="151"/>
      <c r="G214" s="151"/>
      <c r="H214" s="152"/>
    </row>
    <row r="215" spans="1:8" x14ac:dyDescent="0.25">
      <c r="A215" s="144" t="s">
        <v>66</v>
      </c>
      <c r="B215" s="145"/>
      <c r="C215" s="145"/>
      <c r="D215" s="145"/>
      <c r="E215" s="145"/>
      <c r="F215" s="145"/>
      <c r="G215" s="145"/>
      <c r="H215" s="146"/>
    </row>
    <row r="216" spans="1:8" ht="15.75" customHeight="1" x14ac:dyDescent="0.25">
      <c r="A216" s="147" t="s">
        <v>67</v>
      </c>
      <c r="B216" s="148"/>
      <c r="C216" s="148"/>
      <c r="D216" s="148"/>
      <c r="E216" s="148"/>
      <c r="F216" s="148"/>
      <c r="G216" s="148"/>
      <c r="H216" s="149"/>
    </row>
    <row r="217" spans="1:8" x14ac:dyDescent="0.25">
      <c r="A217" s="144" t="s">
        <v>68</v>
      </c>
      <c r="B217" s="145"/>
      <c r="C217" s="145"/>
      <c r="D217" s="145"/>
      <c r="E217" s="145"/>
      <c r="F217" s="145"/>
      <c r="G217" s="145"/>
      <c r="H217" s="146"/>
    </row>
    <row r="218" spans="1:8" x14ac:dyDescent="0.25">
      <c r="A218" s="144" t="s">
        <v>69</v>
      </c>
      <c r="B218" s="145"/>
      <c r="C218" s="145"/>
      <c r="D218" s="145"/>
      <c r="E218" s="145"/>
      <c r="F218" s="145"/>
      <c r="G218" s="145"/>
      <c r="H218" s="146"/>
    </row>
    <row r="219" spans="1:8" x14ac:dyDescent="0.25">
      <c r="A219" s="144" t="s">
        <v>130</v>
      </c>
      <c r="B219" s="145"/>
      <c r="C219" s="145"/>
      <c r="D219" s="145"/>
      <c r="E219" s="145"/>
      <c r="F219" s="145"/>
      <c r="G219" s="145"/>
      <c r="H219" s="146"/>
    </row>
    <row r="220" spans="1:8" ht="15.75" customHeight="1" x14ac:dyDescent="0.25">
      <c r="A220" s="116" t="s">
        <v>131</v>
      </c>
      <c r="B220" s="117"/>
      <c r="C220" s="117"/>
      <c r="D220" s="117"/>
      <c r="E220" s="117"/>
      <c r="F220" s="117"/>
      <c r="G220" s="117"/>
      <c r="H220" s="118"/>
    </row>
    <row r="221" spans="1:8" x14ac:dyDescent="0.25">
      <c r="A221" s="143" t="s">
        <v>81</v>
      </c>
      <c r="B221" s="143"/>
      <c r="C221" s="143" t="s">
        <v>240</v>
      </c>
      <c r="D221" s="143"/>
      <c r="E221" s="143" t="s">
        <v>110</v>
      </c>
      <c r="F221" s="143"/>
      <c r="G221" s="143" t="s">
        <v>239</v>
      </c>
      <c r="H221" s="143"/>
    </row>
    <row r="222" spans="1:8" ht="15.75" customHeight="1" x14ac:dyDescent="0.25">
      <c r="A222" s="134" t="s">
        <v>83</v>
      </c>
      <c r="B222" s="135"/>
      <c r="C222" s="135"/>
      <c r="D222" s="135"/>
      <c r="E222" s="135"/>
      <c r="F222" s="135"/>
      <c r="G222" s="135"/>
      <c r="H222" s="136"/>
    </row>
    <row r="223" spans="1:8" x14ac:dyDescent="0.25">
      <c r="A223" s="137"/>
      <c r="B223" s="138"/>
      <c r="C223" s="138"/>
      <c r="D223" s="138"/>
      <c r="E223" s="138"/>
      <c r="F223" s="138"/>
      <c r="G223" s="138"/>
      <c r="H223" s="139"/>
    </row>
    <row r="224" spans="1:8" x14ac:dyDescent="0.25">
      <c r="A224" s="137"/>
      <c r="B224" s="138"/>
      <c r="C224" s="138"/>
      <c r="D224" s="138"/>
      <c r="E224" s="138"/>
      <c r="F224" s="138"/>
      <c r="G224" s="138"/>
      <c r="H224" s="139"/>
    </row>
    <row r="225" spans="1:8" x14ac:dyDescent="0.25">
      <c r="A225" s="140"/>
      <c r="B225" s="141"/>
      <c r="C225" s="141"/>
      <c r="D225" s="141"/>
      <c r="E225" s="141"/>
      <c r="F225" s="141"/>
      <c r="G225" s="141"/>
      <c r="H225" s="142"/>
    </row>
    <row r="226" spans="1:8" x14ac:dyDescent="0.25">
      <c r="A226" s="37" t="s">
        <v>70</v>
      </c>
      <c r="B226" s="38"/>
      <c r="C226" s="38"/>
      <c r="D226" s="37" t="str">
        <f>E8</f>
        <v>Sethia Marine View</v>
      </c>
      <c r="F226" s="38"/>
      <c r="G226" s="38"/>
      <c r="H226" s="38"/>
    </row>
    <row r="227" spans="1:8" x14ac:dyDescent="0.25">
      <c r="A227" s="38"/>
      <c r="B227" s="38"/>
      <c r="C227" s="38"/>
      <c r="D227" s="38"/>
      <c r="E227" s="38"/>
      <c r="F227" s="38"/>
      <c r="G227" s="38"/>
      <c r="H227" s="38"/>
    </row>
    <row r="228" spans="1:8" x14ac:dyDescent="0.25">
      <c r="A228" s="38"/>
      <c r="B228" s="38"/>
      <c r="C228" s="38"/>
      <c r="D228" s="38"/>
      <c r="E228" s="38"/>
      <c r="F228" s="38"/>
      <c r="G228" s="38"/>
      <c r="H228" s="38"/>
    </row>
    <row r="229" spans="1:8" ht="15" customHeight="1" x14ac:dyDescent="0.25"/>
    <row r="270" spans="1:1" x14ac:dyDescent="0.25">
      <c r="A270" s="40" t="s">
        <v>171</v>
      </c>
    </row>
    <row r="273" spans="1:1" x14ac:dyDescent="0.25">
      <c r="A273" s="40"/>
    </row>
    <row r="312" spans="1:1" x14ac:dyDescent="0.25">
      <c r="A312" s="40" t="s">
        <v>71</v>
      </c>
    </row>
  </sheetData>
  <mergeCells count="392">
    <mergeCell ref="F96:H96"/>
    <mergeCell ref="A96:E96"/>
    <mergeCell ref="A98:E98"/>
    <mergeCell ref="A99:E99"/>
    <mergeCell ref="A82:B82"/>
    <mergeCell ref="C82:H82"/>
    <mergeCell ref="A83:B83"/>
    <mergeCell ref="E83:F83"/>
    <mergeCell ref="G83:H83"/>
    <mergeCell ref="L121:M121"/>
    <mergeCell ref="A115:A116"/>
    <mergeCell ref="A126:B126"/>
    <mergeCell ref="A123:B123"/>
    <mergeCell ref="A124:B124"/>
    <mergeCell ref="A125:B125"/>
    <mergeCell ref="A120:B120"/>
    <mergeCell ref="B115:B116"/>
    <mergeCell ref="G112:H112"/>
    <mergeCell ref="A112:B112"/>
    <mergeCell ref="E112:F112"/>
    <mergeCell ref="L119:M119"/>
    <mergeCell ref="A117:H117"/>
    <mergeCell ref="A119:H119"/>
    <mergeCell ref="A113:H113"/>
    <mergeCell ref="A114:H114"/>
    <mergeCell ref="G120:H120"/>
    <mergeCell ref="G122:H126"/>
    <mergeCell ref="A100:E100"/>
    <mergeCell ref="F100:H100"/>
    <mergeCell ref="A101:E101"/>
    <mergeCell ref="F101:H101"/>
    <mergeCell ref="A95:E95"/>
    <mergeCell ref="A103:E103"/>
    <mergeCell ref="F97:H97"/>
    <mergeCell ref="A84:B84"/>
    <mergeCell ref="E84:F93"/>
    <mergeCell ref="A91:B91"/>
    <mergeCell ref="A92:B92"/>
    <mergeCell ref="A93:B93"/>
    <mergeCell ref="F94:H94"/>
    <mergeCell ref="F99:H99"/>
    <mergeCell ref="A102:E102"/>
    <mergeCell ref="A97:E97"/>
    <mergeCell ref="A94:E94"/>
    <mergeCell ref="F98:H98"/>
    <mergeCell ref="F102:H102"/>
    <mergeCell ref="F103:H103"/>
    <mergeCell ref="G84:H93"/>
    <mergeCell ref="A85:B85"/>
    <mergeCell ref="A86:B86"/>
    <mergeCell ref="A87:B87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A63:C63"/>
    <mergeCell ref="D63:H63"/>
    <mergeCell ref="A64:C64"/>
    <mergeCell ref="E70:F79"/>
    <mergeCell ref="G70:H79"/>
    <mergeCell ref="A78:B78"/>
    <mergeCell ref="D64:H64"/>
    <mergeCell ref="A70:B70"/>
    <mergeCell ref="G69:H69"/>
    <mergeCell ref="G48:H48"/>
    <mergeCell ref="A36:H36"/>
    <mergeCell ref="A35:B35"/>
    <mergeCell ref="C35:E35"/>
    <mergeCell ref="A40:D40"/>
    <mergeCell ref="E40:H40"/>
    <mergeCell ref="A45:D45"/>
    <mergeCell ref="A46:H46"/>
    <mergeCell ref="A47:B47"/>
    <mergeCell ref="C47:H47"/>
    <mergeCell ref="A39:H39"/>
    <mergeCell ref="F32:H32"/>
    <mergeCell ref="F33:H33"/>
    <mergeCell ref="A59:C59"/>
    <mergeCell ref="A60:C60"/>
    <mergeCell ref="D59:H59"/>
    <mergeCell ref="D60:H60"/>
    <mergeCell ref="A42:D42"/>
    <mergeCell ref="E42:H42"/>
    <mergeCell ref="E43:H43"/>
    <mergeCell ref="E44:H44"/>
    <mergeCell ref="E45:H45"/>
    <mergeCell ref="A43:D43"/>
    <mergeCell ref="D54:H54"/>
    <mergeCell ref="A56:C56"/>
    <mergeCell ref="A48:B48"/>
    <mergeCell ref="C48:E48"/>
    <mergeCell ref="F35:H35"/>
    <mergeCell ref="A37:B37"/>
    <mergeCell ref="E37:F37"/>
    <mergeCell ref="C37:D37"/>
    <mergeCell ref="A38:B38"/>
    <mergeCell ref="G37:H37"/>
    <mergeCell ref="A44:D44"/>
    <mergeCell ref="C38:H38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110:B110"/>
    <mergeCell ref="A108:H10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G52:H52"/>
    <mergeCell ref="D56:H56"/>
    <mergeCell ref="A7:D7"/>
    <mergeCell ref="E7:H7"/>
    <mergeCell ref="A15:B15"/>
    <mergeCell ref="A12:D12"/>
    <mergeCell ref="G110:H110"/>
    <mergeCell ref="F105:H105"/>
    <mergeCell ref="A57:C58"/>
    <mergeCell ref="B208:H208"/>
    <mergeCell ref="B206:H206"/>
    <mergeCell ref="B212:H212"/>
    <mergeCell ref="B213:H213"/>
    <mergeCell ref="A104:E104"/>
    <mergeCell ref="C115:C116"/>
    <mergeCell ref="C112:D112"/>
    <mergeCell ref="A118:H118"/>
    <mergeCell ref="F104:H104"/>
    <mergeCell ref="A111:B111"/>
    <mergeCell ref="C111:D111"/>
    <mergeCell ref="E111:F111"/>
    <mergeCell ref="G111:H111"/>
    <mergeCell ref="C109:D109"/>
    <mergeCell ref="G109:H109"/>
    <mergeCell ref="C110:D110"/>
    <mergeCell ref="E110:F110"/>
    <mergeCell ref="A105:E105"/>
    <mergeCell ref="A106:E106"/>
    <mergeCell ref="F106:H106"/>
    <mergeCell ref="A107:E107"/>
    <mergeCell ref="A222:H225"/>
    <mergeCell ref="A221:B221"/>
    <mergeCell ref="E221:F221"/>
    <mergeCell ref="C221:D221"/>
    <mergeCell ref="G221:H221"/>
    <mergeCell ref="A220:H220"/>
    <mergeCell ref="A218:H218"/>
    <mergeCell ref="B207:H207"/>
    <mergeCell ref="B205:H205"/>
    <mergeCell ref="B210:H210"/>
    <mergeCell ref="A219:H219"/>
    <mergeCell ref="A217:H217"/>
    <mergeCell ref="A216:H216"/>
    <mergeCell ref="A215:H215"/>
    <mergeCell ref="A214:H214"/>
    <mergeCell ref="B211:H211"/>
    <mergeCell ref="E109:F109"/>
    <mergeCell ref="D57:H57"/>
    <mergeCell ref="D58:H58"/>
    <mergeCell ref="C49:E49"/>
    <mergeCell ref="A52:B52"/>
    <mergeCell ref="C52:E52"/>
    <mergeCell ref="A49:B49"/>
    <mergeCell ref="A53:H53"/>
    <mergeCell ref="A54:C54"/>
    <mergeCell ref="A55:C55"/>
    <mergeCell ref="D55:H55"/>
    <mergeCell ref="G49:H49"/>
    <mergeCell ref="A79:B79"/>
    <mergeCell ref="A77:B77"/>
    <mergeCell ref="A76:B76"/>
    <mergeCell ref="A69:B69"/>
    <mergeCell ref="G50:H50"/>
    <mergeCell ref="C51:E51"/>
    <mergeCell ref="G51:H51"/>
    <mergeCell ref="F107:H107"/>
    <mergeCell ref="A72:B72"/>
    <mergeCell ref="A68:B68"/>
    <mergeCell ref="A66:B66"/>
    <mergeCell ref="C66:H66"/>
    <mergeCell ref="A139:H139"/>
    <mergeCell ref="A150:B150"/>
    <mergeCell ref="A153:B153"/>
    <mergeCell ref="A154:B154"/>
    <mergeCell ref="A140:B140"/>
    <mergeCell ref="A121:H121"/>
    <mergeCell ref="A16:B16"/>
    <mergeCell ref="C16:H16"/>
    <mergeCell ref="E41:H41"/>
    <mergeCell ref="A41:D41"/>
    <mergeCell ref="A122:B122"/>
    <mergeCell ref="A109:B109"/>
    <mergeCell ref="D115:D116"/>
    <mergeCell ref="E115:E116"/>
    <mergeCell ref="G115:H116"/>
    <mergeCell ref="A88:B88"/>
    <mergeCell ref="A89:B89"/>
    <mergeCell ref="A90:B90"/>
    <mergeCell ref="A80:B80"/>
    <mergeCell ref="C80:H80"/>
    <mergeCell ref="A75:B75"/>
    <mergeCell ref="F95:H95"/>
    <mergeCell ref="A50:B51"/>
    <mergeCell ref="C50:E50"/>
    <mergeCell ref="B204:H204"/>
    <mergeCell ref="B209:H209"/>
    <mergeCell ref="L162:M162"/>
    <mergeCell ref="A133:H133"/>
    <mergeCell ref="L133:M133"/>
    <mergeCell ref="A134:B134"/>
    <mergeCell ref="G134:H138"/>
    <mergeCell ref="A135:B135"/>
    <mergeCell ref="A136:B136"/>
    <mergeCell ref="A137:B137"/>
    <mergeCell ref="A138:B138"/>
    <mergeCell ref="A158:H158"/>
    <mergeCell ref="A141:B141"/>
    <mergeCell ref="A142:B142"/>
    <mergeCell ref="A143:B143"/>
    <mergeCell ref="L158:M158"/>
    <mergeCell ref="A155:H155"/>
    <mergeCell ref="A157:H157"/>
    <mergeCell ref="A156:H156"/>
    <mergeCell ref="A148:B148"/>
    <mergeCell ref="L176:M176"/>
    <mergeCell ref="A164:H164"/>
    <mergeCell ref="L164:M164"/>
    <mergeCell ref="A165:B165"/>
    <mergeCell ref="L127:M127"/>
    <mergeCell ref="A128:B128"/>
    <mergeCell ref="G128:H132"/>
    <mergeCell ref="A129:B129"/>
    <mergeCell ref="A130:B130"/>
    <mergeCell ref="A131:B131"/>
    <mergeCell ref="A132:B132"/>
    <mergeCell ref="A159:B159"/>
    <mergeCell ref="L159:M159"/>
    <mergeCell ref="A127:H127"/>
    <mergeCell ref="A149:H149"/>
    <mergeCell ref="G150:H154"/>
    <mergeCell ref="G140:H143"/>
    <mergeCell ref="A144:H144"/>
    <mergeCell ref="A145:B145"/>
    <mergeCell ref="G145:H148"/>
    <mergeCell ref="A146:B146"/>
    <mergeCell ref="A147:B147"/>
    <mergeCell ref="G159:H163"/>
    <mergeCell ref="A160:B160"/>
    <mergeCell ref="A163:B163"/>
    <mergeCell ref="L160:M160"/>
    <mergeCell ref="A161:B161"/>
    <mergeCell ref="L161:M161"/>
    <mergeCell ref="G165:H169"/>
    <mergeCell ref="L165:M165"/>
    <mergeCell ref="A166:B166"/>
    <mergeCell ref="L166:M166"/>
    <mergeCell ref="A167:B167"/>
    <mergeCell ref="L167:M167"/>
    <mergeCell ref="A168:B168"/>
    <mergeCell ref="L168:M168"/>
    <mergeCell ref="A169:B169"/>
    <mergeCell ref="L170:M170"/>
    <mergeCell ref="A171:B171"/>
    <mergeCell ref="G171:H175"/>
    <mergeCell ref="L171:M171"/>
    <mergeCell ref="A172:B172"/>
    <mergeCell ref="L172:M172"/>
    <mergeCell ref="A173:B173"/>
    <mergeCell ref="L173:M173"/>
    <mergeCell ref="A174:B174"/>
    <mergeCell ref="L174:M174"/>
    <mergeCell ref="A175:B175"/>
    <mergeCell ref="L195:M195"/>
    <mergeCell ref="A196:B196"/>
    <mergeCell ref="L196:M196"/>
    <mergeCell ref="A185:B185"/>
    <mergeCell ref="L185:M185"/>
    <mergeCell ref="A199:B199"/>
    <mergeCell ref="A190:B190"/>
    <mergeCell ref="L190:M190"/>
    <mergeCell ref="A191:B191"/>
    <mergeCell ref="L191:M191"/>
    <mergeCell ref="A192:B192"/>
    <mergeCell ref="L192:M192"/>
    <mergeCell ref="A193:B193"/>
    <mergeCell ref="L189:M189"/>
    <mergeCell ref="L184:M184"/>
    <mergeCell ref="A186:B186"/>
    <mergeCell ref="L186:M186"/>
    <mergeCell ref="A187:B187"/>
    <mergeCell ref="A188:H188"/>
    <mergeCell ref="A177:B177"/>
    <mergeCell ref="G177:H181"/>
    <mergeCell ref="L177:M177"/>
    <mergeCell ref="A178:B178"/>
    <mergeCell ref="L178:M178"/>
    <mergeCell ref="L183:M183"/>
    <mergeCell ref="A179:B179"/>
    <mergeCell ref="L179:M179"/>
    <mergeCell ref="A180:B180"/>
    <mergeCell ref="L180:M180"/>
    <mergeCell ref="A181:B181"/>
    <mergeCell ref="B203:H203"/>
    <mergeCell ref="B202:H202"/>
    <mergeCell ref="B201:H201"/>
    <mergeCell ref="A200:H200"/>
    <mergeCell ref="A151:B151"/>
    <mergeCell ref="A152:B152"/>
    <mergeCell ref="C151:F152"/>
    <mergeCell ref="A197:B197"/>
    <mergeCell ref="C197:F198"/>
    <mergeCell ref="A198:B198"/>
    <mergeCell ref="A183:B183"/>
    <mergeCell ref="G183:H187"/>
    <mergeCell ref="C183:F183"/>
    <mergeCell ref="A189:B189"/>
    <mergeCell ref="C189:F189"/>
    <mergeCell ref="G189:H193"/>
    <mergeCell ref="A182:H182"/>
    <mergeCell ref="A184:B184"/>
    <mergeCell ref="A194:H194"/>
    <mergeCell ref="A195:B195"/>
    <mergeCell ref="G195:H199"/>
    <mergeCell ref="A170:H170"/>
    <mergeCell ref="A176:H176"/>
    <mergeCell ref="A162:B162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38" max="16383" man="1"/>
    <brk id="65" max="16383" man="1"/>
    <brk id="225" max="16383" man="1"/>
    <brk id="269" max="7" man="1"/>
    <brk id="31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11" t="s">
        <v>111</v>
      </c>
      <c r="C3" s="211"/>
      <c r="D3" s="211"/>
      <c r="E3" s="211"/>
      <c r="F3" s="211"/>
      <c r="G3" s="211"/>
      <c r="H3" s="211"/>
    </row>
    <row r="4" spans="1:9" x14ac:dyDescent="0.25">
      <c r="A4" s="2"/>
      <c r="B4" s="3" t="s">
        <v>112</v>
      </c>
      <c r="C4" s="3" t="s">
        <v>113</v>
      </c>
      <c r="D4" s="3" t="s">
        <v>73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2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2025-09-11T10:39:37Z</cp:lastPrinted>
  <dcterms:created xsi:type="dcterms:W3CDTF">2019-07-16T09:29:46Z</dcterms:created>
  <dcterms:modified xsi:type="dcterms:W3CDTF">2025-09-11T10:44:11Z</dcterms:modified>
</cp:coreProperties>
</file>