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0490" windowHeight="7755"/>
  </bookViews>
  <sheets>
    <sheet name="Report" sheetId="1" r:id="rId1"/>
    <sheet name="C%" sheetId="4" r:id="rId2"/>
  </sheets>
  <definedNames>
    <definedName name="_xlnm.Print_Area" localSheetId="0">Report!$A$1:$H$434</definedName>
  </definedNames>
  <calcPr calcId="144525"/>
</workbook>
</file>

<file path=xl/calcChain.xml><?xml version="1.0" encoding="utf-8"?>
<calcChain xmlns="http://schemas.openxmlformats.org/spreadsheetml/2006/main">
  <c r="E80" i="1" l="1"/>
  <c r="E66" i="1"/>
  <c r="E82" i="1" l="1"/>
  <c r="E81" i="1"/>
  <c r="E68" i="1"/>
  <c r="E67" i="1"/>
  <c r="J177" i="1" l="1"/>
  <c r="I133" i="1"/>
  <c r="I28" i="1"/>
  <c r="J28" i="1" s="1"/>
  <c r="J84" i="1" l="1"/>
  <c r="J83" i="1"/>
  <c r="J82" i="1"/>
  <c r="J81" i="1"/>
  <c r="G28" i="1"/>
  <c r="E207" i="1"/>
  <c r="D207" i="1"/>
  <c r="E206" i="1"/>
  <c r="D206" i="1"/>
  <c r="E205" i="1"/>
  <c r="D205" i="1"/>
  <c r="E204" i="1"/>
  <c r="D204" i="1"/>
  <c r="E203" i="1"/>
  <c r="D203" i="1"/>
  <c r="E193" i="1"/>
  <c r="D193" i="1"/>
  <c r="E192" i="1"/>
  <c r="D192" i="1"/>
  <c r="E191" i="1"/>
  <c r="D191" i="1"/>
  <c r="E190" i="1"/>
  <c r="D190" i="1"/>
  <c r="E189" i="1"/>
  <c r="D189" i="1"/>
  <c r="E186" i="1"/>
  <c r="D186" i="1"/>
  <c r="E185" i="1"/>
  <c r="D185" i="1"/>
  <c r="E184" i="1"/>
  <c r="D184" i="1"/>
  <c r="E183" i="1"/>
  <c r="D183" i="1"/>
  <c r="E182" i="1"/>
  <c r="D182" i="1"/>
  <c r="E181" i="1"/>
  <c r="D181" i="1"/>
  <c r="E200" i="1"/>
  <c r="D200" i="1"/>
  <c r="E199" i="1"/>
  <c r="D199" i="1"/>
  <c r="E198" i="1"/>
  <c r="D198" i="1"/>
  <c r="E197" i="1"/>
  <c r="D197" i="1"/>
  <c r="E196" i="1"/>
  <c r="D196" i="1"/>
  <c r="E195" i="1"/>
  <c r="D195" i="1"/>
  <c r="E176" i="1"/>
  <c r="F176" i="1" s="1"/>
  <c r="H176" i="1" s="1"/>
  <c r="D176" i="1"/>
  <c r="E175" i="1"/>
  <c r="D175" i="1"/>
  <c r="E174" i="1"/>
  <c r="D174" i="1"/>
  <c r="E173" i="1"/>
  <c r="D173" i="1"/>
  <c r="F173" i="1" s="1"/>
  <c r="H173" i="1" s="1"/>
  <c r="E172" i="1"/>
  <c r="F172" i="1" s="1"/>
  <c r="H172" i="1" s="1"/>
  <c r="D172" i="1"/>
  <c r="E171" i="1"/>
  <c r="F171" i="1" s="1"/>
  <c r="H171" i="1" s="1"/>
  <c r="D171" i="1"/>
  <c r="E169" i="1"/>
  <c r="D169" i="1"/>
  <c r="E168" i="1"/>
  <c r="D168" i="1"/>
  <c r="E167" i="1"/>
  <c r="D167" i="1"/>
  <c r="E166" i="1"/>
  <c r="D166" i="1"/>
  <c r="E164" i="1"/>
  <c r="D164" i="1"/>
  <c r="E162" i="1"/>
  <c r="D162" i="1"/>
  <c r="E161" i="1"/>
  <c r="D161" i="1"/>
  <c r="E160" i="1"/>
  <c r="D160" i="1"/>
  <c r="E159" i="1"/>
  <c r="D159" i="1"/>
  <c r="E158" i="1"/>
  <c r="D158" i="1"/>
  <c r="E157" i="1"/>
  <c r="D157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8" i="1"/>
  <c r="D148" i="1"/>
  <c r="E147" i="1"/>
  <c r="D147" i="1"/>
  <c r="E146" i="1"/>
  <c r="D146" i="1"/>
  <c r="E145" i="1"/>
  <c r="D145" i="1"/>
  <c r="E143" i="1"/>
  <c r="D143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J131" i="1"/>
  <c r="F175" i="1"/>
  <c r="H175" i="1" s="1"/>
  <c r="F174" i="1"/>
  <c r="H174" i="1" s="1"/>
  <c r="F192" i="1"/>
  <c r="H192" i="1" s="1"/>
  <c r="F191" i="1"/>
  <c r="H191" i="1" s="1"/>
  <c r="I190" i="1"/>
  <c r="H74" i="1"/>
  <c r="F189" i="1" l="1"/>
  <c r="H189" i="1" s="1"/>
  <c r="F193" i="1"/>
  <c r="H193" i="1" s="1"/>
  <c r="F84" i="1"/>
  <c r="F80" i="1"/>
  <c r="J76" i="1"/>
  <c r="J79" i="1"/>
  <c r="J80" i="1" s="1"/>
  <c r="J85" i="1" s="1"/>
  <c r="J86" i="1" s="1"/>
  <c r="E78" i="1" s="1"/>
  <c r="G77" i="1" s="1"/>
  <c r="J78" i="1"/>
  <c r="E77" i="1" s="1"/>
  <c r="F77" i="1" s="1"/>
  <c r="F86" i="1"/>
  <c r="F82" i="1"/>
  <c r="J77" i="1"/>
  <c r="F85" i="1"/>
  <c r="F81" i="1"/>
  <c r="F83" i="1"/>
  <c r="F79" i="1"/>
  <c r="F190" i="1"/>
  <c r="H190" i="1" s="1"/>
  <c r="F207" i="1"/>
  <c r="H207" i="1" s="1"/>
  <c r="F206" i="1"/>
  <c r="H206" i="1" s="1"/>
  <c r="F205" i="1"/>
  <c r="H205" i="1" s="1"/>
  <c r="F203" i="1"/>
  <c r="H203" i="1" s="1"/>
  <c r="F200" i="1"/>
  <c r="H200" i="1" s="1"/>
  <c r="F198" i="1"/>
  <c r="H198" i="1" s="1"/>
  <c r="I183" i="1"/>
  <c r="F78" i="1" l="1"/>
  <c r="I73" i="1"/>
  <c r="C75" i="1" s="1"/>
  <c r="F199" i="1"/>
  <c r="H199" i="1" s="1"/>
  <c r="F204" i="1"/>
  <c r="H204" i="1" s="1"/>
  <c r="F150" i="1"/>
  <c r="H150" i="1" s="1"/>
  <c r="I150" i="1" s="1"/>
  <c r="F154" i="1"/>
  <c r="H154" i="1" s="1"/>
  <c r="F186" i="1"/>
  <c r="H186" i="1" s="1"/>
  <c r="F155" i="1"/>
  <c r="H155" i="1" s="1"/>
  <c r="F181" i="1"/>
  <c r="F152" i="1"/>
  <c r="H152" i="1" s="1"/>
  <c r="F157" i="1"/>
  <c r="H157" i="1" s="1"/>
  <c r="F167" i="1"/>
  <c r="H167" i="1" s="1"/>
  <c r="F182" i="1"/>
  <c r="H182" i="1" s="1"/>
  <c r="F153" i="1"/>
  <c r="H153" i="1" s="1"/>
  <c r="I153" i="1" s="1"/>
  <c r="F162" i="1"/>
  <c r="H162" i="1" s="1"/>
  <c r="F168" i="1"/>
  <c r="H168" i="1" s="1"/>
  <c r="F164" i="1"/>
  <c r="H164" i="1" s="1"/>
  <c r="F169" i="1"/>
  <c r="H169" i="1" s="1"/>
  <c r="F195" i="1"/>
  <c r="H195" i="1" s="1"/>
  <c r="F197" i="1"/>
  <c r="H197" i="1" s="1"/>
  <c r="F183" i="1"/>
  <c r="F196" i="1"/>
  <c r="H196" i="1" s="1"/>
  <c r="F185" i="1"/>
  <c r="H185" i="1" s="1"/>
  <c r="F184" i="1"/>
  <c r="H184" i="1" s="1"/>
  <c r="F158" i="1"/>
  <c r="H158" i="1" s="1"/>
  <c r="F151" i="1"/>
  <c r="H151" i="1" s="1"/>
  <c r="F159" i="1"/>
  <c r="H159" i="1" s="1"/>
  <c r="F160" i="1"/>
  <c r="H160" i="1" s="1"/>
  <c r="F161" i="1"/>
  <c r="H161" i="1" s="1"/>
  <c r="F166" i="1"/>
  <c r="H166" i="1" s="1"/>
  <c r="F145" i="1"/>
  <c r="H145" i="1" s="1"/>
  <c r="I140" i="1"/>
  <c r="J136" i="1"/>
  <c r="I136" i="1"/>
  <c r="F138" i="1"/>
  <c r="F136" i="1"/>
  <c r="G41" i="1"/>
  <c r="H183" i="1" l="1"/>
  <c r="C106" i="1"/>
  <c r="E106" i="1"/>
  <c r="H136" i="1"/>
  <c r="H138" i="1"/>
  <c r="C104" i="1"/>
  <c r="H181" i="1"/>
  <c r="C107" i="1"/>
  <c r="E107" i="1"/>
  <c r="G106" i="1"/>
  <c r="G107" i="1"/>
  <c r="F139" i="1"/>
  <c r="H139" i="1" s="1"/>
  <c r="F143" i="1"/>
  <c r="H143" i="1" s="1"/>
  <c r="F148" i="1"/>
  <c r="H148" i="1" s="1"/>
  <c r="F146" i="1"/>
  <c r="H146" i="1" s="1"/>
  <c r="F141" i="1"/>
  <c r="H141" i="1" s="1"/>
  <c r="F147" i="1"/>
  <c r="H147" i="1" s="1"/>
  <c r="F140" i="1"/>
  <c r="H140" i="1" s="1"/>
  <c r="F137" i="1"/>
  <c r="H137" i="1" s="1"/>
  <c r="F269" i="1"/>
  <c r="A265" i="1"/>
  <c r="A266" i="1" s="1"/>
  <c r="A267" i="1" s="1"/>
  <c r="A268" i="1" s="1"/>
  <c r="A269" i="1" s="1"/>
  <c r="A270" i="1" s="1"/>
  <c r="A271" i="1" s="1"/>
  <c r="A249" i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10" i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117" i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F259" i="1"/>
  <c r="H259" i="1" s="1"/>
  <c r="F258" i="1"/>
  <c r="H258" i="1" s="1"/>
  <c r="F257" i="1"/>
  <c r="H257" i="1" s="1"/>
  <c r="F256" i="1"/>
  <c r="H256" i="1" s="1"/>
  <c r="F255" i="1"/>
  <c r="H255" i="1" s="1"/>
  <c r="F254" i="1"/>
  <c r="H254" i="1" s="1"/>
  <c r="F253" i="1"/>
  <c r="H253" i="1" s="1"/>
  <c r="F252" i="1"/>
  <c r="H252" i="1" s="1"/>
  <c r="F251" i="1"/>
  <c r="H251" i="1" s="1"/>
  <c r="F250" i="1"/>
  <c r="H250" i="1" s="1"/>
  <c r="F249" i="1"/>
  <c r="H249" i="1" s="1"/>
  <c r="F248" i="1"/>
  <c r="H248" i="1" s="1"/>
  <c r="F246" i="1"/>
  <c r="H246" i="1" s="1"/>
  <c r="F245" i="1"/>
  <c r="H245" i="1" s="1"/>
  <c r="F244" i="1"/>
  <c r="H244" i="1" s="1"/>
  <c r="F243" i="1"/>
  <c r="H243" i="1" s="1"/>
  <c r="F242" i="1"/>
  <c r="H242" i="1" s="1"/>
  <c r="F241" i="1"/>
  <c r="H241" i="1" s="1"/>
  <c r="F240" i="1"/>
  <c r="H240" i="1" s="1"/>
  <c r="F239" i="1"/>
  <c r="H239" i="1" s="1"/>
  <c r="F238" i="1"/>
  <c r="H238" i="1" s="1"/>
  <c r="F237" i="1"/>
  <c r="H237" i="1" s="1"/>
  <c r="F236" i="1"/>
  <c r="H236" i="1" s="1"/>
  <c r="F235" i="1"/>
  <c r="H235" i="1" s="1"/>
  <c r="F233" i="1"/>
  <c r="H233" i="1" s="1"/>
  <c r="F232" i="1"/>
  <c r="H232" i="1" s="1"/>
  <c r="F231" i="1"/>
  <c r="H231" i="1" s="1"/>
  <c r="F230" i="1"/>
  <c r="H230" i="1" s="1"/>
  <c r="F229" i="1"/>
  <c r="H229" i="1" s="1"/>
  <c r="F228" i="1"/>
  <c r="H228" i="1" s="1"/>
  <c r="F227" i="1"/>
  <c r="H227" i="1" s="1"/>
  <c r="F226" i="1"/>
  <c r="H226" i="1" s="1"/>
  <c r="F225" i="1"/>
  <c r="H225" i="1" s="1"/>
  <c r="F224" i="1"/>
  <c r="H224" i="1" s="1"/>
  <c r="F223" i="1"/>
  <c r="H223" i="1" s="1"/>
  <c r="F222" i="1"/>
  <c r="H222" i="1" s="1"/>
  <c r="F117" i="1"/>
  <c r="H117" i="1" s="1"/>
  <c r="F118" i="1"/>
  <c r="F119" i="1"/>
  <c r="H119" i="1" s="1"/>
  <c r="F120" i="1"/>
  <c r="F121" i="1"/>
  <c r="F122" i="1"/>
  <c r="F123" i="1"/>
  <c r="F124" i="1"/>
  <c r="F125" i="1"/>
  <c r="F126" i="1"/>
  <c r="F127" i="1"/>
  <c r="F116" i="1"/>
  <c r="H116" i="1" s="1"/>
  <c r="F220" i="1"/>
  <c r="H220" i="1" s="1"/>
  <c r="F219" i="1"/>
  <c r="H219" i="1" s="1"/>
  <c r="F218" i="1"/>
  <c r="H218" i="1" s="1"/>
  <c r="F217" i="1"/>
  <c r="H217" i="1" s="1"/>
  <c r="F216" i="1"/>
  <c r="H216" i="1" s="1"/>
  <c r="F215" i="1"/>
  <c r="H215" i="1" s="1"/>
  <c r="F214" i="1"/>
  <c r="H214" i="1" s="1"/>
  <c r="F213" i="1"/>
  <c r="H213" i="1" s="1"/>
  <c r="F212" i="1"/>
  <c r="H212" i="1" s="1"/>
  <c r="F211" i="1"/>
  <c r="H211" i="1" s="1"/>
  <c r="F210" i="1"/>
  <c r="H210" i="1" s="1"/>
  <c r="F209" i="1"/>
  <c r="H209" i="1" s="1"/>
  <c r="G104" i="1" l="1"/>
  <c r="G108" i="1" s="1"/>
  <c r="G105" i="1"/>
  <c r="E105" i="1"/>
  <c r="C105" i="1"/>
  <c r="C108" i="1" s="1"/>
  <c r="E104" i="1"/>
  <c r="E108" i="1" s="1"/>
  <c r="A272" i="1"/>
  <c r="E101" i="1"/>
  <c r="C101" i="1"/>
  <c r="C109" i="1" l="1"/>
  <c r="A275" i="1"/>
  <c r="E109" i="1"/>
  <c r="C8" i="1"/>
  <c r="J70" i="1" l="1"/>
  <c r="J69" i="1"/>
  <c r="J68" i="1"/>
  <c r="J67" i="1"/>
  <c r="H60" i="1"/>
  <c r="J64" i="1" l="1"/>
  <c r="E63" i="1" s="1"/>
  <c r="F63" i="1" s="1"/>
  <c r="J62" i="1"/>
  <c r="F67" i="1"/>
  <c r="F72" i="1"/>
  <c r="F66" i="1"/>
  <c r="J65" i="1"/>
  <c r="J66" i="1" s="1"/>
  <c r="J71" i="1" s="1"/>
  <c r="J72" i="1" s="1"/>
  <c r="E64" i="1" s="1"/>
  <c r="F64" i="1" s="1"/>
  <c r="F68" i="1"/>
  <c r="F71" i="1"/>
  <c r="F65" i="1"/>
  <c r="F69" i="1"/>
  <c r="F70" i="1"/>
  <c r="J63" i="1"/>
  <c r="G63" i="1" l="1"/>
  <c r="I59" i="1" s="1"/>
  <c r="C61" i="1" s="1"/>
  <c r="H118" i="1" l="1"/>
  <c r="H120" i="1"/>
  <c r="H121" i="1"/>
  <c r="H122" i="1"/>
  <c r="H123" i="1"/>
  <c r="H124" i="1"/>
  <c r="H125" i="1"/>
  <c r="H126" i="1"/>
  <c r="H127" i="1"/>
  <c r="G101" i="1" l="1"/>
  <c r="G42" i="1"/>
  <c r="G109" i="1" l="1"/>
  <c r="G5" i="1"/>
  <c r="G43" i="1" l="1"/>
  <c r="G44" i="1" s="1"/>
  <c r="H11" i="4" l="1"/>
  <c r="H10" i="4"/>
  <c r="H9" i="4"/>
  <c r="H8" i="4"/>
  <c r="F2" i="4"/>
  <c r="C12" i="4" l="1"/>
  <c r="C8" i="4"/>
  <c r="C11" i="4"/>
  <c r="C7" i="4"/>
  <c r="H6" i="4"/>
  <c r="H7" i="4" s="1"/>
  <c r="H12" i="4" s="1"/>
  <c r="H13" i="4" s="1"/>
  <c r="B5" i="4" s="1"/>
  <c r="C13" i="4"/>
  <c r="H3" i="4"/>
  <c r="H4" i="4"/>
  <c r="C10" i="4"/>
  <c r="D12" i="4"/>
  <c r="C9" i="4"/>
  <c r="H5" i="4"/>
  <c r="B4" i="4" s="1"/>
  <c r="C4" i="4" l="1"/>
  <c r="D9" i="4" s="1"/>
  <c r="C6" i="4"/>
  <c r="D13" i="4"/>
  <c r="D8" i="4"/>
  <c r="C5" i="4"/>
  <c r="D10" i="4" l="1"/>
  <c r="D11" i="4" l="1"/>
  <c r="D4" i="4" s="1"/>
  <c r="E4" i="4" s="1"/>
  <c r="C276" i="1" l="1"/>
</calcChain>
</file>

<file path=xl/comments1.xml><?xml version="1.0" encoding="utf-8"?>
<comments xmlns="http://schemas.openxmlformats.org/spreadsheetml/2006/main">
  <authors>
    <author>SACHIN</author>
    <author>Windows User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As per CC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Take address from CC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Builder's office address from RERA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Provided during initiation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1">
      <text>
        <r>
          <rPr>
            <b/>
            <sz val="11"/>
            <color indexed="81"/>
            <rFont val="Tahoma"/>
            <family val="2"/>
          </rPr>
          <t xml:space="preserve">Authority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Apartments or 
Apartments + Shops</t>
        </r>
      </text>
    </comment>
    <comment ref="G28" authorId="0">
      <text>
        <r>
          <rPr>
            <b/>
            <sz val="9"/>
            <color indexed="81"/>
            <rFont val="Tahoma"/>
            <family val="2"/>
          </rPr>
          <t>15% of Total No of Flats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" author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2" author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If Sale deed is provided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" authorId="0">
      <text>
        <r>
          <rPr>
            <b/>
            <sz val="9"/>
            <color indexed="81"/>
            <rFont val="Tahoma"/>
            <family val="2"/>
          </rPr>
          <t>Take address from CC</t>
        </r>
      </text>
    </comment>
    <comment ref="C47" authorId="0">
      <text>
        <r>
          <rPr>
            <b/>
            <sz val="9"/>
            <color indexed="81"/>
            <rFont val="Tahoma"/>
            <family val="2"/>
          </rPr>
          <t>height should also be mentioned</t>
        </r>
      </text>
    </comment>
    <comment ref="C57" authorId="0">
      <text>
        <r>
          <rPr>
            <b/>
            <sz val="9"/>
            <color indexed="81"/>
            <rFont val="Tahoma"/>
            <family val="2"/>
          </rPr>
          <t>RERA Start date</t>
        </r>
      </text>
    </comment>
    <comment ref="H89" authorId="0">
      <text>
        <r>
          <rPr>
            <b/>
            <sz val="9"/>
            <color indexed="81"/>
            <rFont val="Tahoma"/>
            <family val="2"/>
          </rPr>
          <t>if multiple buildings are in project and are connected internally</t>
        </r>
      </text>
    </comment>
    <comment ref="C91" authorId="0">
      <text>
        <r>
          <rPr>
            <b/>
            <sz val="9"/>
            <color indexed="81"/>
            <rFont val="Tahoma"/>
            <family val="2"/>
          </rPr>
          <t>AAC Block or Brick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If present on slopy area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<sst xmlns="http://schemas.openxmlformats.org/spreadsheetml/2006/main" count="582" uniqueCount="305">
  <si>
    <t>Name of the project</t>
  </si>
  <si>
    <t xml:space="preserve">Address </t>
  </si>
  <si>
    <t>Name of the builder / developer</t>
  </si>
  <si>
    <t xml:space="preserve">Office address (agreement) </t>
  </si>
  <si>
    <t>Builder Bank Details</t>
  </si>
  <si>
    <t>Contact No.</t>
  </si>
  <si>
    <t>Village</t>
  </si>
  <si>
    <t>Other HFC's Approval / Funding</t>
  </si>
  <si>
    <t>No. of Tenements / Units in Project</t>
  </si>
  <si>
    <t>Verification of the schedule of the property</t>
  </si>
  <si>
    <t>Sale deed</t>
  </si>
  <si>
    <t>Physical on site</t>
  </si>
  <si>
    <t>North</t>
  </si>
  <si>
    <t>South</t>
  </si>
  <si>
    <t>East</t>
  </si>
  <si>
    <t>West</t>
  </si>
  <si>
    <t>Verification of survey No. (Title document)</t>
  </si>
  <si>
    <t xml:space="preserve">Approach road </t>
  </si>
  <si>
    <t>Yes/No</t>
  </si>
  <si>
    <t>Layout approval if applicable</t>
  </si>
  <si>
    <t>Building height / No. of Floors</t>
  </si>
  <si>
    <t>Construction/Building Permission</t>
  </si>
  <si>
    <t>NA / Land conversion</t>
  </si>
  <si>
    <t>Other statutory permissions (Fire NOC/ Environmental Clearance/ Airport NOC)</t>
  </si>
  <si>
    <t>CONSTRUCTION PROGRESS</t>
  </si>
  <si>
    <t>Baseline start date</t>
  </si>
  <si>
    <t>Baseline finish date</t>
  </si>
  <si>
    <t>General comment on progress</t>
  </si>
  <si>
    <t>QUALITY/NDMC Parameters</t>
  </si>
  <si>
    <t>Type of Structure</t>
  </si>
  <si>
    <t>Expansion Joint Available</t>
  </si>
  <si>
    <t>Mortar Type</t>
  </si>
  <si>
    <t>Flood Prone Area</t>
  </si>
  <si>
    <t>Masonry Type</t>
  </si>
  <si>
    <t>Projected Parts Available</t>
  </si>
  <si>
    <t>Footing Type</t>
  </si>
  <si>
    <t>Fire Exit Available</t>
  </si>
  <si>
    <t>Soil Type</t>
  </si>
  <si>
    <t>Ground Slope &gt;20%</t>
  </si>
  <si>
    <t>Concrete Grade</t>
  </si>
  <si>
    <t>Ground Slope Vulnerable to land slide</t>
  </si>
  <si>
    <t>Steel Grade</t>
  </si>
  <si>
    <t>Soil liquefiable</t>
  </si>
  <si>
    <t>Cyclone Zone-Wind speed (m/s)</t>
  </si>
  <si>
    <t>Coastal regulatory Zone</t>
  </si>
  <si>
    <t>Seismic Zone</t>
  </si>
  <si>
    <t>Environment exposure condition</t>
  </si>
  <si>
    <t>BUILDING / BLOCK - Configuration Details</t>
  </si>
  <si>
    <t>Floors</t>
  </si>
  <si>
    <t>REMARKS ON RECOMMENDATION</t>
  </si>
  <si>
    <t>RERA No.-</t>
  </si>
  <si>
    <t>Cement &amp; Sand</t>
  </si>
  <si>
    <t>RCC</t>
  </si>
  <si>
    <t>Yes</t>
  </si>
  <si>
    <t>No</t>
  </si>
  <si>
    <t>Moderate</t>
  </si>
  <si>
    <t>III</t>
  </si>
  <si>
    <t>1BHK</t>
  </si>
  <si>
    <t>Progress %</t>
  </si>
  <si>
    <t>Construction details:</t>
  </si>
  <si>
    <t>Basement</t>
  </si>
  <si>
    <t>Ground</t>
  </si>
  <si>
    <t>Podium</t>
  </si>
  <si>
    <t>Type of Work</t>
  </si>
  <si>
    <t>Slab/Floor</t>
  </si>
  <si>
    <t>Complition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</si>
  <si>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</si>
  <si>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</si>
  <si>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</si>
  <si>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</si>
  <si>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</si>
  <si>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</si>
  <si>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</si>
  <si>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</si>
  <si>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Footing Completed</t>
  </si>
  <si>
    <t>Internal Plaster</t>
  </si>
  <si>
    <t>Basement 1</t>
  </si>
  <si>
    <t>Ext.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</si>
  <si>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</si>
  <si>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</si>
  <si>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</si>
  <si>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</si>
  <si>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</si>
  <si>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</si>
  <si>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</si>
  <si>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</si>
  <si>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</si>
  <si>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APF Valuation Report </t>
  </si>
  <si>
    <t>Approved Plan</t>
  </si>
  <si>
    <t>Location of the project 
Municipal Limit :</t>
  </si>
  <si>
    <t>Project Type
(Apartments/Plot/ Combined)</t>
  </si>
  <si>
    <t>Geo Coordinates</t>
  </si>
  <si>
    <t>Landmark</t>
  </si>
  <si>
    <t>None</t>
  </si>
  <si>
    <t>No of Wings / Buildings</t>
  </si>
  <si>
    <t>Description</t>
  </si>
  <si>
    <t xml:space="preserve">Approval Detail : Plan approval 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</si>
  <si>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</si>
  <si>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</si>
  <si>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</si>
  <si>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</si>
  <si>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(Sq.Mt)</t>
  </si>
  <si>
    <t>Building plan approvals - Approval No :</t>
  </si>
  <si>
    <t>Project Details</t>
  </si>
  <si>
    <t xml:space="preserve">Name of Valuation Agency </t>
  </si>
  <si>
    <t>Date of
Initiation</t>
  </si>
  <si>
    <t>Date &amp; Time of Site Visit</t>
  </si>
  <si>
    <t>Date of Report
Release</t>
  </si>
  <si>
    <t xml:space="preserve">Branch Name/ID </t>
  </si>
  <si>
    <t>Name of the person met at site &amp; Contact No</t>
  </si>
  <si>
    <t>V.S.JADON &amp; CO VALUERS LLP</t>
  </si>
  <si>
    <t>Builder Office Verified</t>
  </si>
  <si>
    <t>Name of the authority :</t>
  </si>
  <si>
    <t>Reference No :</t>
  </si>
  <si>
    <t>Validity &amp; area :
mentioned</t>
  </si>
  <si>
    <t xml:space="preserve"> Building No.4 = G + 3rd Floor</t>
  </si>
  <si>
    <t xml:space="preserve">Speed of Construction is Average. </t>
  </si>
  <si>
    <t>Recommended Rates of the Property :</t>
  </si>
  <si>
    <t>Recommended rate of the flat Per Sq. Ft. ( on Saleable area)</t>
  </si>
  <si>
    <t>Recommended of Parking ( If Available)</t>
  </si>
  <si>
    <t>Name of Engineer Visited the property</t>
  </si>
  <si>
    <t xml:space="preserve">Authorized Signatory
Name &amp; Seal of the agency
                                               </t>
  </si>
  <si>
    <t>Photographs Of Property :</t>
  </si>
  <si>
    <t xml:space="preserve">Google Map : </t>
  </si>
  <si>
    <t>Isolated Footing</t>
  </si>
  <si>
    <t>FE415</t>
  </si>
  <si>
    <t>Connectivity</t>
  </si>
  <si>
    <t>Exposure Limit
(Proposed)</t>
  </si>
  <si>
    <t>1st Floor</t>
  </si>
  <si>
    <t>2nd Floor</t>
  </si>
  <si>
    <t>44 meter per sec</t>
  </si>
  <si>
    <t>Alluvial Soil</t>
  </si>
  <si>
    <t>Total Permissible Builtup area of the project (Sq.Mt)</t>
  </si>
  <si>
    <r>
      <t>Remark (</t>
    </r>
    <r>
      <rPr>
        <sz val="10"/>
        <color rgb="FF000000"/>
        <rFont val="Times New Roman"/>
        <family val="1"/>
      </rPr>
      <t>Flat configuration /Bungalows, etc.)</t>
    </r>
  </si>
  <si>
    <t>Plot area mentioned in the sale deed (As per 7/12)</t>
  </si>
  <si>
    <t>Plot area mentioned in the approved drg. on which FSI/FAR calculations computed (Net Plot Area)</t>
  </si>
  <si>
    <t>Stage of construction</t>
  </si>
  <si>
    <t>Taluka</t>
  </si>
  <si>
    <t>District</t>
  </si>
  <si>
    <t>Pincode</t>
  </si>
  <si>
    <t>Geo Link</t>
  </si>
  <si>
    <t xml:space="preserve">Stage of construction: </t>
  </si>
  <si>
    <t>All work Completed. OC Received.</t>
  </si>
  <si>
    <t>Project Progress %</t>
  </si>
  <si>
    <t>AAC Block/ Brick</t>
  </si>
  <si>
    <t>M20</t>
  </si>
  <si>
    <t>Saleable Area Sq.Ft.
Loading:</t>
  </si>
  <si>
    <t>Layout Of Property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</si>
  <si>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</si>
  <si>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 xml:space="preserve">Latitude, Longitude   </t>
  </si>
  <si>
    <t>Road</t>
  </si>
  <si>
    <t>City</t>
  </si>
  <si>
    <t xml:space="preserve">Thane </t>
  </si>
  <si>
    <t>Palghar</t>
  </si>
  <si>
    <t>Mumbai</t>
  </si>
  <si>
    <t>Raigad</t>
  </si>
  <si>
    <t>Pune</t>
  </si>
  <si>
    <t>Thane</t>
  </si>
  <si>
    <t>Mokhada</t>
  </si>
  <si>
    <t>Andheri</t>
  </si>
  <si>
    <t>Alibag</t>
  </si>
  <si>
    <t>Pune City</t>
  </si>
  <si>
    <t>Shahpur</t>
  </si>
  <si>
    <t>Talasari</t>
  </si>
  <si>
    <t>Borivali</t>
  </si>
  <si>
    <t>Panvel</t>
  </si>
  <si>
    <t>Haveli</t>
  </si>
  <si>
    <t>Kalyan</t>
  </si>
  <si>
    <t>Vasai</t>
  </si>
  <si>
    <t>Kurla</t>
  </si>
  <si>
    <t>Uran</t>
  </si>
  <si>
    <t>Khed</t>
  </si>
  <si>
    <t>Bhiwandi</t>
  </si>
  <si>
    <t>Vikramgad</t>
  </si>
  <si>
    <t>Karjat</t>
  </si>
  <si>
    <t>Baramati</t>
  </si>
  <si>
    <t>Ulhasnagar</t>
  </si>
  <si>
    <t>Khalapur</t>
  </si>
  <si>
    <t>Junnar</t>
  </si>
  <si>
    <t>Ambernath</t>
  </si>
  <si>
    <t>Dahanu</t>
  </si>
  <si>
    <t>Pen</t>
  </si>
  <si>
    <t>Shirur</t>
  </si>
  <si>
    <t>Murbad</t>
  </si>
  <si>
    <t>Wada</t>
  </si>
  <si>
    <t>Sudhagad</t>
  </si>
  <si>
    <t>Indapur</t>
  </si>
  <si>
    <t>Mahad</t>
  </si>
  <si>
    <t>Daund</t>
  </si>
  <si>
    <t>Roha</t>
  </si>
  <si>
    <t>Mawal</t>
  </si>
  <si>
    <t>Mangaon</t>
  </si>
  <si>
    <t>Ambegaon</t>
  </si>
  <si>
    <t>Poladpur</t>
  </si>
  <si>
    <t>Purandhar</t>
  </si>
  <si>
    <t>Mahasala</t>
  </si>
  <si>
    <t>Bhor</t>
  </si>
  <si>
    <t>Shriwardhan</t>
  </si>
  <si>
    <t>Mulshi</t>
  </si>
  <si>
    <t>Murud</t>
  </si>
  <si>
    <t>Velhe</t>
  </si>
  <si>
    <t>Commercial Area Details :</t>
  </si>
  <si>
    <t>Building &amp; Wing</t>
  </si>
  <si>
    <t>No. of Units</t>
  </si>
  <si>
    <t>Total Carpet Area</t>
  </si>
  <si>
    <t>Total Saleable Area</t>
  </si>
  <si>
    <t>Wing A</t>
  </si>
  <si>
    <t>Total</t>
  </si>
  <si>
    <t>Residential Area Details :</t>
  </si>
  <si>
    <t>Grand Total</t>
  </si>
  <si>
    <t>Approved No. of Floor</t>
  </si>
  <si>
    <t>Proposed No. of Floor</t>
  </si>
  <si>
    <t>Ground Floor</t>
  </si>
  <si>
    <t>Flat No.
(Approved
Plan)</t>
  </si>
  <si>
    <t>Flat No. (Sale Plan)</t>
  </si>
  <si>
    <t>Carpet area</t>
  </si>
  <si>
    <t>Gross Carpet area</t>
  </si>
  <si>
    <t>Attached Terrace area</t>
  </si>
  <si>
    <t>Attached Loft area</t>
  </si>
  <si>
    <t>Shop</t>
  </si>
  <si>
    <t>Shop No.
(Approved
Plan)</t>
  </si>
  <si>
    <t>Shop No. (Sale Plan)</t>
  </si>
  <si>
    <t>AAC block or Bricks, Cement bags, aggregate, Sand, etc found on site in average quantity.</t>
  </si>
  <si>
    <t xml:space="preserve">Labours found on site at the time of visit. </t>
  </si>
  <si>
    <t>We considered Carpet area as per Approved Plan.</t>
  </si>
  <si>
    <t>We have considered rate by verifying it from market inquire.</t>
  </si>
  <si>
    <t>Recommended rate should be considered as all inclusive rate if other charges are not mentioned. (Excluding GST &amp; other government Taxes)</t>
  </si>
  <si>
    <t>Car parking is subjected to authentic documentation.</t>
  </si>
  <si>
    <t>We considered  Saleable area  as per our calculation. Loading</t>
  </si>
  <si>
    <t>Rumah Bali Phase 4</t>
  </si>
  <si>
    <t>Bhayandarpada</t>
  </si>
  <si>
    <t>Ghodbandar Road</t>
  </si>
  <si>
    <t>Thane West</t>
  </si>
  <si>
    <t>P51700046777</t>
  </si>
  <si>
    <t>Girikunj Housing Society</t>
  </si>
  <si>
    <t>19.2805230,72.9542336</t>
  </si>
  <si>
    <t>https://maps.app.goo.gl/431zTazoa46JYRVm6</t>
  </si>
  <si>
    <t>Puranik Builders Limited</t>
  </si>
  <si>
    <t>Puraniks One, Ghodbunder Road, Near Kanchan Pushpa, Opp. Suraj Water Park, Maharashtra, Thane, Thane 400615.</t>
  </si>
  <si>
    <t>HDFC0001440</t>
  </si>
  <si>
    <t>8424022831/8976849136</t>
  </si>
  <si>
    <t>Thane Municipal Corporation</t>
  </si>
  <si>
    <t xml:space="preserve">Building A3 &amp; Building A4 = Lower Ground + 1P + 2P + Gr/P + 1 st to 36th Floor
</t>
  </si>
  <si>
    <t>NA</t>
  </si>
  <si>
    <t>Other Plot</t>
  </si>
  <si>
    <t>Open Plot</t>
  </si>
  <si>
    <t>Vihang Vermont Apartments</t>
  </si>
  <si>
    <t xml:space="preserve">98/1/A/1, 98/1/A/2, 98/3/A(Pt.), 98/3/B, 100/11/1/A/1, 100/11/1/A/2, 100/11/1/B, 100/11/2, Survey No. 100, H.No. 12/A, 12/B, 13, 14/A, 14B/1, 14B/2, 15/A, 15/B/1, 15/B/2, 15/B/3, 17/A, 17/B, 18, 19, 20, 21, 22, 23, 24, N.S.N. 101, H.No. 5, 109/30/3. </t>
  </si>
  <si>
    <t>Yes, Approx 200ft</t>
  </si>
  <si>
    <t>S06/0200/14/TMC/TD-DP/TPS/4474/23
Date - 12/10/2023</t>
  </si>
  <si>
    <t>Building Type A3 (Megah) 
Building Type A4 (Santai)</t>
  </si>
  <si>
    <t>Not Provided</t>
  </si>
  <si>
    <t>Fire NOC Certificate No. -</t>
  </si>
  <si>
    <t>Building (Type A3)</t>
  </si>
  <si>
    <t>Lower Ground &amp; 1st Podium Floor For Parking</t>
  </si>
  <si>
    <t>2nd Podium Floor For Meter Room, Drivers Room, Society Office &amp; Parking</t>
  </si>
  <si>
    <t>3rd Podium, 1st to 3rd, 5th to 8th, 10th to 13th &amp; 15th Floor For Residential</t>
  </si>
  <si>
    <t>Mhada</t>
  </si>
  <si>
    <t>Sale</t>
  </si>
  <si>
    <t>4th, 9th, 14th Floor (Part Refuge Area)</t>
  </si>
  <si>
    <t>-</t>
  </si>
  <si>
    <t>Refuge Area</t>
  </si>
  <si>
    <t>Phase IV</t>
  </si>
  <si>
    <t>16th Floor</t>
  </si>
  <si>
    <t>17th, 18th, 20th to 22nd, 25th to 28th, 30th to 33rd, 35th &amp; 36th Floor</t>
  </si>
  <si>
    <t>19th, 24th, 29th &amp; 34th Floor (Part Refuge Area)</t>
  </si>
  <si>
    <t>Building No. A4</t>
  </si>
  <si>
    <t>Building No. A3</t>
  </si>
  <si>
    <t>16th to 18th, 20th to 23rd, 25th to 28th, 30th to 33rd, 35th &amp; 36th Floor</t>
  </si>
  <si>
    <t>23rd Floor</t>
  </si>
  <si>
    <t>Sale Flat - 370, Mhada Flat - 60</t>
  </si>
  <si>
    <t xml:space="preserve">Building No. A3 = Lower Gr + 1P to 2P + Gr/3P + 1st to 36th Floor </t>
  </si>
  <si>
    <t xml:space="preserve">Building No. A4 = Lower Gr + 1P to 2P + Gr/3P + 1st to 36th Floor </t>
  </si>
  <si>
    <t>Building No. A3 &amp; Type A4 = Lower Gr + 1P to 2P + Gr/3P + 1st to 36th Floor 
(Total Height = 117.10 Mtrs.)</t>
  </si>
  <si>
    <t>We considered Gross carpet area = Net carpet + Enclose balcony + A.P Area.</t>
  </si>
  <si>
    <t>Ajay Songare</t>
  </si>
  <si>
    <r>
      <rPr>
        <sz val="10"/>
        <rFont val="Times New Roman"/>
        <family val="1"/>
      </rPr>
      <t xml:space="preserve">1. Trimurti English School - 0.900 Km
2. Shree Rajarshi Shahu Vidyalay - 1.4 Km
3. Vedant Hospital - 1.9 Km
4. Oscar Hospital - 1.9 Km
5. HD Mart - 0.800 Km
6. Welcome Supermart - 1.2 Km
7. Thane Railway Station - 11.7 Km
8. Paushmata Mandir Bus Stop - 0.450 Km
9. Shree Khandoba Temple - 1.0 Km
10. Indian Oil Petrol Pump - 1.0 Km
</t>
    </r>
    <r>
      <rPr>
        <sz val="10"/>
        <color rgb="FFFF0000"/>
        <rFont val="Times New Roman"/>
        <family val="1"/>
      </rPr>
      <t xml:space="preserve">
</t>
    </r>
  </si>
  <si>
    <t>Apartments</t>
  </si>
  <si>
    <t>Please check for Environmental Clearance Certificate.</t>
  </si>
  <si>
    <t xml:space="preserve">Details of Residential in Building   </t>
  </si>
  <si>
    <t>Building A3 &amp; Building A4 = Lower Ground + 1P + 2P + Gr/P + 1 st to 36th Floor</t>
  </si>
  <si>
    <t>New Survey No</t>
  </si>
  <si>
    <t>100, H.No. 12/A, 12/B, 14/A, 14B/1, 14B/2, 15/A, 15/B/1, 15/B/2, 15/B/3, 17/A, 17/B, 18, 19, 20, 21, 22, 23, 24, N.S.N. 101, H.No. 5, 109/30/3, 98/1/A/1, 98/1/A/2, 98/3/A(Pt.), 98/3/B, 100/11/1/A/1, 100/11/1/A/2, 100/11/1/B, 100/11/2</t>
  </si>
  <si>
    <t>Type A5</t>
  </si>
  <si>
    <t>S.T.P</t>
  </si>
  <si>
    <t>Club House</t>
  </si>
  <si>
    <t>JVM Sky Court/ Godrej Emrald</t>
  </si>
  <si>
    <t>Type B3 Kerasi</t>
  </si>
  <si>
    <t>TMC/CFO/M/HR/198/186
Date - 03/10/2023
Bldg No. A3 &amp; Type A4 = Lower Gr + 1P to 2P + Gr/3P + 1st to 36th Floor(Height = 117.10 M)</t>
  </si>
  <si>
    <t>1.5BHK</t>
  </si>
  <si>
    <t>5,00,000/-</t>
  </si>
  <si>
    <t>S06/0200/14(2006/168)/TMC/TDD/4474/23
Valid Upto - 12/10/2023
Building No. A3 &amp; A4 = 23rd to 36th Floor</t>
  </si>
  <si>
    <t>Balcony/AP Area</t>
  </si>
  <si>
    <t>Mahindra Rural Housing Finance - Panvel</t>
  </si>
  <si>
    <t>SIA/MH/MIS/77180/2015
Date : 12/04/2023
Survey No. 100, H.No. 12/A, 12/B, 13, 14/A, 14B/1, 14B/2, 15/A, 15/B/1, 15/B/2, 15/B/3, 17/A, 17/B, 18, 19, 20, 21, 22, 23, 24, N.S.N. 101, H.No. 5, 109/30/3, 98/1/A/1, 98/1/A/2, 98/3/A(Pt.), 98/3/B, 100/11/1/A/1, 100/11/1/A/2, 100/11/1/B, 100/11/2
Poposed Builtup Area = 272318.80 Sq.M.
Building A3 &amp; A4 = L.G + 2P + Gr. + 1st to 28th Floor (Total Height = 91.95 Mtrs.)</t>
  </si>
  <si>
    <t>Environmental Clearance  Certificate No.
Valid Upto.</t>
  </si>
  <si>
    <t>We have updated Environmental Clearance certificate on 07/01/2025.</t>
  </si>
  <si>
    <t xml:space="preserve">Building Type A3 (Megah) </t>
  </si>
  <si>
    <t>Building No. A3 (Megah)</t>
  </si>
  <si>
    <t>Building No. A4 (Santai)</t>
  </si>
  <si>
    <t>On Site, we meet Miss. Khushi</t>
  </si>
  <si>
    <t xml:space="preserve">Construction work is in process at the time of Visit. Internal visit was not allowed.
</t>
  </si>
  <si>
    <t>09/09/2025 at 12:16</t>
  </si>
  <si>
    <t>Miss. Khushi 9326243836</t>
  </si>
  <si>
    <t>S06/0200/14(2006/168)/TMC/TDD/4033/22
Date  - 22/04/2022
Valid Upto : Building No. A3  &amp; A4 = LG + 1P + 2P + Gr/P + 1st to 22nd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</si>
</sst>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/mm\/yyyy"/>
    <numFmt numFmtId="165" formatCode="0.0"/>
  </numFmts>
  <fonts count="18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E3F2F3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E3F2F3"/>
        <bgColor indexed="64"/>
      </patternFill>
    </fill>
    <fill>
      <patternFill patternType="solid">
        <fgColor rgb="FFE5EEF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7" fillId="0" borderId="0" applyNumberFormat="0" applyFill="0" applyBorder="0" applyAlignment="0" applyProtection="0"/>
  </cellStyleXfs>
  <cellXfs count="245">
    <xf numFmtId="0" fontId="0" fillId="0" borderId="0" xfId="0"/>
    <xf numFmtId="0" fontId="5" fillId="0" borderId="0" xfId="0" applyFont="1" applyFill="1" applyBorder="1" applyProtection="1">
      <protection hidden="1"/>
    </xf>
    <xf numFmtId="0" fontId="8" fillId="4" borderId="5" xfId="1" applyFont="1" applyFill="1" applyBorder="1" applyAlignment="1" applyProtection="1">
      <alignment horizontal="center" vertical="top" wrapText="1"/>
      <protection locked="0"/>
    </xf>
    <xf numFmtId="0" fontId="8" fillId="4" borderId="4" xfId="1" applyFont="1" applyFill="1" applyBorder="1" applyAlignment="1" applyProtection="1">
      <alignment horizontal="center" vertical="top" wrapText="1"/>
      <protection locked="0"/>
    </xf>
    <xf numFmtId="0" fontId="8" fillId="4" borderId="4" xfId="1" applyFont="1" applyFill="1" applyBorder="1" applyAlignment="1" applyProtection="1">
      <alignment horizontal="center" wrapText="1"/>
      <protection locked="0"/>
    </xf>
    <xf numFmtId="1" fontId="8" fillId="4" borderId="4" xfId="1" applyNumberFormat="1" applyFont="1" applyFill="1" applyBorder="1" applyAlignment="1" applyProtection="1">
      <alignment horizontal="center" wrapText="1"/>
      <protection locked="0"/>
    </xf>
    <xf numFmtId="0" fontId="6" fillId="0" borderId="0" xfId="0" applyFont="1"/>
    <xf numFmtId="0" fontId="8" fillId="2" borderId="4" xfId="1" applyFont="1" applyFill="1" applyBorder="1" applyAlignment="1" applyProtection="1">
      <alignment horizontal="center" vertical="center"/>
      <protection locked="0"/>
    </xf>
    <xf numFmtId="0" fontId="8" fillId="2" borderId="6" xfId="1" applyFont="1" applyFill="1" applyBorder="1" applyAlignment="1" applyProtection="1">
      <alignment horizontal="center" vertical="center"/>
      <protection locked="0"/>
    </xf>
    <xf numFmtId="0" fontId="8" fillId="2" borderId="16" xfId="1" applyFont="1" applyFill="1" applyBorder="1" applyAlignment="1" applyProtection="1">
      <alignment horizontal="center" vertical="center"/>
      <protection locked="0"/>
    </xf>
    <xf numFmtId="0" fontId="8" fillId="2" borderId="17" xfId="1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1" fontId="5" fillId="3" borderId="4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top" wrapText="1"/>
    </xf>
    <xf numFmtId="9" fontId="9" fillId="2" borderId="13" xfId="0" applyNumberFormat="1" applyFont="1" applyFill="1" applyBorder="1" applyAlignment="1">
      <alignment horizontal="center" vertical="top" wrapText="1"/>
    </xf>
    <xf numFmtId="0" fontId="8" fillId="4" borderId="7" xfId="1" applyFont="1" applyFill="1" applyBorder="1" applyAlignment="1" applyProtection="1">
      <alignment horizontal="center" vertical="top" wrapText="1"/>
      <protection locked="0"/>
    </xf>
    <xf numFmtId="9" fontId="8" fillId="4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4" xfId="1" applyFont="1" applyFill="1" applyBorder="1" applyAlignment="1" applyProtection="1">
      <alignment horizontal="center" vertical="center"/>
      <protection locked="0"/>
    </xf>
    <xf numFmtId="0" fontId="8" fillId="4" borderId="14" xfId="1" applyFont="1" applyFill="1" applyBorder="1" applyAlignment="1" applyProtection="1">
      <alignment horizontal="center" vertical="top" wrapText="1"/>
      <protection locked="0"/>
    </xf>
    <xf numFmtId="9" fontId="8" fillId="4" borderId="26" xfId="1" applyNumberFormat="1" applyFont="1" applyFill="1" applyBorder="1" applyAlignment="1" applyProtection="1">
      <alignment horizontal="center" vertical="center"/>
      <protection hidden="1"/>
    </xf>
    <xf numFmtId="9" fontId="13" fillId="4" borderId="14" xfId="1" applyNumberFormat="1" applyFont="1" applyFill="1" applyBorder="1" applyAlignment="1" applyProtection="1">
      <alignment horizontal="left" vertical="center"/>
      <protection hidden="1"/>
    </xf>
    <xf numFmtId="9" fontId="13" fillId="4" borderId="26" xfId="1" applyNumberFormat="1" applyFont="1" applyFill="1" applyBorder="1" applyAlignment="1" applyProtection="1">
      <alignment horizontal="left" vertical="center"/>
      <protection hidden="1"/>
    </xf>
    <xf numFmtId="0" fontId="6" fillId="0" borderId="24" xfId="1" applyFont="1" applyBorder="1"/>
    <xf numFmtId="0" fontId="5" fillId="0" borderId="19" xfId="0" applyNumberFormat="1" applyFont="1" applyBorder="1" applyProtection="1">
      <protection hidden="1"/>
    </xf>
    <xf numFmtId="1" fontId="4" fillId="0" borderId="19" xfId="0" applyNumberFormat="1" applyFont="1" applyBorder="1"/>
    <xf numFmtId="1" fontId="4" fillId="0" borderId="19" xfId="0" applyNumberFormat="1" applyFont="1" applyBorder="1" applyAlignment="1">
      <alignment horizontal="right"/>
    </xf>
    <xf numFmtId="1" fontId="4" fillId="0" borderId="22" xfId="0" applyNumberFormat="1" applyFont="1" applyBorder="1"/>
    <xf numFmtId="0" fontId="5" fillId="0" borderId="25" xfId="0" applyFont="1" applyFill="1" applyBorder="1" applyProtection="1">
      <protection hidden="1"/>
    </xf>
    <xf numFmtId="0" fontId="5" fillId="0" borderId="21" xfId="0" applyFont="1" applyFill="1" applyBorder="1" applyProtection="1">
      <protection hidden="1"/>
    </xf>
    <xf numFmtId="0" fontId="8" fillId="4" borderId="11" xfId="1" applyFont="1" applyFill="1" applyBorder="1" applyAlignment="1" applyProtection="1">
      <alignment horizontal="center" vertical="top" wrapText="1"/>
      <protection locked="0"/>
    </xf>
    <xf numFmtId="0" fontId="8" fillId="4" borderId="12" xfId="1" applyFont="1" applyFill="1" applyBorder="1" applyAlignment="1" applyProtection="1">
      <alignment horizontal="center" wrapText="1"/>
      <protection locked="0"/>
    </xf>
    <xf numFmtId="9" fontId="8" fillId="4" borderId="27" xfId="1" applyNumberFormat="1" applyFont="1" applyFill="1" applyBorder="1" applyAlignment="1" applyProtection="1">
      <alignment horizontal="center" vertical="center" wrapText="1"/>
      <protection hidden="1"/>
    </xf>
    <xf numFmtId="9" fontId="13" fillId="4" borderId="28" xfId="1" applyNumberFormat="1" applyFont="1" applyFill="1" applyBorder="1" applyAlignment="1" applyProtection="1">
      <alignment horizontal="left" vertical="center"/>
      <protection hidden="1"/>
    </xf>
    <xf numFmtId="0" fontId="6" fillId="2" borderId="16" xfId="1" applyFont="1" applyFill="1" applyBorder="1" applyAlignment="1" applyProtection="1">
      <alignment horizontal="center" vertical="center"/>
      <protection locked="0"/>
    </xf>
    <xf numFmtId="0" fontId="6" fillId="2" borderId="17" xfId="1" applyFont="1" applyFill="1" applyBorder="1" applyAlignment="1" applyProtection="1">
      <alignment horizontal="center" vertical="center"/>
      <protection locked="0"/>
    </xf>
    <xf numFmtId="0" fontId="6" fillId="0" borderId="30" xfId="1" applyFont="1" applyFill="1" applyBorder="1" applyProtection="1">
      <protection hidden="1"/>
    </xf>
    <xf numFmtId="0" fontId="6" fillId="0" borderId="31" xfId="1" applyFont="1" applyBorder="1" applyProtection="1">
      <protection hidden="1"/>
    </xf>
    <xf numFmtId="0" fontId="6" fillId="2" borderId="4" xfId="1" applyFont="1" applyFill="1" applyBorder="1" applyAlignment="1" applyProtection="1">
      <alignment horizontal="center" vertical="center"/>
      <protection locked="0"/>
    </xf>
    <xf numFmtId="0" fontId="6" fillId="2" borderId="6" xfId="1" applyFont="1" applyFill="1" applyBorder="1" applyAlignment="1" applyProtection="1">
      <alignment horizontal="center" vertical="center"/>
      <protection locked="0"/>
    </xf>
    <xf numFmtId="0" fontId="6" fillId="0" borderId="0" xfId="1" applyFont="1" applyFill="1" applyBorder="1" applyProtection="1">
      <protection hidden="1"/>
    </xf>
    <xf numFmtId="0" fontId="6" fillId="0" borderId="3" xfId="1" applyFont="1" applyBorder="1" applyProtection="1">
      <protection hidden="1"/>
    </xf>
    <xf numFmtId="0" fontId="6" fillId="3" borderId="4" xfId="1" applyFont="1" applyFill="1" applyBorder="1" applyAlignment="1" applyProtection="1">
      <alignment horizontal="center" vertical="top" wrapText="1"/>
      <protection locked="0"/>
    </xf>
    <xf numFmtId="0" fontId="6" fillId="0" borderId="3" xfId="1" applyFont="1" applyBorder="1"/>
    <xf numFmtId="0" fontId="6" fillId="3" borderId="4" xfId="1" applyFont="1" applyFill="1" applyBorder="1" applyAlignment="1" applyProtection="1">
      <alignment horizontal="center" wrapText="1"/>
      <protection locked="0"/>
    </xf>
    <xf numFmtId="9" fontId="6" fillId="3" borderId="4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3" xfId="0" applyNumberFormat="1" applyFont="1" applyBorder="1" applyProtection="1">
      <protection hidden="1"/>
    </xf>
    <xf numFmtId="1" fontId="6" fillId="3" borderId="4" xfId="1" applyNumberFormat="1" applyFont="1" applyFill="1" applyBorder="1" applyAlignment="1" applyProtection="1">
      <alignment horizontal="center" wrapText="1"/>
      <protection locked="0"/>
    </xf>
    <xf numFmtId="1" fontId="6" fillId="0" borderId="3" xfId="0" applyNumberFormat="1" applyFont="1" applyBorder="1"/>
    <xf numFmtId="1" fontId="6" fillId="0" borderId="3" xfId="0" applyNumberFormat="1" applyFont="1" applyBorder="1" applyAlignment="1">
      <alignment horizontal="right"/>
    </xf>
    <xf numFmtId="0" fontId="6" fillId="3" borderId="12" xfId="1" applyFont="1" applyFill="1" applyBorder="1" applyAlignment="1" applyProtection="1">
      <alignment horizontal="center" wrapText="1"/>
      <protection locked="0"/>
    </xf>
    <xf numFmtId="9" fontId="6" fillId="3" borderId="12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Protection="1">
      <protection hidden="1"/>
    </xf>
    <xf numFmtId="1" fontId="6" fillId="0" borderId="1" xfId="0" applyNumberFormat="1" applyFont="1" applyBorder="1"/>
    <xf numFmtId="0" fontId="0" fillId="0" borderId="4" xfId="0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left" vertical="top"/>
    </xf>
    <xf numFmtId="0" fontId="1" fillId="3" borderId="5" xfId="0" applyFont="1" applyFill="1" applyBorder="1" applyAlignment="1">
      <alignment horizontal="left" vertical="top"/>
    </xf>
    <xf numFmtId="0" fontId="7" fillId="3" borderId="8" xfId="0" applyFont="1" applyFill="1" applyBorder="1" applyAlignment="1">
      <alignment vertical="top" wrapText="1"/>
    </xf>
    <xf numFmtId="0" fontId="7" fillId="3" borderId="10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3" borderId="4" xfId="1" applyFont="1" applyFill="1" applyBorder="1" applyAlignment="1" applyProtection="1">
      <alignment horizontal="center" vertical="top" wrapText="1"/>
      <protection locked="0"/>
    </xf>
    <xf numFmtId="9" fontId="6" fillId="3" borderId="4" xfId="1" applyNumberFormat="1" applyFont="1" applyFill="1" applyBorder="1" applyAlignment="1" applyProtection="1">
      <alignment horizontal="center" vertical="center" wrapText="1"/>
      <protection hidden="1"/>
    </xf>
    <xf numFmtId="9" fontId="6" fillId="3" borderId="12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4" xfId="0" applyFont="1" applyFill="1" applyBorder="1" applyAlignment="1">
      <alignment horizontal="center" vertical="center" wrapText="1"/>
    </xf>
    <xf numFmtId="1" fontId="6" fillId="0" borderId="0" xfId="0" applyNumberFormat="1" applyFont="1"/>
    <xf numFmtId="0" fontId="9" fillId="3" borderId="4" xfId="0" applyFont="1" applyFill="1" applyBorder="1" applyAlignment="1">
      <alignment horizontal="center" vertical="center"/>
    </xf>
    <xf numFmtId="1" fontId="6" fillId="0" borderId="0" xfId="0" applyNumberFormat="1" applyFont="1" applyAlignment="1">
      <alignment horizontal="center"/>
    </xf>
    <xf numFmtId="0" fontId="8" fillId="3" borderId="4" xfId="0" applyFont="1" applyFill="1" applyBorder="1" applyAlignment="1">
      <alignment horizontal="center" vertical="center" wrapText="1"/>
    </xf>
    <xf numFmtId="9" fontId="7" fillId="3" borderId="8" xfId="0" applyNumberFormat="1" applyFont="1" applyFill="1" applyBorder="1" applyAlignment="1">
      <alignment horizontal="left" vertical="top" wrapText="1"/>
    </xf>
    <xf numFmtId="165" fontId="6" fillId="0" borderId="0" xfId="0" applyNumberFormat="1" applyFont="1"/>
    <xf numFmtId="0" fontId="9" fillId="2" borderId="29" xfId="0" applyFont="1" applyFill="1" applyBorder="1" applyAlignment="1">
      <alignment horizontal="left" vertical="top" wrapText="1"/>
    </xf>
    <xf numFmtId="0" fontId="9" fillId="2" borderId="24" xfId="0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left" vertical="top" wrapText="1"/>
    </xf>
    <xf numFmtId="0" fontId="9" fillId="2" borderId="22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1" fontId="5" fillId="5" borderId="4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9" fontId="6" fillId="3" borderId="12" xfId="0" applyNumberFormat="1" applyFont="1" applyFill="1" applyBorder="1" applyAlignment="1">
      <alignment horizontal="center"/>
    </xf>
    <xf numFmtId="0" fontId="6" fillId="3" borderId="5" xfId="1" applyFont="1" applyFill="1" applyBorder="1" applyAlignment="1" applyProtection="1">
      <alignment horizontal="center" vertical="top" wrapText="1"/>
      <protection locked="0"/>
    </xf>
    <xf numFmtId="0" fontId="6" fillId="3" borderId="4" xfId="1" applyFont="1" applyFill="1" applyBorder="1" applyAlignment="1" applyProtection="1">
      <alignment horizontal="center" vertical="top" wrapText="1"/>
      <protection locked="0"/>
    </xf>
    <xf numFmtId="9" fontId="6" fillId="3" borderId="4" xfId="0" applyNumberFormat="1" applyFont="1" applyFill="1" applyBorder="1" applyAlignment="1">
      <alignment horizontal="center"/>
    </xf>
    <xf numFmtId="0" fontId="7" fillId="3" borderId="18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7" fillId="3" borderId="19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vertical="center" wrapText="1"/>
    </xf>
    <xf numFmtId="0" fontId="7" fillId="3" borderId="7" xfId="0" applyFont="1" applyFill="1" applyBorder="1" applyAlignment="1">
      <alignment horizontal="left" vertical="top" wrapText="1"/>
    </xf>
    <xf numFmtId="0" fontId="7" fillId="3" borderId="8" xfId="0" applyFont="1" applyFill="1" applyBorder="1" applyAlignment="1">
      <alignment horizontal="left" vertical="top" wrapText="1"/>
    </xf>
    <xf numFmtId="0" fontId="7" fillId="3" borderId="10" xfId="0" applyFont="1" applyFill="1" applyBorder="1" applyAlignment="1">
      <alignment horizontal="left" vertical="top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165" fontId="8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top"/>
    </xf>
    <xf numFmtId="0" fontId="9" fillId="2" borderId="4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4" xfId="0" applyFont="1" applyFill="1" applyBorder="1" applyAlignment="1">
      <alignment vertical="top" wrapText="1"/>
    </xf>
    <xf numFmtId="0" fontId="9" fillId="2" borderId="4" xfId="0" applyFont="1" applyFill="1" applyBorder="1" applyAlignment="1">
      <alignment horizontal="center" vertical="top" wrapText="1"/>
    </xf>
    <xf numFmtId="0" fontId="8" fillId="3" borderId="4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left" vertical="top" wrapText="1"/>
    </xf>
    <xf numFmtId="0" fontId="11" fillId="3" borderId="4" xfId="0" applyFont="1" applyFill="1" applyBorder="1" applyAlignment="1">
      <alignment horizontal="left" vertical="top"/>
    </xf>
    <xf numFmtId="0" fontId="1" fillId="2" borderId="4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vertical="top"/>
    </xf>
    <xf numFmtId="0" fontId="8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vertical="top" wrapText="1"/>
    </xf>
    <xf numFmtId="0" fontId="17" fillId="3" borderId="7" xfId="2" applyFill="1" applyBorder="1" applyAlignment="1">
      <alignment horizontal="left" vertical="top" wrapText="1"/>
    </xf>
    <xf numFmtId="0" fontId="5" fillId="3" borderId="8" xfId="0" applyFont="1" applyFill="1" applyBorder="1" applyAlignment="1">
      <alignment horizontal="left" vertical="top" wrapText="1"/>
    </xf>
    <xf numFmtId="0" fontId="5" fillId="3" borderId="10" xfId="0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/>
    </xf>
    <xf numFmtId="0" fontId="9" fillId="3" borderId="7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" fillId="3" borderId="4" xfId="1" applyFont="1" applyFill="1" applyBorder="1" applyAlignment="1" applyProtection="1">
      <alignment horizontal="left" vertical="top" wrapText="1"/>
      <protection locked="0"/>
    </xf>
    <xf numFmtId="0" fontId="1" fillId="3" borderId="6" xfId="1" applyFont="1" applyFill="1" applyBorder="1" applyAlignment="1" applyProtection="1">
      <alignment horizontal="left" vertical="top" wrapText="1"/>
      <protection locked="0"/>
    </xf>
    <xf numFmtId="0" fontId="6" fillId="3" borderId="4" xfId="0" applyFont="1" applyFill="1" applyBorder="1" applyAlignment="1">
      <alignment horizontal="center"/>
    </xf>
    <xf numFmtId="0" fontId="6" fillId="3" borderId="4" xfId="1" applyFont="1" applyFill="1" applyBorder="1" applyAlignment="1" applyProtection="1">
      <alignment horizontal="center" vertical="center" wrapText="1"/>
      <protection locked="0"/>
    </xf>
    <xf numFmtId="0" fontId="6" fillId="3" borderId="6" xfId="1" applyFont="1" applyFill="1" applyBorder="1" applyAlignment="1" applyProtection="1">
      <alignment horizontal="center" vertical="center" wrapText="1"/>
      <protection locked="0"/>
    </xf>
    <xf numFmtId="9" fontId="6" fillId="3" borderId="4" xfId="1" applyNumberFormat="1" applyFont="1" applyFill="1" applyBorder="1" applyAlignment="1" applyProtection="1">
      <alignment horizontal="center" vertical="center" wrapText="1"/>
      <protection hidden="1"/>
    </xf>
    <xf numFmtId="9" fontId="6" fillId="3" borderId="6" xfId="1" applyNumberFormat="1" applyFont="1" applyFill="1" applyBorder="1" applyAlignment="1" applyProtection="1">
      <alignment horizontal="center" vertical="center" wrapText="1"/>
      <protection hidden="1"/>
    </xf>
    <xf numFmtId="9" fontId="6" fillId="3" borderId="12" xfId="1" applyNumberFormat="1" applyFont="1" applyFill="1" applyBorder="1" applyAlignment="1" applyProtection="1">
      <alignment horizontal="center" vertical="center" wrapText="1"/>
      <protection hidden="1"/>
    </xf>
    <xf numFmtId="9" fontId="6" fillId="3" borderId="32" xfId="1" applyNumberFormat="1" applyFont="1" applyFill="1" applyBorder="1" applyAlignment="1" applyProtection="1">
      <alignment horizontal="center" vertical="center" wrapText="1"/>
      <protection hidden="1"/>
    </xf>
    <xf numFmtId="0" fontId="6" fillId="3" borderId="11" xfId="1" applyFont="1" applyFill="1" applyBorder="1" applyAlignment="1" applyProtection="1">
      <alignment horizontal="center" vertical="top" wrapText="1"/>
      <protection locked="0"/>
    </xf>
    <xf numFmtId="0" fontId="6" fillId="3" borderId="12" xfId="1" applyFont="1" applyFill="1" applyBorder="1" applyAlignment="1" applyProtection="1">
      <alignment horizontal="center" vertical="top" wrapText="1"/>
      <protection locked="0"/>
    </xf>
    <xf numFmtId="0" fontId="9" fillId="2" borderId="7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left" vertical="top" wrapText="1"/>
    </xf>
    <xf numFmtId="1" fontId="9" fillId="5" borderId="7" xfId="0" applyNumberFormat="1" applyFont="1" applyFill="1" applyBorder="1" applyAlignment="1">
      <alignment horizontal="center" vertical="center" wrapText="1"/>
    </xf>
    <xf numFmtId="1" fontId="9" fillId="5" borderId="10" xfId="0" applyNumberFormat="1" applyFont="1" applyFill="1" applyBorder="1" applyAlignment="1">
      <alignment horizontal="center" vertical="center" wrapText="1"/>
    </xf>
    <xf numFmtId="1" fontId="9" fillId="2" borderId="4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top"/>
    </xf>
    <xf numFmtId="0" fontId="5" fillId="3" borderId="10" xfId="0" applyFont="1" applyFill="1" applyBorder="1" applyAlignment="1">
      <alignment horizontal="left" vertical="top"/>
    </xf>
    <xf numFmtId="0" fontId="9" fillId="2" borderId="29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24" xfId="0" applyFont="1" applyFill="1" applyBorder="1" applyAlignment="1">
      <alignment horizontal="left" vertical="center" wrapText="1"/>
    </xf>
    <xf numFmtId="0" fontId="9" fillId="2" borderId="18" xfId="0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20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3" borderId="10" xfId="0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164" fontId="8" fillId="3" borderId="4" xfId="1" applyNumberFormat="1" applyFont="1" applyFill="1" applyBorder="1" applyAlignment="1" applyProtection="1">
      <alignment horizontal="left" vertical="center" wrapText="1"/>
      <protection locked="0"/>
    </xf>
    <xf numFmtId="22" fontId="8" fillId="3" borderId="4" xfId="0" applyNumberFormat="1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center" vertical="top" wrapText="1"/>
    </xf>
    <xf numFmtId="0" fontId="9" fillId="2" borderId="10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top" wrapText="1"/>
    </xf>
    <xf numFmtId="0" fontId="9" fillId="3" borderId="10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10" xfId="0" applyFont="1" applyFill="1" applyBorder="1" applyAlignment="1">
      <alignment horizontal="left" vertical="top" wrapText="1"/>
    </xf>
    <xf numFmtId="0" fontId="9" fillId="2" borderId="18" xfId="0" applyFont="1" applyFill="1" applyBorder="1" applyAlignment="1">
      <alignment horizontal="left" vertical="top" wrapText="1"/>
    </xf>
    <xf numFmtId="0" fontId="9" fillId="2" borderId="19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14" xfId="1" applyFont="1" applyFill="1" applyBorder="1" applyAlignment="1" applyProtection="1">
      <alignment horizontal="center" vertical="top" wrapText="1"/>
      <protection locked="0"/>
    </xf>
    <xf numFmtId="14" fontId="8" fillId="3" borderId="7" xfId="0" applyNumberFormat="1" applyFont="1" applyFill="1" applyBorder="1" applyAlignment="1">
      <alignment horizontal="center" vertical="center"/>
    </xf>
    <xf numFmtId="14" fontId="8" fillId="3" borderId="10" xfId="0" applyNumberFormat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1" fillId="2" borderId="33" xfId="1" applyFont="1" applyFill="1" applyBorder="1" applyAlignment="1" applyProtection="1">
      <alignment horizontal="left" vertical="top" wrapText="1"/>
      <protection locked="0"/>
    </xf>
    <xf numFmtId="0" fontId="1" fillId="2" borderId="30" xfId="1" applyFont="1" applyFill="1" applyBorder="1" applyAlignment="1" applyProtection="1">
      <alignment horizontal="left" vertical="top" wrapText="1"/>
      <protection locked="0"/>
    </xf>
    <xf numFmtId="0" fontId="1" fillId="2" borderId="34" xfId="1" applyFont="1" applyFill="1" applyBorder="1" applyAlignment="1" applyProtection="1">
      <alignment horizontal="left" vertical="top" wrapText="1"/>
      <protection locked="0"/>
    </xf>
    <xf numFmtId="0" fontId="1" fillId="2" borderId="35" xfId="1" applyFont="1" applyFill="1" applyBorder="1" applyAlignment="1" applyProtection="1">
      <alignment horizontal="left" vertical="top" wrapText="1"/>
      <protection locked="0"/>
    </xf>
    <xf numFmtId="0" fontId="1" fillId="2" borderId="21" xfId="1" applyFont="1" applyFill="1" applyBorder="1" applyAlignment="1" applyProtection="1">
      <alignment horizontal="left" vertical="top" wrapText="1"/>
      <protection locked="0"/>
    </xf>
    <xf numFmtId="0" fontId="1" fillId="2" borderId="22" xfId="1" applyFont="1" applyFill="1" applyBorder="1" applyAlignment="1" applyProtection="1">
      <alignment horizontal="left" vertical="top" wrapText="1"/>
      <protection locked="0"/>
    </xf>
    <xf numFmtId="0" fontId="9" fillId="3" borderId="7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1" fontId="5" fillId="5" borderId="7" xfId="0" applyNumberFormat="1" applyFont="1" applyFill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top" wrapText="1"/>
    </xf>
    <xf numFmtId="0" fontId="9" fillId="2" borderId="14" xfId="0" applyFont="1" applyFill="1" applyBorder="1" applyAlignment="1">
      <alignment horizontal="center" vertical="top" wrapText="1"/>
    </xf>
    <xf numFmtId="0" fontId="9" fillId="2" borderId="13" xfId="0" applyFont="1" applyFill="1" applyBorder="1" applyAlignment="1">
      <alignment horizontal="center" vertical="top" wrapText="1"/>
    </xf>
    <xf numFmtId="0" fontId="12" fillId="2" borderId="14" xfId="0" applyFont="1" applyFill="1" applyBorder="1" applyAlignment="1">
      <alignment horizontal="center" vertical="top" wrapText="1"/>
    </xf>
    <xf numFmtId="0" fontId="12" fillId="2" borderId="13" xfId="0" applyFont="1" applyFill="1" applyBorder="1" applyAlignment="1">
      <alignment horizontal="center" vertical="top" wrapText="1"/>
    </xf>
    <xf numFmtId="0" fontId="1" fillId="3" borderId="7" xfId="0" applyFont="1" applyFill="1" applyBorder="1" applyAlignment="1">
      <alignment horizontal="left" vertical="center" wrapText="1"/>
    </xf>
    <xf numFmtId="0" fontId="1" fillId="3" borderId="8" xfId="0" applyFont="1" applyFill="1" applyBorder="1" applyAlignment="1">
      <alignment horizontal="left" vertical="center" wrapText="1"/>
    </xf>
    <xf numFmtId="0" fontId="1" fillId="3" borderId="10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1" fontId="9" fillId="2" borderId="7" xfId="0" applyNumberFormat="1" applyFont="1" applyFill="1" applyBorder="1" applyAlignment="1">
      <alignment horizontal="center" vertical="center" wrapText="1"/>
    </xf>
    <xf numFmtId="1" fontId="9" fillId="2" borderId="10" xfId="0" applyNumberFormat="1" applyFont="1" applyFill="1" applyBorder="1" applyAlignment="1">
      <alignment horizontal="center" vertical="center" wrapText="1"/>
    </xf>
    <xf numFmtId="0" fontId="7" fillId="2" borderId="15" xfId="1" applyFont="1" applyFill="1" applyBorder="1" applyAlignment="1" applyProtection="1">
      <alignment horizontal="left" vertical="top" wrapText="1"/>
      <protection locked="0"/>
    </xf>
    <xf numFmtId="0" fontId="7" fillId="2" borderId="16" xfId="1" applyFont="1" applyFill="1" applyBorder="1" applyAlignment="1" applyProtection="1">
      <alignment horizontal="left" vertical="top" wrapText="1"/>
      <protection locked="0"/>
    </xf>
    <xf numFmtId="0" fontId="7" fillId="2" borderId="5" xfId="1" applyFont="1" applyFill="1" applyBorder="1" applyAlignment="1" applyProtection="1">
      <alignment horizontal="left" vertical="top" wrapText="1"/>
      <protection locked="0"/>
    </xf>
    <xf numFmtId="0" fontId="7" fillId="2" borderId="4" xfId="1" applyFont="1" applyFill="1" applyBorder="1" applyAlignment="1" applyProtection="1">
      <alignment horizontal="left" vertical="top" wrapText="1"/>
      <protection locked="0"/>
    </xf>
    <xf numFmtId="0" fontId="8" fillId="4" borderId="8" xfId="1" applyFont="1" applyFill="1" applyBorder="1" applyAlignment="1" applyProtection="1">
      <alignment horizontal="center" vertical="center" wrapText="1"/>
      <protection locked="0"/>
    </xf>
    <xf numFmtId="0" fontId="8" fillId="4" borderId="9" xfId="1" applyFont="1" applyFill="1" applyBorder="1" applyAlignment="1" applyProtection="1">
      <alignment horizontal="center" vertical="center" wrapText="1"/>
      <protection locked="0"/>
    </xf>
    <xf numFmtId="9" fontId="8" fillId="4" borderId="25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23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0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3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2" xfId="1" applyNumberFormat="1" applyFont="1" applyFill="1" applyBorder="1" applyAlignment="1" applyProtection="1">
      <alignment horizontal="center" vertical="center" wrapText="1"/>
      <protection hidden="1"/>
    </xf>
    <xf numFmtId="9" fontId="8" fillId="4" borderId="1" xfId="1" applyNumberFormat="1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Normal 3" xfId="1"/>
  </cellStyles>
  <dxfs count="0"/>
  <tableStyles count="0" defaultTableStyle="TableStyleMedium2" defaultPivotStyle="PivotStyleLight16"/>
  <colors>
    <mruColors>
      <color rgb="FFE3F2F3"/>
      <color rgb="FFE5EEF1"/>
      <color rgb="FFBBDDBD"/>
      <color rgb="FFE1F5E7"/>
      <color rgb="FFF2FCDA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234992</xdr:colOff>
      <xdr:row>6</xdr:row>
      <xdr:rowOff>33131</xdr:rowOff>
    </xdr:from>
    <xdr:to>
      <xdr:col>13</xdr:col>
      <xdr:colOff>197815</xdr:colOff>
      <xdr:row>8</xdr:row>
      <xdr:rowOff>491356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8692" y="1890506"/>
          <a:ext cx="3325148" cy="1311334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37</xdr:row>
      <xdr:rowOff>373380</xdr:rowOff>
    </xdr:from>
    <xdr:to>
      <xdr:col>13</xdr:col>
      <xdr:colOff>256717</xdr:colOff>
      <xdr:row>40</xdr:row>
      <xdr:rowOff>147685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25" y="10260330"/>
          <a:ext cx="3457117" cy="1759987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161924</xdr:colOff>
      <xdr:row>44</xdr:row>
      <xdr:rowOff>147654</xdr:rowOff>
    </xdr:from>
    <xdr:to>
      <xdr:col>15</xdr:col>
      <xdr:colOff>142236</xdr:colOff>
      <xdr:row>48</xdr:row>
      <xdr:rowOff>510162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24" y="12082479"/>
          <a:ext cx="4561837" cy="1880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191817</xdr:colOff>
      <xdr:row>131</xdr:row>
      <xdr:rowOff>30291</xdr:rowOff>
    </xdr:from>
    <xdr:to>
      <xdr:col>20</xdr:col>
      <xdr:colOff>341328</xdr:colOff>
      <xdr:row>149</xdr:row>
      <xdr:rowOff>86408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84170" y="26285673"/>
          <a:ext cx="6200687" cy="28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629478</xdr:colOff>
      <xdr:row>180</xdr:row>
      <xdr:rowOff>1</xdr:rowOff>
    </xdr:from>
    <xdr:to>
      <xdr:col>16</xdr:col>
      <xdr:colOff>249530</xdr:colOff>
      <xdr:row>194</xdr:row>
      <xdr:rowOff>52300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04652" y="30281218"/>
          <a:ext cx="4838095" cy="23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842876</xdr:colOff>
      <xdr:row>94</xdr:row>
      <xdr:rowOff>27140</xdr:rowOff>
    </xdr:from>
    <xdr:to>
      <xdr:col>12</xdr:col>
      <xdr:colOff>351884</xdr:colOff>
      <xdr:row>104</xdr:row>
      <xdr:rowOff>133756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1229" y="22719052"/>
          <a:ext cx="2243243" cy="1372880"/>
        </a:xfrm>
        <a:prstGeom prst="rect">
          <a:avLst/>
        </a:prstGeom>
      </xdr:spPr>
    </xdr:pic>
    <xdr:clientData/>
  </xdr:twoCellAnchor>
  <xdr:twoCellAnchor>
    <xdr:from>
      <xdr:col>0</xdr:col>
      <xdr:colOff>157857</xdr:colOff>
      <xdr:row>331</xdr:row>
      <xdr:rowOff>72107</xdr:rowOff>
    </xdr:from>
    <xdr:to>
      <xdr:col>7</xdr:col>
      <xdr:colOff>654880</xdr:colOff>
      <xdr:row>364</xdr:row>
      <xdr:rowOff>98712</xdr:rowOff>
    </xdr:to>
    <xdr:grpSp>
      <xdr:nvGrpSpPr>
        <xdr:cNvPr id="19" name="Group 18"/>
        <xdr:cNvGrpSpPr/>
      </xdr:nvGrpSpPr>
      <xdr:grpSpPr>
        <a:xfrm>
          <a:off x="157857" y="53436955"/>
          <a:ext cx="6410806" cy="5493127"/>
          <a:chOff x="124239" y="49877869"/>
          <a:chExt cx="6410806" cy="5493127"/>
        </a:xfrm>
      </xdr:grpSpPr>
      <xdr:grpSp>
        <xdr:nvGrpSpPr>
          <xdr:cNvPr id="15" name="Group 14"/>
          <xdr:cNvGrpSpPr/>
        </xdr:nvGrpSpPr>
        <xdr:grpSpPr>
          <a:xfrm>
            <a:off x="124239" y="49877869"/>
            <a:ext cx="6410806" cy="5493127"/>
            <a:chOff x="124239" y="49770195"/>
            <a:chExt cx="6410806" cy="5493127"/>
          </a:xfrm>
        </xdr:grpSpPr>
        <xdr:pic>
          <xdr:nvPicPr>
            <xdr:cNvPr id="9" name="Picture 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884"/>
            <a:stretch/>
          </xdr:blipFill>
          <xdr:spPr>
            <a:xfrm rot="10800000">
              <a:off x="124239" y="49770195"/>
              <a:ext cx="6410806" cy="5493127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10" name="Rectangle 9"/>
            <xdr:cNvSpPr/>
          </xdr:nvSpPr>
          <xdr:spPr>
            <a:xfrm rot="19070192">
              <a:off x="1372445" y="52184608"/>
              <a:ext cx="984457" cy="521551"/>
            </a:xfrm>
            <a:prstGeom prst="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/>
            </a:p>
          </xdr:txBody>
        </xdr:sp>
        <xdr:sp macro="" textlink="">
          <xdr:nvSpPr>
            <xdr:cNvPr id="11" name="TextBox 10"/>
            <xdr:cNvSpPr txBox="1"/>
          </xdr:nvSpPr>
          <xdr:spPr>
            <a:xfrm>
              <a:off x="1581978" y="52453761"/>
              <a:ext cx="347869" cy="2484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100" b="1">
                  <a:solidFill>
                    <a:srgbClr val="FF0000"/>
                  </a:solidFill>
                </a:rPr>
                <a:t>A3</a:t>
              </a:r>
            </a:p>
          </xdr:txBody>
        </xdr:sp>
        <xdr:sp macro="" textlink="">
          <xdr:nvSpPr>
            <xdr:cNvPr id="13" name="TextBox 12"/>
            <xdr:cNvSpPr txBox="1"/>
          </xdr:nvSpPr>
          <xdr:spPr>
            <a:xfrm>
              <a:off x="1888435" y="52089326"/>
              <a:ext cx="347869" cy="2484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100" b="1">
                  <a:solidFill>
                    <a:srgbClr val="FF0000"/>
                  </a:solidFill>
                </a:rPr>
                <a:t>A4</a:t>
              </a:r>
            </a:p>
          </xdr:txBody>
        </xdr:sp>
        <xdr:sp macro="" textlink="">
          <xdr:nvSpPr>
            <xdr:cNvPr id="14" name="TextBox 13"/>
            <xdr:cNvSpPr txBox="1"/>
          </xdr:nvSpPr>
          <xdr:spPr>
            <a:xfrm rot="19317562">
              <a:off x="1258956" y="51956804"/>
              <a:ext cx="836544" cy="2484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100" b="1">
                  <a:solidFill>
                    <a:srgbClr val="FF0000"/>
                  </a:solidFill>
                </a:rPr>
                <a:t>Phase</a:t>
              </a:r>
              <a:r>
                <a:rPr lang="en-IN" sz="1100" b="1" baseline="0">
                  <a:solidFill>
                    <a:srgbClr val="FF0000"/>
                  </a:solidFill>
                </a:rPr>
                <a:t> </a:t>
              </a:r>
              <a:r>
                <a:rPr lang="en-IN" sz="1100" b="1">
                  <a:solidFill>
                    <a:srgbClr val="FF0000"/>
                  </a:solidFill>
                </a:rPr>
                <a:t>4</a:t>
              </a:r>
            </a:p>
          </xdr:txBody>
        </xdr:sp>
      </xdr:grpSp>
      <xdr:cxnSp macro="">
        <xdr:nvCxnSpPr>
          <xdr:cNvPr id="17" name="Straight Arrow Connector 16"/>
          <xdr:cNvCxnSpPr/>
        </xdr:nvCxnSpPr>
        <xdr:spPr>
          <a:xfrm flipH="1" flipV="1">
            <a:off x="4199283" y="50358261"/>
            <a:ext cx="149087" cy="364435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/>
          <xdr:cNvSpPr txBox="1"/>
        </xdr:nvSpPr>
        <xdr:spPr>
          <a:xfrm>
            <a:off x="4041913" y="50010390"/>
            <a:ext cx="347869" cy="289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1">
                <a:solidFill>
                  <a:schemeClr val="tx1"/>
                </a:solidFill>
              </a:rPr>
              <a:t>N</a:t>
            </a:r>
          </a:p>
        </xdr:txBody>
      </xdr:sp>
    </xdr:grpSp>
    <xdr:clientData/>
  </xdr:twoCellAnchor>
  <xdr:twoCellAnchor editAs="oneCell">
    <xdr:from>
      <xdr:col>1</xdr:col>
      <xdr:colOff>564635</xdr:colOff>
      <xdr:row>384</xdr:row>
      <xdr:rowOff>89124</xdr:rowOff>
    </xdr:from>
    <xdr:to>
      <xdr:col>6</xdr:col>
      <xdr:colOff>123265</xdr:colOff>
      <xdr:row>405</xdr:row>
      <xdr:rowOff>90568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0253" y="54280771"/>
          <a:ext cx="3805659" cy="32959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718294</xdr:colOff>
      <xdr:row>406</xdr:row>
      <xdr:rowOff>43543</xdr:rowOff>
    </xdr:from>
    <xdr:to>
      <xdr:col>7</xdr:col>
      <xdr:colOff>152400</xdr:colOff>
      <xdr:row>432</xdr:row>
      <xdr:rowOff>129988</xdr:rowOff>
    </xdr:to>
    <xdr:grpSp>
      <xdr:nvGrpSpPr>
        <xdr:cNvPr id="56" name="Group 55"/>
        <xdr:cNvGrpSpPr/>
      </xdr:nvGrpSpPr>
      <xdr:grpSpPr>
        <a:xfrm>
          <a:off x="718294" y="63347521"/>
          <a:ext cx="5347889" cy="4393402"/>
          <a:chOff x="737344" y="58917568"/>
          <a:chExt cx="5320556" cy="4296495"/>
        </a:xfrm>
      </xdr:grpSpPr>
      <xdr:grpSp>
        <xdr:nvGrpSpPr>
          <xdr:cNvPr id="39" name="Group 38"/>
          <xdr:cNvGrpSpPr/>
        </xdr:nvGrpSpPr>
        <xdr:grpSpPr>
          <a:xfrm>
            <a:off x="737344" y="58917568"/>
            <a:ext cx="5320556" cy="4296495"/>
            <a:chOff x="661144" y="59279117"/>
            <a:chExt cx="5387631" cy="4379900"/>
          </a:xfrm>
        </xdr:grpSpPr>
        <xdr:pic>
          <xdr:nvPicPr>
            <xdr:cNvPr id="36" name="Picture 35"/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61144" y="59279117"/>
              <a:ext cx="5387631" cy="43799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23" name="Rectangle 22"/>
            <xdr:cNvSpPr/>
          </xdr:nvSpPr>
          <xdr:spPr>
            <a:xfrm rot="2755708">
              <a:off x="2170805" y="60613071"/>
              <a:ext cx="415276" cy="605345"/>
            </a:xfrm>
            <a:prstGeom prst="rect">
              <a:avLst/>
            </a:prstGeom>
            <a:noFill/>
            <a:ln w="38100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/>
            </a:p>
          </xdr:txBody>
        </xdr:sp>
        <xdr:sp macro="" textlink="">
          <xdr:nvSpPr>
            <xdr:cNvPr id="38" name="Freeform 37"/>
            <xdr:cNvSpPr/>
          </xdr:nvSpPr>
          <xdr:spPr>
            <a:xfrm>
              <a:off x="1510393" y="59544857"/>
              <a:ext cx="2898321" cy="2911929"/>
            </a:xfrm>
            <a:custGeom>
              <a:avLst/>
              <a:gdLst>
                <a:gd name="connsiteX0" fmla="*/ 857250 w 2898321"/>
                <a:gd name="connsiteY0" fmla="*/ 0 h 2911929"/>
                <a:gd name="connsiteX1" fmla="*/ 1238250 w 2898321"/>
                <a:gd name="connsiteY1" fmla="*/ 149679 h 2911929"/>
                <a:gd name="connsiteX2" fmla="*/ 1129393 w 2898321"/>
                <a:gd name="connsiteY2" fmla="*/ 530679 h 2911929"/>
                <a:gd name="connsiteX3" fmla="*/ 1578428 w 2898321"/>
                <a:gd name="connsiteY3" fmla="*/ 993322 h 2911929"/>
                <a:gd name="connsiteX4" fmla="*/ 1755321 w 2898321"/>
                <a:gd name="connsiteY4" fmla="*/ 272143 h 2911929"/>
                <a:gd name="connsiteX5" fmla="*/ 1700893 w 2898321"/>
                <a:gd name="connsiteY5" fmla="*/ 911679 h 2911929"/>
                <a:gd name="connsiteX6" fmla="*/ 2163536 w 2898321"/>
                <a:gd name="connsiteY6" fmla="*/ 775607 h 2911929"/>
                <a:gd name="connsiteX7" fmla="*/ 1973036 w 2898321"/>
                <a:gd name="connsiteY7" fmla="*/ 1061357 h 2911929"/>
                <a:gd name="connsiteX8" fmla="*/ 2286000 w 2898321"/>
                <a:gd name="connsiteY8" fmla="*/ 898072 h 2911929"/>
                <a:gd name="connsiteX9" fmla="*/ 2898321 w 2898321"/>
                <a:gd name="connsiteY9" fmla="*/ 2204357 h 2911929"/>
                <a:gd name="connsiteX10" fmla="*/ 2272393 w 2898321"/>
                <a:gd name="connsiteY10" fmla="*/ 2422072 h 2911929"/>
                <a:gd name="connsiteX11" fmla="*/ 1850571 w 2898321"/>
                <a:gd name="connsiteY11" fmla="*/ 2911929 h 2911929"/>
                <a:gd name="connsiteX12" fmla="*/ 1333500 w 2898321"/>
                <a:gd name="connsiteY12" fmla="*/ 2558143 h 2911929"/>
                <a:gd name="connsiteX13" fmla="*/ 843643 w 2898321"/>
                <a:gd name="connsiteY13" fmla="*/ 1796143 h 2911929"/>
                <a:gd name="connsiteX14" fmla="*/ 0 w 2898321"/>
                <a:gd name="connsiteY14" fmla="*/ 1469572 h 2911929"/>
                <a:gd name="connsiteX15" fmla="*/ 176893 w 2898321"/>
                <a:gd name="connsiteY15" fmla="*/ 1387929 h 2911929"/>
                <a:gd name="connsiteX16" fmla="*/ 244928 w 2898321"/>
                <a:gd name="connsiteY16" fmla="*/ 639536 h 2911929"/>
                <a:gd name="connsiteX17" fmla="*/ 449036 w 2898321"/>
                <a:gd name="connsiteY17" fmla="*/ 1455964 h 2911929"/>
                <a:gd name="connsiteX18" fmla="*/ 857250 w 2898321"/>
                <a:gd name="connsiteY18" fmla="*/ 0 h 29119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2898321" h="2911929">
                  <a:moveTo>
                    <a:pt x="857250" y="0"/>
                  </a:moveTo>
                  <a:lnTo>
                    <a:pt x="1238250" y="149679"/>
                  </a:lnTo>
                  <a:lnTo>
                    <a:pt x="1129393" y="530679"/>
                  </a:lnTo>
                  <a:lnTo>
                    <a:pt x="1578428" y="993322"/>
                  </a:lnTo>
                  <a:lnTo>
                    <a:pt x="1755321" y="272143"/>
                  </a:lnTo>
                  <a:lnTo>
                    <a:pt x="1700893" y="911679"/>
                  </a:lnTo>
                  <a:lnTo>
                    <a:pt x="2163536" y="775607"/>
                  </a:lnTo>
                  <a:lnTo>
                    <a:pt x="1973036" y="1061357"/>
                  </a:lnTo>
                  <a:lnTo>
                    <a:pt x="2286000" y="898072"/>
                  </a:lnTo>
                  <a:lnTo>
                    <a:pt x="2898321" y="2204357"/>
                  </a:lnTo>
                  <a:lnTo>
                    <a:pt x="2272393" y="2422072"/>
                  </a:lnTo>
                  <a:lnTo>
                    <a:pt x="1850571" y="2911929"/>
                  </a:lnTo>
                  <a:lnTo>
                    <a:pt x="1333500" y="2558143"/>
                  </a:lnTo>
                  <a:lnTo>
                    <a:pt x="843643" y="1796143"/>
                  </a:lnTo>
                  <a:lnTo>
                    <a:pt x="0" y="1469572"/>
                  </a:lnTo>
                  <a:lnTo>
                    <a:pt x="176893" y="1387929"/>
                  </a:lnTo>
                  <a:lnTo>
                    <a:pt x="244928" y="639536"/>
                  </a:lnTo>
                  <a:lnTo>
                    <a:pt x="449036" y="1455964"/>
                  </a:lnTo>
                  <a:lnTo>
                    <a:pt x="857250" y="0"/>
                  </a:lnTo>
                  <a:close/>
                </a:path>
              </a:pathLst>
            </a:custGeom>
            <a:noFill/>
            <a:ln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/>
            </a:p>
          </xdr:txBody>
        </xdr:sp>
      </xdr:grpSp>
      <xdr:sp macro="" textlink="">
        <xdr:nvSpPr>
          <xdr:cNvPr id="37" name="TextBox 36"/>
          <xdr:cNvSpPr txBox="1"/>
        </xdr:nvSpPr>
        <xdr:spPr>
          <a:xfrm rot="19180055">
            <a:off x="2313042" y="60504586"/>
            <a:ext cx="891737" cy="253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600" b="1">
                <a:solidFill>
                  <a:srgbClr val="FFFF00"/>
                </a:solidFill>
              </a:rPr>
              <a:t>Phase 4</a:t>
            </a:r>
          </a:p>
        </xdr:txBody>
      </xdr:sp>
    </xdr:grpSp>
    <xdr:clientData/>
  </xdr:twoCellAnchor>
  <xdr:twoCellAnchor editAs="oneCell">
    <xdr:from>
      <xdr:col>8</xdr:col>
      <xdr:colOff>638175</xdr:colOff>
      <xdr:row>48</xdr:row>
      <xdr:rowOff>371475</xdr:rowOff>
    </xdr:from>
    <xdr:to>
      <xdr:col>15</xdr:col>
      <xdr:colOff>27879</xdr:colOff>
      <xdr:row>53</xdr:row>
      <xdr:rowOff>1244361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81875" y="14658975"/>
          <a:ext cx="3971229" cy="2749312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53</xdr:row>
      <xdr:rowOff>759069</xdr:rowOff>
    </xdr:from>
    <xdr:to>
      <xdr:col>18</xdr:col>
      <xdr:colOff>227838</xdr:colOff>
      <xdr:row>60</xdr:row>
      <xdr:rowOff>181551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86625" y="16875369"/>
          <a:ext cx="6095238" cy="1771429"/>
        </a:xfrm>
        <a:prstGeom prst="rect">
          <a:avLst/>
        </a:prstGeom>
      </xdr:spPr>
    </xdr:pic>
    <xdr:clientData/>
  </xdr:twoCellAnchor>
  <xdr:twoCellAnchor editAs="oneCell">
    <xdr:from>
      <xdr:col>11</xdr:col>
      <xdr:colOff>11377</xdr:colOff>
      <xdr:row>53</xdr:row>
      <xdr:rowOff>863844</xdr:rowOff>
    </xdr:from>
    <xdr:to>
      <xdr:col>17</xdr:col>
      <xdr:colOff>389830</xdr:colOff>
      <xdr:row>62</xdr:row>
      <xdr:rowOff>3766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98202" y="16980144"/>
          <a:ext cx="4036053" cy="1990382"/>
        </a:xfrm>
        <a:prstGeom prst="rect">
          <a:avLst/>
        </a:prstGeom>
      </xdr:spPr>
    </xdr:pic>
    <xdr:clientData/>
  </xdr:twoCellAnchor>
  <xdr:twoCellAnchor editAs="oneCell">
    <xdr:from>
      <xdr:col>11</xdr:col>
      <xdr:colOff>44921</xdr:colOff>
      <xdr:row>56</xdr:row>
      <xdr:rowOff>292758</xdr:rowOff>
    </xdr:from>
    <xdr:to>
      <xdr:col>14</xdr:col>
      <xdr:colOff>254217</xdr:colOff>
      <xdr:row>63</xdr:row>
      <xdr:rowOff>109957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04878" y="17992693"/>
          <a:ext cx="2048035" cy="1366047"/>
        </a:xfrm>
        <a:prstGeom prst="rect">
          <a:avLst/>
        </a:prstGeom>
      </xdr:spPr>
    </xdr:pic>
    <xdr:clientData/>
  </xdr:twoCellAnchor>
  <xdr:twoCellAnchor editAs="oneCell">
    <xdr:from>
      <xdr:col>5</xdr:col>
      <xdr:colOff>172572</xdr:colOff>
      <xdr:row>304</xdr:row>
      <xdr:rowOff>58271</xdr:rowOff>
    </xdr:from>
    <xdr:to>
      <xdr:col>7</xdr:col>
      <xdr:colOff>673674</xdr:colOff>
      <xdr:row>322</xdr:row>
      <xdr:rowOff>89647</xdr:rowOff>
    </xdr:to>
    <xdr:pic>
      <xdr:nvPicPr>
        <xdr:cNvPr id="44" name="Picture 43" descr="https://vsjcllp.vsjadon.com/upload/insp-246909-152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2366" y="47470359"/>
          <a:ext cx="2226808" cy="285525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203388</xdr:colOff>
      <xdr:row>277</xdr:row>
      <xdr:rowOff>42021</xdr:rowOff>
    </xdr:from>
    <xdr:to>
      <xdr:col>4</xdr:col>
      <xdr:colOff>89252</xdr:colOff>
      <xdr:row>303</xdr:row>
      <xdr:rowOff>95360</xdr:rowOff>
    </xdr:to>
    <xdr:pic>
      <xdr:nvPicPr>
        <xdr:cNvPr id="45" name="Picture 44" descr="https://vsjcllp.vsjadon.com/upload/insp-246909-843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388" y="43218286"/>
          <a:ext cx="3202805" cy="413228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324971</xdr:colOff>
      <xdr:row>304</xdr:row>
      <xdr:rowOff>72557</xdr:rowOff>
    </xdr:from>
    <xdr:to>
      <xdr:col>5</xdr:col>
      <xdr:colOff>80239</xdr:colOff>
      <xdr:row>322</xdr:row>
      <xdr:rowOff>103933</xdr:rowOff>
    </xdr:to>
    <xdr:pic>
      <xdr:nvPicPr>
        <xdr:cNvPr id="46" name="Picture 45" descr="https://vsjcllp.vsjadon.com/upload/insp-246909-84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1" y="47484645"/>
          <a:ext cx="3935062" cy="285525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195543</xdr:colOff>
      <xdr:row>277</xdr:row>
      <xdr:rowOff>37540</xdr:rowOff>
    </xdr:from>
    <xdr:to>
      <xdr:col>7</xdr:col>
      <xdr:colOff>829737</xdr:colOff>
      <xdr:row>303</xdr:row>
      <xdr:rowOff>100853</xdr:rowOff>
    </xdr:to>
    <xdr:pic>
      <xdr:nvPicPr>
        <xdr:cNvPr id="47" name="Picture 46" descr="https://vsjcllp.vsjadon.com/upload/insp-246909-85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2484" y="43213805"/>
          <a:ext cx="3222753" cy="414225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717738</xdr:colOff>
      <xdr:row>299</xdr:row>
      <xdr:rowOff>12886</xdr:rowOff>
    </xdr:from>
    <xdr:to>
      <xdr:col>2</xdr:col>
      <xdr:colOff>326104</xdr:colOff>
      <xdr:row>300</xdr:row>
      <xdr:rowOff>70566</xdr:rowOff>
    </xdr:to>
    <xdr:sp macro="" textlink="">
      <xdr:nvSpPr>
        <xdr:cNvPr id="55" name="TextBox 54"/>
        <xdr:cNvSpPr txBox="1"/>
      </xdr:nvSpPr>
      <xdr:spPr>
        <a:xfrm>
          <a:off x="1517838" y="47371186"/>
          <a:ext cx="408466" cy="219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200" b="1">
              <a:solidFill>
                <a:srgbClr val="FF0000"/>
              </a:solidFill>
            </a:rPr>
            <a:t>LG</a:t>
          </a:r>
        </a:p>
      </xdr:txBody>
    </xdr:sp>
    <xdr:clientData/>
  </xdr:twoCellAnchor>
  <xdr:twoCellAnchor>
    <xdr:from>
      <xdr:col>1</xdr:col>
      <xdr:colOff>708212</xdr:colOff>
      <xdr:row>294</xdr:row>
      <xdr:rowOff>31936</xdr:rowOff>
    </xdr:from>
    <xdr:to>
      <xdr:col>2</xdr:col>
      <xdr:colOff>295275</xdr:colOff>
      <xdr:row>295</xdr:row>
      <xdr:rowOff>114300</xdr:rowOff>
    </xdr:to>
    <xdr:sp macro="" textlink="">
      <xdr:nvSpPr>
        <xdr:cNvPr id="57" name="TextBox 56"/>
        <xdr:cNvSpPr txBox="1"/>
      </xdr:nvSpPr>
      <xdr:spPr>
        <a:xfrm>
          <a:off x="1508312" y="46580611"/>
          <a:ext cx="387163" cy="2442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200" b="1">
              <a:solidFill>
                <a:srgbClr val="FF0000"/>
              </a:solidFill>
            </a:rPr>
            <a:t>3P</a:t>
          </a:r>
        </a:p>
      </xdr:txBody>
    </xdr:sp>
    <xdr:clientData/>
  </xdr:twoCellAnchor>
  <xdr:twoCellAnchor>
    <xdr:from>
      <xdr:col>1</xdr:col>
      <xdr:colOff>698688</xdr:colOff>
      <xdr:row>295</xdr:row>
      <xdr:rowOff>146236</xdr:rowOff>
    </xdr:from>
    <xdr:to>
      <xdr:col>2</xdr:col>
      <xdr:colOff>307054</xdr:colOff>
      <xdr:row>297</xdr:row>
      <xdr:rowOff>41991</xdr:rowOff>
    </xdr:to>
    <xdr:sp macro="" textlink="">
      <xdr:nvSpPr>
        <xdr:cNvPr id="58" name="TextBox 57"/>
        <xdr:cNvSpPr txBox="1"/>
      </xdr:nvSpPr>
      <xdr:spPr>
        <a:xfrm>
          <a:off x="1498788" y="46856836"/>
          <a:ext cx="408466" cy="219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200" b="1">
              <a:solidFill>
                <a:srgbClr val="FF0000"/>
              </a:solidFill>
            </a:rPr>
            <a:t>2P</a:t>
          </a:r>
        </a:p>
      </xdr:txBody>
    </xdr:sp>
    <xdr:clientData/>
  </xdr:twoCellAnchor>
  <xdr:twoCellAnchor>
    <xdr:from>
      <xdr:col>1</xdr:col>
      <xdr:colOff>717738</xdr:colOff>
      <xdr:row>297</xdr:row>
      <xdr:rowOff>50986</xdr:rowOff>
    </xdr:from>
    <xdr:to>
      <xdr:col>2</xdr:col>
      <xdr:colOff>326104</xdr:colOff>
      <xdr:row>298</xdr:row>
      <xdr:rowOff>108666</xdr:rowOff>
    </xdr:to>
    <xdr:sp macro="" textlink="">
      <xdr:nvSpPr>
        <xdr:cNvPr id="66" name="TextBox 65"/>
        <xdr:cNvSpPr txBox="1"/>
      </xdr:nvSpPr>
      <xdr:spPr>
        <a:xfrm>
          <a:off x="1517838" y="47085436"/>
          <a:ext cx="408466" cy="219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200" b="1">
              <a:solidFill>
                <a:srgbClr val="FF0000"/>
              </a:solidFill>
            </a:rPr>
            <a:t>1P</a:t>
          </a:r>
        </a:p>
      </xdr:txBody>
    </xdr:sp>
    <xdr:clientData/>
  </xdr:twoCellAnchor>
  <xdr:twoCellAnchor>
    <xdr:from>
      <xdr:col>3</xdr:col>
      <xdr:colOff>175963</xdr:colOff>
      <xdr:row>279</xdr:row>
      <xdr:rowOff>95490</xdr:rowOff>
    </xdr:from>
    <xdr:to>
      <xdr:col>3</xdr:col>
      <xdr:colOff>302778</xdr:colOff>
      <xdr:row>281</xdr:row>
      <xdr:rowOff>65159</xdr:rowOff>
    </xdr:to>
    <xdr:cxnSp macro="">
      <xdr:nvCxnSpPr>
        <xdr:cNvPr id="67" name="Straight Arrow Connector 66"/>
        <xdr:cNvCxnSpPr/>
      </xdr:nvCxnSpPr>
      <xdr:spPr>
        <a:xfrm flipH="1">
          <a:off x="2633413" y="44215290"/>
          <a:ext cx="126815" cy="293519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146238</xdr:colOff>
      <xdr:row>277</xdr:row>
      <xdr:rowOff>79561</xdr:rowOff>
    </xdr:from>
    <xdr:to>
      <xdr:col>3</xdr:col>
      <xdr:colOff>672299</xdr:colOff>
      <xdr:row>279</xdr:row>
      <xdr:rowOff>153309</xdr:rowOff>
    </xdr:to>
    <xdr:sp macro="" textlink="">
      <xdr:nvSpPr>
        <xdr:cNvPr id="68" name="TextBox 67"/>
        <xdr:cNvSpPr txBox="1"/>
      </xdr:nvSpPr>
      <xdr:spPr>
        <a:xfrm>
          <a:off x="2603688" y="43875511"/>
          <a:ext cx="526061" cy="3975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2000" b="1">
              <a:solidFill>
                <a:srgbClr val="FF0000"/>
              </a:solidFill>
            </a:rPr>
            <a:t>A4</a:t>
          </a:r>
        </a:p>
      </xdr:txBody>
    </xdr:sp>
    <xdr:clientData/>
  </xdr:twoCellAnchor>
  <xdr:twoCellAnchor>
    <xdr:from>
      <xdr:col>0</xdr:col>
      <xdr:colOff>721879</xdr:colOff>
      <xdr:row>281</xdr:row>
      <xdr:rowOff>85965</xdr:rowOff>
    </xdr:from>
    <xdr:to>
      <xdr:col>1</xdr:col>
      <xdr:colOff>247650</xdr:colOff>
      <xdr:row>283</xdr:row>
      <xdr:rowOff>142875</xdr:rowOff>
    </xdr:to>
    <xdr:cxnSp macro="">
      <xdr:nvCxnSpPr>
        <xdr:cNvPr id="69" name="Straight Arrow Connector 68"/>
        <xdr:cNvCxnSpPr/>
      </xdr:nvCxnSpPr>
      <xdr:spPr>
        <a:xfrm>
          <a:off x="721879" y="44529615"/>
          <a:ext cx="325871" cy="38076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441513</xdr:colOff>
      <xdr:row>279</xdr:row>
      <xdr:rowOff>50986</xdr:rowOff>
    </xdr:from>
    <xdr:to>
      <xdr:col>1</xdr:col>
      <xdr:colOff>167474</xdr:colOff>
      <xdr:row>281</xdr:row>
      <xdr:rowOff>124734</xdr:rowOff>
    </xdr:to>
    <xdr:sp macro="" textlink="">
      <xdr:nvSpPr>
        <xdr:cNvPr id="70" name="TextBox 69"/>
        <xdr:cNvSpPr txBox="1"/>
      </xdr:nvSpPr>
      <xdr:spPr>
        <a:xfrm>
          <a:off x="441513" y="44170786"/>
          <a:ext cx="526061" cy="3975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2000" b="1">
              <a:solidFill>
                <a:srgbClr val="FF0000"/>
              </a:solidFill>
            </a:rPr>
            <a:t>A3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431zTazoa46JYRVm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34"/>
  <sheetViews>
    <sheetView tabSelected="1" view="pageBreakPreview" zoomScale="115" zoomScaleNormal="115" zoomScaleSheetLayoutView="115" workbookViewId="0">
      <selection activeCell="I3" sqref="I3"/>
    </sheetView>
  </sheetViews>
  <sheetFormatPr defaultRowHeight="12.75" x14ac:dyDescent="0.2"/>
  <cols>
    <col min="1" max="2" width="12" style="6" customWidth="1"/>
    <col min="3" max="7" width="12.85546875" style="6" customWidth="1"/>
    <col min="8" max="8" width="17.85546875" style="6" customWidth="1"/>
    <col min="9" max="9" width="13.85546875" style="6" customWidth="1"/>
    <col min="10" max="16384" width="9.140625" style="6"/>
  </cols>
  <sheetData>
    <row r="1" spans="1:20" ht="41.25" customHeight="1" x14ac:dyDescent="0.2">
      <c r="A1" s="125" t="s">
        <v>148</v>
      </c>
      <c r="B1" s="125"/>
      <c r="C1" s="126"/>
      <c r="D1" s="126"/>
      <c r="E1" s="126"/>
      <c r="F1" s="126"/>
      <c r="G1" s="126"/>
      <c r="H1" s="126"/>
    </row>
    <row r="2" spans="1:20" ht="14.25" x14ac:dyDescent="0.2">
      <c r="A2" s="130" t="s">
        <v>87</v>
      </c>
      <c r="B2" s="130"/>
      <c r="C2" s="130"/>
      <c r="D2" s="130"/>
      <c r="E2" s="130"/>
      <c r="F2" s="130"/>
      <c r="G2" s="130"/>
      <c r="H2" s="130"/>
    </row>
    <row r="3" spans="1:20" ht="25.5" x14ac:dyDescent="0.2">
      <c r="A3" s="12" t="s">
        <v>104</v>
      </c>
      <c r="B3" s="12"/>
      <c r="C3" s="180" t="s">
        <v>110</v>
      </c>
      <c r="D3" s="181"/>
      <c r="E3" s="182"/>
      <c r="F3" s="11" t="s">
        <v>105</v>
      </c>
      <c r="G3" s="186">
        <v>45907</v>
      </c>
      <c r="H3" s="186"/>
    </row>
    <row r="4" spans="1:20" ht="25.5" x14ac:dyDescent="0.2">
      <c r="A4" s="12" t="s">
        <v>108</v>
      </c>
      <c r="B4" s="12"/>
      <c r="C4" s="183" t="s">
        <v>293</v>
      </c>
      <c r="D4" s="184"/>
      <c r="E4" s="185"/>
      <c r="F4" s="11" t="s">
        <v>106</v>
      </c>
      <c r="G4" s="187" t="s">
        <v>302</v>
      </c>
      <c r="H4" s="187"/>
    </row>
    <row r="5" spans="1:20" ht="25.5" x14ac:dyDescent="0.2">
      <c r="A5" s="136" t="s">
        <v>109</v>
      </c>
      <c r="B5" s="137"/>
      <c r="C5" s="180" t="s">
        <v>303</v>
      </c>
      <c r="D5" s="181"/>
      <c r="E5" s="182"/>
      <c r="F5" s="11" t="s">
        <v>107</v>
      </c>
      <c r="G5" s="186" t="str">
        <f ca="1">TEXT(TODAY(),"DD/MM/YYYY")</f>
        <v>10/09/2025</v>
      </c>
      <c r="H5" s="186"/>
    </row>
    <row r="6" spans="1:20" ht="14.25" x14ac:dyDescent="0.2">
      <c r="A6" s="130" t="s">
        <v>103</v>
      </c>
      <c r="B6" s="130"/>
      <c r="C6" s="130"/>
      <c r="D6" s="130"/>
      <c r="E6" s="130"/>
      <c r="F6" s="130"/>
      <c r="G6" s="130"/>
      <c r="H6" s="130"/>
    </row>
    <row r="7" spans="1:20" ht="14.25" x14ac:dyDescent="0.2">
      <c r="A7" s="156" t="s">
        <v>0</v>
      </c>
      <c r="B7" s="157"/>
      <c r="C7" s="131" t="s">
        <v>229</v>
      </c>
      <c r="D7" s="131"/>
      <c r="E7" s="131"/>
      <c r="F7" s="131"/>
      <c r="G7" s="131"/>
      <c r="H7" s="131"/>
    </row>
    <row r="8" spans="1:20" ht="52.5" customHeight="1" x14ac:dyDescent="0.2">
      <c r="A8" s="156" t="s">
        <v>1</v>
      </c>
      <c r="B8" s="157"/>
      <c r="C8" s="129" t="str">
        <f>CONCATENATE((IF(OR(C7="",C7="NA"),"",C7)),", ",(IF(OR(A9="",A9="NA"),"",A9)),".",(IF(OR(C9="",C9="NA"),"",C9)),", near ",(IF(OR(C17="",C17="NA"),"",C17)),", ",(IF(OR(C11="",C11="NA"),"",C11)),", ",(IF(OR(C10="",C10="NA"),"",C10)),", ",(IF(OR(C12="",C12="NA"),"",C12)),", ",(IF(OR(C13="",C13="NA"),"",C13)),", ",(IF(OR(C14="",C14="NA"),"",C14))," - ",(IF(OR(C15="",C15="NA"),"",C15)),".")</f>
        <v>Rumah Bali Phase 4, New Survey No.100, H.No. 12/A, 12/B, 14/A, 14B/1, 14B/2, 15/A, 15/B/1, 15/B/2, 15/B/3, 17/A, 17/B, 18, 19, 20, 21, 22, 23, 24, N.S.N. 101, H.No. 5, 109/30/3, 98/1/A/1, 98/1/A/2, 98/3/A(Pt.), 98/3/B, 100/11/1/A/1, 100/11/1/A/2, 100/11/1/B, 100/11/2, near Girikunj Housing Society, Ghodbandar Road, Bhayandarpada, Thane West, Thane, Thane - 400615.</v>
      </c>
      <c r="D8" s="129"/>
      <c r="E8" s="129"/>
      <c r="F8" s="129"/>
      <c r="G8" s="129"/>
      <c r="H8" s="129"/>
      <c r="P8" s="62" t="s">
        <v>152</v>
      </c>
      <c r="Q8" s="62" t="s">
        <v>153</v>
      </c>
      <c r="R8" s="62" t="s">
        <v>154</v>
      </c>
      <c r="S8" s="62" t="s">
        <v>155</v>
      </c>
      <c r="T8" s="62" t="s">
        <v>156</v>
      </c>
    </row>
    <row r="9" spans="1:20" ht="39.75" customHeight="1" x14ac:dyDescent="0.2">
      <c r="A9" s="156" t="s">
        <v>281</v>
      </c>
      <c r="B9" s="157"/>
      <c r="C9" s="120" t="s">
        <v>282</v>
      </c>
      <c r="D9" s="120"/>
      <c r="E9" s="120"/>
      <c r="F9" s="120"/>
      <c r="G9" s="120"/>
      <c r="H9" s="120"/>
      <c r="P9" s="62" t="s">
        <v>157</v>
      </c>
      <c r="Q9" s="62" t="s">
        <v>158</v>
      </c>
      <c r="R9" s="62" t="s">
        <v>159</v>
      </c>
      <c r="S9" s="62" t="s">
        <v>160</v>
      </c>
      <c r="T9" s="62" t="s">
        <v>161</v>
      </c>
    </row>
    <row r="10" spans="1:20" ht="15" x14ac:dyDescent="0.2">
      <c r="A10" s="156" t="s">
        <v>6</v>
      </c>
      <c r="B10" s="157"/>
      <c r="C10" s="127" t="s">
        <v>230</v>
      </c>
      <c r="D10" s="127"/>
      <c r="E10" s="127"/>
      <c r="F10" s="127"/>
      <c r="G10" s="127"/>
      <c r="H10" s="127"/>
      <c r="P10" s="62" t="s">
        <v>162</v>
      </c>
      <c r="Q10" s="62" t="s">
        <v>163</v>
      </c>
      <c r="R10" s="62" t="s">
        <v>164</v>
      </c>
      <c r="S10" s="62" t="s">
        <v>165</v>
      </c>
      <c r="T10" s="62" t="s">
        <v>166</v>
      </c>
    </row>
    <row r="11" spans="1:20" ht="15" x14ac:dyDescent="0.2">
      <c r="A11" s="156" t="s">
        <v>150</v>
      </c>
      <c r="B11" s="157"/>
      <c r="C11" s="127" t="s">
        <v>231</v>
      </c>
      <c r="D11" s="127"/>
      <c r="E11" s="127"/>
      <c r="F11" s="127"/>
      <c r="G11" s="127"/>
      <c r="H11" s="127"/>
      <c r="P11" s="62" t="s">
        <v>167</v>
      </c>
      <c r="Q11" s="62" t="s">
        <v>168</v>
      </c>
      <c r="R11" s="62" t="s">
        <v>169</v>
      </c>
      <c r="S11" s="62" t="s">
        <v>170</v>
      </c>
      <c r="T11" s="62" t="s">
        <v>171</v>
      </c>
    </row>
    <row r="12" spans="1:20" ht="15" x14ac:dyDescent="0.2">
      <c r="A12" s="156" t="s">
        <v>151</v>
      </c>
      <c r="B12" s="157"/>
      <c r="C12" s="127" t="s">
        <v>232</v>
      </c>
      <c r="D12" s="127"/>
      <c r="E12" s="127"/>
      <c r="F12" s="127"/>
      <c r="G12" s="127"/>
      <c r="H12" s="127"/>
      <c r="P12" s="62" t="s">
        <v>172</v>
      </c>
      <c r="Q12" s="62" t="s">
        <v>173</v>
      </c>
      <c r="R12" s="62" t="s">
        <v>154</v>
      </c>
      <c r="S12" s="62" t="s">
        <v>174</v>
      </c>
      <c r="T12" s="62" t="s">
        <v>175</v>
      </c>
    </row>
    <row r="13" spans="1:20" ht="15" x14ac:dyDescent="0.2">
      <c r="A13" s="156" t="s">
        <v>137</v>
      </c>
      <c r="B13" s="157"/>
      <c r="C13" s="127" t="s">
        <v>157</v>
      </c>
      <c r="D13" s="127"/>
      <c r="E13" s="127"/>
      <c r="F13" s="127"/>
      <c r="G13" s="127"/>
      <c r="H13" s="127"/>
      <c r="P13" s="62" t="s">
        <v>176</v>
      </c>
      <c r="Q13" s="62" t="s">
        <v>153</v>
      </c>
      <c r="R13" s="62"/>
      <c r="S13" s="62" t="s">
        <v>177</v>
      </c>
      <c r="T13" s="62" t="s">
        <v>178</v>
      </c>
    </row>
    <row r="14" spans="1:20" ht="15" x14ac:dyDescent="0.2">
      <c r="A14" s="156" t="s">
        <v>138</v>
      </c>
      <c r="B14" s="157"/>
      <c r="C14" s="127" t="s">
        <v>157</v>
      </c>
      <c r="D14" s="127"/>
      <c r="E14" s="127"/>
      <c r="F14" s="127"/>
      <c r="G14" s="127"/>
      <c r="H14" s="127"/>
      <c r="P14" s="62" t="s">
        <v>179</v>
      </c>
      <c r="Q14" s="62" t="s">
        <v>180</v>
      </c>
      <c r="R14" s="62"/>
      <c r="S14" s="62" t="s">
        <v>181</v>
      </c>
      <c r="T14" s="62" t="s">
        <v>182</v>
      </c>
    </row>
    <row r="15" spans="1:20" ht="15" x14ac:dyDescent="0.2">
      <c r="A15" s="156" t="s">
        <v>139</v>
      </c>
      <c r="B15" s="157"/>
      <c r="C15" s="117">
        <v>400615</v>
      </c>
      <c r="D15" s="117"/>
      <c r="E15" s="117"/>
      <c r="F15" s="117"/>
      <c r="G15" s="117"/>
      <c r="H15" s="117"/>
      <c r="P15" s="62" t="s">
        <v>183</v>
      </c>
      <c r="Q15" s="62" t="s">
        <v>184</v>
      </c>
      <c r="R15" s="62"/>
      <c r="S15" s="62" t="s">
        <v>185</v>
      </c>
      <c r="T15" s="62" t="s">
        <v>186</v>
      </c>
    </row>
    <row r="16" spans="1:20" ht="15" x14ac:dyDescent="0.2">
      <c r="A16" s="156" t="s">
        <v>50</v>
      </c>
      <c r="B16" s="157"/>
      <c r="C16" s="129" t="s">
        <v>233</v>
      </c>
      <c r="D16" s="129"/>
      <c r="E16" s="129"/>
      <c r="F16" s="129"/>
      <c r="G16" s="129"/>
      <c r="H16" s="129"/>
      <c r="P16" s="62"/>
      <c r="Q16" s="62"/>
      <c r="R16" s="62"/>
      <c r="S16" s="62" t="s">
        <v>187</v>
      </c>
      <c r="T16" s="62" t="s">
        <v>188</v>
      </c>
    </row>
    <row r="17" spans="1:20" ht="15" x14ac:dyDescent="0.2">
      <c r="A17" s="156" t="s">
        <v>92</v>
      </c>
      <c r="B17" s="157"/>
      <c r="C17" s="128" t="s">
        <v>234</v>
      </c>
      <c r="D17" s="128"/>
      <c r="E17" s="128"/>
      <c r="F17" s="128"/>
      <c r="G17" s="128"/>
      <c r="H17" s="128"/>
      <c r="P17" s="62"/>
      <c r="Q17" s="62"/>
      <c r="R17" s="62"/>
      <c r="S17" s="62" t="s">
        <v>189</v>
      </c>
      <c r="T17" s="62" t="s">
        <v>190</v>
      </c>
    </row>
    <row r="18" spans="1:20" ht="15" x14ac:dyDescent="0.2">
      <c r="A18" s="156" t="s">
        <v>91</v>
      </c>
      <c r="B18" s="157"/>
      <c r="C18" s="135" t="s">
        <v>149</v>
      </c>
      <c r="D18" s="133"/>
      <c r="E18" s="134"/>
      <c r="F18" s="135" t="s">
        <v>235</v>
      </c>
      <c r="G18" s="133"/>
      <c r="H18" s="134"/>
      <c r="P18" s="62"/>
      <c r="Q18" s="62"/>
      <c r="R18" s="62"/>
      <c r="S18" s="62" t="s">
        <v>191</v>
      </c>
      <c r="T18" s="62" t="s">
        <v>192</v>
      </c>
    </row>
    <row r="19" spans="1:20" ht="15" x14ac:dyDescent="0.2">
      <c r="A19" s="156" t="s">
        <v>140</v>
      </c>
      <c r="B19" s="157"/>
      <c r="C19" s="132" t="s">
        <v>236</v>
      </c>
      <c r="D19" s="133"/>
      <c r="E19" s="133"/>
      <c r="F19" s="133"/>
      <c r="G19" s="133"/>
      <c r="H19" s="134"/>
      <c r="P19" s="62"/>
      <c r="Q19" s="62"/>
      <c r="R19" s="62"/>
      <c r="S19" s="62" t="s">
        <v>193</v>
      </c>
      <c r="T19" s="62" t="s">
        <v>194</v>
      </c>
    </row>
    <row r="20" spans="1:20" ht="15" x14ac:dyDescent="0.2">
      <c r="A20" s="156" t="s">
        <v>2</v>
      </c>
      <c r="B20" s="157"/>
      <c r="C20" s="129" t="s">
        <v>237</v>
      </c>
      <c r="D20" s="129"/>
      <c r="E20" s="129"/>
      <c r="F20" s="129"/>
      <c r="G20" s="129"/>
      <c r="H20" s="129"/>
      <c r="P20" s="62"/>
      <c r="Q20" s="62"/>
      <c r="R20" s="62"/>
      <c r="S20" s="62" t="s">
        <v>195</v>
      </c>
      <c r="T20" s="62" t="s">
        <v>196</v>
      </c>
    </row>
    <row r="21" spans="1:20" ht="27" customHeight="1" x14ac:dyDescent="0.2">
      <c r="A21" s="156" t="s">
        <v>3</v>
      </c>
      <c r="B21" s="157"/>
      <c r="C21" s="120" t="s">
        <v>238</v>
      </c>
      <c r="D21" s="120"/>
      <c r="E21" s="120"/>
      <c r="F21" s="120"/>
      <c r="G21" s="120"/>
      <c r="H21" s="120"/>
      <c r="P21" s="62"/>
      <c r="Q21" s="62"/>
      <c r="R21" s="62"/>
      <c r="S21" s="62" t="s">
        <v>197</v>
      </c>
      <c r="T21" s="62" t="s">
        <v>198</v>
      </c>
    </row>
    <row r="22" spans="1:20" ht="15" customHeight="1" x14ac:dyDescent="0.2">
      <c r="A22" s="156" t="s">
        <v>111</v>
      </c>
      <c r="B22" s="157"/>
      <c r="C22" s="117" t="s">
        <v>54</v>
      </c>
      <c r="D22" s="117"/>
      <c r="E22" s="117"/>
      <c r="F22" s="117"/>
      <c r="G22" s="117"/>
      <c r="H22" s="117"/>
      <c r="P22" s="62"/>
      <c r="Q22" s="62"/>
      <c r="R22" s="62"/>
      <c r="S22" s="62" t="s">
        <v>199</v>
      </c>
      <c r="T22" s="62" t="s">
        <v>200</v>
      </c>
    </row>
    <row r="23" spans="1:20" ht="12.75" customHeight="1" x14ac:dyDescent="0.2">
      <c r="A23" s="156" t="s">
        <v>4</v>
      </c>
      <c r="B23" s="157"/>
      <c r="C23" s="127" t="s">
        <v>239</v>
      </c>
      <c r="D23" s="127"/>
      <c r="E23" s="127"/>
      <c r="F23" s="127"/>
      <c r="G23" s="127"/>
      <c r="H23" s="127"/>
    </row>
    <row r="24" spans="1:20" x14ac:dyDescent="0.2">
      <c r="A24" s="156" t="s">
        <v>5</v>
      </c>
      <c r="B24" s="157"/>
      <c r="C24" s="127" t="s">
        <v>240</v>
      </c>
      <c r="D24" s="127"/>
      <c r="E24" s="127"/>
      <c r="F24" s="127"/>
      <c r="G24" s="127"/>
      <c r="H24" s="127"/>
    </row>
    <row r="25" spans="1:20" ht="27.75" customHeight="1" x14ac:dyDescent="0.2">
      <c r="A25" s="156" t="s">
        <v>89</v>
      </c>
      <c r="B25" s="157"/>
      <c r="C25" s="127" t="s">
        <v>241</v>
      </c>
      <c r="D25" s="127"/>
      <c r="E25" s="127"/>
      <c r="F25" s="127"/>
      <c r="G25" s="127"/>
      <c r="H25" s="127"/>
    </row>
    <row r="26" spans="1:20" ht="45.75" customHeight="1" x14ac:dyDescent="0.2">
      <c r="A26" s="192" t="s">
        <v>90</v>
      </c>
      <c r="B26" s="193"/>
      <c r="C26" s="119" t="s">
        <v>277</v>
      </c>
      <c r="D26" s="124"/>
      <c r="E26" s="124"/>
      <c r="F26" s="124"/>
      <c r="G26" s="124"/>
      <c r="H26" s="124"/>
    </row>
    <row r="27" spans="1:20" ht="38.25" x14ac:dyDescent="0.2">
      <c r="A27" s="156" t="s">
        <v>94</v>
      </c>
      <c r="B27" s="157"/>
      <c r="C27" s="113" t="s">
        <v>250</v>
      </c>
      <c r="D27" s="113"/>
      <c r="E27" s="113"/>
      <c r="F27" s="13" t="s">
        <v>7</v>
      </c>
      <c r="G27" s="119" t="s">
        <v>93</v>
      </c>
      <c r="H27" s="119"/>
    </row>
    <row r="28" spans="1:20" ht="25.5" x14ac:dyDescent="0.2">
      <c r="A28" s="192" t="s">
        <v>8</v>
      </c>
      <c r="B28" s="193"/>
      <c r="C28" s="117" t="s">
        <v>270</v>
      </c>
      <c r="D28" s="117"/>
      <c r="E28" s="117"/>
      <c r="F28" s="13" t="s">
        <v>127</v>
      </c>
      <c r="G28" s="119">
        <f>370*15%</f>
        <v>55.5</v>
      </c>
      <c r="H28" s="119"/>
      <c r="I28" s="6">
        <f>370+60</f>
        <v>430</v>
      </c>
      <c r="J28" s="6">
        <f>I28*0.15</f>
        <v>64.5</v>
      </c>
    </row>
    <row r="29" spans="1:20" ht="15.75" customHeight="1" x14ac:dyDescent="0.2">
      <c r="A29" s="156" t="s">
        <v>210</v>
      </c>
      <c r="B29" s="157"/>
      <c r="C29" s="135" t="s">
        <v>242</v>
      </c>
      <c r="D29" s="133"/>
      <c r="E29" s="161"/>
      <c r="F29" s="161"/>
      <c r="G29" s="161"/>
      <c r="H29" s="162"/>
    </row>
    <row r="30" spans="1:20" x14ac:dyDescent="0.2">
      <c r="A30" s="156" t="s">
        <v>211</v>
      </c>
      <c r="B30" s="157"/>
      <c r="C30" s="135" t="s">
        <v>280</v>
      </c>
      <c r="D30" s="133"/>
      <c r="E30" s="161"/>
      <c r="F30" s="161"/>
      <c r="G30" s="161"/>
      <c r="H30" s="162"/>
    </row>
    <row r="31" spans="1:20" ht="12.75" customHeight="1" x14ac:dyDescent="0.2">
      <c r="A31" s="80" t="s">
        <v>9</v>
      </c>
      <c r="B31" s="81"/>
      <c r="C31" s="188" t="s">
        <v>95</v>
      </c>
      <c r="D31" s="189"/>
      <c r="E31" s="14" t="s">
        <v>12</v>
      </c>
      <c r="F31" s="14" t="s">
        <v>13</v>
      </c>
      <c r="G31" s="14" t="s">
        <v>14</v>
      </c>
      <c r="H31" s="14" t="s">
        <v>15</v>
      </c>
    </row>
    <row r="32" spans="1:20" ht="12.75" customHeight="1" x14ac:dyDescent="0.2">
      <c r="A32" s="194"/>
      <c r="B32" s="195"/>
      <c r="C32" s="190" t="s">
        <v>10</v>
      </c>
      <c r="D32" s="191"/>
      <c r="E32" s="15" t="s">
        <v>243</v>
      </c>
      <c r="F32" s="68" t="s">
        <v>243</v>
      </c>
      <c r="G32" s="68" t="s">
        <v>243</v>
      </c>
      <c r="H32" s="68" t="s">
        <v>243</v>
      </c>
    </row>
    <row r="33" spans="1:11" ht="12.75" customHeight="1" x14ac:dyDescent="0.2">
      <c r="A33" s="194"/>
      <c r="B33" s="195"/>
      <c r="C33" s="190" t="s">
        <v>88</v>
      </c>
      <c r="D33" s="191"/>
      <c r="E33" s="16" t="s">
        <v>244</v>
      </c>
      <c r="F33" s="20" t="s">
        <v>285</v>
      </c>
      <c r="G33" s="16" t="s">
        <v>283</v>
      </c>
      <c r="H33" s="20" t="s">
        <v>284</v>
      </c>
    </row>
    <row r="34" spans="1:11" ht="25.5" customHeight="1" x14ac:dyDescent="0.2">
      <c r="A34" s="82"/>
      <c r="B34" s="83"/>
      <c r="C34" s="190" t="s">
        <v>11</v>
      </c>
      <c r="D34" s="191"/>
      <c r="E34" s="15" t="s">
        <v>245</v>
      </c>
      <c r="F34" s="15" t="s">
        <v>246</v>
      </c>
      <c r="G34" s="15" t="s">
        <v>287</v>
      </c>
      <c r="H34" s="15" t="s">
        <v>286</v>
      </c>
    </row>
    <row r="35" spans="1:11" ht="39.75" customHeight="1" x14ac:dyDescent="0.2">
      <c r="A35" s="156" t="s">
        <v>16</v>
      </c>
      <c r="B35" s="157"/>
      <c r="C35" s="120" t="s">
        <v>247</v>
      </c>
      <c r="D35" s="120"/>
      <c r="E35" s="120"/>
      <c r="F35" s="120"/>
      <c r="G35" s="120"/>
      <c r="H35" s="120"/>
    </row>
    <row r="36" spans="1:11" ht="38.25" customHeight="1" x14ac:dyDescent="0.2">
      <c r="A36" s="156" t="s">
        <v>134</v>
      </c>
      <c r="B36" s="157"/>
      <c r="C36" s="196">
        <v>52950</v>
      </c>
      <c r="D36" s="197"/>
      <c r="E36" s="118" t="s">
        <v>135</v>
      </c>
      <c r="F36" s="118"/>
      <c r="G36" s="115">
        <v>41967.519999999997</v>
      </c>
      <c r="H36" s="115"/>
    </row>
    <row r="37" spans="1:11" x14ac:dyDescent="0.2">
      <c r="A37" s="156" t="s">
        <v>17</v>
      </c>
      <c r="B37" s="157"/>
      <c r="C37" s="115" t="s">
        <v>248</v>
      </c>
      <c r="D37" s="115"/>
      <c r="E37" s="115"/>
      <c r="F37" s="115"/>
      <c r="G37" s="115"/>
      <c r="H37" s="115"/>
    </row>
    <row r="38" spans="1:11" ht="131.25" customHeight="1" x14ac:dyDescent="0.2">
      <c r="A38" s="156" t="s">
        <v>126</v>
      </c>
      <c r="B38" s="157"/>
      <c r="C38" s="123" t="s">
        <v>276</v>
      </c>
      <c r="D38" s="123"/>
      <c r="E38" s="124"/>
      <c r="F38" s="124"/>
      <c r="G38" s="124"/>
      <c r="H38" s="124"/>
    </row>
    <row r="39" spans="1:11" x14ac:dyDescent="0.2">
      <c r="A39" s="121" t="s">
        <v>96</v>
      </c>
      <c r="B39" s="121"/>
      <c r="C39" s="121"/>
      <c r="D39" s="121"/>
      <c r="E39" s="121"/>
      <c r="F39" s="121"/>
      <c r="G39" s="121"/>
      <c r="H39" s="121"/>
    </row>
    <row r="40" spans="1:11" ht="12.75" customHeight="1" x14ac:dyDescent="0.2">
      <c r="A40" s="163" t="s">
        <v>19</v>
      </c>
      <c r="B40" s="164"/>
      <c r="C40" s="114" t="s">
        <v>97</v>
      </c>
      <c r="D40" s="114"/>
      <c r="E40" s="114"/>
      <c r="F40" s="114"/>
      <c r="G40" s="122">
        <v>41967.519999999997</v>
      </c>
      <c r="H40" s="122"/>
    </row>
    <row r="41" spans="1:11" x14ac:dyDescent="0.2">
      <c r="A41" s="165"/>
      <c r="B41" s="166"/>
      <c r="C41" s="114" t="s">
        <v>98</v>
      </c>
      <c r="D41" s="114"/>
      <c r="E41" s="114"/>
      <c r="F41" s="114"/>
      <c r="G41" s="116">
        <f>46164.27/G40</f>
        <v>1.0999999523440984</v>
      </c>
      <c r="H41" s="116"/>
    </row>
    <row r="42" spans="1:11" x14ac:dyDescent="0.2">
      <c r="A42" s="165"/>
      <c r="B42" s="166"/>
      <c r="C42" s="114" t="s">
        <v>99</v>
      </c>
      <c r="D42" s="114"/>
      <c r="E42" s="114"/>
      <c r="F42" s="114"/>
      <c r="G42" s="116">
        <f>G45/G40-G41</f>
        <v>1.5229482228161209</v>
      </c>
      <c r="H42" s="116"/>
    </row>
    <row r="43" spans="1:11" x14ac:dyDescent="0.2">
      <c r="A43" s="165"/>
      <c r="B43" s="166"/>
      <c r="C43" s="114" t="s">
        <v>100</v>
      </c>
      <c r="D43" s="114"/>
      <c r="E43" s="114"/>
      <c r="F43" s="114"/>
      <c r="G43" s="116">
        <f>G41+G42</f>
        <v>2.6229481751602193</v>
      </c>
      <c r="H43" s="116"/>
    </row>
    <row r="44" spans="1:11" x14ac:dyDescent="0.2">
      <c r="A44" s="165"/>
      <c r="B44" s="166"/>
      <c r="C44" s="114" t="s">
        <v>132</v>
      </c>
      <c r="D44" s="114"/>
      <c r="E44" s="114"/>
      <c r="F44" s="114"/>
      <c r="G44" s="122">
        <f>G40*G43</f>
        <v>110078.62999999999</v>
      </c>
      <c r="H44" s="122"/>
    </row>
    <row r="45" spans="1:11" x14ac:dyDescent="0.2">
      <c r="A45" s="167"/>
      <c r="B45" s="168"/>
      <c r="C45" s="114" t="s">
        <v>101</v>
      </c>
      <c r="D45" s="114"/>
      <c r="E45" s="114"/>
      <c r="F45" s="114"/>
      <c r="G45" s="122">
        <v>110078.63</v>
      </c>
      <c r="H45" s="122"/>
    </row>
    <row r="46" spans="1:11" ht="32.25" customHeight="1" x14ac:dyDescent="0.2">
      <c r="A46" s="156" t="s">
        <v>102</v>
      </c>
      <c r="B46" s="157"/>
      <c r="C46" s="109" t="s">
        <v>249</v>
      </c>
      <c r="D46" s="109"/>
      <c r="E46" s="109"/>
      <c r="F46" s="109"/>
      <c r="G46" s="109"/>
      <c r="H46" s="109"/>
    </row>
    <row r="47" spans="1:11" ht="32.25" customHeight="1" x14ac:dyDescent="0.2">
      <c r="A47" s="156" t="s">
        <v>20</v>
      </c>
      <c r="B47" s="157"/>
      <c r="C47" s="109" t="s">
        <v>273</v>
      </c>
      <c r="D47" s="109"/>
      <c r="E47" s="114"/>
      <c r="F47" s="114"/>
      <c r="G47" s="114"/>
      <c r="H47" s="114"/>
      <c r="I47" s="18"/>
      <c r="J47" s="18"/>
      <c r="K47" s="18"/>
    </row>
    <row r="48" spans="1:11" ht="41.25" customHeight="1" x14ac:dyDescent="0.2">
      <c r="A48" s="80" t="s">
        <v>21</v>
      </c>
      <c r="B48" s="81"/>
      <c r="C48" s="113" t="s">
        <v>304</v>
      </c>
      <c r="D48" s="113"/>
      <c r="E48" s="113"/>
      <c r="F48" s="113"/>
      <c r="G48" s="113"/>
      <c r="H48" s="113"/>
      <c r="I48" s="18"/>
      <c r="J48" s="18"/>
      <c r="K48" s="18"/>
    </row>
    <row r="49" spans="1:11" ht="41.25" customHeight="1" x14ac:dyDescent="0.2">
      <c r="A49" s="82"/>
      <c r="B49" s="83"/>
      <c r="C49" s="113" t="s">
        <v>291</v>
      </c>
      <c r="D49" s="113"/>
      <c r="E49" s="113"/>
      <c r="F49" s="113"/>
      <c r="G49" s="113"/>
      <c r="H49" s="113"/>
      <c r="I49" s="18"/>
      <c r="J49" s="18"/>
      <c r="K49" s="18"/>
    </row>
    <row r="50" spans="1:11" ht="25.5" customHeight="1" x14ac:dyDescent="0.2">
      <c r="A50" s="169" t="s">
        <v>22</v>
      </c>
      <c r="B50" s="170"/>
      <c r="C50" s="198" t="s">
        <v>112</v>
      </c>
      <c r="D50" s="199"/>
      <c r="E50" s="115" t="s">
        <v>243</v>
      </c>
      <c r="F50" s="115"/>
      <c r="G50" s="115"/>
      <c r="H50" s="115"/>
      <c r="I50" s="18"/>
      <c r="J50" s="18"/>
      <c r="K50" s="18"/>
    </row>
    <row r="51" spans="1:11" x14ac:dyDescent="0.2">
      <c r="A51" s="171"/>
      <c r="B51" s="172"/>
      <c r="C51" s="198" t="s">
        <v>113</v>
      </c>
      <c r="D51" s="199"/>
      <c r="E51" s="115" t="s">
        <v>251</v>
      </c>
      <c r="F51" s="115"/>
      <c r="G51" s="115"/>
      <c r="H51" s="115"/>
    </row>
    <row r="52" spans="1:11" ht="26.25" customHeight="1" x14ac:dyDescent="0.2">
      <c r="A52" s="173"/>
      <c r="B52" s="174"/>
      <c r="C52" s="198" t="s">
        <v>114</v>
      </c>
      <c r="D52" s="199"/>
      <c r="E52" s="115" t="s">
        <v>243</v>
      </c>
      <c r="F52" s="115"/>
      <c r="G52" s="115"/>
      <c r="H52" s="115"/>
    </row>
    <row r="53" spans="1:11" ht="42" customHeight="1" x14ac:dyDescent="0.2">
      <c r="A53" s="192" t="s">
        <v>252</v>
      </c>
      <c r="B53" s="193"/>
      <c r="C53" s="128" t="s">
        <v>288</v>
      </c>
      <c r="D53" s="128"/>
      <c r="E53" s="128"/>
      <c r="F53" s="128"/>
      <c r="G53" s="128"/>
      <c r="H53" s="128"/>
    </row>
    <row r="54" spans="1:11" ht="105.75" customHeight="1" x14ac:dyDescent="0.2">
      <c r="A54" s="192" t="s">
        <v>295</v>
      </c>
      <c r="B54" s="193"/>
      <c r="C54" s="128" t="s">
        <v>294</v>
      </c>
      <c r="D54" s="128"/>
      <c r="E54" s="128"/>
      <c r="F54" s="128"/>
      <c r="G54" s="128"/>
      <c r="H54" s="128"/>
    </row>
    <row r="55" spans="1:11" ht="49.5" hidden="1" customHeight="1" x14ac:dyDescent="0.2">
      <c r="A55" s="175" t="s">
        <v>23</v>
      </c>
      <c r="B55" s="176"/>
      <c r="C55" s="128"/>
      <c r="D55" s="128"/>
      <c r="E55" s="128"/>
      <c r="F55" s="128"/>
      <c r="G55" s="128"/>
      <c r="H55" s="128"/>
    </row>
    <row r="56" spans="1:11" x14ac:dyDescent="0.2">
      <c r="A56" s="85" t="s">
        <v>24</v>
      </c>
      <c r="B56" s="85"/>
      <c r="C56" s="85"/>
      <c r="D56" s="85"/>
      <c r="E56" s="85"/>
      <c r="F56" s="85"/>
      <c r="G56" s="85"/>
      <c r="H56" s="85"/>
    </row>
    <row r="57" spans="1:11" ht="25.5" customHeight="1" x14ac:dyDescent="0.2">
      <c r="A57" s="105" t="s">
        <v>25</v>
      </c>
      <c r="B57" s="107"/>
      <c r="C57" s="201">
        <v>44809</v>
      </c>
      <c r="D57" s="203"/>
      <c r="E57" s="103" t="s">
        <v>26</v>
      </c>
      <c r="F57" s="104"/>
      <c r="G57" s="201">
        <v>47118</v>
      </c>
      <c r="H57" s="202"/>
    </row>
    <row r="58" spans="1:11" ht="13.5" thickBot="1" x14ac:dyDescent="0.25">
      <c r="A58" s="200" t="s">
        <v>59</v>
      </c>
      <c r="B58" s="200"/>
      <c r="C58" s="200"/>
      <c r="D58" s="200"/>
      <c r="E58" s="200"/>
      <c r="F58" s="200"/>
      <c r="G58" s="200"/>
      <c r="H58" s="200"/>
    </row>
    <row r="59" spans="1:11" ht="15" customHeight="1" x14ac:dyDescent="0.2">
      <c r="A59" s="204" t="s">
        <v>271</v>
      </c>
      <c r="B59" s="205"/>
      <c r="C59" s="205"/>
      <c r="D59" s="206"/>
      <c r="E59" s="42" t="s">
        <v>60</v>
      </c>
      <c r="F59" s="42" t="s">
        <v>61</v>
      </c>
      <c r="G59" s="42" t="s">
        <v>62</v>
      </c>
      <c r="H59" s="43" t="s">
        <v>48</v>
      </c>
      <c r="I59" s="44" t="str">
        <f ca="1">(IF(G63&gt;99%,"All work completed. Please provide OC.",IF(G63&gt;89.8%,"Plinth, RCC, Brick, Plaster, Flooring, Painting work Completed. Finishing work is in process.",IF(G63&lt;94%,(IF(E63=0,"Work not yet Started.",IF(F63=25%,"Piling work in process",IF(F63=50%,"Excavation work in process",IF(F63=100%,"Excavation work Completed. ","0")))&amp;(IF(E64=0%,"",IF(E64=J65,"Footing work is process",IF(E64=J66,"Footing work Completed",IF(E64=J67,"1st Basement Completed",IF(E64=J68,"1st &amp; 2nd Basement Completed",IF(E64=J69,"1st to 3rd Basement Completed",IF(E64=J70,"1st to 4th Basement Completed",IF(E64=J71,"Plinth work is process",IF(E64=J72,"Plinth work completed","0")))))))))))&amp;(IF(E65=(F60+G60+H60),", RCC Slab",IF(E65&gt;0,", RCC upto "&amp;E65&amp;" Slab",""))&amp;(IF(E66=H60,", Brickwork",IF(E66&gt;0,", Brickwork upto "&amp;E66&amp;" Floor",""))&amp;(IF(E67=H60,", Internal Plaster",IF(E67&gt;0,", Internal Plaster upto "&amp;E67&amp;" Floor",""))&amp;(IF(E68=H60,", External Plaster",IF(E68&gt;0,", External Plaster upto "&amp;E68&amp;" Floor",""))&amp;(IF(E69=H60,", Flooring",IF(E69&gt;0,", Flooring upto "&amp;E69&amp;" Floor",""))&amp;(IF(E70=H60,", Painting",IF(E70&gt;0,", Painting upto "&amp;E70&amp;" Floor",""))&amp;(IF(E71&gt;0,", Finishing upto "&amp;E71&amp;" Floor","")&amp;(IF(E65&gt;0.5," Completed",""))))))))))))))</f>
        <v>Excavation work Completed. Plinth work completed, RCC upto 18 Slab, Brickwork upto 16 Floor, Internal Plaster upto 12 Floor, External Plaster upto 10.4 Floor Completed</v>
      </c>
      <c r="J59" s="45"/>
    </row>
    <row r="60" spans="1:11" x14ac:dyDescent="0.2">
      <c r="A60" s="207"/>
      <c r="B60" s="208"/>
      <c r="C60" s="208"/>
      <c r="D60" s="209"/>
      <c r="E60" s="46">
        <v>1</v>
      </c>
      <c r="F60" s="46">
        <v>1</v>
      </c>
      <c r="G60" s="46">
        <v>2</v>
      </c>
      <c r="H60" s="47">
        <f ca="1">--TRIM(RIGHT(SUBSTITUTE(LEFT(A59,_xlfn.AGGREGATE(16,6,FIND({0,1,2,3,4,5,6,7,8,9},A59,ROW(INDIRECT("1:"&amp;LEN(A59)))),1))," ",REPT(" ",LEN(A59))),LEN(A59)))</f>
        <v>36</v>
      </c>
      <c r="I60" s="48"/>
      <c r="J60" s="49"/>
    </row>
    <row r="61" spans="1:11" ht="27" customHeight="1" x14ac:dyDescent="0.2">
      <c r="A61" s="65" t="s">
        <v>141</v>
      </c>
      <c r="B61" s="64"/>
      <c r="C61" s="145" t="str">
        <f ca="1">I59</f>
        <v>Excavation work Completed. Plinth work completed, RCC upto 18 Slab, Brickwork upto 16 Floor, Internal Plaster upto 12 Floor, External Plaster upto 10.4 Floor Completed</v>
      </c>
      <c r="D61" s="145"/>
      <c r="E61" s="145"/>
      <c r="F61" s="145"/>
      <c r="G61" s="145"/>
      <c r="H61" s="146"/>
      <c r="I61" s="48" t="s">
        <v>142</v>
      </c>
      <c r="J61" s="49"/>
    </row>
    <row r="62" spans="1:11" x14ac:dyDescent="0.2">
      <c r="A62" s="93" t="s">
        <v>63</v>
      </c>
      <c r="B62" s="94"/>
      <c r="C62" s="147" t="s">
        <v>143</v>
      </c>
      <c r="D62" s="147"/>
      <c r="E62" s="50" t="s">
        <v>64</v>
      </c>
      <c r="F62" s="50" t="s">
        <v>65</v>
      </c>
      <c r="G62" s="148" t="s">
        <v>58</v>
      </c>
      <c r="H62" s="149"/>
      <c r="I62" s="1" t="s">
        <v>66</v>
      </c>
      <c r="J62" s="51">
        <f ca="1">H60*25%</f>
        <v>9</v>
      </c>
    </row>
    <row r="63" spans="1:11" ht="15" customHeight="1" x14ac:dyDescent="0.2">
      <c r="A63" s="93" t="s">
        <v>67</v>
      </c>
      <c r="B63" s="94"/>
      <c r="C63" s="95">
        <v>0</v>
      </c>
      <c r="D63" s="95"/>
      <c r="E63" s="52">
        <f ca="1">J64</f>
        <v>36</v>
      </c>
      <c r="F63" s="53">
        <f ca="1">((100/H60)*E63)/100</f>
        <v>1</v>
      </c>
      <c r="G63" s="150">
        <f ca="1">(((E64/H60*10)+(40/(F60+G60+H60)*E65)+(15/(H60)*E66)+(5/(H60)*E67)+(5/H60*E68)+(10/H60*E69)+(5/H60*E70)+(5/H60*E71)+(5/H60*E72))/100)</f>
        <v>0.38239316239316229</v>
      </c>
      <c r="H63" s="151"/>
      <c r="I63" s="1" t="s">
        <v>68</v>
      </c>
      <c r="J63" s="54">
        <f ca="1">H60*50%</f>
        <v>18</v>
      </c>
    </row>
    <row r="64" spans="1:11" ht="15" customHeight="1" x14ac:dyDescent="0.2">
      <c r="A64" s="93" t="s">
        <v>69</v>
      </c>
      <c r="B64" s="94"/>
      <c r="C64" s="95">
        <v>0.1</v>
      </c>
      <c r="D64" s="95"/>
      <c r="E64" s="55">
        <f ca="1">J72</f>
        <v>36</v>
      </c>
      <c r="F64" s="53">
        <f ca="1">((100/H60)*E64)/100</f>
        <v>1</v>
      </c>
      <c r="G64" s="150"/>
      <c r="H64" s="151"/>
      <c r="I64" s="1" t="s">
        <v>70</v>
      </c>
      <c r="J64" s="54">
        <f ca="1">H60</f>
        <v>36</v>
      </c>
    </row>
    <row r="65" spans="1:10" ht="15" customHeight="1" x14ac:dyDescent="0.2">
      <c r="A65" s="93" t="s">
        <v>71</v>
      </c>
      <c r="B65" s="94"/>
      <c r="C65" s="95">
        <v>0.4</v>
      </c>
      <c r="D65" s="95"/>
      <c r="E65" s="55">
        <v>18</v>
      </c>
      <c r="F65" s="53">
        <f ca="1">((100/(F60+G60+H60))*E65)/100</f>
        <v>0.46153846153846162</v>
      </c>
      <c r="G65" s="150"/>
      <c r="H65" s="151"/>
      <c r="I65" s="1" t="s">
        <v>72</v>
      </c>
      <c r="J65" s="56">
        <f ca="1">(IF(E60&gt;1,(H60/(E60+2)),H60/4))</f>
        <v>9</v>
      </c>
    </row>
    <row r="66" spans="1:10" ht="15" customHeight="1" x14ac:dyDescent="0.2">
      <c r="A66" s="93" t="s">
        <v>73</v>
      </c>
      <c r="B66" s="94"/>
      <c r="C66" s="95">
        <v>0.15</v>
      </c>
      <c r="D66" s="95"/>
      <c r="E66" s="55">
        <f>E65-2</f>
        <v>16</v>
      </c>
      <c r="F66" s="53">
        <f ca="1">((100/H60)*E66)/100</f>
        <v>0.44444444444444442</v>
      </c>
      <c r="G66" s="150"/>
      <c r="H66" s="151"/>
      <c r="I66" s="1" t="s">
        <v>74</v>
      </c>
      <c r="J66" s="56">
        <f ca="1">(IF(E60&gt;1,(H60/(E60+2)+J65),H60/4+J65))</f>
        <v>18</v>
      </c>
    </row>
    <row r="67" spans="1:10" ht="15" customHeight="1" x14ac:dyDescent="0.2">
      <c r="A67" s="93" t="s">
        <v>75</v>
      </c>
      <c r="B67" s="94"/>
      <c r="C67" s="95">
        <v>0.05</v>
      </c>
      <c r="D67" s="95"/>
      <c r="E67" s="55">
        <f>E66*0.75</f>
        <v>12</v>
      </c>
      <c r="F67" s="53">
        <f ca="1">((100/H60)*E67)/100</f>
        <v>0.33333333333333326</v>
      </c>
      <c r="G67" s="150"/>
      <c r="H67" s="151"/>
      <c r="I67" s="1" t="s">
        <v>76</v>
      </c>
      <c r="J67" s="56">
        <f>(IF(E60&gt;1,(H60/(E60+2)+J66),0))</f>
        <v>0</v>
      </c>
    </row>
    <row r="68" spans="1:10" ht="15" customHeight="1" x14ac:dyDescent="0.2">
      <c r="A68" s="93" t="s">
        <v>77</v>
      </c>
      <c r="B68" s="94"/>
      <c r="C68" s="95">
        <v>0.05</v>
      </c>
      <c r="D68" s="95"/>
      <c r="E68" s="55">
        <f>E66*0.65</f>
        <v>10.4</v>
      </c>
      <c r="F68" s="53">
        <f ca="1">((100/(H60))*E68)/100</f>
        <v>0.28888888888888892</v>
      </c>
      <c r="G68" s="150"/>
      <c r="H68" s="151"/>
      <c r="I68" s="1" t="s">
        <v>78</v>
      </c>
      <c r="J68" s="56">
        <f>(IF(E60&gt;2,(H60/(E60+2)+J67),0))</f>
        <v>0</v>
      </c>
    </row>
    <row r="69" spans="1:10" ht="15" customHeight="1" x14ac:dyDescent="0.2">
      <c r="A69" s="93" t="s">
        <v>79</v>
      </c>
      <c r="B69" s="94"/>
      <c r="C69" s="95">
        <v>0.1</v>
      </c>
      <c r="D69" s="95"/>
      <c r="E69" s="52">
        <v>0</v>
      </c>
      <c r="F69" s="53">
        <f ca="1">((100/H60)*E69)/100</f>
        <v>0</v>
      </c>
      <c r="G69" s="150"/>
      <c r="H69" s="151"/>
      <c r="I69" s="1" t="s">
        <v>80</v>
      </c>
      <c r="J69" s="57">
        <f>(IF(E60&gt;3,(H60/(E60+2)+J68),0))</f>
        <v>0</v>
      </c>
    </row>
    <row r="70" spans="1:10" ht="15" customHeight="1" x14ac:dyDescent="0.2">
      <c r="A70" s="93" t="s">
        <v>81</v>
      </c>
      <c r="B70" s="94"/>
      <c r="C70" s="95">
        <v>0.05</v>
      </c>
      <c r="D70" s="95"/>
      <c r="E70" s="52">
        <v>0</v>
      </c>
      <c r="F70" s="53">
        <f ca="1">((100/H60)*E70)/100</f>
        <v>0</v>
      </c>
      <c r="G70" s="150"/>
      <c r="H70" s="151"/>
      <c r="I70" s="1" t="s">
        <v>82</v>
      </c>
      <c r="J70" s="56">
        <f>(IF(E60&gt;4,(H60/(E60+2)+J69),0))</f>
        <v>0</v>
      </c>
    </row>
    <row r="71" spans="1:10" ht="15" customHeight="1" x14ac:dyDescent="0.2">
      <c r="A71" s="93" t="s">
        <v>83</v>
      </c>
      <c r="B71" s="94"/>
      <c r="C71" s="95">
        <v>0.05</v>
      </c>
      <c r="D71" s="95"/>
      <c r="E71" s="52">
        <v>0</v>
      </c>
      <c r="F71" s="53">
        <f ca="1">((100/(H60))*E71)/100</f>
        <v>0</v>
      </c>
      <c r="G71" s="150"/>
      <c r="H71" s="151"/>
      <c r="I71" s="1" t="s">
        <v>84</v>
      </c>
      <c r="J71" s="56">
        <f ca="1">(IF(E60=1,(H60/(E60+3)+J66),IF(E60=0,(H60/4+J66),IF(E60&gt;1,0))))</f>
        <v>27</v>
      </c>
    </row>
    <row r="72" spans="1:10" ht="15.75" customHeight="1" thickBot="1" x14ac:dyDescent="0.25">
      <c r="A72" s="154" t="s">
        <v>85</v>
      </c>
      <c r="B72" s="155"/>
      <c r="C72" s="92">
        <v>0.05</v>
      </c>
      <c r="D72" s="92"/>
      <c r="E72" s="58">
        <v>0</v>
      </c>
      <c r="F72" s="59">
        <f ca="1">((100/(H60))*E72)/100</f>
        <v>0</v>
      </c>
      <c r="G72" s="152"/>
      <c r="H72" s="153"/>
      <c r="I72" s="60" t="s">
        <v>86</v>
      </c>
      <c r="J72" s="61">
        <f ca="1">(IF(E60&gt;1.5,(H60/(E60+2)+J66+MAX(0,J67-J66)+MAX(0,J68-J67)+MAX(0,J69-J68)+MAX(0,J70-J69)+MAX(0,J71-J70)),IF(E60=1,(H60/(E60+3)+J71),IF(E60=0,H60/4+J71))))</f>
        <v>36</v>
      </c>
    </row>
    <row r="73" spans="1:10" ht="12.75" customHeight="1" x14ac:dyDescent="0.2">
      <c r="A73" s="204" t="s">
        <v>272</v>
      </c>
      <c r="B73" s="205"/>
      <c r="C73" s="205"/>
      <c r="D73" s="206"/>
      <c r="E73" s="42" t="s">
        <v>60</v>
      </c>
      <c r="F73" s="42" t="s">
        <v>61</v>
      </c>
      <c r="G73" s="42" t="s">
        <v>62</v>
      </c>
      <c r="H73" s="43" t="s">
        <v>48</v>
      </c>
      <c r="I73" s="44" t="str">
        <f ca="1">(IF(G77&gt;99%,"All work completed. Please provide OC.",IF(G77&gt;89.8%,"Plinth, RCC, Brick, Plaster, Flooring, Painting work Completed. Finishing work is in process.",IF(G77&lt;94%,(IF(E77=0,"Work not yet Started.",IF(F77=25%,"Piling work in process",IF(F77=50%,"Excavation work in process",IF(F77=100%,"Excavation work Completed. ","0")))&amp;(IF(E78=0%,"",IF(E78=J79,"Footing work is process",IF(E78=J80,"Footing work Completed",IF(E78=J81,"1st Basement Completed",IF(E78=J82,"1st &amp; 2nd Basement Completed",IF(E78=J83,"1st to 3rd Basement Completed",IF(E78=J84,"1st to 4th Basement Completed",IF(E78=J85,"Plinth work is process",IF(E78=J86,"Plinth work completed","0")))))))))))&amp;(IF(E79=(F74+G74+H74),", RCC Slab",IF(E79&gt;0,", RCC upto "&amp;E79&amp;" Slab",""))&amp;(IF(E80=H74,", Brickwork",IF(E80&gt;0,", Brickwork upto "&amp;E80&amp;" Floor",""))&amp;(IF(E81=H74,", Internal Plaster",IF(E81&gt;0,", Internal Plaster upto "&amp;E81&amp;" Floor",""))&amp;(IF(E82=H74,", External Plaster",IF(E82&gt;0,", External Plaster upto "&amp;E82&amp;" Floor",""))&amp;(IF(E83=H74,", Flooring",IF(E83&gt;0,", Flooring upto "&amp;E83&amp;" Floor",""))&amp;(IF(E84=H74,", Painting",IF(E84&gt;0,", Painting upto "&amp;E84&amp;" Floor",""))&amp;(IF(E85&gt;0,", Finishing upto "&amp;E85&amp;" Floor","")&amp;(IF(E79&gt;0.5," Completed",""))))))))))))))</f>
        <v>Excavation work Completed. Plinth work completed, RCC upto 19 Slab, Brickwork upto 17 Floor, Internal Plaster upto 12.75 Floor, External Plaster upto 11.05 Floor Completed</v>
      </c>
      <c r="J73" s="45"/>
    </row>
    <row r="74" spans="1:10" x14ac:dyDescent="0.2">
      <c r="A74" s="207"/>
      <c r="B74" s="208"/>
      <c r="C74" s="208"/>
      <c r="D74" s="209"/>
      <c r="E74" s="46">
        <v>1</v>
      </c>
      <c r="F74" s="46">
        <v>1</v>
      </c>
      <c r="G74" s="46">
        <v>2</v>
      </c>
      <c r="H74" s="47">
        <f ca="1">--TRIM(RIGHT(SUBSTITUTE(LEFT(A73,_xlfn.AGGREGATE(16,6,FIND({0,1,2,3,4,5,6,7,8,9},A73,ROW(INDIRECT("1:"&amp;LEN(A73)))),1))," ",REPT(" ",LEN(A73))),LEN(A73)))</f>
        <v>36</v>
      </c>
      <c r="I74" s="48"/>
      <c r="J74" s="49"/>
    </row>
    <row r="75" spans="1:10" ht="27" customHeight="1" x14ac:dyDescent="0.2">
      <c r="A75" s="65" t="s">
        <v>141</v>
      </c>
      <c r="B75" s="64"/>
      <c r="C75" s="145" t="str">
        <f ca="1">I73</f>
        <v>Excavation work Completed. Plinth work completed, RCC upto 19 Slab, Brickwork upto 17 Floor, Internal Plaster upto 12.75 Floor, External Plaster upto 11.05 Floor Completed</v>
      </c>
      <c r="D75" s="145"/>
      <c r="E75" s="145"/>
      <c r="F75" s="145"/>
      <c r="G75" s="145"/>
      <c r="H75" s="146"/>
      <c r="I75" s="48" t="s">
        <v>142</v>
      </c>
      <c r="J75" s="49"/>
    </row>
    <row r="76" spans="1:10" x14ac:dyDescent="0.2">
      <c r="A76" s="93" t="s">
        <v>63</v>
      </c>
      <c r="B76" s="94"/>
      <c r="C76" s="147" t="s">
        <v>143</v>
      </c>
      <c r="D76" s="147"/>
      <c r="E76" s="70" t="s">
        <v>64</v>
      </c>
      <c r="F76" s="70" t="s">
        <v>65</v>
      </c>
      <c r="G76" s="148" t="s">
        <v>58</v>
      </c>
      <c r="H76" s="149"/>
      <c r="I76" s="1" t="s">
        <v>66</v>
      </c>
      <c r="J76" s="51">
        <f ca="1">H74*25%</f>
        <v>9</v>
      </c>
    </row>
    <row r="77" spans="1:10" ht="15" customHeight="1" x14ac:dyDescent="0.2">
      <c r="A77" s="93" t="s">
        <v>67</v>
      </c>
      <c r="B77" s="94"/>
      <c r="C77" s="95">
        <v>0</v>
      </c>
      <c r="D77" s="95"/>
      <c r="E77" s="52">
        <f ca="1">J78</f>
        <v>36</v>
      </c>
      <c r="F77" s="71">
        <f ca="1">((100/H74)*E77)/100</f>
        <v>1</v>
      </c>
      <c r="G77" s="150">
        <f ca="1">(((E78/H74*10)+(40/(F74+G74+H74)*E79)+(15/(H74)*E80)+(5/(H74)*E81)+(5/H74*E82)+(10/H74*E83)+(5/H74*E84)+(5/H74*E85)+(5/H74*E86))/100)</f>
        <v>0.39876068376068374</v>
      </c>
      <c r="H77" s="151"/>
      <c r="I77" s="1" t="s">
        <v>68</v>
      </c>
      <c r="J77" s="54">
        <f ca="1">H74*50%</f>
        <v>18</v>
      </c>
    </row>
    <row r="78" spans="1:10" ht="15" customHeight="1" x14ac:dyDescent="0.2">
      <c r="A78" s="93" t="s">
        <v>69</v>
      </c>
      <c r="B78" s="94"/>
      <c r="C78" s="95">
        <v>0.1</v>
      </c>
      <c r="D78" s="95"/>
      <c r="E78" s="55">
        <f ca="1">J86</f>
        <v>36</v>
      </c>
      <c r="F78" s="71">
        <f ca="1">((100/H74)*E78)/100</f>
        <v>1</v>
      </c>
      <c r="G78" s="150"/>
      <c r="H78" s="151"/>
      <c r="I78" s="1" t="s">
        <v>70</v>
      </c>
      <c r="J78" s="54">
        <f ca="1">H74</f>
        <v>36</v>
      </c>
    </row>
    <row r="79" spans="1:10" ht="15" customHeight="1" x14ac:dyDescent="0.2">
      <c r="A79" s="93" t="s">
        <v>71</v>
      </c>
      <c r="B79" s="94"/>
      <c r="C79" s="95">
        <v>0.4</v>
      </c>
      <c r="D79" s="95"/>
      <c r="E79" s="55">
        <v>19</v>
      </c>
      <c r="F79" s="71">
        <f ca="1">((100/(F74+G74+H74))*E79)/100</f>
        <v>0.48717948717948723</v>
      </c>
      <c r="G79" s="150"/>
      <c r="H79" s="151"/>
      <c r="I79" s="1" t="s">
        <v>72</v>
      </c>
      <c r="J79" s="56">
        <f ca="1">(IF(E74&gt;1,(H74/(E74+2)),H74/4))</f>
        <v>9</v>
      </c>
    </row>
    <row r="80" spans="1:10" ht="15" customHeight="1" x14ac:dyDescent="0.2">
      <c r="A80" s="93" t="s">
        <v>73</v>
      </c>
      <c r="B80" s="94"/>
      <c r="C80" s="95">
        <v>0.15</v>
      </c>
      <c r="D80" s="95"/>
      <c r="E80" s="55">
        <f>E79-2</f>
        <v>17</v>
      </c>
      <c r="F80" s="71">
        <f ca="1">((100/H74)*E80)/100</f>
        <v>0.47222222222222221</v>
      </c>
      <c r="G80" s="150"/>
      <c r="H80" s="151"/>
      <c r="I80" s="1" t="s">
        <v>74</v>
      </c>
      <c r="J80" s="56">
        <f ca="1">(IF(E74&gt;1,(H74/(E74+2)+J79),H74/4+J79))</f>
        <v>18</v>
      </c>
    </row>
    <row r="81" spans="1:10" ht="15" customHeight="1" x14ac:dyDescent="0.2">
      <c r="A81" s="93" t="s">
        <v>75</v>
      </c>
      <c r="B81" s="94"/>
      <c r="C81" s="95">
        <v>0.05</v>
      </c>
      <c r="D81" s="95"/>
      <c r="E81" s="55">
        <f>E80*0.75</f>
        <v>12.75</v>
      </c>
      <c r="F81" s="71">
        <f ca="1">((100/H74)*E81)/100</f>
        <v>0.35416666666666663</v>
      </c>
      <c r="G81" s="150"/>
      <c r="H81" s="151"/>
      <c r="I81" s="1" t="s">
        <v>76</v>
      </c>
      <c r="J81" s="56">
        <f>(IF(E74&gt;1,(H74/(E74+2)+J80),0))</f>
        <v>0</v>
      </c>
    </row>
    <row r="82" spans="1:10" ht="15" customHeight="1" x14ac:dyDescent="0.2">
      <c r="A82" s="93" t="s">
        <v>77</v>
      </c>
      <c r="B82" s="94"/>
      <c r="C82" s="95">
        <v>0.05</v>
      </c>
      <c r="D82" s="95"/>
      <c r="E82" s="55">
        <f>E80*0.65</f>
        <v>11.05</v>
      </c>
      <c r="F82" s="71">
        <f ca="1">((100/(H74))*E82)/100</f>
        <v>0.30694444444444446</v>
      </c>
      <c r="G82" s="150"/>
      <c r="H82" s="151"/>
      <c r="I82" s="1" t="s">
        <v>78</v>
      </c>
      <c r="J82" s="56">
        <f>(IF(E74&gt;2,(H74/(E74+2)+J81),0))</f>
        <v>0</v>
      </c>
    </row>
    <row r="83" spans="1:10" ht="15" customHeight="1" x14ac:dyDescent="0.2">
      <c r="A83" s="93" t="s">
        <v>79</v>
      </c>
      <c r="B83" s="94"/>
      <c r="C83" s="95">
        <v>0.1</v>
      </c>
      <c r="D83" s="95"/>
      <c r="E83" s="52">
        <v>0</v>
      </c>
      <c r="F83" s="71">
        <f ca="1">((100/H74)*E83)/100</f>
        <v>0</v>
      </c>
      <c r="G83" s="150"/>
      <c r="H83" s="151"/>
      <c r="I83" s="1" t="s">
        <v>80</v>
      </c>
      <c r="J83" s="57">
        <f>(IF(E74&gt;3,(H74/(E74+2)+J82),0))</f>
        <v>0</v>
      </c>
    </row>
    <row r="84" spans="1:10" ht="15" customHeight="1" x14ac:dyDescent="0.2">
      <c r="A84" s="93" t="s">
        <v>81</v>
      </c>
      <c r="B84" s="94"/>
      <c r="C84" s="95">
        <v>0.05</v>
      </c>
      <c r="D84" s="95"/>
      <c r="E84" s="52">
        <v>0</v>
      </c>
      <c r="F84" s="71">
        <f ca="1">((100/H74)*E84)/100</f>
        <v>0</v>
      </c>
      <c r="G84" s="150"/>
      <c r="H84" s="151"/>
      <c r="I84" s="1" t="s">
        <v>82</v>
      </c>
      <c r="J84" s="56">
        <f>(IF(E74&gt;4,(H74/(E74+2)+J83),0))</f>
        <v>0</v>
      </c>
    </row>
    <row r="85" spans="1:10" ht="15" customHeight="1" x14ac:dyDescent="0.2">
      <c r="A85" s="93" t="s">
        <v>83</v>
      </c>
      <c r="B85" s="94"/>
      <c r="C85" s="95">
        <v>0.05</v>
      </c>
      <c r="D85" s="95"/>
      <c r="E85" s="52">
        <v>0</v>
      </c>
      <c r="F85" s="71">
        <f ca="1">((100/(H74))*E85)/100</f>
        <v>0</v>
      </c>
      <c r="G85" s="150"/>
      <c r="H85" s="151"/>
      <c r="I85" s="1" t="s">
        <v>84</v>
      </c>
      <c r="J85" s="56">
        <f ca="1">(IF(E74=1,(H74/(E74+3)+J80),IF(E74=0,(H74/4+J80),IF(E74&gt;1,0))))</f>
        <v>27</v>
      </c>
    </row>
    <row r="86" spans="1:10" ht="15.75" customHeight="1" thickBot="1" x14ac:dyDescent="0.25">
      <c r="A86" s="154" t="s">
        <v>85</v>
      </c>
      <c r="B86" s="155"/>
      <c r="C86" s="92">
        <v>0.05</v>
      </c>
      <c r="D86" s="92"/>
      <c r="E86" s="58">
        <v>0</v>
      </c>
      <c r="F86" s="72">
        <f ca="1">((100/(H74))*E86)/100</f>
        <v>0</v>
      </c>
      <c r="G86" s="152"/>
      <c r="H86" s="153"/>
      <c r="I86" s="60" t="s">
        <v>86</v>
      </c>
      <c r="J86" s="61">
        <f ca="1">(IF(E74&gt;1.5,(H74/(E74+2)+J80+MAX(0,J81-J80)+MAX(0,J82-J81)+MAX(0,J83-J82)+MAX(0,J84-J83)+MAX(0,J85-J84)),IF(E74=1,(H74/(E74+3)+J85),IF(E74=0,H74/4+J85))))</f>
        <v>36</v>
      </c>
    </row>
    <row r="87" spans="1:10" ht="28.5" customHeight="1" x14ac:dyDescent="0.2">
      <c r="A87" s="167" t="s">
        <v>27</v>
      </c>
      <c r="B87" s="168"/>
      <c r="C87" s="138" t="s">
        <v>116</v>
      </c>
      <c r="D87" s="138"/>
      <c r="E87" s="138"/>
      <c r="F87" s="138"/>
      <c r="G87" s="138"/>
      <c r="H87" s="138"/>
    </row>
    <row r="88" spans="1:10" x14ac:dyDescent="0.2">
      <c r="A88" s="85" t="s">
        <v>28</v>
      </c>
      <c r="B88" s="85"/>
      <c r="C88" s="85"/>
      <c r="D88" s="85"/>
      <c r="E88" s="85"/>
      <c r="F88" s="85"/>
      <c r="G88" s="85"/>
      <c r="H88" s="85"/>
    </row>
    <row r="89" spans="1:10" x14ac:dyDescent="0.2">
      <c r="A89" s="143" t="s">
        <v>29</v>
      </c>
      <c r="B89" s="144"/>
      <c r="C89" s="90" t="s">
        <v>52</v>
      </c>
      <c r="D89" s="91"/>
      <c r="E89" s="84" t="s">
        <v>30</v>
      </c>
      <c r="F89" s="84"/>
      <c r="G89" s="15" t="s">
        <v>18</v>
      </c>
      <c r="H89" s="77" t="s">
        <v>53</v>
      </c>
    </row>
    <row r="90" spans="1:10" x14ac:dyDescent="0.2">
      <c r="A90" s="143" t="s">
        <v>31</v>
      </c>
      <c r="B90" s="144"/>
      <c r="C90" s="90" t="s">
        <v>51</v>
      </c>
      <c r="D90" s="91"/>
      <c r="E90" s="84" t="s">
        <v>32</v>
      </c>
      <c r="F90" s="84"/>
      <c r="G90" s="15" t="s">
        <v>18</v>
      </c>
      <c r="H90" s="77" t="s">
        <v>54</v>
      </c>
    </row>
    <row r="91" spans="1:10" x14ac:dyDescent="0.2">
      <c r="A91" s="143" t="s">
        <v>33</v>
      </c>
      <c r="B91" s="144"/>
      <c r="C91" s="90" t="s">
        <v>144</v>
      </c>
      <c r="D91" s="91"/>
      <c r="E91" s="84" t="s">
        <v>34</v>
      </c>
      <c r="F91" s="84"/>
      <c r="G91" s="15" t="s">
        <v>18</v>
      </c>
      <c r="H91" s="77" t="s">
        <v>53</v>
      </c>
    </row>
    <row r="92" spans="1:10" x14ac:dyDescent="0.2">
      <c r="A92" s="143" t="s">
        <v>35</v>
      </c>
      <c r="B92" s="144"/>
      <c r="C92" s="90" t="s">
        <v>124</v>
      </c>
      <c r="D92" s="91"/>
      <c r="E92" s="84" t="s">
        <v>36</v>
      </c>
      <c r="F92" s="84"/>
      <c r="G92" s="15" t="s">
        <v>18</v>
      </c>
      <c r="H92" s="77" t="s">
        <v>53</v>
      </c>
    </row>
    <row r="93" spans="1:10" x14ac:dyDescent="0.2">
      <c r="A93" s="143" t="s">
        <v>37</v>
      </c>
      <c r="B93" s="144"/>
      <c r="C93" s="90" t="s">
        <v>131</v>
      </c>
      <c r="D93" s="91"/>
      <c r="E93" s="84" t="s">
        <v>38</v>
      </c>
      <c r="F93" s="84"/>
      <c r="G93" s="15" t="s">
        <v>18</v>
      </c>
      <c r="H93" s="77" t="s">
        <v>54</v>
      </c>
    </row>
    <row r="94" spans="1:10" x14ac:dyDescent="0.2">
      <c r="A94" s="143" t="s">
        <v>39</v>
      </c>
      <c r="B94" s="144"/>
      <c r="C94" s="90" t="s">
        <v>145</v>
      </c>
      <c r="D94" s="91"/>
      <c r="E94" s="84" t="s">
        <v>40</v>
      </c>
      <c r="F94" s="84"/>
      <c r="G94" s="15" t="s">
        <v>18</v>
      </c>
      <c r="H94" s="77" t="s">
        <v>54</v>
      </c>
    </row>
    <row r="95" spans="1:10" x14ac:dyDescent="0.2">
      <c r="A95" s="143" t="s">
        <v>41</v>
      </c>
      <c r="B95" s="144"/>
      <c r="C95" s="90" t="s">
        <v>125</v>
      </c>
      <c r="D95" s="91"/>
      <c r="E95" s="84" t="s">
        <v>42</v>
      </c>
      <c r="F95" s="84"/>
      <c r="G95" s="15" t="s">
        <v>18</v>
      </c>
      <c r="H95" s="77" t="s">
        <v>54</v>
      </c>
    </row>
    <row r="96" spans="1:10" ht="38.25" customHeight="1" x14ac:dyDescent="0.2">
      <c r="A96" s="103" t="s">
        <v>43</v>
      </c>
      <c r="B96" s="104"/>
      <c r="C96" s="90" t="s">
        <v>130</v>
      </c>
      <c r="D96" s="91"/>
      <c r="E96" s="85" t="s">
        <v>44</v>
      </c>
      <c r="F96" s="85"/>
      <c r="G96" s="108" t="s">
        <v>54</v>
      </c>
      <c r="H96" s="108"/>
    </row>
    <row r="97" spans="1:8" x14ac:dyDescent="0.2">
      <c r="A97" s="103" t="s">
        <v>45</v>
      </c>
      <c r="B97" s="104"/>
      <c r="C97" s="210" t="s">
        <v>56</v>
      </c>
      <c r="D97" s="211"/>
      <c r="E97" s="85" t="s">
        <v>46</v>
      </c>
      <c r="F97" s="85"/>
      <c r="G97" s="109" t="s">
        <v>55</v>
      </c>
      <c r="H97" s="109"/>
    </row>
    <row r="98" spans="1:8" hidden="1" x14ac:dyDescent="0.2">
      <c r="A98" s="177" t="s">
        <v>201</v>
      </c>
      <c r="B98" s="178"/>
      <c r="C98" s="178"/>
      <c r="D98" s="178"/>
      <c r="E98" s="178"/>
      <c r="F98" s="178"/>
      <c r="G98" s="178"/>
      <c r="H98" s="179"/>
    </row>
    <row r="99" spans="1:8" ht="25.5" hidden="1" customHeight="1" x14ac:dyDescent="0.2">
      <c r="A99" s="85" t="s">
        <v>202</v>
      </c>
      <c r="B99" s="85"/>
      <c r="C99" s="103" t="s">
        <v>203</v>
      </c>
      <c r="D99" s="104"/>
      <c r="E99" s="85" t="s">
        <v>204</v>
      </c>
      <c r="F99" s="85"/>
      <c r="G99" s="85" t="s">
        <v>205</v>
      </c>
      <c r="H99" s="85"/>
    </row>
    <row r="100" spans="1:8" hidden="1" x14ac:dyDescent="0.2">
      <c r="A100" s="110" t="s">
        <v>206</v>
      </c>
      <c r="B100" s="110"/>
      <c r="C100" s="212"/>
      <c r="D100" s="213"/>
      <c r="E100" s="86"/>
      <c r="F100" s="87"/>
      <c r="G100" s="86"/>
      <c r="H100" s="87"/>
    </row>
    <row r="101" spans="1:8" hidden="1" x14ac:dyDescent="0.2">
      <c r="A101" s="85" t="s">
        <v>207</v>
      </c>
      <c r="B101" s="85"/>
      <c r="C101" s="214">
        <f>SUM(C100)</f>
        <v>0</v>
      </c>
      <c r="D101" s="215"/>
      <c r="E101" s="88">
        <f>SUM(E100)</f>
        <v>0</v>
      </c>
      <c r="F101" s="89"/>
      <c r="G101" s="88">
        <f>SUM(G100)</f>
        <v>0</v>
      </c>
      <c r="H101" s="89"/>
    </row>
    <row r="102" spans="1:8" x14ac:dyDescent="0.2">
      <c r="A102" s="85" t="s">
        <v>208</v>
      </c>
      <c r="B102" s="85"/>
      <c r="C102" s="85"/>
      <c r="D102" s="85"/>
      <c r="E102" s="85"/>
      <c r="F102" s="85"/>
      <c r="G102" s="85"/>
      <c r="H102" s="85"/>
    </row>
    <row r="103" spans="1:8" x14ac:dyDescent="0.2">
      <c r="A103" s="85" t="s">
        <v>202</v>
      </c>
      <c r="B103" s="85"/>
      <c r="C103" s="103" t="s">
        <v>203</v>
      </c>
      <c r="D103" s="104"/>
      <c r="E103" s="85" t="s">
        <v>204</v>
      </c>
      <c r="F103" s="85"/>
      <c r="G103" s="85" t="s">
        <v>205</v>
      </c>
      <c r="H103" s="85"/>
    </row>
    <row r="104" spans="1:8" ht="12.75" customHeight="1" x14ac:dyDescent="0.2">
      <c r="A104" s="111" t="s">
        <v>267</v>
      </c>
      <c r="B104" s="69" t="s">
        <v>258</v>
      </c>
      <c r="C104" s="216">
        <f>COUNT(F138:F141)*13+COUNT(F145:F148)*3+COUNT(F150,F152:F155)+COUNT(F157:F162)*15+COUNT(F164,F166:F169)*4+COUNT(F171:F174,F176)</f>
        <v>184</v>
      </c>
      <c r="D104" s="217"/>
      <c r="E104" s="86">
        <f>SUM(F138:F141)*13+SUM(F145:F148)*3+SUM(F150,F152:F155)+SUM(F157:F162)*15+SUM(F164,F166:F169)*4+SUM(F171:F174,F176)</f>
        <v>84819.781799999997</v>
      </c>
      <c r="F104" s="86"/>
      <c r="G104" s="86">
        <f>SUM(H138:H141)*13+SUM(H145:H148)*3+SUM(H150,H152:H155)+SUM(H157:H162)*15+SUM(H164,H166:H169)*4+SUM(H171:H174,H176)</f>
        <v>127229.67269999998</v>
      </c>
      <c r="H104" s="86"/>
    </row>
    <row r="105" spans="1:8" x14ac:dyDescent="0.2">
      <c r="A105" s="112"/>
      <c r="B105" s="73" t="s">
        <v>257</v>
      </c>
      <c r="C105" s="216">
        <f>COUNT(F136:F137)*13+COUNT(F143)*3+COUNT(F151)+COUNT(F175)</f>
        <v>31</v>
      </c>
      <c r="D105" s="217"/>
      <c r="E105" s="86">
        <f>SUM(F136:F137)*13+SUM(F143)*3+SUM(F151)+SUM(F175)</f>
        <v>10840.63968</v>
      </c>
      <c r="F105" s="86"/>
      <c r="G105" s="86">
        <f>SUM(H136:H137)*13+SUM(H143)*3+SUM(H151)+SUM(H175)</f>
        <v>16260.95952</v>
      </c>
      <c r="H105" s="86"/>
    </row>
    <row r="106" spans="1:8" ht="12.75" customHeight="1" x14ac:dyDescent="0.2">
      <c r="A106" s="111" t="s">
        <v>266</v>
      </c>
      <c r="B106" s="69" t="s">
        <v>258</v>
      </c>
      <c r="C106" s="216">
        <f>COUNT(F183:F186)*13+COUNT(F190:F193)*3+COUNT(F195:F200)*17+COUNT(F203:F207)*4</f>
        <v>186</v>
      </c>
      <c r="D106" s="217"/>
      <c r="E106" s="86">
        <f>SUM(F183:F186)*13+SUM(F190:F193)*3+SUM(F195:F200)*17+SUM(F203:F207)*4</f>
        <v>71446.372919999994</v>
      </c>
      <c r="F106" s="86"/>
      <c r="G106" s="86">
        <f>SUM(H183:H186)*13+SUM(H190:H193)*3+SUM(H195:H200)*17+SUM(H203:H207)*4</f>
        <v>107169.55937999999</v>
      </c>
      <c r="H106" s="86"/>
    </row>
    <row r="107" spans="1:8" x14ac:dyDescent="0.2">
      <c r="A107" s="112"/>
      <c r="B107" s="73" t="s">
        <v>257</v>
      </c>
      <c r="C107" s="216">
        <f>COUNT(F181:F182)*13+COUNT(F189)*3</f>
        <v>29</v>
      </c>
      <c r="D107" s="217"/>
      <c r="E107" s="86">
        <f>SUM(F181:F182)*13+SUM(F189)*3</f>
        <v>9964.0195199999998</v>
      </c>
      <c r="F107" s="86"/>
      <c r="G107" s="86">
        <f>SUM(H181:H182)*13+SUM(H189)*3</f>
        <v>14946.029280000001</v>
      </c>
      <c r="H107" s="86"/>
    </row>
    <row r="108" spans="1:8" x14ac:dyDescent="0.2">
      <c r="A108" s="85" t="s">
        <v>207</v>
      </c>
      <c r="B108" s="85"/>
      <c r="C108" s="158">
        <f>SUM(C104:D107)</f>
        <v>430</v>
      </c>
      <c r="D108" s="159"/>
      <c r="E108" s="158">
        <f t="shared" ref="E108" si="0">SUM(E104:F107)</f>
        <v>177070.81391999999</v>
      </c>
      <c r="F108" s="159"/>
      <c r="G108" s="158">
        <f t="shared" ref="G108" si="1">SUM(G104:H107)</f>
        <v>265606.22087999998</v>
      </c>
      <c r="H108" s="159"/>
    </row>
    <row r="109" spans="1:8" hidden="1" x14ac:dyDescent="0.2">
      <c r="A109" s="85" t="s">
        <v>209</v>
      </c>
      <c r="B109" s="85"/>
      <c r="C109" s="231">
        <f>C101+C108</f>
        <v>430</v>
      </c>
      <c r="D109" s="232"/>
      <c r="E109" s="160">
        <f>E101+E108</f>
        <v>177070.81391999999</v>
      </c>
      <c r="F109" s="160"/>
      <c r="G109" s="160">
        <f>G101+G108</f>
        <v>265606.22087999998</v>
      </c>
      <c r="H109" s="160"/>
    </row>
    <row r="110" spans="1:8" ht="15.75" customHeight="1" x14ac:dyDescent="0.2">
      <c r="A110" s="85" t="s">
        <v>47</v>
      </c>
      <c r="B110" s="85"/>
      <c r="C110" s="85"/>
      <c r="D110" s="85"/>
      <c r="E110" s="85"/>
      <c r="F110" s="85"/>
      <c r="G110" s="85"/>
      <c r="H110" s="85"/>
    </row>
    <row r="111" spans="1:8" x14ac:dyDescent="0.2">
      <c r="A111" s="85" t="s">
        <v>279</v>
      </c>
      <c r="B111" s="85"/>
      <c r="C111" s="85"/>
      <c r="D111" s="85"/>
      <c r="E111" s="85"/>
      <c r="F111" s="85"/>
      <c r="G111" s="85"/>
      <c r="H111" s="85"/>
    </row>
    <row r="112" spans="1:8" ht="39" hidden="1" customHeight="1" x14ac:dyDescent="0.2">
      <c r="A112" s="223" t="s">
        <v>220</v>
      </c>
      <c r="B112" s="225" t="s">
        <v>221</v>
      </c>
      <c r="C112" s="223" t="s">
        <v>133</v>
      </c>
      <c r="D112" s="225" t="s">
        <v>215</v>
      </c>
      <c r="E112" s="225" t="s">
        <v>218</v>
      </c>
      <c r="F112" s="223" t="s">
        <v>216</v>
      </c>
      <c r="G112" s="22" t="s">
        <v>217</v>
      </c>
      <c r="H112" s="63" t="s">
        <v>146</v>
      </c>
    </row>
    <row r="113" spans="1:8" hidden="1" x14ac:dyDescent="0.2">
      <c r="A113" s="224"/>
      <c r="B113" s="226"/>
      <c r="C113" s="224"/>
      <c r="D113" s="226"/>
      <c r="E113" s="226"/>
      <c r="F113" s="224"/>
      <c r="G113" s="23"/>
      <c r="H113" s="23">
        <v>0.45</v>
      </c>
    </row>
    <row r="114" spans="1:8" hidden="1" x14ac:dyDescent="0.2">
      <c r="A114" s="142" t="s">
        <v>253</v>
      </c>
      <c r="B114" s="142"/>
      <c r="C114" s="142"/>
      <c r="D114" s="142"/>
      <c r="E114" s="142"/>
      <c r="F114" s="142"/>
      <c r="G114" s="142"/>
      <c r="H114" s="142"/>
    </row>
    <row r="115" spans="1:8" hidden="1" x14ac:dyDescent="0.2">
      <c r="A115" s="142" t="s">
        <v>212</v>
      </c>
      <c r="B115" s="142"/>
      <c r="C115" s="142"/>
      <c r="D115" s="142"/>
      <c r="E115" s="142"/>
      <c r="F115" s="142"/>
      <c r="G115" s="142"/>
      <c r="H115" s="142"/>
    </row>
    <row r="116" spans="1:8" hidden="1" x14ac:dyDescent="0.2">
      <c r="A116" s="218">
        <v>1</v>
      </c>
      <c r="B116" s="220"/>
      <c r="C116" s="20" t="s">
        <v>219</v>
      </c>
      <c r="D116" s="20"/>
      <c r="E116" s="16"/>
      <c r="F116" s="17">
        <f>D116+(IF(E116&lt;201,E116,IF(E116&lt;301,E116/2,E116/3)))</f>
        <v>0</v>
      </c>
      <c r="G116" s="17"/>
      <c r="H116" s="19">
        <f t="shared" ref="H116:H127" si="2">F116*(($H$113)+1)+(IF(G116&lt;101,G116,IF(G116&lt;201,G116/2,IF(G116&lt;=301,G116/3,G116/4))))</f>
        <v>0</v>
      </c>
    </row>
    <row r="117" spans="1:8" hidden="1" x14ac:dyDescent="0.2">
      <c r="A117" s="218">
        <f>A116+1</f>
        <v>2</v>
      </c>
      <c r="B117" s="220"/>
      <c r="C117" s="20" t="s">
        <v>219</v>
      </c>
      <c r="D117" s="20"/>
      <c r="E117" s="16"/>
      <c r="F117" s="17">
        <f t="shared" ref="F117:F127" si="3">D117+(IF(E117&lt;201,E117,IF(E117&lt;301,E117/2,E117/3)))</f>
        <v>0</v>
      </c>
      <c r="G117" s="17"/>
      <c r="H117" s="20">
        <f t="shared" si="2"/>
        <v>0</v>
      </c>
    </row>
    <row r="118" spans="1:8" hidden="1" x14ac:dyDescent="0.2">
      <c r="A118" s="218">
        <f t="shared" ref="A118:A127" si="4">A117+1</f>
        <v>3</v>
      </c>
      <c r="B118" s="220"/>
      <c r="C118" s="20" t="s">
        <v>219</v>
      </c>
      <c r="D118" s="20"/>
      <c r="E118" s="16"/>
      <c r="F118" s="17">
        <f t="shared" si="3"/>
        <v>0</v>
      </c>
      <c r="G118" s="17"/>
      <c r="H118" s="20">
        <f t="shared" si="2"/>
        <v>0</v>
      </c>
    </row>
    <row r="119" spans="1:8" hidden="1" x14ac:dyDescent="0.2">
      <c r="A119" s="218">
        <f t="shared" si="4"/>
        <v>4</v>
      </c>
      <c r="B119" s="220"/>
      <c r="C119" s="20" t="s">
        <v>219</v>
      </c>
      <c r="D119" s="20"/>
      <c r="E119" s="16"/>
      <c r="F119" s="17">
        <f t="shared" si="3"/>
        <v>0</v>
      </c>
      <c r="G119" s="17"/>
      <c r="H119" s="20">
        <f t="shared" si="2"/>
        <v>0</v>
      </c>
    </row>
    <row r="120" spans="1:8" hidden="1" x14ac:dyDescent="0.2">
      <c r="A120" s="218">
        <f t="shared" si="4"/>
        <v>5</v>
      </c>
      <c r="B120" s="220"/>
      <c r="C120" s="20" t="s">
        <v>219</v>
      </c>
      <c r="D120" s="20"/>
      <c r="E120" s="16"/>
      <c r="F120" s="17">
        <f t="shared" si="3"/>
        <v>0</v>
      </c>
      <c r="G120" s="17"/>
      <c r="H120" s="20">
        <f t="shared" si="2"/>
        <v>0</v>
      </c>
    </row>
    <row r="121" spans="1:8" hidden="1" x14ac:dyDescent="0.2">
      <c r="A121" s="218">
        <f t="shared" si="4"/>
        <v>6</v>
      </c>
      <c r="B121" s="220"/>
      <c r="C121" s="20" t="s">
        <v>219</v>
      </c>
      <c r="D121" s="20"/>
      <c r="E121" s="16"/>
      <c r="F121" s="17">
        <f t="shared" si="3"/>
        <v>0</v>
      </c>
      <c r="G121" s="17"/>
      <c r="H121" s="20">
        <f t="shared" si="2"/>
        <v>0</v>
      </c>
    </row>
    <row r="122" spans="1:8" hidden="1" x14ac:dyDescent="0.2">
      <c r="A122" s="218">
        <f t="shared" si="4"/>
        <v>7</v>
      </c>
      <c r="B122" s="220"/>
      <c r="C122" s="20" t="s">
        <v>219</v>
      </c>
      <c r="D122" s="20"/>
      <c r="E122" s="16"/>
      <c r="F122" s="17">
        <f t="shared" si="3"/>
        <v>0</v>
      </c>
      <c r="G122" s="17"/>
      <c r="H122" s="20">
        <f t="shared" si="2"/>
        <v>0</v>
      </c>
    </row>
    <row r="123" spans="1:8" hidden="1" x14ac:dyDescent="0.2">
      <c r="A123" s="218">
        <f t="shared" si="4"/>
        <v>8</v>
      </c>
      <c r="B123" s="220"/>
      <c r="C123" s="20" t="s">
        <v>219</v>
      </c>
      <c r="D123" s="20"/>
      <c r="E123" s="16"/>
      <c r="F123" s="17">
        <f t="shared" si="3"/>
        <v>0</v>
      </c>
      <c r="G123" s="17"/>
      <c r="H123" s="20">
        <f t="shared" si="2"/>
        <v>0</v>
      </c>
    </row>
    <row r="124" spans="1:8" hidden="1" x14ac:dyDescent="0.2">
      <c r="A124" s="218">
        <f t="shared" si="4"/>
        <v>9</v>
      </c>
      <c r="B124" s="220"/>
      <c r="C124" s="20" t="s">
        <v>219</v>
      </c>
      <c r="D124" s="20"/>
      <c r="E124" s="16"/>
      <c r="F124" s="17">
        <f t="shared" si="3"/>
        <v>0</v>
      </c>
      <c r="G124" s="17"/>
      <c r="H124" s="20">
        <f t="shared" si="2"/>
        <v>0</v>
      </c>
    </row>
    <row r="125" spans="1:8" hidden="1" x14ac:dyDescent="0.2">
      <c r="A125" s="218">
        <f t="shared" si="4"/>
        <v>10</v>
      </c>
      <c r="B125" s="220"/>
      <c r="C125" s="20" t="s">
        <v>219</v>
      </c>
      <c r="D125" s="20"/>
      <c r="E125" s="16"/>
      <c r="F125" s="17">
        <f t="shared" si="3"/>
        <v>0</v>
      </c>
      <c r="G125" s="17"/>
      <c r="H125" s="20">
        <f t="shared" si="2"/>
        <v>0</v>
      </c>
    </row>
    <row r="126" spans="1:8" hidden="1" x14ac:dyDescent="0.2">
      <c r="A126" s="218">
        <f t="shared" si="4"/>
        <v>11</v>
      </c>
      <c r="B126" s="220"/>
      <c r="C126" s="20" t="s">
        <v>219</v>
      </c>
      <c r="D126" s="20"/>
      <c r="E126" s="16"/>
      <c r="F126" s="17">
        <f t="shared" si="3"/>
        <v>0</v>
      </c>
      <c r="G126" s="17"/>
      <c r="H126" s="20">
        <f t="shared" si="2"/>
        <v>0</v>
      </c>
    </row>
    <row r="127" spans="1:8" hidden="1" x14ac:dyDescent="0.2">
      <c r="A127" s="218">
        <f t="shared" si="4"/>
        <v>12</v>
      </c>
      <c r="B127" s="220"/>
      <c r="C127" s="20" t="s">
        <v>219</v>
      </c>
      <c r="D127" s="20"/>
      <c r="E127" s="16"/>
      <c r="F127" s="17">
        <f t="shared" si="3"/>
        <v>0</v>
      </c>
      <c r="G127" s="17"/>
      <c r="H127" s="20">
        <f t="shared" si="2"/>
        <v>0</v>
      </c>
    </row>
    <row r="128" spans="1:8" hidden="1" x14ac:dyDescent="0.2">
      <c r="A128" s="218"/>
      <c r="B128" s="219"/>
      <c r="C128" s="219"/>
      <c r="D128" s="219"/>
      <c r="E128" s="219"/>
      <c r="F128" s="219"/>
      <c r="G128" s="219"/>
      <c r="H128" s="220"/>
    </row>
    <row r="129" spans="1:10" ht="39" customHeight="1" x14ac:dyDescent="0.2">
      <c r="A129" s="223" t="s">
        <v>213</v>
      </c>
      <c r="B129" s="221" t="s">
        <v>214</v>
      </c>
      <c r="C129" s="223" t="s">
        <v>133</v>
      </c>
      <c r="D129" s="221" t="s">
        <v>215</v>
      </c>
      <c r="E129" s="221" t="s">
        <v>292</v>
      </c>
      <c r="F129" s="223" t="s">
        <v>216</v>
      </c>
      <c r="G129" s="63" t="s">
        <v>217</v>
      </c>
      <c r="H129" s="63" t="s">
        <v>146</v>
      </c>
    </row>
    <row r="130" spans="1:10" x14ac:dyDescent="0.2">
      <c r="A130" s="224"/>
      <c r="B130" s="222"/>
      <c r="C130" s="224"/>
      <c r="D130" s="222"/>
      <c r="E130" s="222"/>
      <c r="F130" s="224"/>
      <c r="G130" s="23"/>
      <c r="H130" s="23">
        <v>0.5</v>
      </c>
    </row>
    <row r="131" spans="1:10" x14ac:dyDescent="0.2">
      <c r="A131" s="142" t="s">
        <v>262</v>
      </c>
      <c r="B131" s="142"/>
      <c r="C131" s="142"/>
      <c r="D131" s="142"/>
      <c r="E131" s="142"/>
      <c r="F131" s="142"/>
      <c r="G131" s="142"/>
      <c r="H131" s="142"/>
      <c r="J131" s="17">
        <f>10.764</f>
        <v>10.763999999999999</v>
      </c>
    </row>
    <row r="132" spans="1:10" x14ac:dyDescent="0.2">
      <c r="A132" s="142" t="s">
        <v>298</v>
      </c>
      <c r="B132" s="142"/>
      <c r="C132" s="142"/>
      <c r="D132" s="142"/>
      <c r="E132" s="142"/>
      <c r="F132" s="142"/>
      <c r="G132" s="142"/>
      <c r="H132" s="142"/>
      <c r="I132" s="6" t="s">
        <v>297</v>
      </c>
    </row>
    <row r="133" spans="1:10" x14ac:dyDescent="0.2">
      <c r="A133" s="142" t="s">
        <v>254</v>
      </c>
      <c r="B133" s="142"/>
      <c r="C133" s="142"/>
      <c r="D133" s="142"/>
      <c r="E133" s="142"/>
      <c r="F133" s="142"/>
      <c r="G133" s="142"/>
      <c r="H133" s="142"/>
      <c r="I133" s="6">
        <f>6*37-7</f>
        <v>215</v>
      </c>
    </row>
    <row r="134" spans="1:10" x14ac:dyDescent="0.2">
      <c r="A134" s="142" t="s">
        <v>255</v>
      </c>
      <c r="B134" s="142"/>
      <c r="C134" s="142"/>
      <c r="D134" s="142"/>
      <c r="E134" s="142"/>
      <c r="F134" s="142"/>
      <c r="G134" s="142"/>
      <c r="H134" s="142"/>
    </row>
    <row r="135" spans="1:10" x14ac:dyDescent="0.2">
      <c r="A135" s="142" t="s">
        <v>256</v>
      </c>
      <c r="B135" s="142"/>
      <c r="C135" s="142"/>
      <c r="D135" s="142"/>
      <c r="E135" s="142"/>
      <c r="F135" s="142"/>
      <c r="G135" s="142"/>
      <c r="H135" s="142"/>
    </row>
    <row r="136" spans="1:10" x14ac:dyDescent="0.2">
      <c r="A136" s="20">
        <v>1</v>
      </c>
      <c r="B136" s="20" t="s">
        <v>257</v>
      </c>
      <c r="C136" s="20" t="s">
        <v>57</v>
      </c>
      <c r="D136" s="17">
        <f>(28.61)*(10.764)</f>
        <v>307.95803999999998</v>
      </c>
      <c r="E136" s="17">
        <f>(2.41+(1.5*0.6))*(10.764)</f>
        <v>35.628839999999997</v>
      </c>
      <c r="F136" s="17">
        <f>D136+E136</f>
        <v>343.58687999999995</v>
      </c>
      <c r="G136" s="17">
        <v>0</v>
      </c>
      <c r="H136" s="17">
        <f>F136*(($H$130)+1)+(IF(G136&lt;101,G136,IF(G136&lt;201,G136/2,IF(G136&lt;=301,G136/3,G136/4))))</f>
        <v>515.38031999999998</v>
      </c>
      <c r="I136" s="74">
        <f>(2.75*2.9+2.1*2.92+2.75*2.92+2.1*1.2+1.2*1.97)</f>
        <v>27.021000000000001</v>
      </c>
      <c r="J136" s="79">
        <f>2.75*0.85</f>
        <v>2.3374999999999999</v>
      </c>
    </row>
    <row r="137" spans="1:10" x14ac:dyDescent="0.2">
      <c r="A137" s="20">
        <v>2</v>
      </c>
      <c r="B137" s="20" t="s">
        <v>257</v>
      </c>
      <c r="C137" s="20" t="s">
        <v>57</v>
      </c>
      <c r="D137" s="17">
        <f>(28.61)*(10.764)</f>
        <v>307.95803999999998</v>
      </c>
      <c r="E137" s="17">
        <f>(2.41+(1.5*0.6))*(10.764)</f>
        <v>35.628839999999997</v>
      </c>
      <c r="F137" s="17">
        <f t="shared" ref="F137:F141" si="5">D137+E137</f>
        <v>343.58687999999995</v>
      </c>
      <c r="G137" s="17">
        <v>0</v>
      </c>
      <c r="H137" s="17">
        <f t="shared" ref="H137:H141" si="6">F137*(($H$130)+1)+(IF(G137&lt;101,G137,IF(G137&lt;201,G137/2,IF(G137&lt;=301,G137/3,G137/4))))</f>
        <v>515.38031999999998</v>
      </c>
    </row>
    <row r="138" spans="1:10" x14ac:dyDescent="0.2">
      <c r="A138" s="20">
        <v>3</v>
      </c>
      <c r="B138" s="75" t="s">
        <v>258</v>
      </c>
      <c r="C138" s="20" t="s">
        <v>57</v>
      </c>
      <c r="D138" s="17">
        <f>(29.73)*(10.764)</f>
        <v>320.01371999999998</v>
      </c>
      <c r="E138" s="17">
        <f>(2.63+(1.5*0.6))*(10.764)</f>
        <v>37.996919999999996</v>
      </c>
      <c r="F138" s="17">
        <f t="shared" si="5"/>
        <v>358.01063999999997</v>
      </c>
      <c r="G138" s="17">
        <v>0</v>
      </c>
      <c r="H138" s="17">
        <f t="shared" si="6"/>
        <v>537.01595999999995</v>
      </c>
    </row>
    <row r="139" spans="1:10" x14ac:dyDescent="0.2">
      <c r="A139" s="20">
        <v>4</v>
      </c>
      <c r="B139" s="75" t="s">
        <v>258</v>
      </c>
      <c r="C139" s="20" t="s">
        <v>289</v>
      </c>
      <c r="D139" s="17">
        <f>(47.77)*(10.764)</f>
        <v>514.19628</v>
      </c>
      <c r="E139" s="17">
        <f>(0.6*(3+1.6))*(10.764)</f>
        <v>29.708639999999995</v>
      </c>
      <c r="F139" s="17">
        <f t="shared" si="5"/>
        <v>543.90491999999995</v>
      </c>
      <c r="G139" s="17">
        <v>0</v>
      </c>
      <c r="H139" s="17">
        <f t="shared" si="6"/>
        <v>815.85737999999992</v>
      </c>
    </row>
    <row r="140" spans="1:10" x14ac:dyDescent="0.2">
      <c r="A140" s="20">
        <v>5</v>
      </c>
      <c r="B140" s="75" t="s">
        <v>258</v>
      </c>
      <c r="C140" s="20" t="s">
        <v>289</v>
      </c>
      <c r="D140" s="17">
        <f>(46.79)*(10.764)</f>
        <v>503.64755999999994</v>
      </c>
      <c r="E140" s="17">
        <f>(0.6*(2.95+1.6))*(10.764)</f>
        <v>29.385720000000003</v>
      </c>
      <c r="F140" s="17">
        <f t="shared" si="5"/>
        <v>533.03327999999999</v>
      </c>
      <c r="G140" s="17">
        <v>0</v>
      </c>
      <c r="H140" s="17">
        <f t="shared" si="6"/>
        <v>799.54991999999993</v>
      </c>
      <c r="I140" s="74">
        <f>(2.95*4+2.2*2.3+2.95*2.75+2.9*3.77+2.1*1.2+1.25*2.12+0.9*3.5)</f>
        <v>44.225500000000004</v>
      </c>
    </row>
    <row r="141" spans="1:10" x14ac:dyDescent="0.2">
      <c r="A141" s="20">
        <v>6</v>
      </c>
      <c r="B141" s="75" t="s">
        <v>258</v>
      </c>
      <c r="C141" s="20" t="s">
        <v>289</v>
      </c>
      <c r="D141" s="17">
        <f>(46.32)*(10.764)</f>
        <v>498.58847999999995</v>
      </c>
      <c r="E141" s="17">
        <f>(0.6*(3+1.6))*(10.764)</f>
        <v>29.708639999999995</v>
      </c>
      <c r="F141" s="17">
        <f t="shared" si="5"/>
        <v>528.29711999999995</v>
      </c>
      <c r="G141" s="17">
        <v>0</v>
      </c>
      <c r="H141" s="17">
        <f t="shared" si="6"/>
        <v>792.44567999999992</v>
      </c>
    </row>
    <row r="142" spans="1:10" x14ac:dyDescent="0.2">
      <c r="A142" s="142" t="s">
        <v>259</v>
      </c>
      <c r="B142" s="142"/>
      <c r="C142" s="142"/>
      <c r="D142" s="142"/>
      <c r="E142" s="142"/>
      <c r="F142" s="142"/>
      <c r="G142" s="142"/>
      <c r="H142" s="142"/>
    </row>
    <row r="143" spans="1:10" x14ac:dyDescent="0.2">
      <c r="A143" s="20">
        <v>1</v>
      </c>
      <c r="B143" s="20" t="s">
        <v>257</v>
      </c>
      <c r="C143" s="20" t="s">
        <v>57</v>
      </c>
      <c r="D143" s="17">
        <f>(28.61)*(10.764)</f>
        <v>307.95803999999998</v>
      </c>
      <c r="E143" s="17">
        <f>(2.41+(1.5*0.6))*(10.764)</f>
        <v>35.628839999999997</v>
      </c>
      <c r="F143" s="17">
        <f>D143+E143</f>
        <v>343.58687999999995</v>
      </c>
      <c r="G143" s="17">
        <v>0</v>
      </c>
      <c r="H143" s="17">
        <f>F143*(($H$130)+1)+(IF(G143&lt;101,G143,IF(G143&lt;201,G143/2,IF(G143&lt;=301,G143/3,G143/4))))</f>
        <v>515.38031999999998</v>
      </c>
      <c r="I143" s="74"/>
      <c r="J143" s="74"/>
    </row>
    <row r="144" spans="1:10" x14ac:dyDescent="0.2">
      <c r="A144" s="20">
        <v>2</v>
      </c>
      <c r="B144" s="20" t="s">
        <v>260</v>
      </c>
      <c r="C144" s="218" t="s">
        <v>261</v>
      </c>
      <c r="D144" s="219"/>
      <c r="E144" s="219"/>
      <c r="F144" s="219"/>
      <c r="G144" s="219"/>
      <c r="H144" s="220"/>
    </row>
    <row r="145" spans="1:10" x14ac:dyDescent="0.2">
      <c r="A145" s="20">
        <v>3</v>
      </c>
      <c r="B145" s="75" t="s">
        <v>258</v>
      </c>
      <c r="C145" s="20" t="s">
        <v>57</v>
      </c>
      <c r="D145" s="17">
        <f>(29.73)*(10.764)</f>
        <v>320.01371999999998</v>
      </c>
      <c r="E145" s="17">
        <f>(2.63+(1.5*0.6))*(10.764)</f>
        <v>37.996919999999996</v>
      </c>
      <c r="F145" s="17">
        <f t="shared" ref="F145:F148" si="7">D145+E145</f>
        <v>358.01063999999997</v>
      </c>
      <c r="G145" s="17">
        <v>0</v>
      </c>
      <c r="H145" s="17">
        <f t="shared" ref="H145:H148" si="8">F145*(($H$130)+1)+(IF(G145&lt;101,G145,IF(G145&lt;201,G145/2,IF(G145&lt;=301,G145/3,G145/4))))</f>
        <v>537.01595999999995</v>
      </c>
    </row>
    <row r="146" spans="1:10" x14ac:dyDescent="0.2">
      <c r="A146" s="20">
        <v>4</v>
      </c>
      <c r="B146" s="75" t="s">
        <v>258</v>
      </c>
      <c r="C146" s="20" t="s">
        <v>289</v>
      </c>
      <c r="D146" s="17">
        <f>(47.77)*(10.764)</f>
        <v>514.19628</v>
      </c>
      <c r="E146" s="17">
        <f>(0.6*(3+1.6))*(10.764)</f>
        <v>29.708639999999995</v>
      </c>
      <c r="F146" s="17">
        <f t="shared" si="7"/>
        <v>543.90491999999995</v>
      </c>
      <c r="G146" s="17">
        <v>0</v>
      </c>
      <c r="H146" s="17">
        <f t="shared" si="8"/>
        <v>815.85737999999992</v>
      </c>
    </row>
    <row r="147" spans="1:10" x14ac:dyDescent="0.2">
      <c r="A147" s="20">
        <v>5</v>
      </c>
      <c r="B147" s="75" t="s">
        <v>258</v>
      </c>
      <c r="C147" s="20" t="s">
        <v>289</v>
      </c>
      <c r="D147" s="17">
        <f>(46.79)*(10.764)</f>
        <v>503.64755999999994</v>
      </c>
      <c r="E147" s="17">
        <f>(0.6*(2.95+1.6))*(10.764)</f>
        <v>29.385720000000003</v>
      </c>
      <c r="F147" s="17">
        <f t="shared" si="7"/>
        <v>533.03327999999999</v>
      </c>
      <c r="G147" s="17">
        <v>0</v>
      </c>
      <c r="H147" s="17">
        <f t="shared" si="8"/>
        <v>799.54991999999993</v>
      </c>
      <c r="I147" s="74"/>
    </row>
    <row r="148" spans="1:10" x14ac:dyDescent="0.2">
      <c r="A148" s="20">
        <v>6</v>
      </c>
      <c r="B148" s="75" t="s">
        <v>258</v>
      </c>
      <c r="C148" s="20" t="s">
        <v>289</v>
      </c>
      <c r="D148" s="17">
        <f>(46.32)*(10.764)</f>
        <v>498.58847999999995</v>
      </c>
      <c r="E148" s="17">
        <f>(0.6*(3+1.6))*(10.764)</f>
        <v>29.708639999999995</v>
      </c>
      <c r="F148" s="17">
        <f t="shared" si="7"/>
        <v>528.29711999999995</v>
      </c>
      <c r="G148" s="17">
        <v>0</v>
      </c>
      <c r="H148" s="17">
        <f t="shared" si="8"/>
        <v>792.44567999999992</v>
      </c>
    </row>
    <row r="149" spans="1:10" x14ac:dyDescent="0.2">
      <c r="A149" s="142" t="s">
        <v>263</v>
      </c>
      <c r="B149" s="142"/>
      <c r="C149" s="142"/>
      <c r="D149" s="142"/>
      <c r="E149" s="142"/>
      <c r="F149" s="142"/>
      <c r="G149" s="142"/>
      <c r="H149" s="142"/>
    </row>
    <row r="150" spans="1:10" x14ac:dyDescent="0.2">
      <c r="A150" s="20">
        <v>1</v>
      </c>
      <c r="B150" s="75" t="s">
        <v>258</v>
      </c>
      <c r="C150" s="20" t="s">
        <v>57</v>
      </c>
      <c r="D150" s="17">
        <f>(28.61)*(10.764)</f>
        <v>307.95803999999998</v>
      </c>
      <c r="E150" s="17">
        <f>(2.41+(1.5*0.6))*(10.764)</f>
        <v>35.628839999999997</v>
      </c>
      <c r="F150" s="17">
        <f>D150+E150</f>
        <v>343.58687999999995</v>
      </c>
      <c r="G150" s="17">
        <v>0</v>
      </c>
      <c r="H150" s="17">
        <f>F150*(($H$130)+1)+(IF(G150&lt;101,G150,IF(G150&lt;201,G150/2,IF(G150&lt;=301,G150/3,G150/4))))</f>
        <v>515.38031999999998</v>
      </c>
      <c r="I150" s="6">
        <f>5000000/H150</f>
        <v>9701.5733934116852</v>
      </c>
    </row>
    <row r="151" spans="1:10" x14ac:dyDescent="0.2">
      <c r="A151" s="20">
        <v>2</v>
      </c>
      <c r="B151" s="20" t="s">
        <v>257</v>
      </c>
      <c r="C151" s="20" t="s">
        <v>57</v>
      </c>
      <c r="D151" s="17">
        <f>(28.61)*(10.764)</f>
        <v>307.95803999999998</v>
      </c>
      <c r="E151" s="17">
        <f>(2.41+(1.5*0.6))*(10.764)</f>
        <v>35.628839999999997</v>
      </c>
      <c r="F151" s="17">
        <f t="shared" ref="F151:F155" si="9">D151+E151</f>
        <v>343.58687999999995</v>
      </c>
      <c r="G151" s="17">
        <v>0</v>
      </c>
      <c r="H151" s="17">
        <f t="shared" ref="H151:H155" si="10">F151*(($H$130)+1)+(IF(G151&lt;101,G151,IF(G151&lt;201,G151/2,IF(G151&lt;=301,G151/3,G151/4))))</f>
        <v>515.38031999999998</v>
      </c>
    </row>
    <row r="152" spans="1:10" x14ac:dyDescent="0.2">
      <c r="A152" s="20">
        <v>3</v>
      </c>
      <c r="B152" s="75" t="s">
        <v>258</v>
      </c>
      <c r="C152" s="20" t="s">
        <v>57</v>
      </c>
      <c r="D152" s="17">
        <f>(29.73)*(10.764)</f>
        <v>320.01371999999998</v>
      </c>
      <c r="E152" s="17">
        <f>(2.63+(1.5*0.6))*(10.764)</f>
        <v>37.996919999999996</v>
      </c>
      <c r="F152" s="17">
        <f t="shared" si="9"/>
        <v>358.01063999999997</v>
      </c>
      <c r="G152" s="17">
        <v>0</v>
      </c>
      <c r="H152" s="17">
        <f t="shared" si="10"/>
        <v>537.01595999999995</v>
      </c>
    </row>
    <row r="153" spans="1:10" x14ac:dyDescent="0.2">
      <c r="A153" s="20">
        <v>4</v>
      </c>
      <c r="B153" s="75" t="s">
        <v>258</v>
      </c>
      <c r="C153" s="20" t="s">
        <v>289</v>
      </c>
      <c r="D153" s="17">
        <f>(47.77)*(10.764)</f>
        <v>514.19628</v>
      </c>
      <c r="E153" s="17">
        <f>(0.6*(3+1.6))*(10.764)</f>
        <v>29.708639999999995</v>
      </c>
      <c r="F153" s="17">
        <f t="shared" si="9"/>
        <v>543.90491999999995</v>
      </c>
      <c r="G153" s="17">
        <v>0</v>
      </c>
      <c r="H153" s="17">
        <f t="shared" si="10"/>
        <v>815.85737999999992</v>
      </c>
      <c r="I153" s="6">
        <f>7000000/H153</f>
        <v>8579.9309678365607</v>
      </c>
    </row>
    <row r="154" spans="1:10" x14ac:dyDescent="0.2">
      <c r="A154" s="20">
        <v>5</v>
      </c>
      <c r="B154" s="75" t="s">
        <v>258</v>
      </c>
      <c r="C154" s="20" t="s">
        <v>289</v>
      </c>
      <c r="D154" s="17">
        <f>(46.79)*(10.764)</f>
        <v>503.64755999999994</v>
      </c>
      <c r="E154" s="17">
        <f>(0.6*(2.95+1.6))*(10.764)</f>
        <v>29.385720000000003</v>
      </c>
      <c r="F154" s="17">
        <f t="shared" si="9"/>
        <v>533.03327999999999</v>
      </c>
      <c r="G154" s="17">
        <v>0</v>
      </c>
      <c r="H154" s="17">
        <f t="shared" si="10"/>
        <v>799.54991999999993</v>
      </c>
    </row>
    <row r="155" spans="1:10" x14ac:dyDescent="0.2">
      <c r="A155" s="20">
        <v>6</v>
      </c>
      <c r="B155" s="75" t="s">
        <v>258</v>
      </c>
      <c r="C155" s="20" t="s">
        <v>289</v>
      </c>
      <c r="D155" s="17">
        <f>(46.32)*(10.764)</f>
        <v>498.58847999999995</v>
      </c>
      <c r="E155" s="17">
        <f>(0.6*(3+1.6))*(10.764)</f>
        <v>29.708639999999995</v>
      </c>
      <c r="F155" s="17">
        <f t="shared" si="9"/>
        <v>528.29711999999995</v>
      </c>
      <c r="G155" s="17">
        <v>0</v>
      </c>
      <c r="H155" s="17">
        <f t="shared" si="10"/>
        <v>792.44567999999992</v>
      </c>
    </row>
    <row r="156" spans="1:10" x14ac:dyDescent="0.2">
      <c r="A156" s="142" t="s">
        <v>264</v>
      </c>
      <c r="B156" s="142"/>
      <c r="C156" s="142"/>
      <c r="D156" s="142"/>
      <c r="E156" s="142"/>
      <c r="F156" s="142"/>
      <c r="G156" s="142"/>
      <c r="H156" s="142"/>
    </row>
    <row r="157" spans="1:10" x14ac:dyDescent="0.2">
      <c r="A157" s="20">
        <v>1</v>
      </c>
      <c r="B157" s="75" t="s">
        <v>258</v>
      </c>
      <c r="C157" s="20" t="s">
        <v>57</v>
      </c>
      <c r="D157" s="17">
        <f>(28.61)*(10.764)</f>
        <v>307.95803999999998</v>
      </c>
      <c r="E157" s="17">
        <f>(2.41+(1.5*0.6))*(10.764)</f>
        <v>35.628839999999997</v>
      </c>
      <c r="F157" s="17">
        <f>D157+E157</f>
        <v>343.58687999999995</v>
      </c>
      <c r="G157" s="17">
        <v>0</v>
      </c>
      <c r="H157" s="17">
        <f>F157*(($H$130)+1)+(IF(G157&lt;101,G157,IF(G157&lt;201,G157/2,IF(G157&lt;=301,G157/3,G157/4))))</f>
        <v>515.38031999999998</v>
      </c>
      <c r="I157" s="74"/>
      <c r="J157" s="74"/>
    </row>
    <row r="158" spans="1:10" x14ac:dyDescent="0.2">
      <c r="A158" s="20">
        <v>2</v>
      </c>
      <c r="B158" s="75" t="s">
        <v>258</v>
      </c>
      <c r="C158" s="20" t="s">
        <v>57</v>
      </c>
      <c r="D158" s="17">
        <f>(28.61)*(10.764)</f>
        <v>307.95803999999998</v>
      </c>
      <c r="E158" s="17">
        <f>(2.41+(1.5*0.6))*(10.764)</f>
        <v>35.628839999999997</v>
      </c>
      <c r="F158" s="17">
        <f t="shared" ref="F158:F162" si="11">D158+E158</f>
        <v>343.58687999999995</v>
      </c>
      <c r="G158" s="17">
        <v>0</v>
      </c>
      <c r="H158" s="17">
        <f t="shared" ref="H158:H162" si="12">F158*(($H$130)+1)+(IF(G158&lt;101,G158,IF(G158&lt;201,G158/2,IF(G158&lt;=301,G158/3,G158/4))))</f>
        <v>515.38031999999998</v>
      </c>
    </row>
    <row r="159" spans="1:10" x14ac:dyDescent="0.2">
      <c r="A159" s="20">
        <v>3</v>
      </c>
      <c r="B159" s="75" t="s">
        <v>258</v>
      </c>
      <c r="C159" s="20" t="s">
        <v>57</v>
      </c>
      <c r="D159" s="17">
        <f>(29.73)*(10.764)</f>
        <v>320.01371999999998</v>
      </c>
      <c r="E159" s="17">
        <f>(2.63+(1.5*0.6))*(10.764)</f>
        <v>37.996919999999996</v>
      </c>
      <c r="F159" s="17">
        <f t="shared" si="11"/>
        <v>358.01063999999997</v>
      </c>
      <c r="G159" s="17">
        <v>0</v>
      </c>
      <c r="H159" s="17">
        <f t="shared" si="12"/>
        <v>537.01595999999995</v>
      </c>
    </row>
    <row r="160" spans="1:10" x14ac:dyDescent="0.2">
      <c r="A160" s="20">
        <v>4</v>
      </c>
      <c r="B160" s="75" t="s">
        <v>258</v>
      </c>
      <c r="C160" s="20" t="s">
        <v>289</v>
      </c>
      <c r="D160" s="17">
        <f>(47.77)*(10.764)</f>
        <v>514.19628</v>
      </c>
      <c r="E160" s="17">
        <f>(0.6*(3+1.6))*(10.764)</f>
        <v>29.708639999999995</v>
      </c>
      <c r="F160" s="17">
        <f t="shared" si="11"/>
        <v>543.90491999999995</v>
      </c>
      <c r="G160" s="17">
        <v>0</v>
      </c>
      <c r="H160" s="17">
        <f t="shared" si="12"/>
        <v>815.85737999999992</v>
      </c>
    </row>
    <row r="161" spans="1:10" x14ac:dyDescent="0.2">
      <c r="A161" s="20">
        <v>5</v>
      </c>
      <c r="B161" s="75" t="s">
        <v>258</v>
      </c>
      <c r="C161" s="20" t="s">
        <v>289</v>
      </c>
      <c r="D161" s="17">
        <f>(46.79)*(10.764)</f>
        <v>503.64755999999994</v>
      </c>
      <c r="E161" s="17">
        <f>(0.6*(2.95+1.6))*(10.764)</f>
        <v>29.385720000000003</v>
      </c>
      <c r="F161" s="17">
        <f t="shared" si="11"/>
        <v>533.03327999999999</v>
      </c>
      <c r="G161" s="17">
        <v>0</v>
      </c>
      <c r="H161" s="17">
        <f t="shared" si="12"/>
        <v>799.54991999999993</v>
      </c>
      <c r="I161" s="74"/>
    </row>
    <row r="162" spans="1:10" x14ac:dyDescent="0.2">
      <c r="A162" s="20">
        <v>6</v>
      </c>
      <c r="B162" s="75" t="s">
        <v>258</v>
      </c>
      <c r="C162" s="20" t="s">
        <v>289</v>
      </c>
      <c r="D162" s="17">
        <f>(46.32)*(10.764)</f>
        <v>498.58847999999995</v>
      </c>
      <c r="E162" s="17">
        <f>(0.6*(3+1.6))*(10.764)</f>
        <v>29.708639999999995</v>
      </c>
      <c r="F162" s="17">
        <f t="shared" si="11"/>
        <v>528.29711999999995</v>
      </c>
      <c r="G162" s="17">
        <v>0</v>
      </c>
      <c r="H162" s="17">
        <f t="shared" si="12"/>
        <v>792.44567999999992</v>
      </c>
    </row>
    <row r="163" spans="1:10" x14ac:dyDescent="0.2">
      <c r="A163" s="142" t="s">
        <v>265</v>
      </c>
      <c r="B163" s="142"/>
      <c r="C163" s="142"/>
      <c r="D163" s="142"/>
      <c r="E163" s="142"/>
      <c r="F163" s="142"/>
      <c r="G163" s="142"/>
      <c r="H163" s="142"/>
    </row>
    <row r="164" spans="1:10" x14ac:dyDescent="0.2">
      <c r="A164" s="20">
        <v>1</v>
      </c>
      <c r="B164" s="75" t="s">
        <v>258</v>
      </c>
      <c r="C164" s="20" t="s">
        <v>57</v>
      </c>
      <c r="D164" s="17">
        <f>(28.61)*(10.764)</f>
        <v>307.95803999999998</v>
      </c>
      <c r="E164" s="17">
        <f>(2.41+(1.5*0.6))*(10.764)</f>
        <v>35.628839999999997</v>
      </c>
      <c r="F164" s="17">
        <f>D164+E164</f>
        <v>343.58687999999995</v>
      </c>
      <c r="G164" s="17">
        <v>0</v>
      </c>
      <c r="H164" s="17">
        <f>F164*(($H$130)+1)+(IF(G164&lt;101,G164,IF(G164&lt;201,G164/2,IF(G164&lt;=301,G164/3,G164/4))))</f>
        <v>515.38031999999998</v>
      </c>
      <c r="I164" s="74"/>
      <c r="J164" s="74"/>
    </row>
    <row r="165" spans="1:10" x14ac:dyDescent="0.2">
      <c r="A165" s="20">
        <v>2</v>
      </c>
      <c r="B165" s="20" t="s">
        <v>260</v>
      </c>
      <c r="C165" s="218" t="s">
        <v>261</v>
      </c>
      <c r="D165" s="219"/>
      <c r="E165" s="219"/>
      <c r="F165" s="219"/>
      <c r="G165" s="219"/>
      <c r="H165" s="220"/>
    </row>
    <row r="166" spans="1:10" x14ac:dyDescent="0.2">
      <c r="A166" s="20">
        <v>3</v>
      </c>
      <c r="B166" s="75" t="s">
        <v>258</v>
      </c>
      <c r="C166" s="20" t="s">
        <v>57</v>
      </c>
      <c r="D166" s="17">
        <f>(29.73)*(10.764)</f>
        <v>320.01371999999998</v>
      </c>
      <c r="E166" s="17">
        <f>(2.63+(1.5*0.6))*(10.764)</f>
        <v>37.996919999999996</v>
      </c>
      <c r="F166" s="17">
        <f t="shared" ref="F166:F169" si="13">D166+E166</f>
        <v>358.01063999999997</v>
      </c>
      <c r="G166" s="17">
        <v>0</v>
      </c>
      <c r="H166" s="17">
        <f t="shared" ref="H166:H169" si="14">F166*(($H$130)+1)+(IF(G166&lt;101,G166,IF(G166&lt;201,G166/2,IF(G166&lt;=301,G166/3,G166/4))))</f>
        <v>537.01595999999995</v>
      </c>
    </row>
    <row r="167" spans="1:10" x14ac:dyDescent="0.2">
      <c r="A167" s="20">
        <v>4</v>
      </c>
      <c r="B167" s="75" t="s">
        <v>258</v>
      </c>
      <c r="C167" s="20" t="s">
        <v>289</v>
      </c>
      <c r="D167" s="17">
        <f>(47.77)*(10.764)</f>
        <v>514.19628</v>
      </c>
      <c r="E167" s="17">
        <f>(0.6*(3+1.6))*(10.764)</f>
        <v>29.708639999999995</v>
      </c>
      <c r="F167" s="17">
        <f t="shared" si="13"/>
        <v>543.90491999999995</v>
      </c>
      <c r="G167" s="17">
        <v>0</v>
      </c>
      <c r="H167" s="17">
        <f t="shared" si="14"/>
        <v>815.85737999999992</v>
      </c>
    </row>
    <row r="168" spans="1:10" x14ac:dyDescent="0.2">
      <c r="A168" s="20">
        <v>5</v>
      </c>
      <c r="B168" s="75" t="s">
        <v>258</v>
      </c>
      <c r="C168" s="20" t="s">
        <v>289</v>
      </c>
      <c r="D168" s="17">
        <f>(46.79)*(10.764)</f>
        <v>503.64755999999994</v>
      </c>
      <c r="E168" s="17">
        <f>(0.6*(2.95+1.6))*(10.764)</f>
        <v>29.385720000000003</v>
      </c>
      <c r="F168" s="17">
        <f t="shared" si="13"/>
        <v>533.03327999999999</v>
      </c>
      <c r="G168" s="17">
        <v>0</v>
      </c>
      <c r="H168" s="17">
        <f t="shared" si="14"/>
        <v>799.54991999999993</v>
      </c>
      <c r="I168" s="74"/>
    </row>
    <row r="169" spans="1:10" x14ac:dyDescent="0.2">
      <c r="A169" s="20">
        <v>6</v>
      </c>
      <c r="B169" s="75" t="s">
        <v>258</v>
      </c>
      <c r="C169" s="20" t="s">
        <v>289</v>
      </c>
      <c r="D169" s="17">
        <f>(46.32)*(10.764)</f>
        <v>498.58847999999995</v>
      </c>
      <c r="E169" s="17">
        <f>(0.6*(3+1.6))*(10.764)</f>
        <v>29.708639999999995</v>
      </c>
      <c r="F169" s="17">
        <f t="shared" si="13"/>
        <v>528.29711999999995</v>
      </c>
      <c r="G169" s="17">
        <v>0</v>
      </c>
      <c r="H169" s="17">
        <f t="shared" si="14"/>
        <v>792.44567999999992</v>
      </c>
    </row>
    <row r="170" spans="1:10" x14ac:dyDescent="0.2">
      <c r="A170" s="142" t="s">
        <v>269</v>
      </c>
      <c r="B170" s="142"/>
      <c r="C170" s="142"/>
      <c r="D170" s="142"/>
      <c r="E170" s="142"/>
      <c r="F170" s="142"/>
      <c r="G170" s="142"/>
      <c r="H170" s="142"/>
    </row>
    <row r="171" spans="1:10" x14ac:dyDescent="0.2">
      <c r="A171" s="20">
        <v>1</v>
      </c>
      <c r="B171" s="75" t="s">
        <v>258</v>
      </c>
      <c r="C171" s="20" t="s">
        <v>57</v>
      </c>
      <c r="D171" s="17">
        <f>(28.61)*(10.764)</f>
        <v>307.95803999999998</v>
      </c>
      <c r="E171" s="17">
        <f>(2.41+(1.5*0.6))*(10.764)</f>
        <v>35.628839999999997</v>
      </c>
      <c r="F171" s="17">
        <f>D171+E171</f>
        <v>343.58687999999995</v>
      </c>
      <c r="G171" s="17">
        <v>0</v>
      </c>
      <c r="H171" s="17">
        <f>F171*(($H$130)+1)+(IF(G171&lt;101,G171,IF(G171&lt;201,G171/2,IF(G171&lt;=301,G171/3,G171/4))))</f>
        <v>515.38031999999998</v>
      </c>
    </row>
    <row r="172" spans="1:10" x14ac:dyDescent="0.2">
      <c r="A172" s="20">
        <v>2</v>
      </c>
      <c r="B172" s="75" t="s">
        <v>258</v>
      </c>
      <c r="C172" s="20" t="s">
        <v>57</v>
      </c>
      <c r="D172" s="17">
        <f>(28.61)*(10.764)</f>
        <v>307.95803999999998</v>
      </c>
      <c r="E172" s="17">
        <f>(2.41+(1.5*0.6))*(10.764)</f>
        <v>35.628839999999997</v>
      </c>
      <c r="F172" s="17">
        <f t="shared" ref="F172:F176" si="15">D172+E172</f>
        <v>343.58687999999995</v>
      </c>
      <c r="G172" s="17">
        <v>0</v>
      </c>
      <c r="H172" s="17">
        <f t="shared" ref="H172:H176" si="16">F172*(($H$130)+1)+(IF(G172&lt;101,G172,IF(G172&lt;201,G172/2,IF(G172&lt;=301,G172/3,G172/4))))</f>
        <v>515.38031999999998</v>
      </c>
    </row>
    <row r="173" spans="1:10" x14ac:dyDescent="0.2">
      <c r="A173" s="20">
        <v>3</v>
      </c>
      <c r="B173" s="75" t="s">
        <v>258</v>
      </c>
      <c r="C173" s="20" t="s">
        <v>57</v>
      </c>
      <c r="D173" s="17">
        <f>(29.73)*(10.764)</f>
        <v>320.01371999999998</v>
      </c>
      <c r="E173" s="17">
        <f>(2.63+(1.5*0.6))*(10.764)</f>
        <v>37.996919999999996</v>
      </c>
      <c r="F173" s="17">
        <f t="shared" si="15"/>
        <v>358.01063999999997</v>
      </c>
      <c r="G173" s="17">
        <v>0</v>
      </c>
      <c r="H173" s="17">
        <f t="shared" si="16"/>
        <v>537.01595999999995</v>
      </c>
    </row>
    <row r="174" spans="1:10" x14ac:dyDescent="0.2">
      <c r="A174" s="20">
        <v>4</v>
      </c>
      <c r="B174" s="75" t="s">
        <v>258</v>
      </c>
      <c r="C174" s="20" t="s">
        <v>289</v>
      </c>
      <c r="D174" s="17">
        <f>(47.77)*(10.764)</f>
        <v>514.19628</v>
      </c>
      <c r="E174" s="17">
        <f>(0.6*(3+1.6))*(10.764)</f>
        <v>29.708639999999995</v>
      </c>
      <c r="F174" s="17">
        <f t="shared" si="15"/>
        <v>543.90491999999995</v>
      </c>
      <c r="G174" s="17">
        <v>0</v>
      </c>
      <c r="H174" s="17">
        <f t="shared" si="16"/>
        <v>815.85737999999992</v>
      </c>
    </row>
    <row r="175" spans="1:10" x14ac:dyDescent="0.2">
      <c r="A175" s="20">
        <v>5</v>
      </c>
      <c r="B175" s="20" t="s">
        <v>257</v>
      </c>
      <c r="C175" s="20" t="s">
        <v>289</v>
      </c>
      <c r="D175" s="17">
        <f>(46.79)*(10.764)</f>
        <v>503.64755999999994</v>
      </c>
      <c r="E175" s="17">
        <f>(0.6*(2.95+1.6))*(10.764)</f>
        <v>29.385720000000003</v>
      </c>
      <c r="F175" s="17">
        <f t="shared" si="15"/>
        <v>533.03327999999999</v>
      </c>
      <c r="G175" s="17">
        <v>0</v>
      </c>
      <c r="H175" s="17">
        <f t="shared" si="16"/>
        <v>799.54991999999993</v>
      </c>
    </row>
    <row r="176" spans="1:10" x14ac:dyDescent="0.2">
      <c r="A176" s="20">
        <v>6</v>
      </c>
      <c r="B176" s="75" t="s">
        <v>258</v>
      </c>
      <c r="C176" s="20" t="s">
        <v>289</v>
      </c>
      <c r="D176" s="17">
        <f>(46.32)*(10.764)</f>
        <v>498.58847999999995</v>
      </c>
      <c r="E176" s="17">
        <f>(0.6*(3+1.6))*(10.764)</f>
        <v>29.708639999999995</v>
      </c>
      <c r="F176" s="17">
        <f t="shared" si="15"/>
        <v>528.29711999999995</v>
      </c>
      <c r="G176" s="17">
        <v>0</v>
      </c>
      <c r="H176" s="17">
        <f t="shared" si="16"/>
        <v>792.44567999999992</v>
      </c>
    </row>
    <row r="177" spans="1:10" x14ac:dyDescent="0.2">
      <c r="A177" s="142" t="s">
        <v>299</v>
      </c>
      <c r="B177" s="142"/>
      <c r="C177" s="142"/>
      <c r="D177" s="142"/>
      <c r="E177" s="142"/>
      <c r="F177" s="142"/>
      <c r="G177" s="142"/>
      <c r="H177" s="142"/>
      <c r="J177" s="6">
        <f>6*37-7</f>
        <v>215</v>
      </c>
    </row>
    <row r="178" spans="1:10" x14ac:dyDescent="0.2">
      <c r="A178" s="142" t="s">
        <v>254</v>
      </c>
      <c r="B178" s="142"/>
      <c r="C178" s="142"/>
      <c r="D178" s="142"/>
      <c r="E178" s="142"/>
      <c r="F178" s="142"/>
      <c r="G178" s="142"/>
      <c r="H178" s="142"/>
    </row>
    <row r="179" spans="1:10" x14ac:dyDescent="0.2">
      <c r="A179" s="142" t="s">
        <v>255</v>
      </c>
      <c r="B179" s="142"/>
      <c r="C179" s="142"/>
      <c r="D179" s="142"/>
      <c r="E179" s="142"/>
      <c r="F179" s="142"/>
      <c r="G179" s="142"/>
      <c r="H179" s="142"/>
    </row>
    <row r="180" spans="1:10" x14ac:dyDescent="0.2">
      <c r="A180" s="142" t="s">
        <v>256</v>
      </c>
      <c r="B180" s="142"/>
      <c r="C180" s="142"/>
      <c r="D180" s="142"/>
      <c r="E180" s="142"/>
      <c r="F180" s="142"/>
      <c r="G180" s="142"/>
      <c r="H180" s="142"/>
    </row>
    <row r="181" spans="1:10" x14ac:dyDescent="0.2">
      <c r="A181" s="20">
        <v>1</v>
      </c>
      <c r="B181" s="20" t="s">
        <v>257</v>
      </c>
      <c r="C181" s="20" t="s">
        <v>57</v>
      </c>
      <c r="D181" s="17">
        <f>(28.61)*(10.764)</f>
        <v>307.95803999999998</v>
      </c>
      <c r="E181" s="17">
        <f>(2.41+(1.5*0.6))*(10.764)</f>
        <v>35.628839999999997</v>
      </c>
      <c r="F181" s="17">
        <f>D181+E181</f>
        <v>343.58687999999995</v>
      </c>
      <c r="G181" s="17">
        <v>0</v>
      </c>
      <c r="H181" s="17">
        <f>F181*(($H$130)+1)+(IF(G181&lt;101,G181,IF(G181&lt;201,G181/2,IF(G181&lt;=301,G181/3,G181/4))))</f>
        <v>515.38031999999998</v>
      </c>
      <c r="I181" s="74"/>
      <c r="J181" s="74"/>
    </row>
    <row r="182" spans="1:10" x14ac:dyDescent="0.2">
      <c r="A182" s="20">
        <v>2</v>
      </c>
      <c r="B182" s="20" t="s">
        <v>257</v>
      </c>
      <c r="C182" s="20" t="s">
        <v>57</v>
      </c>
      <c r="D182" s="17">
        <f>(28.61)*(10.764)</f>
        <v>307.95803999999998</v>
      </c>
      <c r="E182" s="17">
        <f>(2.41+(1.5*0.6))*(10.764)</f>
        <v>35.628839999999997</v>
      </c>
      <c r="F182" s="17">
        <f t="shared" ref="F182:F186" si="17">D182+E182</f>
        <v>343.58687999999995</v>
      </c>
      <c r="G182" s="17">
        <v>0</v>
      </c>
      <c r="H182" s="17">
        <f t="shared" ref="H182:H186" si="18">F182*(($H$130)+1)+(IF(G182&lt;101,G182,IF(G182&lt;201,G182/2,IF(G182&lt;=301,G182/3,G182/4))))</f>
        <v>515.38031999999998</v>
      </c>
    </row>
    <row r="183" spans="1:10" x14ac:dyDescent="0.2">
      <c r="A183" s="20">
        <v>3</v>
      </c>
      <c r="B183" s="75" t="s">
        <v>258</v>
      </c>
      <c r="C183" s="20" t="s">
        <v>289</v>
      </c>
      <c r="D183" s="17">
        <f>(46.3)*(10.764)</f>
        <v>498.37319999999994</v>
      </c>
      <c r="E183" s="17">
        <f>(0.6*(3+1.6))*(10.764)</f>
        <v>29.708639999999995</v>
      </c>
      <c r="F183" s="17">
        <f t="shared" si="17"/>
        <v>528.08183999999994</v>
      </c>
      <c r="G183" s="17">
        <v>0</v>
      </c>
      <c r="H183" s="17">
        <f t="shared" si="18"/>
        <v>792.12275999999997</v>
      </c>
      <c r="I183" s="76">
        <f>(4*3+2.3*2.3+2.75*2.9+3.77*2.9+1.2*2.12+2.12*1.2+0.9*3.5)</f>
        <v>44.435999999999993</v>
      </c>
    </row>
    <row r="184" spans="1:10" x14ac:dyDescent="0.2">
      <c r="A184" s="20">
        <v>4</v>
      </c>
      <c r="B184" s="75" t="s">
        <v>258</v>
      </c>
      <c r="C184" s="20" t="s">
        <v>57</v>
      </c>
      <c r="D184" s="17">
        <f>(28.62)*(10.764)</f>
        <v>308.06567999999999</v>
      </c>
      <c r="E184" s="17">
        <f>(2.41+(1.5*0.6))*(10.764)</f>
        <v>35.628839999999997</v>
      </c>
      <c r="F184" s="17">
        <f t="shared" si="17"/>
        <v>343.69452000000001</v>
      </c>
      <c r="G184" s="17">
        <v>0</v>
      </c>
      <c r="H184" s="17">
        <f t="shared" si="18"/>
        <v>515.54178000000002</v>
      </c>
    </row>
    <row r="185" spans="1:10" x14ac:dyDescent="0.2">
      <c r="A185" s="20">
        <v>5</v>
      </c>
      <c r="B185" s="75" t="s">
        <v>258</v>
      </c>
      <c r="C185" s="20" t="s">
        <v>57</v>
      </c>
      <c r="D185" s="17">
        <f>(29.85)*(10.764)</f>
        <v>321.30540000000002</v>
      </c>
      <c r="E185" s="17">
        <f>(2.41+(1.5*0.6))*(10.764)</f>
        <v>35.628839999999997</v>
      </c>
      <c r="F185" s="17">
        <f t="shared" si="17"/>
        <v>356.93424000000005</v>
      </c>
      <c r="G185" s="17">
        <v>0</v>
      </c>
      <c r="H185" s="17">
        <f t="shared" si="18"/>
        <v>535.40136000000007</v>
      </c>
      <c r="I185" s="74"/>
    </row>
    <row r="186" spans="1:10" x14ac:dyDescent="0.2">
      <c r="A186" s="20">
        <v>6</v>
      </c>
      <c r="B186" s="75" t="s">
        <v>258</v>
      </c>
      <c r="C186" s="20" t="s">
        <v>57</v>
      </c>
      <c r="D186" s="17">
        <f>(29.15)*(10.764)</f>
        <v>313.77059999999994</v>
      </c>
      <c r="E186" s="17">
        <f>(2.41+(1.5*0.6))*(10.764)</f>
        <v>35.628839999999997</v>
      </c>
      <c r="F186" s="17">
        <f t="shared" si="17"/>
        <v>349.39943999999991</v>
      </c>
      <c r="G186" s="17">
        <v>0</v>
      </c>
      <c r="H186" s="17">
        <f t="shared" si="18"/>
        <v>524.09915999999987</v>
      </c>
    </row>
    <row r="187" spans="1:10" x14ac:dyDescent="0.2">
      <c r="A187" s="142" t="s">
        <v>259</v>
      </c>
      <c r="B187" s="142"/>
      <c r="C187" s="142"/>
      <c r="D187" s="142"/>
      <c r="E187" s="142"/>
      <c r="F187" s="142"/>
      <c r="G187" s="142"/>
      <c r="H187" s="142"/>
    </row>
    <row r="188" spans="1:10" x14ac:dyDescent="0.2">
      <c r="A188" s="20">
        <v>1</v>
      </c>
      <c r="B188" s="20" t="s">
        <v>260</v>
      </c>
      <c r="C188" s="218" t="s">
        <v>261</v>
      </c>
      <c r="D188" s="219"/>
      <c r="E188" s="219"/>
      <c r="F188" s="219"/>
      <c r="G188" s="219"/>
      <c r="H188" s="220"/>
      <c r="I188" s="74"/>
      <c r="J188" s="74"/>
    </row>
    <row r="189" spans="1:10" x14ac:dyDescent="0.2">
      <c r="A189" s="20">
        <v>2</v>
      </c>
      <c r="B189" s="20" t="s">
        <v>257</v>
      </c>
      <c r="C189" s="20" t="s">
        <v>57</v>
      </c>
      <c r="D189" s="17">
        <f>(28.61)*(10.764)</f>
        <v>307.95803999999998</v>
      </c>
      <c r="E189" s="17">
        <f>(2.41+(1.5*0.6))*(10.764)</f>
        <v>35.628839999999997</v>
      </c>
      <c r="F189" s="17">
        <f t="shared" ref="F189:F193" si="19">D189+E189</f>
        <v>343.58687999999995</v>
      </c>
      <c r="G189" s="17">
        <v>0</v>
      </c>
      <c r="H189" s="17">
        <f t="shared" ref="H189:H193" si="20">F189*(($H$130)+1)+(IF(G189&lt;101,G189,IF(G189&lt;201,G189/2,IF(G189&lt;=301,G189/3,G189/4))))</f>
        <v>515.38031999999998</v>
      </c>
    </row>
    <row r="190" spans="1:10" x14ac:dyDescent="0.2">
      <c r="A190" s="20">
        <v>3</v>
      </c>
      <c r="B190" s="75" t="s">
        <v>258</v>
      </c>
      <c r="C190" s="20" t="s">
        <v>289</v>
      </c>
      <c r="D190" s="17">
        <f>(46.3)*(10.764)</f>
        <v>498.37319999999994</v>
      </c>
      <c r="E190" s="17">
        <f>(0.6*(3+1.6))*(10.764)</f>
        <v>29.708639999999995</v>
      </c>
      <c r="F190" s="17">
        <f t="shared" si="19"/>
        <v>528.08183999999994</v>
      </c>
      <c r="G190" s="17">
        <v>0</v>
      </c>
      <c r="H190" s="17">
        <f t="shared" si="20"/>
        <v>792.12275999999997</v>
      </c>
      <c r="I190" s="76">
        <f>(4*3+2.3*2.3+2.75*2.9+3.77*2.9+1.2*2.12+2.12*1.2+0.9*3.5)</f>
        <v>44.435999999999993</v>
      </c>
    </row>
    <row r="191" spans="1:10" x14ac:dyDescent="0.2">
      <c r="A191" s="20">
        <v>4</v>
      </c>
      <c r="B191" s="75" t="s">
        <v>258</v>
      </c>
      <c r="C191" s="20" t="s">
        <v>57</v>
      </c>
      <c r="D191" s="17">
        <f>(28.62)*(10.764)</f>
        <v>308.06567999999999</v>
      </c>
      <c r="E191" s="17">
        <f>(2.41+(1.5*0.6))*(10.764)</f>
        <v>35.628839999999997</v>
      </c>
      <c r="F191" s="17">
        <f t="shared" si="19"/>
        <v>343.69452000000001</v>
      </c>
      <c r="G191" s="17">
        <v>0</v>
      </c>
      <c r="H191" s="17">
        <f t="shared" si="20"/>
        <v>515.54178000000002</v>
      </c>
    </row>
    <row r="192" spans="1:10" x14ac:dyDescent="0.2">
      <c r="A192" s="20">
        <v>5</v>
      </c>
      <c r="B192" s="75" t="s">
        <v>258</v>
      </c>
      <c r="C192" s="20" t="s">
        <v>57</v>
      </c>
      <c r="D192" s="17">
        <f>(29.85)*(10.764)</f>
        <v>321.30540000000002</v>
      </c>
      <c r="E192" s="17">
        <f>(2.41+(1.5*0.6))*(10.764)</f>
        <v>35.628839999999997</v>
      </c>
      <c r="F192" s="17">
        <f t="shared" si="19"/>
        <v>356.93424000000005</v>
      </c>
      <c r="G192" s="17">
        <v>0</v>
      </c>
      <c r="H192" s="17">
        <f t="shared" si="20"/>
        <v>535.40136000000007</v>
      </c>
      <c r="I192" s="74"/>
    </row>
    <row r="193" spans="1:10" x14ac:dyDescent="0.2">
      <c r="A193" s="20">
        <v>6</v>
      </c>
      <c r="B193" s="75" t="s">
        <v>258</v>
      </c>
      <c r="C193" s="20" t="s">
        <v>57</v>
      </c>
      <c r="D193" s="17">
        <f>(29.15)*(10.764)</f>
        <v>313.77059999999994</v>
      </c>
      <c r="E193" s="17">
        <f>(2.41+(1.5*0.6))*(10.764)</f>
        <v>35.628839999999997</v>
      </c>
      <c r="F193" s="17">
        <f t="shared" si="19"/>
        <v>349.39943999999991</v>
      </c>
      <c r="G193" s="17">
        <v>0</v>
      </c>
      <c r="H193" s="17">
        <f t="shared" si="20"/>
        <v>524.09915999999987</v>
      </c>
    </row>
    <row r="194" spans="1:10" x14ac:dyDescent="0.2">
      <c r="A194" s="142" t="s">
        <v>268</v>
      </c>
      <c r="B194" s="142"/>
      <c r="C194" s="142"/>
      <c r="D194" s="142"/>
      <c r="E194" s="142"/>
      <c r="F194" s="142"/>
      <c r="G194" s="142"/>
      <c r="H194" s="142"/>
    </row>
    <row r="195" spans="1:10" x14ac:dyDescent="0.2">
      <c r="A195" s="20">
        <v>1</v>
      </c>
      <c r="B195" s="75" t="s">
        <v>258</v>
      </c>
      <c r="C195" s="20" t="s">
        <v>57</v>
      </c>
      <c r="D195" s="17">
        <f>(28.61)*(10.764)</f>
        <v>307.95803999999998</v>
      </c>
      <c r="E195" s="17">
        <f>(2.41+(1.5*0.6))*(10.764)</f>
        <v>35.628839999999997</v>
      </c>
      <c r="F195" s="17">
        <f>D195+E195</f>
        <v>343.58687999999995</v>
      </c>
      <c r="G195" s="17">
        <v>0</v>
      </c>
      <c r="H195" s="17">
        <f>F195*(($H$130)+1)+(IF(G195&lt;101,G195,IF(G195&lt;201,G195/2,IF(G195&lt;=301,G195/3,G195/4))))</f>
        <v>515.38031999999998</v>
      </c>
      <c r="I195" s="74"/>
      <c r="J195" s="74"/>
    </row>
    <row r="196" spans="1:10" x14ac:dyDescent="0.2">
      <c r="A196" s="20">
        <v>2</v>
      </c>
      <c r="B196" s="75" t="s">
        <v>258</v>
      </c>
      <c r="C196" s="20" t="s">
        <v>57</v>
      </c>
      <c r="D196" s="17">
        <f>(28.61)*(10.764)</f>
        <v>307.95803999999998</v>
      </c>
      <c r="E196" s="17">
        <f>(2.41+(1.5*0.6))*(10.764)</f>
        <v>35.628839999999997</v>
      </c>
      <c r="F196" s="17">
        <f t="shared" ref="F196:F200" si="21">D196+E196</f>
        <v>343.58687999999995</v>
      </c>
      <c r="G196" s="17">
        <v>0</v>
      </c>
      <c r="H196" s="17">
        <f t="shared" ref="H196:H200" si="22">F196*(($H$130)+1)+(IF(G196&lt;101,G196,IF(G196&lt;201,G196/2,IF(G196&lt;=301,G196/3,G196/4))))</f>
        <v>515.38031999999998</v>
      </c>
    </row>
    <row r="197" spans="1:10" x14ac:dyDescent="0.2">
      <c r="A197" s="20">
        <v>3</v>
      </c>
      <c r="B197" s="75" t="s">
        <v>258</v>
      </c>
      <c r="C197" s="20" t="s">
        <v>289</v>
      </c>
      <c r="D197" s="17">
        <f>(46.3)*(10.764)</f>
        <v>498.37319999999994</v>
      </c>
      <c r="E197" s="17">
        <f>(0.6*(3+1.6))*(10.764)</f>
        <v>29.708639999999995</v>
      </c>
      <c r="F197" s="17">
        <f t="shared" si="21"/>
        <v>528.08183999999994</v>
      </c>
      <c r="G197" s="17">
        <v>0</v>
      </c>
      <c r="H197" s="17">
        <f t="shared" si="22"/>
        <v>792.12275999999997</v>
      </c>
      <c r="I197" s="76"/>
    </row>
    <row r="198" spans="1:10" x14ac:dyDescent="0.2">
      <c r="A198" s="20">
        <v>4</v>
      </c>
      <c r="B198" s="75" t="s">
        <v>258</v>
      </c>
      <c r="C198" s="20" t="s">
        <v>57</v>
      </c>
      <c r="D198" s="17">
        <f>(28.62)*(10.764)</f>
        <v>308.06567999999999</v>
      </c>
      <c r="E198" s="17">
        <f>(2.41+(1.5*0.6))*(10.764)</f>
        <v>35.628839999999997</v>
      </c>
      <c r="F198" s="17">
        <f t="shared" si="21"/>
        <v>343.69452000000001</v>
      </c>
      <c r="G198" s="17">
        <v>0</v>
      </c>
      <c r="H198" s="17">
        <f t="shared" si="22"/>
        <v>515.54178000000002</v>
      </c>
    </row>
    <row r="199" spans="1:10" x14ac:dyDescent="0.2">
      <c r="A199" s="20">
        <v>5</v>
      </c>
      <c r="B199" s="75" t="s">
        <v>258</v>
      </c>
      <c r="C199" s="20" t="s">
        <v>57</v>
      </c>
      <c r="D199" s="17">
        <f>(29.85)*(10.764)</f>
        <v>321.30540000000002</v>
      </c>
      <c r="E199" s="17">
        <f>(2.41+(1.5*0.6))*(10.764)</f>
        <v>35.628839999999997</v>
      </c>
      <c r="F199" s="17">
        <f t="shared" si="21"/>
        <v>356.93424000000005</v>
      </c>
      <c r="G199" s="17">
        <v>0</v>
      </c>
      <c r="H199" s="17">
        <f t="shared" si="22"/>
        <v>535.40136000000007</v>
      </c>
      <c r="I199" s="74"/>
    </row>
    <row r="200" spans="1:10" x14ac:dyDescent="0.2">
      <c r="A200" s="20">
        <v>6</v>
      </c>
      <c r="B200" s="75" t="s">
        <v>258</v>
      </c>
      <c r="C200" s="20" t="s">
        <v>57</v>
      </c>
      <c r="D200" s="17">
        <f>(29.15)*(10.764)</f>
        <v>313.77059999999994</v>
      </c>
      <c r="E200" s="17">
        <f>(2.41+(1.5*0.6))*(10.764)</f>
        <v>35.628839999999997</v>
      </c>
      <c r="F200" s="17">
        <f t="shared" si="21"/>
        <v>349.39943999999991</v>
      </c>
      <c r="G200" s="17">
        <v>0</v>
      </c>
      <c r="H200" s="17">
        <f t="shared" si="22"/>
        <v>524.09915999999987</v>
      </c>
    </row>
    <row r="201" spans="1:10" ht="12.75" customHeight="1" x14ac:dyDescent="0.2">
      <c r="A201" s="210" t="s">
        <v>265</v>
      </c>
      <c r="B201" s="230"/>
      <c r="C201" s="230"/>
      <c r="D201" s="230"/>
      <c r="E201" s="230"/>
      <c r="F201" s="230"/>
      <c r="G201" s="230"/>
      <c r="H201" s="211"/>
    </row>
    <row r="202" spans="1:10" x14ac:dyDescent="0.2">
      <c r="A202" s="20">
        <v>1</v>
      </c>
      <c r="B202" s="75" t="s">
        <v>260</v>
      </c>
      <c r="C202" s="218" t="s">
        <v>261</v>
      </c>
      <c r="D202" s="219"/>
      <c r="E202" s="219"/>
      <c r="F202" s="219"/>
      <c r="G202" s="219"/>
      <c r="H202" s="220"/>
      <c r="I202" s="74"/>
      <c r="J202" s="74"/>
    </row>
    <row r="203" spans="1:10" x14ac:dyDescent="0.2">
      <c r="A203" s="20">
        <v>2</v>
      </c>
      <c r="B203" s="75" t="s">
        <v>258</v>
      </c>
      <c r="C203" s="20" t="s">
        <v>57</v>
      </c>
      <c r="D203" s="17">
        <f>(28.61)*(10.764)</f>
        <v>307.95803999999998</v>
      </c>
      <c r="E203" s="17">
        <f>(2.41+(1.5*0.6))*(10.764)</f>
        <v>35.628839999999997</v>
      </c>
      <c r="F203" s="17">
        <f t="shared" ref="F203:F207" si="23">D203+E203</f>
        <v>343.58687999999995</v>
      </c>
      <c r="G203" s="17">
        <v>0</v>
      </c>
      <c r="H203" s="17">
        <f t="shared" ref="H203:H207" si="24">F203*(($H$130)+1)+(IF(G203&lt;101,G203,IF(G203&lt;201,G203/2,IF(G203&lt;=301,G203/3,G203/4))))</f>
        <v>515.38031999999998</v>
      </c>
    </row>
    <row r="204" spans="1:10" x14ac:dyDescent="0.2">
      <c r="A204" s="20">
        <v>3</v>
      </c>
      <c r="B204" s="75" t="s">
        <v>258</v>
      </c>
      <c r="C204" s="20" t="s">
        <v>289</v>
      </c>
      <c r="D204" s="17">
        <f>(46.3)*(10.764)</f>
        <v>498.37319999999994</v>
      </c>
      <c r="E204" s="17">
        <f>(0.6*(3+1.6))*(10.764)</f>
        <v>29.708639999999995</v>
      </c>
      <c r="F204" s="17">
        <f t="shared" si="23"/>
        <v>528.08183999999994</v>
      </c>
      <c r="G204" s="17">
        <v>0</v>
      </c>
      <c r="H204" s="17">
        <f t="shared" si="24"/>
        <v>792.12275999999997</v>
      </c>
      <c r="I204" s="76"/>
    </row>
    <row r="205" spans="1:10" x14ac:dyDescent="0.2">
      <c r="A205" s="20">
        <v>4</v>
      </c>
      <c r="B205" s="75" t="s">
        <v>258</v>
      </c>
      <c r="C205" s="20" t="s">
        <v>57</v>
      </c>
      <c r="D205" s="17">
        <f>(28.62)*(10.764)</f>
        <v>308.06567999999999</v>
      </c>
      <c r="E205" s="17">
        <f>(2.41+(1.5*0.6))*(10.764)</f>
        <v>35.628839999999997</v>
      </c>
      <c r="F205" s="17">
        <f t="shared" si="23"/>
        <v>343.69452000000001</v>
      </c>
      <c r="G205" s="17">
        <v>0</v>
      </c>
      <c r="H205" s="17">
        <f t="shared" si="24"/>
        <v>515.54178000000002</v>
      </c>
    </row>
    <row r="206" spans="1:10" x14ac:dyDescent="0.2">
      <c r="A206" s="20">
        <v>5</v>
      </c>
      <c r="B206" s="75" t="s">
        <v>258</v>
      </c>
      <c r="C206" s="20" t="s">
        <v>57</v>
      </c>
      <c r="D206" s="17">
        <f>(29.85)*(10.764)</f>
        <v>321.30540000000002</v>
      </c>
      <c r="E206" s="17">
        <f>(2.41+(1.5*0.6))*(10.764)</f>
        <v>35.628839999999997</v>
      </c>
      <c r="F206" s="17">
        <f t="shared" si="23"/>
        <v>356.93424000000005</v>
      </c>
      <c r="G206" s="17">
        <v>0</v>
      </c>
      <c r="H206" s="17">
        <f t="shared" si="24"/>
        <v>535.40136000000007</v>
      </c>
      <c r="I206" s="74"/>
    </row>
    <row r="207" spans="1:10" x14ac:dyDescent="0.2">
      <c r="A207" s="20">
        <v>6</v>
      </c>
      <c r="B207" s="75" t="s">
        <v>258</v>
      </c>
      <c r="C207" s="20" t="s">
        <v>57</v>
      </c>
      <c r="D207" s="17">
        <f>(29.15)*(10.764)</f>
        <v>313.77059999999994</v>
      </c>
      <c r="E207" s="17">
        <f>(2.41+(1.5*0.6))*(10.764)</f>
        <v>35.628839999999997</v>
      </c>
      <c r="F207" s="17">
        <f t="shared" si="23"/>
        <v>349.39943999999991</v>
      </c>
      <c r="G207" s="17">
        <v>0</v>
      </c>
      <c r="H207" s="17">
        <f t="shared" si="24"/>
        <v>524.09915999999987</v>
      </c>
    </row>
    <row r="208" spans="1:10" hidden="1" x14ac:dyDescent="0.2">
      <c r="A208" s="142" t="s">
        <v>212</v>
      </c>
      <c r="B208" s="142"/>
      <c r="C208" s="142"/>
      <c r="D208" s="142"/>
      <c r="E208" s="142"/>
      <c r="F208" s="142"/>
      <c r="G208" s="142"/>
      <c r="H208" s="142"/>
    </row>
    <row r="209" spans="1:8" hidden="1" x14ac:dyDescent="0.2">
      <c r="A209" s="218">
        <v>1</v>
      </c>
      <c r="B209" s="220"/>
      <c r="C209" s="20" t="s">
        <v>57</v>
      </c>
      <c r="D209" s="20"/>
      <c r="E209" s="20"/>
      <c r="F209" s="17">
        <f>D209+E209</f>
        <v>0</v>
      </c>
      <c r="G209" s="17"/>
      <c r="H209" s="20">
        <f>F209*(($H$130)+1)+(IF(G209&lt;101,G209,IF(G209&lt;201,G209/2,IF(G209&lt;=301,G209/3,G209/4))))</f>
        <v>0</v>
      </c>
    </row>
    <row r="210" spans="1:8" hidden="1" x14ac:dyDescent="0.2">
      <c r="A210" s="218">
        <f>A209+1</f>
        <v>2</v>
      </c>
      <c r="B210" s="220"/>
      <c r="C210" s="20" t="s">
        <v>57</v>
      </c>
      <c r="D210" s="20"/>
      <c r="E210" s="20"/>
      <c r="F210" s="17">
        <f t="shared" ref="F210:F220" si="25">D210+E210</f>
        <v>0</v>
      </c>
      <c r="G210" s="17"/>
      <c r="H210" s="20">
        <f t="shared" ref="H210:H220" si="26">F210*(($H$130)+1)+(IF(G210&lt;101,G210,IF(G210&lt;201,G210/2,IF(G210&lt;=301,G210/3,G210/4))))</f>
        <v>0</v>
      </c>
    </row>
    <row r="211" spans="1:8" hidden="1" x14ac:dyDescent="0.2">
      <c r="A211" s="218">
        <f t="shared" ref="A211:A220" si="27">A210+1</f>
        <v>3</v>
      </c>
      <c r="B211" s="220"/>
      <c r="C211" s="20" t="s">
        <v>57</v>
      </c>
      <c r="D211" s="20"/>
      <c r="E211" s="20"/>
      <c r="F211" s="17">
        <f t="shared" si="25"/>
        <v>0</v>
      </c>
      <c r="G211" s="17"/>
      <c r="H211" s="20">
        <f t="shared" si="26"/>
        <v>0</v>
      </c>
    </row>
    <row r="212" spans="1:8" hidden="1" x14ac:dyDescent="0.2">
      <c r="A212" s="218">
        <f t="shared" si="27"/>
        <v>4</v>
      </c>
      <c r="B212" s="220"/>
      <c r="C212" s="20" t="s">
        <v>57</v>
      </c>
      <c r="D212" s="20"/>
      <c r="E212" s="20"/>
      <c r="F212" s="17">
        <f t="shared" si="25"/>
        <v>0</v>
      </c>
      <c r="G212" s="17"/>
      <c r="H212" s="20">
        <f t="shared" si="26"/>
        <v>0</v>
      </c>
    </row>
    <row r="213" spans="1:8" hidden="1" x14ac:dyDescent="0.2">
      <c r="A213" s="218">
        <f t="shared" si="27"/>
        <v>5</v>
      </c>
      <c r="B213" s="220"/>
      <c r="C213" s="20" t="s">
        <v>57</v>
      </c>
      <c r="D213" s="20"/>
      <c r="E213" s="20"/>
      <c r="F213" s="17">
        <f t="shared" si="25"/>
        <v>0</v>
      </c>
      <c r="G213" s="17"/>
      <c r="H213" s="20">
        <f t="shared" si="26"/>
        <v>0</v>
      </c>
    </row>
    <row r="214" spans="1:8" hidden="1" x14ac:dyDescent="0.2">
      <c r="A214" s="218">
        <f t="shared" si="27"/>
        <v>6</v>
      </c>
      <c r="B214" s="220"/>
      <c r="C214" s="20" t="s">
        <v>57</v>
      </c>
      <c r="D214" s="20"/>
      <c r="E214" s="20"/>
      <c r="F214" s="17">
        <f t="shared" si="25"/>
        <v>0</v>
      </c>
      <c r="G214" s="17"/>
      <c r="H214" s="20">
        <f t="shared" si="26"/>
        <v>0</v>
      </c>
    </row>
    <row r="215" spans="1:8" hidden="1" x14ac:dyDescent="0.2">
      <c r="A215" s="218">
        <f t="shared" si="27"/>
        <v>7</v>
      </c>
      <c r="B215" s="220"/>
      <c r="C215" s="20" t="s">
        <v>57</v>
      </c>
      <c r="D215" s="20"/>
      <c r="E215" s="20"/>
      <c r="F215" s="17">
        <f t="shared" si="25"/>
        <v>0</v>
      </c>
      <c r="G215" s="17"/>
      <c r="H215" s="20">
        <f t="shared" si="26"/>
        <v>0</v>
      </c>
    </row>
    <row r="216" spans="1:8" hidden="1" x14ac:dyDescent="0.2">
      <c r="A216" s="218">
        <f t="shared" si="27"/>
        <v>8</v>
      </c>
      <c r="B216" s="220"/>
      <c r="C216" s="20" t="s">
        <v>57</v>
      </c>
      <c r="D216" s="20"/>
      <c r="E216" s="20"/>
      <c r="F216" s="17">
        <f t="shared" si="25"/>
        <v>0</v>
      </c>
      <c r="G216" s="17"/>
      <c r="H216" s="20">
        <f t="shared" si="26"/>
        <v>0</v>
      </c>
    </row>
    <row r="217" spans="1:8" hidden="1" x14ac:dyDescent="0.2">
      <c r="A217" s="218">
        <f t="shared" si="27"/>
        <v>9</v>
      </c>
      <c r="B217" s="220"/>
      <c r="C217" s="20" t="s">
        <v>57</v>
      </c>
      <c r="D217" s="20"/>
      <c r="E217" s="20"/>
      <c r="F217" s="17">
        <f t="shared" si="25"/>
        <v>0</v>
      </c>
      <c r="G217" s="17"/>
      <c r="H217" s="20">
        <f t="shared" si="26"/>
        <v>0</v>
      </c>
    </row>
    <row r="218" spans="1:8" hidden="1" x14ac:dyDescent="0.2">
      <c r="A218" s="218">
        <f t="shared" si="27"/>
        <v>10</v>
      </c>
      <c r="B218" s="220"/>
      <c r="C218" s="20" t="s">
        <v>57</v>
      </c>
      <c r="D218" s="20"/>
      <c r="E218" s="20"/>
      <c r="F218" s="17">
        <f t="shared" si="25"/>
        <v>0</v>
      </c>
      <c r="G218" s="17"/>
      <c r="H218" s="20">
        <f t="shared" si="26"/>
        <v>0</v>
      </c>
    </row>
    <row r="219" spans="1:8" hidden="1" x14ac:dyDescent="0.2">
      <c r="A219" s="218">
        <f t="shared" si="27"/>
        <v>11</v>
      </c>
      <c r="B219" s="220"/>
      <c r="C219" s="20" t="s">
        <v>57</v>
      </c>
      <c r="D219" s="20"/>
      <c r="E219" s="20"/>
      <c r="F219" s="17">
        <f t="shared" si="25"/>
        <v>0</v>
      </c>
      <c r="G219" s="17"/>
      <c r="H219" s="20">
        <f t="shared" si="26"/>
        <v>0</v>
      </c>
    </row>
    <row r="220" spans="1:8" hidden="1" x14ac:dyDescent="0.2">
      <c r="A220" s="218">
        <f t="shared" si="27"/>
        <v>12</v>
      </c>
      <c r="B220" s="220"/>
      <c r="C220" s="20" t="s">
        <v>57</v>
      </c>
      <c r="D220" s="20"/>
      <c r="E220" s="20"/>
      <c r="F220" s="17">
        <f t="shared" si="25"/>
        <v>0</v>
      </c>
      <c r="G220" s="17"/>
      <c r="H220" s="20">
        <f t="shared" si="26"/>
        <v>0</v>
      </c>
    </row>
    <row r="221" spans="1:8" hidden="1" x14ac:dyDescent="0.2">
      <c r="A221" s="142" t="s">
        <v>128</v>
      </c>
      <c r="B221" s="142"/>
      <c r="C221" s="142"/>
      <c r="D221" s="142"/>
      <c r="E221" s="142"/>
      <c r="F221" s="142"/>
      <c r="G221" s="142"/>
      <c r="H221" s="142"/>
    </row>
    <row r="222" spans="1:8" hidden="1" x14ac:dyDescent="0.2">
      <c r="A222" s="218">
        <v>1</v>
      </c>
      <c r="B222" s="220"/>
      <c r="C222" s="20" t="s">
        <v>57</v>
      </c>
      <c r="D222" s="20"/>
      <c r="E222" s="20"/>
      <c r="F222" s="17">
        <f>D222+E222</f>
        <v>0</v>
      </c>
      <c r="G222" s="17"/>
      <c r="H222" s="20">
        <f>F222*(($H$130)+1)+(IF(G222&lt;101,G222,IF(G222&lt;201,G222/2,IF(G222&lt;=301,G222/3,G222/4))))</f>
        <v>0</v>
      </c>
    </row>
    <row r="223" spans="1:8" hidden="1" x14ac:dyDescent="0.2">
      <c r="A223" s="218">
        <f>A222+1</f>
        <v>2</v>
      </c>
      <c r="B223" s="220"/>
      <c r="C223" s="20" t="s">
        <v>57</v>
      </c>
      <c r="D223" s="20"/>
      <c r="E223" s="20"/>
      <c r="F223" s="17">
        <f t="shared" ref="F223:F233" si="28">D223+E223</f>
        <v>0</v>
      </c>
      <c r="G223" s="17"/>
      <c r="H223" s="20">
        <f t="shared" ref="H223:H233" si="29">F223*(($H$130)+1)+(IF(G223&lt;101,G223,IF(G223&lt;201,G223/2,IF(G223&lt;=301,G223/3,G223/4))))</f>
        <v>0</v>
      </c>
    </row>
    <row r="224" spans="1:8" hidden="1" x14ac:dyDescent="0.2">
      <c r="A224" s="218">
        <f t="shared" ref="A224:A233" si="30">A223+1</f>
        <v>3</v>
      </c>
      <c r="B224" s="220"/>
      <c r="C224" s="20" t="s">
        <v>57</v>
      </c>
      <c r="D224" s="20"/>
      <c r="E224" s="20"/>
      <c r="F224" s="17">
        <f t="shared" si="28"/>
        <v>0</v>
      </c>
      <c r="G224" s="17"/>
      <c r="H224" s="20">
        <f t="shared" si="29"/>
        <v>0</v>
      </c>
    </row>
    <row r="225" spans="1:8" hidden="1" x14ac:dyDescent="0.2">
      <c r="A225" s="218">
        <f t="shared" si="30"/>
        <v>4</v>
      </c>
      <c r="B225" s="220"/>
      <c r="C225" s="20" t="s">
        <v>57</v>
      </c>
      <c r="D225" s="20"/>
      <c r="E225" s="20"/>
      <c r="F225" s="17">
        <f t="shared" si="28"/>
        <v>0</v>
      </c>
      <c r="G225" s="17"/>
      <c r="H225" s="20">
        <f t="shared" si="29"/>
        <v>0</v>
      </c>
    </row>
    <row r="226" spans="1:8" hidden="1" x14ac:dyDescent="0.2">
      <c r="A226" s="218">
        <f t="shared" si="30"/>
        <v>5</v>
      </c>
      <c r="B226" s="220"/>
      <c r="C226" s="20" t="s">
        <v>57</v>
      </c>
      <c r="D226" s="20"/>
      <c r="E226" s="20"/>
      <c r="F226" s="17">
        <f t="shared" si="28"/>
        <v>0</v>
      </c>
      <c r="G226" s="17"/>
      <c r="H226" s="20">
        <f t="shared" si="29"/>
        <v>0</v>
      </c>
    </row>
    <row r="227" spans="1:8" hidden="1" x14ac:dyDescent="0.2">
      <c r="A227" s="218">
        <f t="shared" si="30"/>
        <v>6</v>
      </c>
      <c r="B227" s="220"/>
      <c r="C227" s="20" t="s">
        <v>57</v>
      </c>
      <c r="D227" s="20"/>
      <c r="E227" s="20"/>
      <c r="F227" s="17">
        <f t="shared" si="28"/>
        <v>0</v>
      </c>
      <c r="G227" s="17"/>
      <c r="H227" s="20">
        <f t="shared" si="29"/>
        <v>0</v>
      </c>
    </row>
    <row r="228" spans="1:8" hidden="1" x14ac:dyDescent="0.2">
      <c r="A228" s="218">
        <f t="shared" si="30"/>
        <v>7</v>
      </c>
      <c r="B228" s="220"/>
      <c r="C228" s="20" t="s">
        <v>57</v>
      </c>
      <c r="D228" s="20"/>
      <c r="E228" s="20"/>
      <c r="F228" s="17">
        <f t="shared" si="28"/>
        <v>0</v>
      </c>
      <c r="G228" s="17"/>
      <c r="H228" s="20">
        <f t="shared" si="29"/>
        <v>0</v>
      </c>
    </row>
    <row r="229" spans="1:8" hidden="1" x14ac:dyDescent="0.2">
      <c r="A229" s="218">
        <f t="shared" si="30"/>
        <v>8</v>
      </c>
      <c r="B229" s="220"/>
      <c r="C229" s="20" t="s">
        <v>57</v>
      </c>
      <c r="D229" s="20"/>
      <c r="E229" s="20"/>
      <c r="F229" s="17">
        <f t="shared" si="28"/>
        <v>0</v>
      </c>
      <c r="G229" s="17"/>
      <c r="H229" s="20">
        <f t="shared" si="29"/>
        <v>0</v>
      </c>
    </row>
    <row r="230" spans="1:8" hidden="1" x14ac:dyDescent="0.2">
      <c r="A230" s="218">
        <f t="shared" si="30"/>
        <v>9</v>
      </c>
      <c r="B230" s="220"/>
      <c r="C230" s="20" t="s">
        <v>57</v>
      </c>
      <c r="D230" s="20"/>
      <c r="E230" s="20"/>
      <c r="F230" s="17">
        <f t="shared" si="28"/>
        <v>0</v>
      </c>
      <c r="G230" s="17"/>
      <c r="H230" s="20">
        <f t="shared" si="29"/>
        <v>0</v>
      </c>
    </row>
    <row r="231" spans="1:8" hidden="1" x14ac:dyDescent="0.2">
      <c r="A231" s="218">
        <f t="shared" si="30"/>
        <v>10</v>
      </c>
      <c r="B231" s="220"/>
      <c r="C231" s="20" t="s">
        <v>57</v>
      </c>
      <c r="D231" s="20"/>
      <c r="E231" s="20"/>
      <c r="F231" s="17">
        <f t="shared" si="28"/>
        <v>0</v>
      </c>
      <c r="G231" s="17"/>
      <c r="H231" s="20">
        <f t="shared" si="29"/>
        <v>0</v>
      </c>
    </row>
    <row r="232" spans="1:8" hidden="1" x14ac:dyDescent="0.2">
      <c r="A232" s="218">
        <f t="shared" si="30"/>
        <v>11</v>
      </c>
      <c r="B232" s="220"/>
      <c r="C232" s="20" t="s">
        <v>57</v>
      </c>
      <c r="D232" s="20"/>
      <c r="E232" s="20"/>
      <c r="F232" s="17">
        <f t="shared" si="28"/>
        <v>0</v>
      </c>
      <c r="G232" s="17"/>
      <c r="H232" s="20">
        <f t="shared" si="29"/>
        <v>0</v>
      </c>
    </row>
    <row r="233" spans="1:8" hidden="1" x14ac:dyDescent="0.2">
      <c r="A233" s="218">
        <f t="shared" si="30"/>
        <v>12</v>
      </c>
      <c r="B233" s="220"/>
      <c r="C233" s="20" t="s">
        <v>57</v>
      </c>
      <c r="D233" s="20"/>
      <c r="E233" s="20"/>
      <c r="F233" s="17">
        <f t="shared" si="28"/>
        <v>0</v>
      </c>
      <c r="G233" s="17"/>
      <c r="H233" s="20">
        <f t="shared" si="29"/>
        <v>0</v>
      </c>
    </row>
    <row r="234" spans="1:8" hidden="1" x14ac:dyDescent="0.2">
      <c r="A234" s="142" t="s">
        <v>129</v>
      </c>
      <c r="B234" s="142"/>
      <c r="C234" s="142"/>
      <c r="D234" s="142"/>
      <c r="E234" s="142"/>
      <c r="F234" s="142"/>
      <c r="G234" s="142"/>
      <c r="H234" s="142"/>
    </row>
    <row r="235" spans="1:8" hidden="1" x14ac:dyDescent="0.2">
      <c r="A235" s="218">
        <v>1</v>
      </c>
      <c r="B235" s="220"/>
      <c r="C235" s="20" t="s">
        <v>57</v>
      </c>
      <c r="D235" s="20"/>
      <c r="E235" s="20"/>
      <c r="F235" s="17">
        <f>D235+E235</f>
        <v>0</v>
      </c>
      <c r="G235" s="17"/>
      <c r="H235" s="20">
        <f>F235*(($H$130)+1)+(IF(G235&lt;101,G235,IF(G235&lt;201,G235/2,IF(G235&lt;=301,G235/3,G235/4))))</f>
        <v>0</v>
      </c>
    </row>
    <row r="236" spans="1:8" hidden="1" x14ac:dyDescent="0.2">
      <c r="A236" s="218">
        <f>A235+1</f>
        <v>2</v>
      </c>
      <c r="B236" s="220"/>
      <c r="C236" s="20" t="s">
        <v>57</v>
      </c>
      <c r="D236" s="20"/>
      <c r="E236" s="20"/>
      <c r="F236" s="17">
        <f t="shared" ref="F236:F246" si="31">D236+E236</f>
        <v>0</v>
      </c>
      <c r="G236" s="17"/>
      <c r="H236" s="20">
        <f t="shared" ref="H236:H246" si="32">F236*(($H$130)+1)+(IF(G236&lt;101,G236,IF(G236&lt;201,G236/2,IF(G236&lt;=301,G236/3,G236/4))))</f>
        <v>0</v>
      </c>
    </row>
    <row r="237" spans="1:8" hidden="1" x14ac:dyDescent="0.2">
      <c r="A237" s="218">
        <f t="shared" ref="A237:A246" si="33">A236+1</f>
        <v>3</v>
      </c>
      <c r="B237" s="220"/>
      <c r="C237" s="20" t="s">
        <v>57</v>
      </c>
      <c r="D237" s="20"/>
      <c r="E237" s="20"/>
      <c r="F237" s="17">
        <f t="shared" si="31"/>
        <v>0</v>
      </c>
      <c r="G237" s="17"/>
      <c r="H237" s="20">
        <f t="shared" si="32"/>
        <v>0</v>
      </c>
    </row>
    <row r="238" spans="1:8" hidden="1" x14ac:dyDescent="0.2">
      <c r="A238" s="218">
        <f t="shared" si="33"/>
        <v>4</v>
      </c>
      <c r="B238" s="220"/>
      <c r="C238" s="20" t="s">
        <v>57</v>
      </c>
      <c r="D238" s="20"/>
      <c r="E238" s="20"/>
      <c r="F238" s="17">
        <f t="shared" si="31"/>
        <v>0</v>
      </c>
      <c r="G238" s="17"/>
      <c r="H238" s="20">
        <f t="shared" si="32"/>
        <v>0</v>
      </c>
    </row>
    <row r="239" spans="1:8" hidden="1" x14ac:dyDescent="0.2">
      <c r="A239" s="218">
        <f t="shared" si="33"/>
        <v>5</v>
      </c>
      <c r="B239" s="220"/>
      <c r="C239" s="20" t="s">
        <v>57</v>
      </c>
      <c r="D239" s="20"/>
      <c r="E239" s="20"/>
      <c r="F239" s="17">
        <f t="shared" si="31"/>
        <v>0</v>
      </c>
      <c r="G239" s="17"/>
      <c r="H239" s="20">
        <f t="shared" si="32"/>
        <v>0</v>
      </c>
    </row>
    <row r="240" spans="1:8" hidden="1" x14ac:dyDescent="0.2">
      <c r="A240" s="218">
        <f t="shared" si="33"/>
        <v>6</v>
      </c>
      <c r="B240" s="220"/>
      <c r="C240" s="20" t="s">
        <v>57</v>
      </c>
      <c r="D240" s="20"/>
      <c r="E240" s="20"/>
      <c r="F240" s="17">
        <f t="shared" si="31"/>
        <v>0</v>
      </c>
      <c r="G240" s="17"/>
      <c r="H240" s="20">
        <f t="shared" si="32"/>
        <v>0</v>
      </c>
    </row>
    <row r="241" spans="1:8" hidden="1" x14ac:dyDescent="0.2">
      <c r="A241" s="218">
        <f t="shared" si="33"/>
        <v>7</v>
      </c>
      <c r="B241" s="220"/>
      <c r="C241" s="20" t="s">
        <v>57</v>
      </c>
      <c r="D241" s="20"/>
      <c r="E241" s="20"/>
      <c r="F241" s="17">
        <f t="shared" si="31"/>
        <v>0</v>
      </c>
      <c r="G241" s="17"/>
      <c r="H241" s="20">
        <f t="shared" si="32"/>
        <v>0</v>
      </c>
    </row>
    <row r="242" spans="1:8" hidden="1" x14ac:dyDescent="0.2">
      <c r="A242" s="218">
        <f t="shared" si="33"/>
        <v>8</v>
      </c>
      <c r="B242" s="220"/>
      <c r="C242" s="20" t="s">
        <v>57</v>
      </c>
      <c r="D242" s="20"/>
      <c r="E242" s="20"/>
      <c r="F242" s="17">
        <f t="shared" si="31"/>
        <v>0</v>
      </c>
      <c r="G242" s="17"/>
      <c r="H242" s="20">
        <f t="shared" si="32"/>
        <v>0</v>
      </c>
    </row>
    <row r="243" spans="1:8" hidden="1" x14ac:dyDescent="0.2">
      <c r="A243" s="218">
        <f t="shared" si="33"/>
        <v>9</v>
      </c>
      <c r="B243" s="220"/>
      <c r="C243" s="20" t="s">
        <v>57</v>
      </c>
      <c r="D243" s="20"/>
      <c r="E243" s="20"/>
      <c r="F243" s="17">
        <f t="shared" si="31"/>
        <v>0</v>
      </c>
      <c r="G243" s="17"/>
      <c r="H243" s="20">
        <f t="shared" si="32"/>
        <v>0</v>
      </c>
    </row>
    <row r="244" spans="1:8" hidden="1" x14ac:dyDescent="0.2">
      <c r="A244" s="218">
        <f t="shared" si="33"/>
        <v>10</v>
      </c>
      <c r="B244" s="220"/>
      <c r="C244" s="20" t="s">
        <v>57</v>
      </c>
      <c r="D244" s="20"/>
      <c r="E244" s="20"/>
      <c r="F244" s="17">
        <f t="shared" si="31"/>
        <v>0</v>
      </c>
      <c r="G244" s="17"/>
      <c r="H244" s="20">
        <f t="shared" si="32"/>
        <v>0</v>
      </c>
    </row>
    <row r="245" spans="1:8" hidden="1" x14ac:dyDescent="0.2">
      <c r="A245" s="218">
        <f t="shared" si="33"/>
        <v>11</v>
      </c>
      <c r="B245" s="220"/>
      <c r="C245" s="20" t="s">
        <v>57</v>
      </c>
      <c r="D245" s="20"/>
      <c r="E245" s="20"/>
      <c r="F245" s="17">
        <f t="shared" si="31"/>
        <v>0</v>
      </c>
      <c r="G245" s="17"/>
      <c r="H245" s="20">
        <f t="shared" si="32"/>
        <v>0</v>
      </c>
    </row>
    <row r="246" spans="1:8" hidden="1" x14ac:dyDescent="0.2">
      <c r="A246" s="218">
        <f t="shared" si="33"/>
        <v>12</v>
      </c>
      <c r="B246" s="220"/>
      <c r="C246" s="20" t="s">
        <v>57</v>
      </c>
      <c r="D246" s="20"/>
      <c r="E246" s="20"/>
      <c r="F246" s="17">
        <f t="shared" si="31"/>
        <v>0</v>
      </c>
      <c r="G246" s="17"/>
      <c r="H246" s="20">
        <f t="shared" si="32"/>
        <v>0</v>
      </c>
    </row>
    <row r="247" spans="1:8" hidden="1" x14ac:dyDescent="0.2">
      <c r="A247" s="142" t="s">
        <v>129</v>
      </c>
      <c r="B247" s="142"/>
      <c r="C247" s="142"/>
      <c r="D247" s="142"/>
      <c r="E247" s="142"/>
      <c r="F247" s="142"/>
      <c r="G247" s="142"/>
      <c r="H247" s="142"/>
    </row>
    <row r="248" spans="1:8" hidden="1" x14ac:dyDescent="0.2">
      <c r="A248" s="218">
        <v>1</v>
      </c>
      <c r="B248" s="220"/>
      <c r="C248" s="20" t="s">
        <v>57</v>
      </c>
      <c r="D248" s="20"/>
      <c r="E248" s="20"/>
      <c r="F248" s="17">
        <f>D248+E248</f>
        <v>0</v>
      </c>
      <c r="G248" s="17"/>
      <c r="H248" s="20">
        <f>F248*(($H$130)+1)+(IF(G248&lt;101,G248,IF(G248&lt;201,G248/2,IF(G248&lt;=301,G248/3,G248/4))))</f>
        <v>0</v>
      </c>
    </row>
    <row r="249" spans="1:8" hidden="1" x14ac:dyDescent="0.2">
      <c r="A249" s="218">
        <f>A248+1</f>
        <v>2</v>
      </c>
      <c r="B249" s="220"/>
      <c r="C249" s="20" t="s">
        <v>57</v>
      </c>
      <c r="D249" s="20"/>
      <c r="E249" s="20"/>
      <c r="F249" s="17">
        <f t="shared" ref="F249:F259" si="34">D249+E249</f>
        <v>0</v>
      </c>
      <c r="G249" s="17"/>
      <c r="H249" s="20">
        <f t="shared" ref="H249:H259" si="35">F249*(($H$130)+1)+(IF(G249&lt;101,G249,IF(G249&lt;201,G249/2,IF(G249&lt;=301,G249/3,G249/4))))</f>
        <v>0</v>
      </c>
    </row>
    <row r="250" spans="1:8" hidden="1" x14ac:dyDescent="0.2">
      <c r="A250" s="218">
        <f t="shared" ref="A250:A259" si="36">A249+1</f>
        <v>3</v>
      </c>
      <c r="B250" s="220"/>
      <c r="C250" s="20" t="s">
        <v>57</v>
      </c>
      <c r="D250" s="20"/>
      <c r="E250" s="20"/>
      <c r="F250" s="17">
        <f t="shared" si="34"/>
        <v>0</v>
      </c>
      <c r="G250" s="17"/>
      <c r="H250" s="20">
        <f t="shared" si="35"/>
        <v>0</v>
      </c>
    </row>
    <row r="251" spans="1:8" hidden="1" x14ac:dyDescent="0.2">
      <c r="A251" s="218">
        <f t="shared" si="36"/>
        <v>4</v>
      </c>
      <c r="B251" s="220"/>
      <c r="C251" s="20" t="s">
        <v>57</v>
      </c>
      <c r="D251" s="20"/>
      <c r="E251" s="20"/>
      <c r="F251" s="17">
        <f t="shared" si="34"/>
        <v>0</v>
      </c>
      <c r="G251" s="17"/>
      <c r="H251" s="20">
        <f t="shared" si="35"/>
        <v>0</v>
      </c>
    </row>
    <row r="252" spans="1:8" hidden="1" x14ac:dyDescent="0.2">
      <c r="A252" s="218">
        <f t="shared" si="36"/>
        <v>5</v>
      </c>
      <c r="B252" s="220"/>
      <c r="C252" s="20" t="s">
        <v>57</v>
      </c>
      <c r="D252" s="20"/>
      <c r="E252" s="20"/>
      <c r="F252" s="17">
        <f t="shared" si="34"/>
        <v>0</v>
      </c>
      <c r="G252" s="17"/>
      <c r="H252" s="20">
        <f t="shared" si="35"/>
        <v>0</v>
      </c>
    </row>
    <row r="253" spans="1:8" hidden="1" x14ac:dyDescent="0.2">
      <c r="A253" s="218">
        <f t="shared" si="36"/>
        <v>6</v>
      </c>
      <c r="B253" s="220"/>
      <c r="C253" s="20" t="s">
        <v>57</v>
      </c>
      <c r="D253" s="20"/>
      <c r="E253" s="20"/>
      <c r="F253" s="17">
        <f t="shared" si="34"/>
        <v>0</v>
      </c>
      <c r="G253" s="17"/>
      <c r="H253" s="20">
        <f t="shared" si="35"/>
        <v>0</v>
      </c>
    </row>
    <row r="254" spans="1:8" hidden="1" x14ac:dyDescent="0.2">
      <c r="A254" s="218">
        <f t="shared" si="36"/>
        <v>7</v>
      </c>
      <c r="B254" s="220"/>
      <c r="C254" s="20" t="s">
        <v>57</v>
      </c>
      <c r="D254" s="20"/>
      <c r="E254" s="20"/>
      <c r="F254" s="17">
        <f t="shared" si="34"/>
        <v>0</v>
      </c>
      <c r="G254" s="17"/>
      <c r="H254" s="20">
        <f t="shared" si="35"/>
        <v>0</v>
      </c>
    </row>
    <row r="255" spans="1:8" hidden="1" x14ac:dyDescent="0.2">
      <c r="A255" s="218">
        <f t="shared" si="36"/>
        <v>8</v>
      </c>
      <c r="B255" s="220"/>
      <c r="C255" s="20" t="s">
        <v>57</v>
      </c>
      <c r="D255" s="20"/>
      <c r="E255" s="20"/>
      <c r="F255" s="17">
        <f t="shared" si="34"/>
        <v>0</v>
      </c>
      <c r="G255" s="17"/>
      <c r="H255" s="20">
        <f t="shared" si="35"/>
        <v>0</v>
      </c>
    </row>
    <row r="256" spans="1:8" hidden="1" x14ac:dyDescent="0.2">
      <c r="A256" s="218">
        <f t="shared" si="36"/>
        <v>9</v>
      </c>
      <c r="B256" s="220"/>
      <c r="C256" s="20" t="s">
        <v>57</v>
      </c>
      <c r="D256" s="20"/>
      <c r="E256" s="20"/>
      <c r="F256" s="17">
        <f t="shared" si="34"/>
        <v>0</v>
      </c>
      <c r="G256" s="17"/>
      <c r="H256" s="20">
        <f t="shared" si="35"/>
        <v>0</v>
      </c>
    </row>
    <row r="257" spans="1:8" hidden="1" x14ac:dyDescent="0.2">
      <c r="A257" s="218">
        <f t="shared" si="36"/>
        <v>10</v>
      </c>
      <c r="B257" s="220"/>
      <c r="C257" s="20" t="s">
        <v>57</v>
      </c>
      <c r="D257" s="20"/>
      <c r="E257" s="20"/>
      <c r="F257" s="17">
        <f t="shared" si="34"/>
        <v>0</v>
      </c>
      <c r="G257" s="17"/>
      <c r="H257" s="20">
        <f t="shared" si="35"/>
        <v>0</v>
      </c>
    </row>
    <row r="258" spans="1:8" hidden="1" x14ac:dyDescent="0.2">
      <c r="A258" s="218">
        <f t="shared" si="36"/>
        <v>11</v>
      </c>
      <c r="B258" s="220"/>
      <c r="C258" s="20" t="s">
        <v>57</v>
      </c>
      <c r="D258" s="20"/>
      <c r="E258" s="20"/>
      <c r="F258" s="17">
        <f t="shared" si="34"/>
        <v>0</v>
      </c>
      <c r="G258" s="17"/>
      <c r="H258" s="20">
        <f t="shared" si="35"/>
        <v>0</v>
      </c>
    </row>
    <row r="259" spans="1:8" hidden="1" x14ac:dyDescent="0.2">
      <c r="A259" s="218">
        <f t="shared" si="36"/>
        <v>12</v>
      </c>
      <c r="B259" s="220"/>
      <c r="C259" s="20" t="s">
        <v>57</v>
      </c>
      <c r="D259" s="20"/>
      <c r="E259" s="20"/>
      <c r="F259" s="17">
        <f t="shared" si="34"/>
        <v>0</v>
      </c>
      <c r="G259" s="17"/>
      <c r="H259" s="20">
        <f t="shared" si="35"/>
        <v>0</v>
      </c>
    </row>
    <row r="260" spans="1:8" ht="12.75" customHeight="1" x14ac:dyDescent="0.2">
      <c r="A260" s="85" t="s">
        <v>117</v>
      </c>
      <c r="B260" s="85"/>
      <c r="C260" s="85"/>
      <c r="D260" s="85"/>
      <c r="E260" s="85"/>
      <c r="F260" s="85"/>
      <c r="G260" s="85"/>
      <c r="H260" s="85"/>
    </row>
    <row r="261" spans="1:8" ht="14.25" customHeight="1" x14ac:dyDescent="0.2">
      <c r="A261" s="139" t="s">
        <v>118</v>
      </c>
      <c r="B261" s="140"/>
      <c r="C261" s="140"/>
      <c r="D261" s="140"/>
      <c r="E261" s="141"/>
      <c r="F261" s="139">
        <v>9500</v>
      </c>
      <c r="G261" s="140"/>
      <c r="H261" s="141"/>
    </row>
    <row r="262" spans="1:8" ht="14.25" customHeight="1" x14ac:dyDescent="0.2">
      <c r="A262" s="139" t="s">
        <v>119</v>
      </c>
      <c r="B262" s="140"/>
      <c r="C262" s="140"/>
      <c r="D262" s="140"/>
      <c r="E262" s="141"/>
      <c r="F262" s="227" t="s">
        <v>290</v>
      </c>
      <c r="G262" s="228"/>
      <c r="H262" s="229"/>
    </row>
    <row r="263" spans="1:8" x14ac:dyDescent="0.2">
      <c r="A263" s="85" t="s">
        <v>49</v>
      </c>
      <c r="B263" s="85"/>
      <c r="C263" s="85"/>
      <c r="D263" s="85"/>
      <c r="E263" s="85"/>
      <c r="F263" s="85"/>
      <c r="G263" s="85"/>
      <c r="H263" s="85"/>
    </row>
    <row r="264" spans="1:8" x14ac:dyDescent="0.2">
      <c r="A264" s="21">
        <v>1</v>
      </c>
      <c r="B264" s="100" t="s">
        <v>301</v>
      </c>
      <c r="C264" s="101"/>
      <c r="D264" s="101"/>
      <c r="E264" s="101"/>
      <c r="F264" s="101"/>
      <c r="G264" s="101"/>
      <c r="H264" s="102"/>
    </row>
    <row r="265" spans="1:8" x14ac:dyDescent="0.2">
      <c r="A265" s="21">
        <f t="shared" ref="A265:A272" si="37">A264+1</f>
        <v>2</v>
      </c>
      <c r="B265" s="100" t="s">
        <v>222</v>
      </c>
      <c r="C265" s="101"/>
      <c r="D265" s="101"/>
      <c r="E265" s="101"/>
      <c r="F265" s="101"/>
      <c r="G265" s="101"/>
      <c r="H265" s="102"/>
    </row>
    <row r="266" spans="1:8" x14ac:dyDescent="0.2">
      <c r="A266" s="21">
        <f t="shared" si="37"/>
        <v>3</v>
      </c>
      <c r="B266" s="100" t="s">
        <v>223</v>
      </c>
      <c r="C266" s="101"/>
      <c r="D266" s="101"/>
      <c r="E266" s="101"/>
      <c r="F266" s="101"/>
      <c r="G266" s="101"/>
      <c r="H266" s="102"/>
    </row>
    <row r="267" spans="1:8" x14ac:dyDescent="0.2">
      <c r="A267" s="21">
        <f t="shared" si="37"/>
        <v>4</v>
      </c>
      <c r="B267" s="100" t="s">
        <v>224</v>
      </c>
      <c r="C267" s="101"/>
      <c r="D267" s="101"/>
      <c r="E267" s="101"/>
      <c r="F267" s="101"/>
      <c r="G267" s="101"/>
      <c r="H267" s="102"/>
    </row>
    <row r="268" spans="1:8" x14ac:dyDescent="0.2">
      <c r="A268" s="21">
        <f t="shared" si="37"/>
        <v>5</v>
      </c>
      <c r="B268" s="100" t="s">
        <v>274</v>
      </c>
      <c r="C268" s="101"/>
      <c r="D268" s="101"/>
      <c r="E268" s="101"/>
      <c r="F268" s="101"/>
      <c r="G268" s="101"/>
      <c r="H268" s="102"/>
    </row>
    <row r="269" spans="1:8" ht="12.75" customHeight="1" x14ac:dyDescent="0.2">
      <c r="A269" s="21">
        <f t="shared" si="37"/>
        <v>6</v>
      </c>
      <c r="B269" s="100" t="s">
        <v>228</v>
      </c>
      <c r="C269" s="101"/>
      <c r="D269" s="101"/>
      <c r="E269" s="101"/>
      <c r="F269" s="78">
        <f>H130</f>
        <v>0.5</v>
      </c>
      <c r="G269" s="66"/>
      <c r="H269" s="67"/>
    </row>
    <row r="270" spans="1:8" x14ac:dyDescent="0.2">
      <c r="A270" s="21">
        <f t="shared" si="37"/>
        <v>7</v>
      </c>
      <c r="B270" s="100" t="s">
        <v>225</v>
      </c>
      <c r="C270" s="101"/>
      <c r="D270" s="101"/>
      <c r="E270" s="101"/>
      <c r="F270" s="101"/>
      <c r="G270" s="101"/>
      <c r="H270" s="102"/>
    </row>
    <row r="271" spans="1:8" ht="24.75" customHeight="1" x14ac:dyDescent="0.2">
      <c r="A271" s="21">
        <f t="shared" si="37"/>
        <v>8</v>
      </c>
      <c r="B271" s="100" t="s">
        <v>226</v>
      </c>
      <c r="C271" s="101"/>
      <c r="D271" s="101"/>
      <c r="E271" s="101"/>
      <c r="F271" s="101"/>
      <c r="G271" s="101"/>
      <c r="H271" s="102"/>
    </row>
    <row r="272" spans="1:8" x14ac:dyDescent="0.2">
      <c r="A272" s="21">
        <f t="shared" si="37"/>
        <v>9</v>
      </c>
      <c r="B272" s="100" t="s">
        <v>227</v>
      </c>
      <c r="C272" s="101"/>
      <c r="D272" s="101"/>
      <c r="E272" s="101"/>
      <c r="F272" s="101"/>
      <c r="G272" s="101"/>
      <c r="H272" s="102"/>
    </row>
    <row r="273" spans="1:8" x14ac:dyDescent="0.2">
      <c r="A273" s="21">
        <v>10</v>
      </c>
      <c r="B273" s="100" t="s">
        <v>300</v>
      </c>
      <c r="C273" s="101"/>
      <c r="D273" s="101"/>
      <c r="E273" s="101"/>
      <c r="F273" s="101"/>
      <c r="G273" s="101"/>
      <c r="H273" s="102"/>
    </row>
    <row r="274" spans="1:8" x14ac:dyDescent="0.2">
      <c r="A274" s="21">
        <v>11</v>
      </c>
      <c r="B274" s="100" t="s">
        <v>296</v>
      </c>
      <c r="C274" s="101"/>
      <c r="D274" s="101"/>
      <c r="E274" s="101"/>
      <c r="F274" s="101"/>
      <c r="G274" s="101"/>
      <c r="H274" s="102"/>
    </row>
    <row r="275" spans="1:8" hidden="1" x14ac:dyDescent="0.2">
      <c r="A275" s="21">
        <f>A272+1</f>
        <v>10</v>
      </c>
      <c r="B275" s="100" t="s">
        <v>278</v>
      </c>
      <c r="C275" s="101"/>
      <c r="D275" s="101"/>
      <c r="E275" s="101"/>
      <c r="F275" s="101"/>
      <c r="G275" s="101"/>
      <c r="H275" s="102"/>
    </row>
    <row r="276" spans="1:8" ht="25.5" customHeight="1" x14ac:dyDescent="0.2">
      <c r="A276" s="103" t="s">
        <v>122</v>
      </c>
      <c r="B276" s="104"/>
      <c r="C276" s="105" t="str">
        <f>C7</f>
        <v>Rumah Bali Phase 4</v>
      </c>
      <c r="D276" s="106"/>
      <c r="E276" s="106"/>
      <c r="F276" s="106"/>
      <c r="G276" s="106"/>
      <c r="H276" s="107"/>
    </row>
    <row r="277" spans="1:8" x14ac:dyDescent="0.2">
      <c r="A277" s="96"/>
      <c r="B277" s="97"/>
      <c r="C277" s="97"/>
      <c r="D277" s="97"/>
      <c r="E277" s="97"/>
      <c r="F277" s="97"/>
      <c r="G277" s="97"/>
      <c r="H277" s="98"/>
    </row>
    <row r="278" spans="1:8" x14ac:dyDescent="0.2">
      <c r="A278" s="96"/>
      <c r="B278" s="97"/>
      <c r="C278" s="97"/>
      <c r="D278" s="97"/>
      <c r="E278" s="97"/>
      <c r="F278" s="97"/>
      <c r="G278" s="97"/>
      <c r="H278" s="98"/>
    </row>
    <row r="279" spans="1:8" x14ac:dyDescent="0.2">
      <c r="A279" s="96"/>
      <c r="B279" s="97"/>
      <c r="C279" s="97"/>
      <c r="D279" s="97"/>
      <c r="E279" s="97"/>
      <c r="F279" s="97"/>
      <c r="G279" s="97"/>
      <c r="H279" s="98"/>
    </row>
    <row r="280" spans="1:8" x14ac:dyDescent="0.2">
      <c r="A280" s="96"/>
      <c r="B280" s="97"/>
      <c r="C280" s="97"/>
      <c r="D280" s="97"/>
      <c r="E280" s="97"/>
      <c r="F280" s="97"/>
      <c r="G280" s="97"/>
      <c r="H280" s="98"/>
    </row>
    <row r="281" spans="1:8" x14ac:dyDescent="0.2">
      <c r="A281" s="96"/>
      <c r="B281" s="97"/>
      <c r="C281" s="97"/>
      <c r="D281" s="97"/>
      <c r="E281" s="97"/>
      <c r="F281" s="97"/>
      <c r="G281" s="97"/>
      <c r="H281" s="98"/>
    </row>
    <row r="282" spans="1:8" x14ac:dyDescent="0.2">
      <c r="A282" s="96"/>
      <c r="B282" s="97"/>
      <c r="C282" s="97"/>
      <c r="D282" s="97"/>
      <c r="E282" s="97"/>
      <c r="F282" s="97"/>
      <c r="G282" s="97"/>
      <c r="H282" s="98"/>
    </row>
    <row r="283" spans="1:8" x14ac:dyDescent="0.2">
      <c r="A283" s="96"/>
      <c r="B283" s="97"/>
      <c r="C283" s="97"/>
      <c r="D283" s="97"/>
      <c r="E283" s="97"/>
      <c r="F283" s="97"/>
      <c r="G283" s="97"/>
      <c r="H283" s="98"/>
    </row>
    <row r="284" spans="1:8" x14ac:dyDescent="0.2">
      <c r="A284" s="96"/>
      <c r="B284" s="97"/>
      <c r="C284" s="97"/>
      <c r="D284" s="97"/>
      <c r="E284" s="97"/>
      <c r="F284" s="97"/>
      <c r="G284" s="97"/>
      <c r="H284" s="98"/>
    </row>
    <row r="285" spans="1:8" x14ac:dyDescent="0.2">
      <c r="A285" s="96"/>
      <c r="B285" s="97"/>
      <c r="C285" s="97"/>
      <c r="D285" s="97"/>
      <c r="E285" s="97"/>
      <c r="F285" s="97"/>
      <c r="G285" s="97"/>
      <c r="H285" s="98"/>
    </row>
    <row r="286" spans="1:8" x14ac:dyDescent="0.2">
      <c r="A286" s="96"/>
      <c r="B286" s="97"/>
      <c r="C286" s="97"/>
      <c r="D286" s="97"/>
      <c r="E286" s="97"/>
      <c r="F286" s="97"/>
      <c r="G286" s="97"/>
      <c r="H286" s="98"/>
    </row>
    <row r="287" spans="1:8" x14ac:dyDescent="0.2">
      <c r="A287" s="96"/>
      <c r="B287" s="97"/>
      <c r="C287" s="97"/>
      <c r="D287" s="97"/>
      <c r="E287" s="97"/>
      <c r="F287" s="97"/>
      <c r="G287" s="97"/>
      <c r="H287" s="98"/>
    </row>
    <row r="288" spans="1:8" x14ac:dyDescent="0.2">
      <c r="A288" s="96"/>
      <c r="B288" s="97"/>
      <c r="C288" s="97"/>
      <c r="D288" s="97"/>
      <c r="E288" s="97"/>
      <c r="F288" s="97"/>
      <c r="G288" s="97"/>
      <c r="H288" s="98"/>
    </row>
    <row r="289" spans="1:8" x14ac:dyDescent="0.2">
      <c r="A289" s="96"/>
      <c r="B289" s="97"/>
      <c r="C289" s="97"/>
      <c r="D289" s="97"/>
      <c r="E289" s="97"/>
      <c r="F289" s="97"/>
      <c r="G289" s="97"/>
      <c r="H289" s="98"/>
    </row>
    <row r="290" spans="1:8" x14ac:dyDescent="0.2">
      <c r="A290" s="96"/>
      <c r="B290" s="97"/>
      <c r="C290" s="97"/>
      <c r="D290" s="97"/>
      <c r="E290" s="97"/>
      <c r="F290" s="97"/>
      <c r="G290" s="97"/>
      <c r="H290" s="98"/>
    </row>
    <row r="291" spans="1:8" x14ac:dyDescent="0.2">
      <c r="A291" s="96"/>
      <c r="B291" s="97"/>
      <c r="C291" s="97"/>
      <c r="D291" s="97"/>
      <c r="E291" s="97"/>
      <c r="F291" s="97"/>
      <c r="G291" s="97"/>
      <c r="H291" s="98"/>
    </row>
    <row r="292" spans="1:8" x14ac:dyDescent="0.2">
      <c r="A292" s="96"/>
      <c r="B292" s="97"/>
      <c r="C292" s="97"/>
      <c r="D292" s="97"/>
      <c r="E292" s="97"/>
      <c r="F292" s="97"/>
      <c r="G292" s="97"/>
      <c r="H292" s="98"/>
    </row>
    <row r="293" spans="1:8" x14ac:dyDescent="0.2">
      <c r="A293" s="96"/>
      <c r="B293" s="97"/>
      <c r="C293" s="97"/>
      <c r="D293" s="97"/>
      <c r="E293" s="97"/>
      <c r="F293" s="97"/>
      <c r="G293" s="97"/>
      <c r="H293" s="98"/>
    </row>
    <row r="294" spans="1:8" x14ac:dyDescent="0.2">
      <c r="A294" s="96"/>
      <c r="B294" s="97"/>
      <c r="C294" s="97"/>
      <c r="D294" s="97"/>
      <c r="E294" s="97"/>
      <c r="F294" s="97"/>
      <c r="G294" s="97"/>
      <c r="H294" s="98"/>
    </row>
    <row r="295" spans="1:8" x14ac:dyDescent="0.2">
      <c r="A295" s="96"/>
      <c r="B295" s="97"/>
      <c r="C295" s="97"/>
      <c r="D295" s="97"/>
      <c r="E295" s="97"/>
      <c r="F295" s="97"/>
      <c r="G295" s="97"/>
      <c r="H295" s="98"/>
    </row>
    <row r="296" spans="1:8" x14ac:dyDescent="0.2">
      <c r="A296" s="96"/>
      <c r="B296" s="97"/>
      <c r="C296" s="97"/>
      <c r="D296" s="97"/>
      <c r="E296" s="97"/>
      <c r="F296" s="97"/>
      <c r="G296" s="97"/>
      <c r="H296" s="98"/>
    </row>
    <row r="297" spans="1:8" x14ac:dyDescent="0.2">
      <c r="A297" s="96"/>
      <c r="B297" s="97"/>
      <c r="C297" s="97"/>
      <c r="D297" s="97"/>
      <c r="E297" s="97"/>
      <c r="F297" s="97"/>
      <c r="G297" s="97"/>
      <c r="H297" s="98"/>
    </row>
    <row r="298" spans="1:8" x14ac:dyDescent="0.2">
      <c r="A298" s="96"/>
      <c r="B298" s="97"/>
      <c r="C298" s="97"/>
      <c r="D298" s="97"/>
      <c r="E298" s="97"/>
      <c r="F298" s="97"/>
      <c r="G298" s="97"/>
      <c r="H298" s="98"/>
    </row>
    <row r="299" spans="1:8" x14ac:dyDescent="0.2">
      <c r="A299" s="96"/>
      <c r="B299" s="97"/>
      <c r="C299" s="97"/>
      <c r="D299" s="97"/>
      <c r="E299" s="97"/>
      <c r="F299" s="97"/>
      <c r="G299" s="97"/>
      <c r="H299" s="98"/>
    </row>
    <row r="300" spans="1:8" x14ac:dyDescent="0.2">
      <c r="A300" s="96"/>
      <c r="B300" s="97"/>
      <c r="C300" s="97"/>
      <c r="D300" s="97"/>
      <c r="E300" s="97"/>
      <c r="F300" s="97"/>
      <c r="G300" s="97"/>
      <c r="H300" s="98"/>
    </row>
    <row r="301" spans="1:8" x14ac:dyDescent="0.2">
      <c r="A301" s="96"/>
      <c r="B301" s="97"/>
      <c r="C301" s="97"/>
      <c r="D301" s="97"/>
      <c r="E301" s="97"/>
      <c r="F301" s="97"/>
      <c r="G301" s="97"/>
      <c r="H301" s="98"/>
    </row>
    <row r="302" spans="1:8" x14ac:dyDescent="0.2">
      <c r="A302" s="96"/>
      <c r="B302" s="97"/>
      <c r="C302" s="97"/>
      <c r="D302" s="97"/>
      <c r="E302" s="97"/>
      <c r="F302" s="97"/>
      <c r="G302" s="97"/>
      <c r="H302" s="98"/>
    </row>
    <row r="303" spans="1:8" x14ac:dyDescent="0.2">
      <c r="A303" s="96"/>
      <c r="B303" s="97"/>
      <c r="C303" s="97"/>
      <c r="D303" s="97"/>
      <c r="E303" s="97"/>
      <c r="F303" s="97"/>
      <c r="G303" s="97"/>
      <c r="H303" s="98"/>
    </row>
    <row r="304" spans="1:8" x14ac:dyDescent="0.2">
      <c r="A304" s="96"/>
      <c r="B304" s="97"/>
      <c r="C304" s="97"/>
      <c r="D304" s="97"/>
      <c r="E304" s="97"/>
      <c r="F304" s="97"/>
      <c r="G304" s="97"/>
      <c r="H304" s="98"/>
    </row>
    <row r="305" spans="1:8" x14ac:dyDescent="0.2">
      <c r="A305" s="96"/>
      <c r="B305" s="97"/>
      <c r="C305" s="97"/>
      <c r="D305" s="97"/>
      <c r="E305" s="97"/>
      <c r="F305" s="97"/>
      <c r="G305" s="97"/>
      <c r="H305" s="98"/>
    </row>
    <row r="306" spans="1:8" x14ac:dyDescent="0.2">
      <c r="A306" s="96"/>
      <c r="B306" s="97"/>
      <c r="C306" s="97"/>
      <c r="D306" s="97"/>
      <c r="E306" s="97"/>
      <c r="F306" s="97"/>
      <c r="G306" s="97"/>
      <c r="H306" s="98"/>
    </row>
    <row r="307" spans="1:8" x14ac:dyDescent="0.2">
      <c r="A307" s="96"/>
      <c r="B307" s="97"/>
      <c r="C307" s="97"/>
      <c r="D307" s="97"/>
      <c r="E307" s="97"/>
      <c r="F307" s="97"/>
      <c r="G307" s="97"/>
      <c r="H307" s="98"/>
    </row>
    <row r="308" spans="1:8" x14ac:dyDescent="0.2">
      <c r="A308" s="96"/>
      <c r="B308" s="97"/>
      <c r="C308" s="97"/>
      <c r="D308" s="97"/>
      <c r="E308" s="97"/>
      <c r="F308" s="97"/>
      <c r="G308" s="97"/>
      <c r="H308" s="98"/>
    </row>
    <row r="309" spans="1:8" x14ac:dyDescent="0.2">
      <c r="A309" s="96"/>
      <c r="B309" s="97"/>
      <c r="C309" s="97"/>
      <c r="D309" s="97"/>
      <c r="E309" s="97"/>
      <c r="F309" s="97"/>
      <c r="G309" s="97"/>
      <c r="H309" s="98"/>
    </row>
    <row r="310" spans="1:8" x14ac:dyDescent="0.2">
      <c r="A310" s="96"/>
      <c r="B310" s="97"/>
      <c r="C310" s="97"/>
      <c r="D310" s="97"/>
      <c r="E310" s="97"/>
      <c r="F310" s="97"/>
      <c r="G310" s="97"/>
      <c r="H310" s="98"/>
    </row>
    <row r="311" spans="1:8" x14ac:dyDescent="0.2">
      <c r="A311" s="96"/>
      <c r="B311" s="97"/>
      <c r="C311" s="97"/>
      <c r="D311" s="97"/>
      <c r="E311" s="97"/>
      <c r="F311" s="97"/>
      <c r="G311" s="97"/>
      <c r="H311" s="98"/>
    </row>
    <row r="312" spans="1:8" x14ac:dyDescent="0.2">
      <c r="A312" s="96"/>
      <c r="B312" s="97"/>
      <c r="C312" s="97"/>
      <c r="D312" s="97"/>
      <c r="E312" s="97"/>
      <c r="F312" s="97"/>
      <c r="G312" s="97"/>
      <c r="H312" s="98"/>
    </row>
    <row r="313" spans="1:8" x14ac:dyDescent="0.2">
      <c r="A313" s="96"/>
      <c r="B313" s="97"/>
      <c r="C313" s="97"/>
      <c r="D313" s="97"/>
      <c r="E313" s="97"/>
      <c r="F313" s="97"/>
      <c r="G313" s="97"/>
      <c r="H313" s="98"/>
    </row>
    <row r="314" spans="1:8" x14ac:dyDescent="0.2">
      <c r="A314" s="96"/>
      <c r="B314" s="97"/>
      <c r="C314" s="97"/>
      <c r="D314" s="97"/>
      <c r="E314" s="97"/>
      <c r="F314" s="97"/>
      <c r="G314" s="97"/>
      <c r="H314" s="98"/>
    </row>
    <row r="315" spans="1:8" x14ac:dyDescent="0.2">
      <c r="A315" s="96"/>
      <c r="B315" s="97"/>
      <c r="C315" s="97"/>
      <c r="D315" s="97"/>
      <c r="E315" s="97"/>
      <c r="F315" s="97"/>
      <c r="G315" s="97"/>
      <c r="H315" s="98"/>
    </row>
    <row r="316" spans="1:8" x14ac:dyDescent="0.2">
      <c r="A316" s="96"/>
      <c r="B316" s="97"/>
      <c r="C316" s="97"/>
      <c r="D316" s="97"/>
      <c r="E316" s="97"/>
      <c r="F316" s="97"/>
      <c r="G316" s="97"/>
      <c r="H316" s="98"/>
    </row>
    <row r="317" spans="1:8" x14ac:dyDescent="0.2">
      <c r="A317" s="96"/>
      <c r="B317" s="97"/>
      <c r="C317" s="97"/>
      <c r="D317" s="97"/>
      <c r="E317" s="97"/>
      <c r="F317" s="97"/>
      <c r="G317" s="97"/>
      <c r="H317" s="98"/>
    </row>
    <row r="318" spans="1:8" x14ac:dyDescent="0.2">
      <c r="A318" s="96"/>
      <c r="B318" s="97"/>
      <c r="C318" s="97"/>
      <c r="D318" s="97"/>
      <c r="E318" s="97"/>
      <c r="F318" s="97"/>
      <c r="G318" s="97"/>
      <c r="H318" s="98"/>
    </row>
    <row r="319" spans="1:8" x14ac:dyDescent="0.2">
      <c r="A319" s="96"/>
      <c r="B319" s="97"/>
      <c r="C319" s="97"/>
      <c r="D319" s="97"/>
      <c r="E319" s="97"/>
      <c r="F319" s="97"/>
      <c r="G319" s="97"/>
      <c r="H319" s="98"/>
    </row>
    <row r="320" spans="1:8" x14ac:dyDescent="0.2">
      <c r="A320" s="96"/>
      <c r="B320" s="97"/>
      <c r="C320" s="97"/>
      <c r="D320" s="97"/>
      <c r="E320" s="97"/>
      <c r="F320" s="97"/>
      <c r="G320" s="97"/>
      <c r="H320" s="98"/>
    </row>
    <row r="321" spans="1:8" x14ac:dyDescent="0.2">
      <c r="A321" s="96"/>
      <c r="B321" s="97"/>
      <c r="C321" s="97"/>
      <c r="D321" s="97"/>
      <c r="E321" s="97"/>
      <c r="F321" s="97"/>
      <c r="G321" s="97"/>
      <c r="H321" s="98"/>
    </row>
    <row r="322" spans="1:8" x14ac:dyDescent="0.2">
      <c r="A322" s="96"/>
      <c r="B322" s="97"/>
      <c r="C322" s="97"/>
      <c r="D322" s="97"/>
      <c r="E322" s="97"/>
      <c r="F322" s="97"/>
      <c r="G322" s="97"/>
      <c r="H322" s="98"/>
    </row>
    <row r="323" spans="1:8" x14ac:dyDescent="0.2">
      <c r="A323" s="96"/>
      <c r="B323" s="97"/>
      <c r="C323" s="97"/>
      <c r="D323" s="97"/>
      <c r="E323" s="97"/>
      <c r="F323" s="97"/>
      <c r="G323" s="97"/>
      <c r="H323" s="98"/>
    </row>
    <row r="324" spans="1:8" x14ac:dyDescent="0.2">
      <c r="A324" s="96"/>
      <c r="B324" s="97"/>
      <c r="C324" s="97"/>
      <c r="D324" s="97"/>
      <c r="E324" s="97"/>
      <c r="F324" s="97"/>
      <c r="G324" s="97"/>
      <c r="H324" s="98"/>
    </row>
    <row r="325" spans="1:8" x14ac:dyDescent="0.2">
      <c r="A325" s="96"/>
      <c r="B325" s="97"/>
      <c r="C325" s="97"/>
      <c r="D325" s="97"/>
      <c r="E325" s="97"/>
      <c r="F325" s="97"/>
      <c r="G325" s="97"/>
      <c r="H325" s="98"/>
    </row>
    <row r="326" spans="1:8" x14ac:dyDescent="0.2">
      <c r="A326" s="96"/>
      <c r="B326" s="97"/>
      <c r="C326" s="97"/>
      <c r="D326" s="97"/>
      <c r="E326" s="97"/>
      <c r="F326" s="97"/>
      <c r="G326" s="97"/>
      <c r="H326" s="98"/>
    </row>
    <row r="327" spans="1:8" x14ac:dyDescent="0.2">
      <c r="A327" s="96"/>
      <c r="B327" s="97"/>
      <c r="C327" s="97"/>
      <c r="D327" s="97"/>
      <c r="E327" s="97"/>
      <c r="F327" s="97"/>
      <c r="G327" s="97"/>
      <c r="H327" s="98"/>
    </row>
    <row r="328" spans="1:8" x14ac:dyDescent="0.2">
      <c r="A328" s="96"/>
      <c r="B328" s="97"/>
      <c r="C328" s="97"/>
      <c r="D328" s="97"/>
      <c r="E328" s="97"/>
      <c r="F328" s="97"/>
      <c r="G328" s="97"/>
      <c r="H328" s="98"/>
    </row>
    <row r="329" spans="1:8" x14ac:dyDescent="0.2">
      <c r="A329" s="96"/>
      <c r="B329" s="97"/>
      <c r="C329" s="97"/>
      <c r="D329" s="97"/>
      <c r="E329" s="97"/>
      <c r="F329" s="97"/>
      <c r="G329" s="97"/>
      <c r="H329" s="98"/>
    </row>
    <row r="330" spans="1:8" ht="25.5" customHeight="1" x14ac:dyDescent="0.2">
      <c r="A330" s="103" t="s">
        <v>147</v>
      </c>
      <c r="B330" s="104"/>
      <c r="C330" s="105"/>
      <c r="D330" s="106"/>
      <c r="E330" s="106"/>
      <c r="F330" s="106"/>
      <c r="G330" s="106"/>
      <c r="H330" s="107"/>
    </row>
    <row r="331" spans="1:8" x14ac:dyDescent="0.2">
      <c r="A331" s="96"/>
      <c r="B331" s="97"/>
      <c r="C331" s="97"/>
      <c r="D331" s="97"/>
      <c r="E331" s="97"/>
      <c r="F331" s="97"/>
      <c r="G331" s="97"/>
      <c r="H331" s="98"/>
    </row>
    <row r="332" spans="1:8" x14ac:dyDescent="0.2">
      <c r="A332" s="96"/>
      <c r="B332" s="97"/>
      <c r="C332" s="97"/>
      <c r="D332" s="97"/>
      <c r="E332" s="97"/>
      <c r="F332" s="97"/>
      <c r="G332" s="97"/>
      <c r="H332" s="98"/>
    </row>
    <row r="333" spans="1:8" x14ac:dyDescent="0.2">
      <c r="A333" s="96"/>
      <c r="B333" s="97"/>
      <c r="C333" s="97"/>
      <c r="D333" s="97"/>
      <c r="E333" s="97"/>
      <c r="F333" s="97"/>
      <c r="G333" s="97"/>
      <c r="H333" s="98"/>
    </row>
    <row r="334" spans="1:8" x14ac:dyDescent="0.2">
      <c r="A334" s="96"/>
      <c r="B334" s="97"/>
      <c r="C334" s="97"/>
      <c r="D334" s="97"/>
      <c r="E334" s="97"/>
      <c r="F334" s="97"/>
      <c r="G334" s="97"/>
      <c r="H334" s="98"/>
    </row>
    <row r="335" spans="1:8" x14ac:dyDescent="0.2">
      <c r="A335" s="96"/>
      <c r="B335" s="97"/>
      <c r="C335" s="97"/>
      <c r="D335" s="97"/>
      <c r="E335" s="97"/>
      <c r="F335" s="97"/>
      <c r="G335" s="97"/>
      <c r="H335" s="98"/>
    </row>
    <row r="336" spans="1:8" x14ac:dyDescent="0.2">
      <c r="A336" s="96"/>
      <c r="B336" s="97"/>
      <c r="C336" s="97"/>
      <c r="D336" s="97"/>
      <c r="E336" s="97"/>
      <c r="F336" s="97"/>
      <c r="G336" s="97"/>
      <c r="H336" s="98"/>
    </row>
    <row r="337" spans="1:8" x14ac:dyDescent="0.2">
      <c r="A337" s="96"/>
      <c r="B337" s="97"/>
      <c r="C337" s="97"/>
      <c r="D337" s="97"/>
      <c r="E337" s="97"/>
      <c r="F337" s="97"/>
      <c r="G337" s="97"/>
      <c r="H337" s="98"/>
    </row>
    <row r="338" spans="1:8" x14ac:dyDescent="0.2">
      <c r="A338" s="96"/>
      <c r="B338" s="97"/>
      <c r="C338" s="97"/>
      <c r="D338" s="97"/>
      <c r="E338" s="97"/>
      <c r="F338" s="97"/>
      <c r="G338" s="97"/>
      <c r="H338" s="98"/>
    </row>
    <row r="339" spans="1:8" x14ac:dyDescent="0.2">
      <c r="A339" s="96"/>
      <c r="B339" s="97"/>
      <c r="C339" s="97"/>
      <c r="D339" s="97"/>
      <c r="E339" s="97"/>
      <c r="F339" s="97"/>
      <c r="G339" s="97"/>
      <c r="H339" s="98"/>
    </row>
    <row r="340" spans="1:8" x14ac:dyDescent="0.2">
      <c r="A340" s="96"/>
      <c r="B340" s="97"/>
      <c r="C340" s="97"/>
      <c r="D340" s="97"/>
      <c r="E340" s="97"/>
      <c r="F340" s="97"/>
      <c r="G340" s="97"/>
      <c r="H340" s="98"/>
    </row>
    <row r="341" spans="1:8" x14ac:dyDescent="0.2">
      <c r="A341" s="96"/>
      <c r="B341" s="97"/>
      <c r="C341" s="97"/>
      <c r="D341" s="97"/>
      <c r="E341" s="97"/>
      <c r="F341" s="97"/>
      <c r="G341" s="97"/>
      <c r="H341" s="98"/>
    </row>
    <row r="342" spans="1:8" x14ac:dyDescent="0.2">
      <c r="A342" s="96"/>
      <c r="B342" s="97"/>
      <c r="C342" s="97"/>
      <c r="D342" s="97"/>
      <c r="E342" s="97"/>
      <c r="F342" s="97"/>
      <c r="G342" s="97"/>
      <c r="H342" s="98"/>
    </row>
    <row r="343" spans="1:8" x14ac:dyDescent="0.2">
      <c r="A343" s="96"/>
      <c r="B343" s="97"/>
      <c r="C343" s="97"/>
      <c r="D343" s="97"/>
      <c r="E343" s="97"/>
      <c r="F343" s="97"/>
      <c r="G343" s="97"/>
      <c r="H343" s="98"/>
    </row>
    <row r="344" spans="1:8" x14ac:dyDescent="0.2">
      <c r="A344" s="96"/>
      <c r="B344" s="97"/>
      <c r="C344" s="97"/>
      <c r="D344" s="97"/>
      <c r="E344" s="97"/>
      <c r="F344" s="97"/>
      <c r="G344" s="97"/>
      <c r="H344" s="98"/>
    </row>
    <row r="345" spans="1:8" x14ac:dyDescent="0.2">
      <c r="A345" s="96"/>
      <c r="B345" s="97"/>
      <c r="C345" s="97"/>
      <c r="D345" s="97"/>
      <c r="E345" s="97"/>
      <c r="F345" s="97"/>
      <c r="G345" s="97"/>
      <c r="H345" s="98"/>
    </row>
    <row r="346" spans="1:8" x14ac:dyDescent="0.2">
      <c r="A346" s="96"/>
      <c r="B346" s="97"/>
      <c r="C346" s="97"/>
      <c r="D346" s="97"/>
      <c r="E346" s="97"/>
      <c r="F346" s="97"/>
      <c r="G346" s="97"/>
      <c r="H346" s="98"/>
    </row>
    <row r="347" spans="1:8" x14ac:dyDescent="0.2">
      <c r="A347" s="96"/>
      <c r="B347" s="97"/>
      <c r="C347" s="97"/>
      <c r="D347" s="97"/>
      <c r="E347" s="97"/>
      <c r="F347" s="97"/>
      <c r="G347" s="97"/>
      <c r="H347" s="98"/>
    </row>
    <row r="348" spans="1:8" x14ac:dyDescent="0.2">
      <c r="A348" s="96"/>
      <c r="B348" s="97"/>
      <c r="C348" s="97"/>
      <c r="D348" s="97"/>
      <c r="E348" s="97"/>
      <c r="F348" s="97"/>
      <c r="G348" s="97"/>
      <c r="H348" s="98"/>
    </row>
    <row r="349" spans="1:8" x14ac:dyDescent="0.2">
      <c r="A349" s="96"/>
      <c r="B349" s="97"/>
      <c r="C349" s="97"/>
      <c r="D349" s="97"/>
      <c r="E349" s="97"/>
      <c r="F349" s="97"/>
      <c r="G349" s="97"/>
      <c r="H349" s="98"/>
    </row>
    <row r="350" spans="1:8" x14ac:dyDescent="0.2">
      <c r="A350" s="96"/>
      <c r="B350" s="97"/>
      <c r="C350" s="97"/>
      <c r="D350" s="97"/>
      <c r="E350" s="97"/>
      <c r="F350" s="97"/>
      <c r="G350" s="97"/>
      <c r="H350" s="98"/>
    </row>
    <row r="351" spans="1:8" x14ac:dyDescent="0.2">
      <c r="A351" s="96"/>
      <c r="B351" s="97"/>
      <c r="C351" s="97"/>
      <c r="D351" s="97"/>
      <c r="E351" s="97"/>
      <c r="F351" s="97"/>
      <c r="G351" s="97"/>
      <c r="H351" s="98"/>
    </row>
    <row r="352" spans="1:8" x14ac:dyDescent="0.2">
      <c r="A352" s="96"/>
      <c r="B352" s="97"/>
      <c r="C352" s="97"/>
      <c r="D352" s="97"/>
      <c r="E352" s="97"/>
      <c r="F352" s="97"/>
      <c r="G352" s="97"/>
      <c r="H352" s="98"/>
    </row>
    <row r="353" spans="1:8" x14ac:dyDescent="0.2">
      <c r="A353" s="96"/>
      <c r="B353" s="97"/>
      <c r="C353" s="97"/>
      <c r="D353" s="97"/>
      <c r="E353" s="97"/>
      <c r="F353" s="97"/>
      <c r="G353" s="97"/>
      <c r="H353" s="98"/>
    </row>
    <row r="354" spans="1:8" x14ac:dyDescent="0.2">
      <c r="A354" s="96"/>
      <c r="B354" s="97"/>
      <c r="C354" s="97"/>
      <c r="D354" s="97"/>
      <c r="E354" s="97"/>
      <c r="F354" s="97"/>
      <c r="G354" s="97"/>
      <c r="H354" s="98"/>
    </row>
    <row r="355" spans="1:8" x14ac:dyDescent="0.2">
      <c r="A355" s="96"/>
      <c r="B355" s="97"/>
      <c r="C355" s="97"/>
      <c r="D355" s="97"/>
      <c r="E355" s="97"/>
      <c r="F355" s="97"/>
      <c r="G355" s="97"/>
      <c r="H355" s="98"/>
    </row>
    <row r="356" spans="1:8" x14ac:dyDescent="0.2">
      <c r="A356" s="96"/>
      <c r="B356" s="97"/>
      <c r="C356" s="97"/>
      <c r="D356" s="97"/>
      <c r="E356" s="97"/>
      <c r="F356" s="97"/>
      <c r="G356" s="97"/>
      <c r="H356" s="98"/>
    </row>
    <row r="357" spans="1:8" x14ac:dyDescent="0.2">
      <c r="A357" s="96"/>
      <c r="B357" s="97"/>
      <c r="C357" s="97"/>
      <c r="D357" s="97"/>
      <c r="E357" s="97"/>
      <c r="F357" s="97"/>
      <c r="G357" s="97"/>
      <c r="H357" s="98"/>
    </row>
    <row r="358" spans="1:8" x14ac:dyDescent="0.2">
      <c r="A358" s="96"/>
      <c r="B358" s="97"/>
      <c r="C358" s="97"/>
      <c r="D358" s="97"/>
      <c r="E358" s="97"/>
      <c r="F358" s="97"/>
      <c r="G358" s="97"/>
      <c r="H358" s="98"/>
    </row>
    <row r="359" spans="1:8" x14ac:dyDescent="0.2">
      <c r="A359" s="96"/>
      <c r="B359" s="97"/>
      <c r="C359" s="97"/>
      <c r="D359" s="97"/>
      <c r="E359" s="97"/>
      <c r="F359" s="97"/>
      <c r="G359" s="97"/>
      <c r="H359" s="98"/>
    </row>
    <row r="360" spans="1:8" x14ac:dyDescent="0.2">
      <c r="A360" s="96"/>
      <c r="B360" s="97"/>
      <c r="C360" s="97"/>
      <c r="D360" s="97"/>
      <c r="E360" s="97"/>
      <c r="F360" s="97"/>
      <c r="G360" s="97"/>
      <c r="H360" s="98"/>
    </row>
    <row r="361" spans="1:8" x14ac:dyDescent="0.2">
      <c r="A361" s="96"/>
      <c r="B361" s="97"/>
      <c r="C361" s="97"/>
      <c r="D361" s="97"/>
      <c r="E361" s="97"/>
      <c r="F361" s="97"/>
      <c r="G361" s="97"/>
      <c r="H361" s="98"/>
    </row>
    <row r="362" spans="1:8" x14ac:dyDescent="0.2">
      <c r="A362" s="96"/>
      <c r="B362" s="97"/>
      <c r="C362" s="97"/>
      <c r="D362" s="97"/>
      <c r="E362" s="97"/>
      <c r="F362" s="97"/>
      <c r="G362" s="97"/>
      <c r="H362" s="98"/>
    </row>
    <row r="363" spans="1:8" x14ac:dyDescent="0.2">
      <c r="A363" s="96"/>
      <c r="B363" s="97"/>
      <c r="C363" s="97"/>
      <c r="D363" s="97"/>
      <c r="E363" s="97"/>
      <c r="F363" s="97"/>
      <c r="G363" s="97"/>
      <c r="H363" s="98"/>
    </row>
    <row r="364" spans="1:8" x14ac:dyDescent="0.2">
      <c r="A364" s="96"/>
      <c r="B364" s="97"/>
      <c r="C364" s="97"/>
      <c r="D364" s="97"/>
      <c r="E364" s="97"/>
      <c r="F364" s="97"/>
      <c r="G364" s="97"/>
      <c r="H364" s="98"/>
    </row>
    <row r="365" spans="1:8" x14ac:dyDescent="0.2">
      <c r="A365" s="96"/>
      <c r="B365" s="97"/>
      <c r="C365" s="97"/>
      <c r="D365" s="97"/>
      <c r="E365" s="97"/>
      <c r="F365" s="97"/>
      <c r="G365" s="97"/>
      <c r="H365" s="98"/>
    </row>
    <row r="366" spans="1:8" hidden="1" x14ac:dyDescent="0.2">
      <c r="A366" s="96"/>
      <c r="B366" s="97"/>
      <c r="C366" s="97"/>
      <c r="D366" s="97"/>
      <c r="E366" s="97"/>
      <c r="F366" s="97"/>
      <c r="G366" s="97"/>
      <c r="H366" s="98"/>
    </row>
    <row r="367" spans="1:8" hidden="1" x14ac:dyDescent="0.2">
      <c r="A367" s="96"/>
      <c r="B367" s="97"/>
      <c r="C367" s="97"/>
      <c r="D367" s="97"/>
      <c r="E367" s="97"/>
      <c r="F367" s="97"/>
      <c r="G367" s="97"/>
      <c r="H367" s="98"/>
    </row>
    <row r="368" spans="1:8" hidden="1" x14ac:dyDescent="0.2">
      <c r="A368" s="96"/>
      <c r="B368" s="97"/>
      <c r="C368" s="97"/>
      <c r="D368" s="97"/>
      <c r="E368" s="97"/>
      <c r="F368" s="97"/>
      <c r="G368" s="97"/>
      <c r="H368" s="98"/>
    </row>
    <row r="369" spans="1:8" hidden="1" x14ac:dyDescent="0.2">
      <c r="A369" s="96"/>
      <c r="B369" s="97"/>
      <c r="C369" s="97"/>
      <c r="D369" s="97"/>
      <c r="E369" s="97"/>
      <c r="F369" s="97"/>
      <c r="G369" s="97"/>
      <c r="H369" s="98"/>
    </row>
    <row r="370" spans="1:8" hidden="1" x14ac:dyDescent="0.2">
      <c r="A370" s="96"/>
      <c r="B370" s="97"/>
      <c r="C370" s="97"/>
      <c r="D370" s="97"/>
      <c r="E370" s="97"/>
      <c r="F370" s="97"/>
      <c r="G370" s="97"/>
      <c r="H370" s="98"/>
    </row>
    <row r="371" spans="1:8" hidden="1" x14ac:dyDescent="0.2">
      <c r="A371" s="96"/>
      <c r="B371" s="97"/>
      <c r="C371" s="97"/>
      <c r="D371" s="97"/>
      <c r="E371" s="97"/>
      <c r="F371" s="97"/>
      <c r="G371" s="97"/>
      <c r="H371" s="98"/>
    </row>
    <row r="372" spans="1:8" hidden="1" x14ac:dyDescent="0.2">
      <c r="A372" s="96"/>
      <c r="B372" s="97"/>
      <c r="C372" s="97"/>
      <c r="D372" s="97"/>
      <c r="E372" s="97"/>
      <c r="F372" s="97"/>
      <c r="G372" s="97"/>
      <c r="H372" s="98"/>
    </row>
    <row r="373" spans="1:8" hidden="1" x14ac:dyDescent="0.2">
      <c r="A373" s="96"/>
      <c r="B373" s="97"/>
      <c r="C373" s="97"/>
      <c r="D373" s="97"/>
      <c r="E373" s="97"/>
      <c r="F373" s="97"/>
      <c r="G373" s="97"/>
      <c r="H373" s="98"/>
    </row>
    <row r="374" spans="1:8" hidden="1" x14ac:dyDescent="0.2">
      <c r="A374" s="96"/>
      <c r="B374" s="97"/>
      <c r="C374" s="97"/>
      <c r="D374" s="97"/>
      <c r="E374" s="97"/>
      <c r="F374" s="97"/>
      <c r="G374" s="97"/>
      <c r="H374" s="98"/>
    </row>
    <row r="375" spans="1:8" hidden="1" x14ac:dyDescent="0.2">
      <c r="A375" s="96"/>
      <c r="B375" s="97"/>
      <c r="C375" s="97"/>
      <c r="D375" s="97"/>
      <c r="E375" s="97"/>
      <c r="F375" s="97"/>
      <c r="G375" s="97"/>
      <c r="H375" s="98"/>
    </row>
    <row r="376" spans="1:8" hidden="1" x14ac:dyDescent="0.2">
      <c r="A376" s="96"/>
      <c r="B376" s="97"/>
      <c r="C376" s="97"/>
      <c r="D376" s="97"/>
      <c r="E376" s="97"/>
      <c r="F376" s="97"/>
      <c r="G376" s="97"/>
      <c r="H376" s="98"/>
    </row>
    <row r="377" spans="1:8" hidden="1" x14ac:dyDescent="0.2">
      <c r="A377" s="96"/>
      <c r="B377" s="97"/>
      <c r="C377" s="97"/>
      <c r="D377" s="97"/>
      <c r="E377" s="97"/>
      <c r="F377" s="97"/>
      <c r="G377" s="97"/>
      <c r="H377" s="98"/>
    </row>
    <row r="378" spans="1:8" hidden="1" x14ac:dyDescent="0.2">
      <c r="A378" s="96"/>
      <c r="B378" s="97"/>
      <c r="C378" s="97"/>
      <c r="D378" s="97"/>
      <c r="E378" s="97"/>
      <c r="F378" s="97"/>
      <c r="G378" s="97"/>
      <c r="H378" s="98"/>
    </row>
    <row r="379" spans="1:8" hidden="1" x14ac:dyDescent="0.2">
      <c r="A379" s="96"/>
      <c r="B379" s="97"/>
      <c r="C379" s="97"/>
      <c r="D379" s="97"/>
      <c r="E379" s="97"/>
      <c r="F379" s="97"/>
      <c r="G379" s="97"/>
      <c r="H379" s="98"/>
    </row>
    <row r="380" spans="1:8" hidden="1" x14ac:dyDescent="0.2">
      <c r="A380" s="96"/>
      <c r="B380" s="97"/>
      <c r="C380" s="97"/>
      <c r="D380" s="97"/>
      <c r="E380" s="97"/>
      <c r="F380" s="97"/>
      <c r="G380" s="97"/>
      <c r="H380" s="98"/>
    </row>
    <row r="381" spans="1:8" x14ac:dyDescent="0.2">
      <c r="A381" s="96"/>
      <c r="B381" s="97"/>
      <c r="C381" s="97"/>
      <c r="D381" s="97"/>
      <c r="E381" s="97"/>
      <c r="F381" s="97"/>
      <c r="G381" s="97"/>
      <c r="H381" s="98"/>
    </row>
    <row r="382" spans="1:8" x14ac:dyDescent="0.2">
      <c r="A382" s="96"/>
      <c r="B382" s="97"/>
      <c r="C382" s="97"/>
      <c r="D382" s="97"/>
      <c r="E382" s="97"/>
      <c r="F382" s="97"/>
      <c r="G382" s="97"/>
      <c r="H382" s="98"/>
    </row>
    <row r="383" spans="1:8" x14ac:dyDescent="0.2">
      <c r="A383" s="96"/>
      <c r="B383" s="97"/>
      <c r="C383" s="97"/>
      <c r="D383" s="97"/>
      <c r="E383" s="97"/>
      <c r="F383" s="97"/>
      <c r="G383" s="97"/>
      <c r="H383" s="98"/>
    </row>
    <row r="384" spans="1:8" x14ac:dyDescent="0.2">
      <c r="A384" s="99" t="s">
        <v>123</v>
      </c>
      <c r="B384" s="99"/>
      <c r="C384" s="99"/>
      <c r="D384" s="99"/>
      <c r="E384" s="99"/>
      <c r="F384" s="99"/>
      <c r="G384" s="99"/>
      <c r="H384" s="99"/>
    </row>
    <row r="385" spans="1:8" x14ac:dyDescent="0.2">
      <c r="A385" s="96"/>
      <c r="B385" s="97"/>
      <c r="C385" s="97"/>
      <c r="D385" s="97"/>
      <c r="E385" s="97"/>
      <c r="F385" s="97"/>
      <c r="G385" s="97"/>
      <c r="H385" s="98"/>
    </row>
    <row r="386" spans="1:8" x14ac:dyDescent="0.2">
      <c r="A386" s="96"/>
      <c r="B386" s="97"/>
      <c r="C386" s="97"/>
      <c r="D386" s="97"/>
      <c r="E386" s="97"/>
      <c r="F386" s="97"/>
      <c r="G386" s="97"/>
      <c r="H386" s="98"/>
    </row>
    <row r="387" spans="1:8" x14ac:dyDescent="0.2">
      <c r="A387" s="96"/>
      <c r="B387" s="97"/>
      <c r="C387" s="97"/>
      <c r="D387" s="97"/>
      <c r="E387" s="97"/>
      <c r="F387" s="97"/>
      <c r="G387" s="97"/>
      <c r="H387" s="98"/>
    </row>
    <row r="388" spans="1:8" x14ac:dyDescent="0.2">
      <c r="A388" s="96"/>
      <c r="B388" s="97"/>
      <c r="C388" s="97"/>
      <c r="D388" s="97"/>
      <c r="E388" s="97"/>
      <c r="F388" s="97"/>
      <c r="G388" s="97"/>
      <c r="H388" s="98"/>
    </row>
    <row r="389" spans="1:8" x14ac:dyDescent="0.2">
      <c r="A389" s="96"/>
      <c r="B389" s="97"/>
      <c r="C389" s="97"/>
      <c r="D389" s="97"/>
      <c r="E389" s="97"/>
      <c r="F389" s="97"/>
      <c r="G389" s="97"/>
      <c r="H389" s="98"/>
    </row>
    <row r="390" spans="1:8" x14ac:dyDescent="0.2">
      <c r="A390" s="96"/>
      <c r="B390" s="97"/>
      <c r="C390" s="97"/>
      <c r="D390" s="97"/>
      <c r="E390" s="97"/>
      <c r="F390" s="97"/>
      <c r="G390" s="97"/>
      <c r="H390" s="98"/>
    </row>
    <row r="391" spans="1:8" x14ac:dyDescent="0.2">
      <c r="A391" s="96"/>
      <c r="B391" s="97"/>
      <c r="C391" s="97"/>
      <c r="D391" s="97"/>
      <c r="E391" s="97"/>
      <c r="F391" s="97"/>
      <c r="G391" s="97"/>
      <c r="H391" s="98"/>
    </row>
    <row r="392" spans="1:8" x14ac:dyDescent="0.2">
      <c r="A392" s="96"/>
      <c r="B392" s="97"/>
      <c r="C392" s="97"/>
      <c r="D392" s="97"/>
      <c r="E392" s="97"/>
      <c r="F392" s="97"/>
      <c r="G392" s="97"/>
      <c r="H392" s="98"/>
    </row>
    <row r="393" spans="1:8" x14ac:dyDescent="0.2">
      <c r="A393" s="96"/>
      <c r="B393" s="97"/>
      <c r="C393" s="97"/>
      <c r="D393" s="97"/>
      <c r="E393" s="97"/>
      <c r="F393" s="97"/>
      <c r="G393" s="97"/>
      <c r="H393" s="98"/>
    </row>
    <row r="394" spans="1:8" x14ac:dyDescent="0.2">
      <c r="A394" s="96"/>
      <c r="B394" s="97"/>
      <c r="C394" s="97"/>
      <c r="D394" s="97"/>
      <c r="E394" s="97"/>
      <c r="F394" s="97"/>
      <c r="G394" s="97"/>
      <c r="H394" s="98"/>
    </row>
    <row r="395" spans="1:8" x14ac:dyDescent="0.2">
      <c r="A395" s="96"/>
      <c r="B395" s="97"/>
      <c r="C395" s="97"/>
      <c r="D395" s="97"/>
      <c r="E395" s="97"/>
      <c r="F395" s="97"/>
      <c r="G395" s="97"/>
      <c r="H395" s="98"/>
    </row>
    <row r="396" spans="1:8" x14ac:dyDescent="0.2">
      <c r="A396" s="96"/>
      <c r="B396" s="97"/>
      <c r="C396" s="97"/>
      <c r="D396" s="97"/>
      <c r="E396" s="97"/>
      <c r="F396" s="97"/>
      <c r="G396" s="97"/>
      <c r="H396" s="98"/>
    </row>
    <row r="397" spans="1:8" x14ac:dyDescent="0.2">
      <c r="A397" s="96"/>
      <c r="B397" s="97"/>
      <c r="C397" s="97"/>
      <c r="D397" s="97"/>
      <c r="E397" s="97"/>
      <c r="F397" s="97"/>
      <c r="G397" s="97"/>
      <c r="H397" s="98"/>
    </row>
    <row r="398" spans="1:8" x14ac:dyDescent="0.2">
      <c r="A398" s="96"/>
      <c r="B398" s="97"/>
      <c r="C398" s="97"/>
      <c r="D398" s="97"/>
      <c r="E398" s="97"/>
      <c r="F398" s="97"/>
      <c r="G398" s="97"/>
      <c r="H398" s="98"/>
    </row>
    <row r="399" spans="1:8" x14ac:dyDescent="0.2">
      <c r="A399" s="96"/>
      <c r="B399" s="97"/>
      <c r="C399" s="97"/>
      <c r="D399" s="97"/>
      <c r="E399" s="97"/>
      <c r="F399" s="97"/>
      <c r="G399" s="97"/>
      <c r="H399" s="98"/>
    </row>
    <row r="400" spans="1:8" x14ac:dyDescent="0.2">
      <c r="A400" s="96"/>
      <c r="B400" s="97"/>
      <c r="C400" s="97"/>
      <c r="D400" s="97"/>
      <c r="E400" s="97"/>
      <c r="F400" s="97"/>
      <c r="G400" s="97"/>
      <c r="H400" s="98"/>
    </row>
    <row r="401" spans="1:8" x14ac:dyDescent="0.2">
      <c r="A401" s="96"/>
      <c r="B401" s="97"/>
      <c r="C401" s="97"/>
      <c r="D401" s="97"/>
      <c r="E401" s="97"/>
      <c r="F401" s="97"/>
      <c r="G401" s="97"/>
      <c r="H401" s="98"/>
    </row>
    <row r="402" spans="1:8" x14ac:dyDescent="0.2">
      <c r="A402" s="96"/>
      <c r="B402" s="97"/>
      <c r="C402" s="97"/>
      <c r="D402" s="97"/>
      <c r="E402" s="97"/>
      <c r="F402" s="97"/>
      <c r="G402" s="97"/>
      <c r="H402" s="98"/>
    </row>
    <row r="403" spans="1:8" x14ac:dyDescent="0.2">
      <c r="A403" s="96"/>
      <c r="B403" s="97"/>
      <c r="C403" s="97"/>
      <c r="D403" s="97"/>
      <c r="E403" s="97"/>
      <c r="F403" s="97"/>
      <c r="G403" s="97"/>
      <c r="H403" s="98"/>
    </row>
    <row r="404" spans="1:8" x14ac:dyDescent="0.2">
      <c r="A404" s="96"/>
      <c r="B404" s="97"/>
      <c r="C404" s="97"/>
      <c r="D404" s="97"/>
      <c r="E404" s="97"/>
      <c r="F404" s="97"/>
      <c r="G404" s="97"/>
      <c r="H404" s="98"/>
    </row>
    <row r="405" spans="1:8" x14ac:dyDescent="0.2">
      <c r="A405" s="96"/>
      <c r="B405" s="97"/>
      <c r="C405" s="97"/>
      <c r="D405" s="97"/>
      <c r="E405" s="97"/>
      <c r="F405" s="97"/>
      <c r="G405" s="97"/>
      <c r="H405" s="98"/>
    </row>
    <row r="406" spans="1:8" x14ac:dyDescent="0.2">
      <c r="A406" s="96"/>
      <c r="B406" s="97"/>
      <c r="C406" s="97"/>
      <c r="D406" s="97"/>
      <c r="E406" s="97"/>
      <c r="F406" s="97"/>
      <c r="G406" s="97"/>
      <c r="H406" s="98"/>
    </row>
    <row r="407" spans="1:8" x14ac:dyDescent="0.2">
      <c r="A407" s="96"/>
      <c r="B407" s="97"/>
      <c r="C407" s="97"/>
      <c r="D407" s="97"/>
      <c r="E407" s="97"/>
      <c r="F407" s="97"/>
      <c r="G407" s="97"/>
      <c r="H407" s="98"/>
    </row>
    <row r="408" spans="1:8" x14ac:dyDescent="0.2">
      <c r="A408" s="96"/>
      <c r="B408" s="97"/>
      <c r="C408" s="97"/>
      <c r="D408" s="97"/>
      <c r="E408" s="97"/>
      <c r="F408" s="97"/>
      <c r="G408" s="97"/>
      <c r="H408" s="98"/>
    </row>
    <row r="409" spans="1:8" x14ac:dyDescent="0.2">
      <c r="A409" s="96"/>
      <c r="B409" s="97"/>
      <c r="C409" s="97"/>
      <c r="D409" s="97"/>
      <c r="E409" s="97"/>
      <c r="F409" s="97"/>
      <c r="G409" s="97"/>
      <c r="H409" s="98"/>
    </row>
    <row r="410" spans="1:8" x14ac:dyDescent="0.2">
      <c r="A410" s="96"/>
      <c r="B410" s="97"/>
      <c r="C410" s="97"/>
      <c r="D410" s="97"/>
      <c r="E410" s="97"/>
      <c r="F410" s="97"/>
      <c r="G410" s="97"/>
      <c r="H410" s="98"/>
    </row>
    <row r="411" spans="1:8" x14ac:dyDescent="0.2">
      <c r="A411" s="96"/>
      <c r="B411" s="97"/>
      <c r="C411" s="97"/>
      <c r="D411" s="97"/>
      <c r="E411" s="97"/>
      <c r="F411" s="97"/>
      <c r="G411" s="97"/>
      <c r="H411" s="98"/>
    </row>
    <row r="412" spans="1:8" x14ac:dyDescent="0.2">
      <c r="A412" s="96"/>
      <c r="B412" s="97"/>
      <c r="C412" s="97"/>
      <c r="D412" s="97"/>
      <c r="E412" s="97"/>
      <c r="F412" s="97"/>
      <c r="G412" s="97"/>
      <c r="H412" s="98"/>
    </row>
    <row r="413" spans="1:8" x14ac:dyDescent="0.2">
      <c r="A413" s="96"/>
      <c r="B413" s="97"/>
      <c r="C413" s="97"/>
      <c r="D413" s="97"/>
      <c r="E413" s="97"/>
      <c r="F413" s="97"/>
      <c r="G413" s="97"/>
      <c r="H413" s="98"/>
    </row>
    <row r="414" spans="1:8" x14ac:dyDescent="0.2">
      <c r="A414" s="96"/>
      <c r="B414" s="97"/>
      <c r="C414" s="97"/>
      <c r="D414" s="97"/>
      <c r="E414" s="97"/>
      <c r="F414" s="97"/>
      <c r="G414" s="97"/>
      <c r="H414" s="98"/>
    </row>
    <row r="415" spans="1:8" x14ac:dyDescent="0.2">
      <c r="A415" s="96"/>
      <c r="B415" s="97"/>
      <c r="C415" s="97"/>
      <c r="D415" s="97"/>
      <c r="E415" s="97"/>
      <c r="F415" s="97"/>
      <c r="G415" s="97"/>
      <c r="H415" s="98"/>
    </row>
    <row r="416" spans="1:8" x14ac:dyDescent="0.2">
      <c r="A416" s="96"/>
      <c r="B416" s="97"/>
      <c r="C416" s="97"/>
      <c r="D416" s="97"/>
      <c r="E416" s="97"/>
      <c r="F416" s="97"/>
      <c r="G416" s="97"/>
      <c r="H416" s="98"/>
    </row>
    <row r="417" spans="1:8" x14ac:dyDescent="0.2">
      <c r="A417" s="96"/>
      <c r="B417" s="97"/>
      <c r="C417" s="97"/>
      <c r="D417" s="97"/>
      <c r="E417" s="97"/>
      <c r="F417" s="97"/>
      <c r="G417" s="97"/>
      <c r="H417" s="98"/>
    </row>
    <row r="418" spans="1:8" x14ac:dyDescent="0.2">
      <c r="A418" s="96"/>
      <c r="B418" s="97"/>
      <c r="C418" s="97"/>
      <c r="D418" s="97"/>
      <c r="E418" s="97"/>
      <c r="F418" s="97"/>
      <c r="G418" s="97"/>
      <c r="H418" s="98"/>
    </row>
    <row r="419" spans="1:8" x14ac:dyDescent="0.2">
      <c r="A419" s="96"/>
      <c r="B419" s="97"/>
      <c r="C419" s="97"/>
      <c r="D419" s="97"/>
      <c r="E419" s="97"/>
      <c r="F419" s="97"/>
      <c r="G419" s="97"/>
      <c r="H419" s="98"/>
    </row>
    <row r="420" spans="1:8" x14ac:dyDescent="0.2">
      <c r="A420" s="96"/>
      <c r="B420" s="97"/>
      <c r="C420" s="97"/>
      <c r="D420" s="97"/>
      <c r="E420" s="97"/>
      <c r="F420" s="97"/>
      <c r="G420" s="97"/>
      <c r="H420" s="98"/>
    </row>
    <row r="421" spans="1:8" x14ac:dyDescent="0.2">
      <c r="A421" s="96"/>
      <c r="B421" s="97"/>
      <c r="C421" s="97"/>
      <c r="D421" s="97"/>
      <c r="E421" s="97"/>
      <c r="F421" s="97"/>
      <c r="G421" s="97"/>
      <c r="H421" s="98"/>
    </row>
    <row r="422" spans="1:8" x14ac:dyDescent="0.2">
      <c r="A422" s="96"/>
      <c r="B422" s="97"/>
      <c r="C422" s="97"/>
      <c r="D422" s="97"/>
      <c r="E422" s="97"/>
      <c r="F422" s="97"/>
      <c r="G422" s="97"/>
      <c r="H422" s="98"/>
    </row>
    <row r="423" spans="1:8" x14ac:dyDescent="0.2">
      <c r="A423" s="96"/>
      <c r="B423" s="97"/>
      <c r="C423" s="97"/>
      <c r="D423" s="97"/>
      <c r="E423" s="97"/>
      <c r="F423" s="97"/>
      <c r="G423" s="97"/>
      <c r="H423" s="98"/>
    </row>
    <row r="424" spans="1:8" x14ac:dyDescent="0.2">
      <c r="A424" s="96"/>
      <c r="B424" s="97"/>
      <c r="C424" s="97"/>
      <c r="D424" s="97"/>
      <c r="E424" s="97"/>
      <c r="F424" s="97"/>
      <c r="G424" s="97"/>
      <c r="H424" s="98"/>
    </row>
    <row r="425" spans="1:8" x14ac:dyDescent="0.2">
      <c r="A425" s="96"/>
      <c r="B425" s="97"/>
      <c r="C425" s="97"/>
      <c r="D425" s="97"/>
      <c r="E425" s="97"/>
      <c r="F425" s="97"/>
      <c r="G425" s="97"/>
      <c r="H425" s="98"/>
    </row>
    <row r="426" spans="1:8" x14ac:dyDescent="0.2">
      <c r="A426" s="96"/>
      <c r="B426" s="97"/>
      <c r="C426" s="97"/>
      <c r="D426" s="97"/>
      <c r="E426" s="97"/>
      <c r="F426" s="97"/>
      <c r="G426" s="97"/>
      <c r="H426" s="98"/>
    </row>
    <row r="427" spans="1:8" x14ac:dyDescent="0.2">
      <c r="A427" s="96"/>
      <c r="B427" s="97"/>
      <c r="C427" s="97"/>
      <c r="D427" s="97"/>
      <c r="E427" s="97"/>
      <c r="F427" s="97"/>
      <c r="G427" s="97"/>
      <c r="H427" s="98"/>
    </row>
    <row r="428" spans="1:8" x14ac:dyDescent="0.2">
      <c r="A428" s="96"/>
      <c r="B428" s="97"/>
      <c r="C428" s="97"/>
      <c r="D428" s="97"/>
      <c r="E428" s="97"/>
      <c r="F428" s="97"/>
      <c r="G428" s="97"/>
      <c r="H428" s="98"/>
    </row>
    <row r="429" spans="1:8" x14ac:dyDescent="0.2">
      <c r="A429" s="96"/>
      <c r="B429" s="97"/>
      <c r="C429" s="97"/>
      <c r="D429" s="97"/>
      <c r="E429" s="97"/>
      <c r="F429" s="97"/>
      <c r="G429" s="97"/>
      <c r="H429" s="98"/>
    </row>
    <row r="430" spans="1:8" x14ac:dyDescent="0.2">
      <c r="A430" s="96"/>
      <c r="B430" s="97"/>
      <c r="C430" s="97"/>
      <c r="D430" s="97"/>
      <c r="E430" s="97"/>
      <c r="F430" s="97"/>
      <c r="G430" s="97"/>
      <c r="H430" s="98"/>
    </row>
    <row r="431" spans="1:8" x14ac:dyDescent="0.2">
      <c r="A431" s="96"/>
      <c r="B431" s="97"/>
      <c r="C431" s="97"/>
      <c r="D431" s="97"/>
      <c r="E431" s="97"/>
      <c r="F431" s="97"/>
      <c r="G431" s="97"/>
      <c r="H431" s="98"/>
    </row>
    <row r="432" spans="1:8" x14ac:dyDescent="0.2">
      <c r="A432" s="96"/>
      <c r="B432" s="97"/>
      <c r="C432" s="97"/>
      <c r="D432" s="97"/>
      <c r="E432" s="97"/>
      <c r="F432" s="97"/>
      <c r="G432" s="97"/>
      <c r="H432" s="98"/>
    </row>
    <row r="433" spans="1:8" ht="22.5" customHeight="1" x14ac:dyDescent="0.2">
      <c r="A433" s="96"/>
      <c r="B433" s="97"/>
      <c r="C433" s="97"/>
      <c r="D433" s="97"/>
      <c r="E433" s="97"/>
      <c r="F433" s="97"/>
      <c r="G433" s="97"/>
      <c r="H433" s="98"/>
    </row>
    <row r="434" spans="1:8" ht="55.5" customHeight="1" x14ac:dyDescent="0.2">
      <c r="A434" s="103" t="s">
        <v>120</v>
      </c>
      <c r="B434" s="104"/>
      <c r="C434" s="196" t="s">
        <v>275</v>
      </c>
      <c r="D434" s="197"/>
      <c r="E434" s="85" t="s">
        <v>121</v>
      </c>
      <c r="F434" s="85"/>
      <c r="G434" s="84"/>
      <c r="H434" s="84"/>
    </row>
  </sheetData>
  <mergeCells count="524">
    <mergeCell ref="C109:D109"/>
    <mergeCell ref="D112:D113"/>
    <mergeCell ref="A129:A130"/>
    <mergeCell ref="C129:C130"/>
    <mergeCell ref="G105:H105"/>
    <mergeCell ref="A178:H178"/>
    <mergeCell ref="A179:H179"/>
    <mergeCell ref="A194:H194"/>
    <mergeCell ref="A201:H201"/>
    <mergeCell ref="A131:H131"/>
    <mergeCell ref="A149:H149"/>
    <mergeCell ref="A156:H156"/>
    <mergeCell ref="A132:H132"/>
    <mergeCell ref="A133:H133"/>
    <mergeCell ref="A134:H134"/>
    <mergeCell ref="A177:H177"/>
    <mergeCell ref="A135:H135"/>
    <mergeCell ref="A142:H142"/>
    <mergeCell ref="C144:H144"/>
    <mergeCell ref="A163:H163"/>
    <mergeCell ref="C165:H165"/>
    <mergeCell ref="A187:H187"/>
    <mergeCell ref="C188:H188"/>
    <mergeCell ref="A434:B434"/>
    <mergeCell ref="C434:D434"/>
    <mergeCell ref="A330:B330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B264:H264"/>
    <mergeCell ref="A377:H377"/>
    <mergeCell ref="A378:H378"/>
    <mergeCell ref="A379:H379"/>
    <mergeCell ref="A380:H380"/>
    <mergeCell ref="A381:H381"/>
    <mergeCell ref="A382:H382"/>
    <mergeCell ref="A383:H383"/>
    <mergeCell ref="A359:H359"/>
    <mergeCell ref="A360:H360"/>
    <mergeCell ref="A361:H361"/>
    <mergeCell ref="A362:H362"/>
    <mergeCell ref="A363:H363"/>
    <mergeCell ref="A350:H350"/>
    <mergeCell ref="A351:H351"/>
    <mergeCell ref="A352:H352"/>
    <mergeCell ref="A353:H353"/>
    <mergeCell ref="A354:H354"/>
    <mergeCell ref="A355:H355"/>
    <mergeCell ref="A358:H358"/>
    <mergeCell ref="C330:H330"/>
    <mergeCell ref="A331:H331"/>
    <mergeCell ref="A332:H332"/>
    <mergeCell ref="A262:E262"/>
    <mergeCell ref="F262:H262"/>
    <mergeCell ref="A277:H277"/>
    <mergeCell ref="A232:B232"/>
    <mergeCell ref="A233:B233"/>
    <mergeCell ref="A235:B235"/>
    <mergeCell ref="A236:B236"/>
    <mergeCell ref="A237:B237"/>
    <mergeCell ref="A238:B238"/>
    <mergeCell ref="A239:B239"/>
    <mergeCell ref="A240:B240"/>
    <mergeCell ref="A241:B241"/>
    <mergeCell ref="F261:H261"/>
    <mergeCell ref="A247:H247"/>
    <mergeCell ref="A242:B242"/>
    <mergeCell ref="A243:B243"/>
    <mergeCell ref="A244:B244"/>
    <mergeCell ref="A245:B245"/>
    <mergeCell ref="A246:B246"/>
    <mergeCell ref="A248:B248"/>
    <mergeCell ref="A249:B249"/>
    <mergeCell ref="A250:B250"/>
    <mergeCell ref="A251:B251"/>
    <mergeCell ref="B273:H273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22:B222"/>
    <mergeCell ref="A208:H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128:H128"/>
    <mergeCell ref="A111:H111"/>
    <mergeCell ref="B112:B113"/>
    <mergeCell ref="B129:B130"/>
    <mergeCell ref="A125:B125"/>
    <mergeCell ref="A126:B126"/>
    <mergeCell ref="A127:B127"/>
    <mergeCell ref="E129:E130"/>
    <mergeCell ref="F129:F130"/>
    <mergeCell ref="A180:H180"/>
    <mergeCell ref="C202:H202"/>
    <mergeCell ref="A170:H170"/>
    <mergeCell ref="C108:D108"/>
    <mergeCell ref="D129:D130"/>
    <mergeCell ref="A103:B103"/>
    <mergeCell ref="A108:B108"/>
    <mergeCell ref="A109:B109"/>
    <mergeCell ref="A115:H115"/>
    <mergeCell ref="A116:B116"/>
    <mergeCell ref="A117:B117"/>
    <mergeCell ref="A118:B118"/>
    <mergeCell ref="A121:B121"/>
    <mergeCell ref="A122:B122"/>
    <mergeCell ref="A123:B123"/>
    <mergeCell ref="A124:B124"/>
    <mergeCell ref="A119:B119"/>
    <mergeCell ref="A120:B120"/>
    <mergeCell ref="A112:A113"/>
    <mergeCell ref="C112:C113"/>
    <mergeCell ref="E112:E113"/>
    <mergeCell ref="F112:F113"/>
    <mergeCell ref="E103:F103"/>
    <mergeCell ref="G103:H103"/>
    <mergeCell ref="E107:F107"/>
    <mergeCell ref="G107:H107"/>
    <mergeCell ref="C96:D96"/>
    <mergeCell ref="C97:D97"/>
    <mergeCell ref="C99:D99"/>
    <mergeCell ref="C100:D100"/>
    <mergeCell ref="C101:D101"/>
    <mergeCell ref="C103:D103"/>
    <mergeCell ref="A102:H102"/>
    <mergeCell ref="C105:D105"/>
    <mergeCell ref="C107:D107"/>
    <mergeCell ref="C104:D104"/>
    <mergeCell ref="E104:F104"/>
    <mergeCell ref="G104:H104"/>
    <mergeCell ref="C106:D106"/>
    <mergeCell ref="E106:F106"/>
    <mergeCell ref="C54:H54"/>
    <mergeCell ref="C61:H61"/>
    <mergeCell ref="A63:B63"/>
    <mergeCell ref="A53:B53"/>
    <mergeCell ref="C53:H53"/>
    <mergeCell ref="C48:H48"/>
    <mergeCell ref="A64:B64"/>
    <mergeCell ref="A59:D60"/>
    <mergeCell ref="E105:F105"/>
    <mergeCell ref="A73:D74"/>
    <mergeCell ref="G3:H3"/>
    <mergeCell ref="G4:H4"/>
    <mergeCell ref="G5:H5"/>
    <mergeCell ref="C31:D31"/>
    <mergeCell ref="C32:D32"/>
    <mergeCell ref="A25:B25"/>
    <mergeCell ref="A26:B26"/>
    <mergeCell ref="A27:B27"/>
    <mergeCell ref="A28:B28"/>
    <mergeCell ref="A29:B29"/>
    <mergeCell ref="A30:B30"/>
    <mergeCell ref="A31:B34"/>
    <mergeCell ref="A7:B7"/>
    <mergeCell ref="A8:B8"/>
    <mergeCell ref="A9:B9"/>
    <mergeCell ref="A10:B10"/>
    <mergeCell ref="A11:B11"/>
    <mergeCell ref="A12:B12"/>
    <mergeCell ref="A13:B13"/>
    <mergeCell ref="A14:B14"/>
    <mergeCell ref="C33:D33"/>
    <mergeCell ref="C34:D34"/>
    <mergeCell ref="A72:B72"/>
    <mergeCell ref="A87:B87"/>
    <mergeCell ref="A89:B89"/>
    <mergeCell ref="A90:B90"/>
    <mergeCell ref="A91:B91"/>
    <mergeCell ref="A92:B92"/>
    <mergeCell ref="A93:B93"/>
    <mergeCell ref="C3:E3"/>
    <mergeCell ref="C4:E4"/>
    <mergeCell ref="C5:E5"/>
    <mergeCell ref="C36:D36"/>
    <mergeCell ref="C50:D50"/>
    <mergeCell ref="C51:D51"/>
    <mergeCell ref="C52:D52"/>
    <mergeCell ref="C62:D62"/>
    <mergeCell ref="C63:D63"/>
    <mergeCell ref="C64:D64"/>
    <mergeCell ref="C42:F42"/>
    <mergeCell ref="E57:F57"/>
    <mergeCell ref="C55:H55"/>
    <mergeCell ref="A58:H58"/>
    <mergeCell ref="G57:H57"/>
    <mergeCell ref="C57:D57"/>
    <mergeCell ref="A54:B54"/>
    <mergeCell ref="A35:B35"/>
    <mergeCell ref="A36:B36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15:B15"/>
    <mergeCell ref="E108:F108"/>
    <mergeCell ref="G108:H108"/>
    <mergeCell ref="E109:F109"/>
    <mergeCell ref="G109:H109"/>
    <mergeCell ref="C29:H29"/>
    <mergeCell ref="C30:H30"/>
    <mergeCell ref="A37:B37"/>
    <mergeCell ref="A38:B38"/>
    <mergeCell ref="A40:B45"/>
    <mergeCell ref="A46:B46"/>
    <mergeCell ref="A47:B47"/>
    <mergeCell ref="A50:B52"/>
    <mergeCell ref="A55:B55"/>
    <mergeCell ref="A57:B57"/>
    <mergeCell ref="A62:B62"/>
    <mergeCell ref="C43:F43"/>
    <mergeCell ref="G43:H43"/>
    <mergeCell ref="C45:F45"/>
    <mergeCell ref="G45:H45"/>
    <mergeCell ref="G62:H62"/>
    <mergeCell ref="G63:H72"/>
    <mergeCell ref="E92:F92"/>
    <mergeCell ref="F18:H18"/>
    <mergeCell ref="A369:H369"/>
    <mergeCell ref="A370:H370"/>
    <mergeCell ref="A371:H371"/>
    <mergeCell ref="A372:H372"/>
    <mergeCell ref="A373:H373"/>
    <mergeCell ref="A374:H374"/>
    <mergeCell ref="A375:H375"/>
    <mergeCell ref="A376:H376"/>
    <mergeCell ref="A364:H364"/>
    <mergeCell ref="A365:H365"/>
    <mergeCell ref="A366:H366"/>
    <mergeCell ref="A367:H367"/>
    <mergeCell ref="A260:H260"/>
    <mergeCell ref="A356:H356"/>
    <mergeCell ref="A357:H357"/>
    <mergeCell ref="A261:E261"/>
    <mergeCell ref="A114:H114"/>
    <mergeCell ref="A221:H221"/>
    <mergeCell ref="A234:H234"/>
    <mergeCell ref="A66:B66"/>
    <mergeCell ref="A67:B67"/>
    <mergeCell ref="A94:B94"/>
    <mergeCell ref="A95:B95"/>
    <mergeCell ref="A96:B96"/>
    <mergeCell ref="A97:B97"/>
    <mergeCell ref="C75:H75"/>
    <mergeCell ref="A76:B76"/>
    <mergeCell ref="C76:D76"/>
    <mergeCell ref="G76:H76"/>
    <mergeCell ref="A77:B77"/>
    <mergeCell ref="C77:D77"/>
    <mergeCell ref="G77:H86"/>
    <mergeCell ref="A78:B78"/>
    <mergeCell ref="C78:D78"/>
    <mergeCell ref="A86:B86"/>
    <mergeCell ref="C71:D71"/>
    <mergeCell ref="C13:H13"/>
    <mergeCell ref="C14:H14"/>
    <mergeCell ref="C15:H15"/>
    <mergeCell ref="C18:E18"/>
    <mergeCell ref="C11:H11"/>
    <mergeCell ref="C12:H12"/>
    <mergeCell ref="A5:B5"/>
    <mergeCell ref="E434:F434"/>
    <mergeCell ref="G434:H434"/>
    <mergeCell ref="C87:H87"/>
    <mergeCell ref="A88:H88"/>
    <mergeCell ref="E89:F89"/>
    <mergeCell ref="E90:F90"/>
    <mergeCell ref="E97:F97"/>
    <mergeCell ref="A110:H110"/>
    <mergeCell ref="A333:H333"/>
    <mergeCell ref="A334:H334"/>
    <mergeCell ref="A335:H335"/>
    <mergeCell ref="A336:H336"/>
    <mergeCell ref="A337:H337"/>
    <mergeCell ref="A338:H338"/>
    <mergeCell ref="A339:H339"/>
    <mergeCell ref="A340:H340"/>
    <mergeCell ref="A341:H341"/>
    <mergeCell ref="G40:H40"/>
    <mergeCell ref="C41:F41"/>
    <mergeCell ref="C44:F44"/>
    <mergeCell ref="G44:H44"/>
    <mergeCell ref="C38:H38"/>
    <mergeCell ref="G42:H42"/>
    <mergeCell ref="E52:H52"/>
    <mergeCell ref="A1:H1"/>
    <mergeCell ref="C23:H23"/>
    <mergeCell ref="C22:H22"/>
    <mergeCell ref="C26:H26"/>
    <mergeCell ref="C17:H17"/>
    <mergeCell ref="C16:H16"/>
    <mergeCell ref="C25:H25"/>
    <mergeCell ref="C10:H10"/>
    <mergeCell ref="A6:H6"/>
    <mergeCell ref="C20:H20"/>
    <mergeCell ref="C21:H21"/>
    <mergeCell ref="C24:H24"/>
    <mergeCell ref="A2:H2"/>
    <mergeCell ref="C7:H7"/>
    <mergeCell ref="C8:H8"/>
    <mergeCell ref="C19:H19"/>
    <mergeCell ref="C9:H9"/>
    <mergeCell ref="G106:H106"/>
    <mergeCell ref="A104:A105"/>
    <mergeCell ref="A106:A107"/>
    <mergeCell ref="A84:B84"/>
    <mergeCell ref="C84:D84"/>
    <mergeCell ref="A85:B85"/>
    <mergeCell ref="C85:D85"/>
    <mergeCell ref="C27:E27"/>
    <mergeCell ref="A56:H56"/>
    <mergeCell ref="C46:H46"/>
    <mergeCell ref="C47:H47"/>
    <mergeCell ref="C49:H49"/>
    <mergeCell ref="E50:H50"/>
    <mergeCell ref="E51:H51"/>
    <mergeCell ref="G41:H41"/>
    <mergeCell ref="C37:H37"/>
    <mergeCell ref="C28:E28"/>
    <mergeCell ref="E36:F36"/>
    <mergeCell ref="G27:H27"/>
    <mergeCell ref="G28:H28"/>
    <mergeCell ref="C35:H35"/>
    <mergeCell ref="G36:H36"/>
    <mergeCell ref="A39:H39"/>
    <mergeCell ref="C40:F40"/>
    <mergeCell ref="G96:H96"/>
    <mergeCell ref="G97:H97"/>
    <mergeCell ref="E96:F96"/>
    <mergeCell ref="A99:B99"/>
    <mergeCell ref="A100:B100"/>
    <mergeCell ref="A101:B101"/>
    <mergeCell ref="C65:D65"/>
    <mergeCell ref="C66:D66"/>
    <mergeCell ref="C67:D67"/>
    <mergeCell ref="C68:D68"/>
    <mergeCell ref="C69:D69"/>
    <mergeCell ref="C70:D70"/>
    <mergeCell ref="C72:D72"/>
    <mergeCell ref="C89:D89"/>
    <mergeCell ref="C90:D90"/>
    <mergeCell ref="C91:D91"/>
    <mergeCell ref="C92:D92"/>
    <mergeCell ref="C93:D93"/>
    <mergeCell ref="C94:D94"/>
    <mergeCell ref="A98:H98"/>
    <mergeCell ref="A68:B68"/>
    <mergeCell ref="A69:B69"/>
    <mergeCell ref="A70:B70"/>
    <mergeCell ref="A71:B71"/>
    <mergeCell ref="A278:H278"/>
    <mergeCell ref="A279:H279"/>
    <mergeCell ref="A280:H280"/>
    <mergeCell ref="A281:H281"/>
    <mergeCell ref="A282:H282"/>
    <mergeCell ref="A263:H263"/>
    <mergeCell ref="B265:H265"/>
    <mergeCell ref="B266:H266"/>
    <mergeCell ref="B267:H267"/>
    <mergeCell ref="B268:H268"/>
    <mergeCell ref="B270:H270"/>
    <mergeCell ref="B271:H271"/>
    <mergeCell ref="B272:H272"/>
    <mergeCell ref="B275:H275"/>
    <mergeCell ref="A276:B276"/>
    <mergeCell ref="B269:E269"/>
    <mergeCell ref="B274:H274"/>
    <mergeCell ref="C276:H276"/>
    <mergeCell ref="A283:H283"/>
    <mergeCell ref="A284:H284"/>
    <mergeCell ref="A285:H285"/>
    <mergeCell ref="A286:H286"/>
    <mergeCell ref="A287:H287"/>
    <mergeCell ref="A288:H288"/>
    <mergeCell ref="A289:H289"/>
    <mergeCell ref="A290:H290"/>
    <mergeCell ref="A291:H291"/>
    <mergeCell ref="A292:H292"/>
    <mergeCell ref="A293:H293"/>
    <mergeCell ref="A294:H294"/>
    <mergeCell ref="A295:H295"/>
    <mergeCell ref="A296:H296"/>
    <mergeCell ref="A297:H297"/>
    <mergeCell ref="A298:H298"/>
    <mergeCell ref="A299:H299"/>
    <mergeCell ref="A300:H300"/>
    <mergeCell ref="A301:H301"/>
    <mergeCell ref="A302:H302"/>
    <mergeCell ref="A303:H303"/>
    <mergeCell ref="A304:H304"/>
    <mergeCell ref="A305:H305"/>
    <mergeCell ref="A306:H306"/>
    <mergeCell ref="A307:H307"/>
    <mergeCell ref="A308:H308"/>
    <mergeCell ref="A309:H309"/>
    <mergeCell ref="A310:H310"/>
    <mergeCell ref="A311:H311"/>
    <mergeCell ref="A312:H312"/>
    <mergeCell ref="A313:H313"/>
    <mergeCell ref="A314:H314"/>
    <mergeCell ref="A315:H315"/>
    <mergeCell ref="A316:H316"/>
    <mergeCell ref="A317:H317"/>
    <mergeCell ref="A318:H318"/>
    <mergeCell ref="A384:H384"/>
    <mergeCell ref="A385:H385"/>
    <mergeCell ref="A386:H386"/>
    <mergeCell ref="A387:H387"/>
    <mergeCell ref="A328:H328"/>
    <mergeCell ref="A329:H329"/>
    <mergeCell ref="A319:H319"/>
    <mergeCell ref="A320:H320"/>
    <mergeCell ref="A321:H321"/>
    <mergeCell ref="A322:H322"/>
    <mergeCell ref="A323:H323"/>
    <mergeCell ref="A324:H324"/>
    <mergeCell ref="A325:H325"/>
    <mergeCell ref="A326:H326"/>
    <mergeCell ref="A327:H327"/>
    <mergeCell ref="A342:H342"/>
    <mergeCell ref="A343:H343"/>
    <mergeCell ref="A344:H344"/>
    <mergeCell ref="A345:H345"/>
    <mergeCell ref="A346:H346"/>
    <mergeCell ref="A347:H347"/>
    <mergeCell ref="A348:H348"/>
    <mergeCell ref="A349:H349"/>
    <mergeCell ref="A368:H368"/>
    <mergeCell ref="A407:H407"/>
    <mergeCell ref="A388:H388"/>
    <mergeCell ref="A389:H389"/>
    <mergeCell ref="A390:H390"/>
    <mergeCell ref="A391:H391"/>
    <mergeCell ref="A392:H392"/>
    <mergeCell ref="A393:H393"/>
    <mergeCell ref="A394:H394"/>
    <mergeCell ref="A395:H395"/>
    <mergeCell ref="A396:H396"/>
    <mergeCell ref="A397:H397"/>
    <mergeCell ref="A398:H398"/>
    <mergeCell ref="A399:H399"/>
    <mergeCell ref="A400:H400"/>
    <mergeCell ref="A401:H401"/>
    <mergeCell ref="A402:H402"/>
    <mergeCell ref="A403:H403"/>
    <mergeCell ref="A404:H404"/>
    <mergeCell ref="A405:H405"/>
    <mergeCell ref="A406:H406"/>
    <mergeCell ref="A421:H421"/>
    <mergeCell ref="A422:H422"/>
    <mergeCell ref="A423:H423"/>
    <mergeCell ref="A433:H433"/>
    <mergeCell ref="A424:H424"/>
    <mergeCell ref="A425:H425"/>
    <mergeCell ref="A426:H426"/>
    <mergeCell ref="A427:H427"/>
    <mergeCell ref="A428:H428"/>
    <mergeCell ref="A429:H429"/>
    <mergeCell ref="A430:H430"/>
    <mergeCell ref="A431:H431"/>
    <mergeCell ref="A432:H432"/>
    <mergeCell ref="A415:H415"/>
    <mergeCell ref="A416:H416"/>
    <mergeCell ref="A417:H417"/>
    <mergeCell ref="A418:H418"/>
    <mergeCell ref="A419:H419"/>
    <mergeCell ref="A420:H420"/>
    <mergeCell ref="A408:H408"/>
    <mergeCell ref="A409:H409"/>
    <mergeCell ref="A410:H410"/>
    <mergeCell ref="A411:H411"/>
    <mergeCell ref="A412:H412"/>
    <mergeCell ref="A413:H413"/>
    <mergeCell ref="A414:H414"/>
    <mergeCell ref="A48:B49"/>
    <mergeCell ref="E91:F91"/>
    <mergeCell ref="E99:F99"/>
    <mergeCell ref="G99:H99"/>
    <mergeCell ref="E100:F100"/>
    <mergeCell ref="G100:H100"/>
    <mergeCell ref="E101:F101"/>
    <mergeCell ref="G101:H101"/>
    <mergeCell ref="C95:D95"/>
    <mergeCell ref="C86:D86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65:B65"/>
    <mergeCell ref="E93:F93"/>
    <mergeCell ref="E94:F94"/>
    <mergeCell ref="E95:F95"/>
  </mergeCells>
  <dataValidations count="6">
    <dataValidation type="list" allowBlank="1" showInputMessage="1" showErrorMessage="1" sqref="A9:B9">
      <formula1>"CTS No,New Survey No,Plot No,Gut No,FP No,"</formula1>
    </dataValidation>
    <dataValidation type="list" allowBlank="1" showInputMessage="1" showErrorMessage="1" sqref="B129">
      <formula1>"Flat No. (Sale Plan),Sale / Rehab,Sale / Mhada"</formula1>
    </dataValidation>
    <dataValidation type="list" allowBlank="1" showInputMessage="1" showErrorMessage="1" sqref="D112 D129">
      <formula1>"Carpet area,RERA Carpet area"</formula1>
    </dataValidation>
    <dataValidation type="list" allowBlank="1" showInputMessage="1" showErrorMessage="1" sqref="E129:E130">
      <formula1>"Fungible area,Balcony/AP Area,Chajja Area,Cornice Area,AP Area,WS Area"</formula1>
    </dataValidation>
    <dataValidation type="list" allowBlank="1" showInputMessage="1" showErrorMessage="1" sqref="E112:E113">
      <formula1>"Attached Loft area,Attached Otla area,Attached Mezzanine area"</formula1>
    </dataValidation>
    <dataValidation type="list" allowBlank="1" showInputMessage="1" showErrorMessage="1" sqref="B112">
      <formula1>"Shop No. (Sale Plan),Sale / Rehab,Sale / Mhada"</formula1>
    </dataValidation>
  </dataValidations>
  <hyperlinks>
    <hyperlink ref="C19" r:id="rId1"/>
  </hyperlinks>
  <printOptions horizontalCentered="1"/>
  <pageMargins left="0.23622047244094491" right="0.23622047244094491" top="0.78740157480314965" bottom="0.70866141732283472" header="0.19685039370078741" footer="0.19685039370078741"/>
  <pageSetup paperSize="2" scale="96" fitToHeight="0" orientation="portrait" r:id="rId2"/>
  <headerFooter>
    <oddHeader>&amp;C&amp;G</oddHeader>
    <oddFooter>&amp;L&amp;"Times New Roman,Bold"&amp;F&amp;R&amp;"Times New Roman,Bold"&amp;P</oddFooter>
  </headerFooter>
  <rowBreaks count="4" manualBreakCount="4">
    <brk id="30" max="7" man="1"/>
    <brk id="275" max="16383" man="1"/>
    <brk id="329" max="16383" man="1"/>
    <brk id="383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115" zoomScaleNormal="115" workbookViewId="0">
      <selection activeCell="C1" sqref="A1:XFD13"/>
    </sheetView>
  </sheetViews>
  <sheetFormatPr defaultRowHeight="15" x14ac:dyDescent="0.25"/>
  <cols>
    <col min="1" max="1" width="24.140625" customWidth="1"/>
    <col min="2" max="6" width="17.5703125" customWidth="1"/>
    <col min="7" max="7" width="10.42578125" customWidth="1"/>
  </cols>
  <sheetData>
    <row r="1" spans="1:8" x14ac:dyDescent="0.25">
      <c r="A1" s="233" t="s">
        <v>115</v>
      </c>
      <c r="B1" s="234"/>
      <c r="C1" s="9" t="s">
        <v>60</v>
      </c>
      <c r="D1" s="9" t="s">
        <v>61</v>
      </c>
      <c r="E1" s="9" t="s">
        <v>62</v>
      </c>
      <c r="F1" s="10" t="s">
        <v>48</v>
      </c>
    </row>
    <row r="2" spans="1:8" x14ac:dyDescent="0.25">
      <c r="A2" s="235"/>
      <c r="B2" s="236"/>
      <c r="C2" s="7">
        <v>0</v>
      </c>
      <c r="D2" s="26">
        <v>1</v>
      </c>
      <c r="E2" s="7">
        <v>0</v>
      </c>
      <c r="F2" s="8">
        <f ca="1">--TRIM(RIGHT(SUBSTITUTE(LEFT(A1,_xlfn.AGGREGATE(16,6,FIND({0,1,2,3,4,5,6,7,8,9},A1,ROW(INDIRECT("1:"&amp;LEN(A1)))),1))," ",REPT(" ",LEN(A1))),LEN(A1)))</f>
        <v>3</v>
      </c>
    </row>
    <row r="3" spans="1:8" x14ac:dyDescent="0.25">
      <c r="A3" s="2" t="s">
        <v>63</v>
      </c>
      <c r="B3" s="3" t="s">
        <v>64</v>
      </c>
      <c r="C3" s="24" t="s">
        <v>65</v>
      </c>
      <c r="D3" s="27" t="s">
        <v>58</v>
      </c>
      <c r="E3" s="237" t="s">
        <v>136</v>
      </c>
      <c r="F3" s="238"/>
      <c r="G3" s="36" t="s">
        <v>66</v>
      </c>
      <c r="H3" s="31">
        <f ca="1">F2*25%</f>
        <v>0.75</v>
      </c>
    </row>
    <row r="4" spans="1:8" x14ac:dyDescent="0.25">
      <c r="A4" s="2" t="s">
        <v>67</v>
      </c>
      <c r="B4" s="4">
        <f ca="1">H5</f>
        <v>3</v>
      </c>
      <c r="C4" s="25">
        <f ca="1">((100/F2)*B4)/100</f>
        <v>1</v>
      </c>
      <c r="D4" s="29" t="str">
        <f ca="1">IF(C13=100%,"All work Completed. Possession granted to the Building.",IF(C12=100%,"All work Completed, Waiting for OC",D10&amp;""&amp;D11&amp;""&amp;D9&amp;""&amp;D12&amp;" "&amp;D13))</f>
        <v xml:space="preserve">Excavation, Plinth, RCC Slab, Brickwork Completed </v>
      </c>
      <c r="E4" s="239" t="str">
        <f ca="1">D4</f>
        <v xml:space="preserve">Excavation, Plinth, RCC Slab, Brickwork Completed </v>
      </c>
      <c r="F4" s="240"/>
      <c r="G4" s="1" t="s">
        <v>68</v>
      </c>
      <c r="H4" s="32">
        <f ca="1">F2*50%</f>
        <v>1.5</v>
      </c>
    </row>
    <row r="5" spans="1:8" x14ac:dyDescent="0.25">
      <c r="A5" s="2" t="s">
        <v>69</v>
      </c>
      <c r="B5" s="5">
        <f ca="1">H13</f>
        <v>3</v>
      </c>
      <c r="C5" s="25">
        <f ca="1">((100/F2)*B5)/100</f>
        <v>1</v>
      </c>
      <c r="D5" s="30"/>
      <c r="E5" s="241"/>
      <c r="F5" s="242"/>
      <c r="G5" s="1" t="s">
        <v>70</v>
      </c>
      <c r="H5" s="32">
        <f ca="1">F2</f>
        <v>3</v>
      </c>
    </row>
    <row r="6" spans="1:8" x14ac:dyDescent="0.25">
      <c r="A6" s="2" t="s">
        <v>71</v>
      </c>
      <c r="B6" s="5">
        <v>4</v>
      </c>
      <c r="C6" s="25">
        <f ca="1">((100/(D2+E2+F2))*B6)/100</f>
        <v>1</v>
      </c>
      <c r="D6" s="30"/>
      <c r="E6" s="241"/>
      <c r="F6" s="242"/>
      <c r="G6" s="1" t="s">
        <v>72</v>
      </c>
      <c r="H6" s="33">
        <f ca="1">(IF(C2&gt;1,(F2/(C2+2)),F2/4))</f>
        <v>0.75</v>
      </c>
    </row>
    <row r="7" spans="1:8" x14ac:dyDescent="0.25">
      <c r="A7" s="2" t="s">
        <v>73</v>
      </c>
      <c r="B7" s="4">
        <v>3</v>
      </c>
      <c r="C7" s="25">
        <f ca="1">((100/F2)*B7)/100</f>
        <v>1</v>
      </c>
      <c r="D7" s="30"/>
      <c r="E7" s="241"/>
      <c r="F7" s="242"/>
      <c r="G7" s="1" t="s">
        <v>74</v>
      </c>
      <c r="H7" s="33">
        <f ca="1">(IF(C2&gt;1,(F2/(C2+2)+H6),F2/4+H6))</f>
        <v>1.5</v>
      </c>
    </row>
    <row r="8" spans="1:8" x14ac:dyDescent="0.25">
      <c r="A8" s="2" t="s">
        <v>75</v>
      </c>
      <c r="B8" s="4">
        <v>0</v>
      </c>
      <c r="C8" s="25">
        <f ca="1">((100/F2)*B8)/100</f>
        <v>0</v>
      </c>
      <c r="D8" s="28">
        <f ca="1">(((B5/F2*10)+(40/(D2+E2+F2)*B6)+(15/(F2)*B7)+(5/(F2)*B8)+(5/F2*B9)+(10/F2*B10)+(5/F2*B11)+(5/F2*B12)+(5/F2*B13))/100)</f>
        <v>0.65</v>
      </c>
      <c r="E8" s="241"/>
      <c r="F8" s="242"/>
      <c r="G8" s="1" t="s">
        <v>76</v>
      </c>
      <c r="H8" s="33">
        <f>(IF(C2&gt;1,(F2/(C2+2)+H7),0))</f>
        <v>0</v>
      </c>
    </row>
    <row r="9" spans="1:8" x14ac:dyDescent="0.25">
      <c r="A9" s="2" t="s">
        <v>77</v>
      </c>
      <c r="B9" s="4">
        <v>0</v>
      </c>
      <c r="C9" s="25">
        <f ca="1">((100/(F2))*B9)/100</f>
        <v>0</v>
      </c>
      <c r="D9" s="30" t="str">
        <f ca="1">(IF(B4=0,"Work not yet Started.",IF(C4=25%,"Piling work in process",IF(C4=50%,"Excavation work in process",IF(C4=100%,"","0")))))&amp;(IF(B5=0%,"",IF(B5=H6,", Footing work is process",IF(B5=H7,", Footing work Completed",IF(B5=H8,", 1st Basement Completed",IF(B5=H9,", 1st &amp; 2nd Basement Completed",IF(B5=H10,", 1st to 3rd Basement Completed",IF(B5=H11,", 1st to 4th Basement Completed",IF(B5=H12,", Plinth work is process",IF(B5=H13,"","0"))))))))))</f>
        <v/>
      </c>
      <c r="E9" s="241"/>
      <c r="F9" s="242"/>
      <c r="G9" s="1" t="s">
        <v>78</v>
      </c>
      <c r="H9" s="33">
        <f>(IF(C2&gt;2,(F2/(C2+2)+H8),0))</f>
        <v>0</v>
      </c>
    </row>
    <row r="10" spans="1:8" x14ac:dyDescent="0.25">
      <c r="A10" s="2" t="s">
        <v>79</v>
      </c>
      <c r="B10" s="4">
        <v>0</v>
      </c>
      <c r="C10" s="25">
        <f ca="1">((100/F2)*B10)/100</f>
        <v>0</v>
      </c>
      <c r="D10" s="30" t="str">
        <f ca="1">IF(C4=100%,"Excavation","")&amp;IF(C5=100%,", Plinth","")&amp;IF(C6=100%,", RCC Slab","")&amp;IF(C7=100%,", Brickwork","")&amp;IF(C8=100%,", Internal Plaster","")&amp;IF(C9=100%,", External Plaster","")&amp;IF(C10=100%,", Flooring","")&amp;IF(C11=100%,", Painting","")&amp;IF(C12=100%,", Building common Amenities","")</f>
        <v>Excavation, Plinth, RCC Slab, Brickwork</v>
      </c>
      <c r="E10" s="241"/>
      <c r="F10" s="242"/>
      <c r="G10" s="1" t="s">
        <v>80</v>
      </c>
      <c r="H10" s="34">
        <f>(IF(C2&gt;3,(F2/(C2+2)+H9),0))</f>
        <v>0</v>
      </c>
    </row>
    <row r="11" spans="1:8" x14ac:dyDescent="0.25">
      <c r="A11" s="2" t="s">
        <v>81</v>
      </c>
      <c r="B11" s="4">
        <v>0</v>
      </c>
      <c r="C11" s="25">
        <f ca="1">((100/F2)*B11)/100</f>
        <v>0</v>
      </c>
      <c r="D11" s="30" t="str">
        <f ca="1">IF(D10&lt;&gt;""," Completed","")</f>
        <v xml:space="preserve"> Completed</v>
      </c>
      <c r="E11" s="241"/>
      <c r="F11" s="242"/>
      <c r="G11" s="1" t="s">
        <v>82</v>
      </c>
      <c r="H11" s="33">
        <f>(IF(C2&gt;4,(F2/(C2+2)+H10),0))</f>
        <v>0</v>
      </c>
    </row>
    <row r="12" spans="1:8" x14ac:dyDescent="0.25">
      <c r="A12" s="2" t="s">
        <v>83</v>
      </c>
      <c r="B12" s="4">
        <v>0</v>
      </c>
      <c r="C12" s="25">
        <f ca="1">((100/(F2))*B12)/100</f>
        <v>0</v>
      </c>
      <c r="D12" s="30" t="str">
        <f ca="1">(IF(B6=(D2+E2+F2),"",IF(B6&gt;0,", RCC upto "&amp;B6&amp;" Slab","")))&amp;(IF(B7=F2,"",IF(B7&gt;0,", Brickwork upto "&amp;B7&amp;" Floor","")))&amp;(IF(B8=F2,"",IF(B8&gt;0,", Internal Plaster upto "&amp;B8&amp;" Floor","")))&amp;(IF(B9=F2,"",IF(B9&gt;0,", External Plaster upto "&amp;B9&amp;" Floor","")))&amp;(IF(B10=F2,"",IF(B10&gt;0,", Flooring upto "&amp;B10&amp;" Floor","")))&amp;(IF(B11=F2,"",IF(B11&gt;0,", Painting upto "&amp;B11&amp;" Floor","")))&amp;(IF(B12=F2,"",IF(B12&gt;0,", Finishing upto "&amp;B12&amp;" Floor","")))&amp;(IF(B13=F2,"",IF(B13&gt;0,", Possession upto "&amp;B13&amp;" Floor","")))</f>
        <v/>
      </c>
      <c r="E12" s="241"/>
      <c r="F12" s="242"/>
      <c r="G12" s="1" t="s">
        <v>84</v>
      </c>
      <c r="H12" s="33">
        <f ca="1">(IF(C2=1,(F2/(C2+3)+H7),IF(C2=0,(F2/4+H7),IF(C2&gt;1,0))))</f>
        <v>2.25</v>
      </c>
    </row>
    <row r="13" spans="1:8" ht="15.75" thickBot="1" x14ac:dyDescent="0.3">
      <c r="A13" s="38" t="s">
        <v>85</v>
      </c>
      <c r="B13" s="39">
        <v>0</v>
      </c>
      <c r="C13" s="40">
        <f ca="1">((100/(F2))*B13)/100</f>
        <v>0</v>
      </c>
      <c r="D13" s="41" t="str">
        <f ca="1">IF(D12&lt;&gt;"","Completed","")</f>
        <v/>
      </c>
      <c r="E13" s="243"/>
      <c r="F13" s="244"/>
      <c r="G13" s="37" t="s">
        <v>86</v>
      </c>
      <c r="H13" s="35">
        <f ca="1">(IF(C2&gt;1.5,(F2/(C2+2)+H7+MAX(0,H8-H7)+MAX(0,H9-H8)+MAX(0,H10-H9)+MAX(0,H11-H10)+MAX(0,H12-H11)),IF(C2=1,(F2/(C2+3)+H12),IF(C2=0,F2/4+H12))))</f>
        <v>3</v>
      </c>
    </row>
  </sheetData>
  <mergeCells count="3">
    <mergeCell ref="A1:B2"/>
    <mergeCell ref="E3:F3"/>
    <mergeCell ref="E4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Report</vt:lpstr>
      <vt:lpstr>C%</vt:lpstr>
      <vt:lpstr>Report!Print_Area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MANGESH AMDEKAR</dc:creator>
  <cp:lastModifiedBy>Welcome</cp:lastModifiedBy>
  <cp:lastPrinted>2025-09-10T05:34:44Z</cp:lastPrinted>
  <dcterms:created xsi:type="dcterms:W3CDTF">2019-01-21T04:29:02Z</dcterms:created>
  <dcterms:modified xsi:type="dcterms:W3CDTF">2025-09-10T05:52:59Z</dcterms:modified>
</cp:coreProperties>
</file>