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SJC-06\Downloads\APF Dump\"/>
    </mc:Choice>
  </mc:AlternateContent>
  <bookViews>
    <workbookView xWindow="0" yWindow="0" windowWidth="20490" windowHeight="702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1" i="1" l="1"/>
  <c r="K170" i="1" l="1"/>
  <c r="J194" i="1"/>
  <c r="D142" i="1"/>
  <c r="D194" i="1"/>
  <c r="F194" i="1" s="1"/>
  <c r="D193" i="1"/>
  <c r="F193" i="1" s="1"/>
  <c r="D192" i="1"/>
  <c r="F192" i="1" s="1"/>
  <c r="D191" i="1"/>
  <c r="F191" i="1" s="1"/>
  <c r="G190" i="1"/>
  <c r="D190" i="1"/>
  <c r="F190" i="1" s="1"/>
  <c r="D188" i="1"/>
  <c r="F188" i="1" s="1"/>
  <c r="D187" i="1"/>
  <c r="F187" i="1" s="1"/>
  <c r="D186" i="1"/>
  <c r="F186" i="1" s="1"/>
  <c r="D185" i="1"/>
  <c r="F185" i="1" s="1"/>
  <c r="D184" i="1"/>
  <c r="F184" i="1" s="1"/>
  <c r="D182" i="1"/>
  <c r="F182" i="1" s="1"/>
  <c r="D181" i="1"/>
  <c r="F181" i="1" s="1"/>
  <c r="G180" i="1"/>
  <c r="D180" i="1"/>
  <c r="F180" i="1" s="1"/>
  <c r="D141" i="1"/>
  <c r="D140" i="1"/>
  <c r="D168" i="1"/>
  <c r="D166" i="1"/>
  <c r="D165" i="1"/>
  <c r="D164" i="1"/>
  <c r="D162" i="1"/>
  <c r="D161" i="1"/>
  <c r="D160" i="1"/>
  <c r="D159" i="1"/>
  <c r="D158" i="1"/>
  <c r="D156" i="1"/>
  <c r="D155" i="1"/>
  <c r="D154" i="1"/>
  <c r="D153" i="1"/>
  <c r="D152" i="1"/>
  <c r="D150" i="1"/>
  <c r="D149" i="1"/>
  <c r="D148" i="1"/>
  <c r="D147" i="1"/>
  <c r="D146" i="1"/>
  <c r="D143" i="1"/>
  <c r="D144" i="1"/>
  <c r="D138" i="1"/>
  <c r="D178" i="1"/>
  <c r="F178" i="1" s="1"/>
  <c r="D177" i="1"/>
  <c r="F177" i="1" s="1"/>
  <c r="D176" i="1"/>
  <c r="F176" i="1" s="1"/>
  <c r="D175" i="1"/>
  <c r="F175" i="1" s="1"/>
  <c r="D174" i="1"/>
  <c r="F174" i="1" s="1"/>
  <c r="D173" i="1"/>
  <c r="F173" i="1" s="1"/>
  <c r="D172" i="1"/>
  <c r="F172" i="1" s="1"/>
  <c r="D171" i="1"/>
  <c r="F171" i="1" s="1"/>
  <c r="D170" i="1"/>
  <c r="F170" i="1" s="1"/>
  <c r="G170" i="1"/>
  <c r="E144" i="1"/>
  <c r="E143" i="1"/>
  <c r="E142" i="1"/>
  <c r="C94" i="1" l="1"/>
  <c r="E94" i="1"/>
  <c r="D133" i="1"/>
  <c r="D132" i="1"/>
  <c r="F132" i="1" s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E91" i="1" l="1"/>
  <c r="C91" i="1"/>
  <c r="E3" i="1"/>
  <c r="F8" i="5" l="1"/>
  <c r="F6" i="5"/>
  <c r="F7" i="5"/>
  <c r="F5" i="5"/>
  <c r="I145" i="1" l="1"/>
  <c r="F168" i="1"/>
  <c r="F166" i="1"/>
  <c r="F165" i="1"/>
  <c r="A165" i="1"/>
  <c r="A166" i="1" s="1"/>
  <c r="A167" i="1" s="1"/>
  <c r="A168" i="1" s="1"/>
  <c r="G164" i="1"/>
  <c r="G165" i="1" s="1"/>
  <c r="G166" i="1" s="1"/>
  <c r="G167" i="1" s="1"/>
  <c r="G168" i="1" s="1"/>
  <c r="F164" i="1"/>
  <c r="F162" i="1" l="1"/>
  <c r="F161" i="1"/>
  <c r="F160" i="1"/>
  <c r="F159" i="1"/>
  <c r="A159" i="1"/>
  <c r="A160" i="1" s="1"/>
  <c r="A161" i="1" s="1"/>
  <c r="A162" i="1" s="1"/>
  <c r="G158" i="1"/>
  <c r="G159" i="1" s="1"/>
  <c r="G160" i="1" s="1"/>
  <c r="G161" i="1" s="1"/>
  <c r="G162" i="1" s="1"/>
  <c r="F158" i="1"/>
  <c r="F156" i="1"/>
  <c r="I155" i="1" s="1"/>
  <c r="F155" i="1"/>
  <c r="F147" i="1"/>
  <c r="F153" i="1"/>
  <c r="I151" i="1" s="1"/>
  <c r="F152" i="1"/>
  <c r="F154" i="1"/>
  <c r="I153" i="1" s="1"/>
  <c r="A153" i="1"/>
  <c r="A154" i="1" s="1"/>
  <c r="A155" i="1" s="1"/>
  <c r="A156" i="1" s="1"/>
  <c r="G152" i="1"/>
  <c r="G153" i="1" s="1"/>
  <c r="G154" i="1" s="1"/>
  <c r="G155" i="1" s="1"/>
  <c r="G156" i="1" s="1"/>
  <c r="F150" i="1"/>
  <c r="F148" i="1"/>
  <c r="F141" i="1"/>
  <c r="F140" i="1"/>
  <c r="F146" i="1"/>
  <c r="F149" i="1"/>
  <c r="G146" i="1"/>
  <c r="A147" i="1"/>
  <c r="A148" i="1" s="1"/>
  <c r="A149" i="1" s="1"/>
  <c r="A150" i="1" s="1"/>
  <c r="I140" i="1"/>
  <c r="G140" i="1"/>
  <c r="A141" i="1"/>
  <c r="A142" i="1" s="1"/>
  <c r="A143" i="1" s="1"/>
  <c r="A144" i="1" s="1"/>
  <c r="I138" i="1"/>
  <c r="F133" i="1"/>
  <c r="F131" i="1"/>
  <c r="F130" i="1"/>
  <c r="F129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4" i="1"/>
  <c r="F115" i="1"/>
  <c r="F113" i="1"/>
  <c r="F111" i="1"/>
  <c r="F110" i="1"/>
  <c r="F109" i="1"/>
  <c r="F128" i="1"/>
  <c r="F112" i="1"/>
  <c r="F143" i="1" l="1"/>
  <c r="F144" i="1"/>
  <c r="F142" i="1"/>
  <c r="F88" i="1"/>
  <c r="J92" i="1" l="1"/>
  <c r="F103" i="1"/>
  <c r="F104" i="1"/>
  <c r="F105" i="1"/>
  <c r="F106" i="1"/>
  <c r="F107" i="1"/>
  <c r="F108" i="1"/>
  <c r="F102" i="1"/>
  <c r="G91" i="1" l="1"/>
  <c r="B197" i="1"/>
  <c r="C14" i="1" l="1"/>
  <c r="F138" i="1" l="1"/>
  <c r="G94" i="1" l="1"/>
  <c r="J91" i="1" s="1"/>
  <c r="B198" i="1"/>
  <c r="F11" i="5" l="1"/>
  <c r="G11" i="5" s="1"/>
  <c r="F10" i="5"/>
  <c r="G10" i="5" s="1"/>
  <c r="F9" i="5"/>
  <c r="G9" i="5" s="1"/>
  <c r="G8" i="5"/>
  <c r="G7" i="5"/>
  <c r="G6" i="5"/>
  <c r="G5" i="5"/>
  <c r="D219" i="1"/>
  <c r="G138" i="1"/>
  <c r="A103" i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G102" i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J75" i="1"/>
  <c r="J74" i="1"/>
  <c r="J73" i="1"/>
  <c r="J72" i="1"/>
  <c r="C64" i="1"/>
  <c r="D53" i="1"/>
  <c r="G48" i="1"/>
  <c r="G49" i="1" s="1"/>
  <c r="C48" i="1"/>
  <c r="E41" i="1"/>
  <c r="E42" i="1" s="1"/>
  <c r="E25" i="1"/>
  <c r="E23" i="1"/>
  <c r="E7" i="1"/>
  <c r="D58" i="1"/>
  <c r="H65" i="1"/>
  <c r="G12" i="5" l="1"/>
  <c r="D70" i="1"/>
  <c r="J68" i="1"/>
  <c r="D77" i="1"/>
  <c r="D75" i="1"/>
  <c r="D73" i="1"/>
  <c r="D71" i="1"/>
  <c r="J69" i="1"/>
  <c r="C68" i="1" s="1"/>
  <c r="J67" i="1"/>
  <c r="J70" i="1"/>
  <c r="J71" i="1" s="1"/>
  <c r="J76" i="1" s="1"/>
  <c r="D76" i="1"/>
  <c r="D72" i="1"/>
  <c r="D74" i="1"/>
  <c r="J77" i="1" l="1"/>
  <c r="D68" i="1"/>
  <c r="C69" i="1" l="1"/>
  <c r="E68" i="1" s="1"/>
  <c r="I64" i="1" s="1"/>
  <c r="C66" i="1" s="1"/>
  <c r="D69" i="1" l="1"/>
  <c r="G68" i="1"/>
  <c r="D62" i="1" s="1"/>
  <c r="D63" i="1" s="1"/>
  <c r="F63" i="1" l="1"/>
</calcChain>
</file>

<file path=xl/sharedStrings.xml><?xml version="1.0" encoding="utf-8"?>
<sst xmlns="http://schemas.openxmlformats.org/spreadsheetml/2006/main" count="356" uniqueCount="231">
  <si>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</si>
  <si>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</si>
  <si>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</si>
  <si>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</si>
  <si>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</si>
  <si>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</si>
  <si>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</si>
  <si>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</si>
  <si>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</si>
  <si>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</si>
  <si>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</si>
  <si>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</si>
  <si>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</si>
  <si>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</si>
  <si>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</si>
  <si>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</si>
  <si>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</si>
  <si>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</si>
  <si>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</si>
  <si>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</si>
  <si>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</si>
  <si>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</si>
  <si>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</si>
  <si>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</si>
  <si>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</si>
  <si>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</si>
  <si>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</si>
  <si>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</si>
  <si>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</si>
  <si>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</si>
  <si>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</si>
  <si>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</si>
  <si>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</si>
  <si>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</si>
  <si>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</si>
  <si>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</si>
  <si>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</si>
  <si>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</si>
  <si>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</si>
  <si>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</si>
  <si>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</si>
  <si>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</si>
  <si>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</si>
  <si>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</si>
  <si>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</si>
  <si>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</si>
  <si>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</si>
  <si>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</si>
  <si>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</si>
  <si>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</si>
  <si>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</si>
  <si>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</si>
  <si>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</si>
  <si>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</si>
  <si>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</si>
  <si>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</si>
  <si>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</si>
  <si>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</si>
  <si>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</si>
  <si>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</si>
  <si>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</si>
  <si>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</si>
  <si>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</si>
  <si>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</si>
  <si>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</si>
  <si>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</si>
  <si>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</si>
  <si>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</si>
  <si>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</si>
  <si>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</si>
  <si>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</si>
  <si>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</si>
  <si>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</si>
  <si>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</si>
  <si>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</si>
  <si>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</si>
  <si>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</si>
  <si>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</si>
  <si>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</si>
  <si>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</si>
  <si>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</si>
  <si>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</si>
  <si>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</si>
  <si>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</si>
  <si>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</si>
  <si>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</si>
  <si>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</si>
  <si>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</si>
  <si>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</si>
  <si>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</si>
  <si>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</si>
  <si>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</si>
  <si>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</si>
  <si>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</si>
  <si>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</si>
  <si>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</si>
  <si>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</si>
  <si>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</si>
  <si>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Water, Electricity, Drainages, Sewerage Connection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</si>
  <si>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</si>
  <si>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</si>
  <si>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</si>
  <si>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</si>
  <si>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</si>
  <si>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</si>
  <si>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</si>
  <si>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</si>
  <si>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</si>
  <si>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</si>
  <si>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</si>
  <si>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</si>
  <si>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</si>
  <si>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</si>
  <si>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</si>
  <si>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</si>
  <si>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</si>
  <si>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</si>
  <si>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</si>
  <si>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</si>
  <si>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</si>
  <si>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</si>
  <si>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</si>
  <si>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</si>
  <si>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</si>
  <si>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</si>
  <si>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</si>
  <si>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</si>
  <si>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</si>
  <si>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</si>
  <si>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</si>
  <si>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</si>
  <si>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</si>
  <si>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</si>
  <si>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</si>
  <si>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</si>
  <si>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</si>
  <si>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</si>
  <si>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</si>
  <si>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</si>
  <si>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</si>
  <si>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</si>
  <si>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</si>
  <si>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</si>
  <si>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</si>
  <si>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</si>
  <si>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</si>
  <si>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</si>
  <si>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</si>
  <si>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</si>
  <si>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</si>
  <si>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</si>
  <si>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</si>
  <si>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</si>
  <si>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</si>
  <si>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</si>
  <si>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</si>
  <si>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</si>
  <si>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</si>
  <si>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</si>
  <si>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</si>
  <si>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</si>
  <si>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</si>
  <si>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</si>
  <si>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On Saleable Area</t>
  </si>
  <si>
    <t>Axis Goregaon</t>
  </si>
  <si>
    <t>North Barcelona Wing D</t>
  </si>
  <si>
    <t>Survey No</t>
  </si>
  <si>
    <t>20/1, 20/2, 30/7(pt.), 30/8(pt.) 31/4, 31/6</t>
  </si>
  <si>
    <t>Village</t>
  </si>
  <si>
    <t>Ghodbunder</t>
  </si>
  <si>
    <t>Thane</t>
  </si>
  <si>
    <t>4.3 KM from Mira Road Railway Station</t>
  </si>
  <si>
    <t>Mira-Bhayandar Municipal Corporation (MBMC)</t>
  </si>
  <si>
    <t>Mira Bhayander Road</t>
  </si>
  <si>
    <t>Podar International School - Mira Road</t>
  </si>
  <si>
    <t>Thane East</t>
  </si>
  <si>
    <t>North Barcelona Wing C</t>
  </si>
  <si>
    <t xml:space="preserve">Open Plot </t>
  </si>
  <si>
    <t>As per RERA - 30/06/2026</t>
  </si>
  <si>
    <t>1 Wing</t>
  </si>
  <si>
    <t>Shop</t>
  </si>
  <si>
    <t>1st Floor For Commercial, Parking &amp; Residential</t>
  </si>
  <si>
    <t>3BHK</t>
  </si>
  <si>
    <t>2BHK</t>
  </si>
  <si>
    <t>2nd Floor For Parking &amp; Residential</t>
  </si>
  <si>
    <t>3rd &amp; 4th Floor For Parking &amp; Residential</t>
  </si>
  <si>
    <t>5th &amp; 6th Floor For Parking &amp; Residential</t>
  </si>
  <si>
    <t>9th Floor For Parking &amp; Residential (Part Refuge Area)</t>
  </si>
  <si>
    <t>Refuge Area</t>
  </si>
  <si>
    <t>Approved Plans, CC, Cost Sheet</t>
  </si>
  <si>
    <t>Clubhouse &amp; Infrastructure Development Charges</t>
  </si>
  <si>
    <t>MAKAAN</t>
  </si>
  <si>
    <t>Residential &amp; Commercial</t>
  </si>
  <si>
    <t>M/s. JP Infra Residency Private Limited</t>
  </si>
  <si>
    <t>Mira Road</t>
  </si>
  <si>
    <t>D Wing</t>
  </si>
  <si>
    <t xml:space="preserve">8000 to 8200/- </t>
  </si>
  <si>
    <t>Costsheet</t>
  </si>
  <si>
    <t>Gaurav</t>
  </si>
  <si>
    <t>19.284342, 72.886865</t>
  </si>
  <si>
    <t>Latitude &amp; Longitude</t>
  </si>
  <si>
    <t>Location Link</t>
  </si>
  <si>
    <t>https://goo.gl/maps/hbAKxzcQzVDy6tog7</t>
  </si>
  <si>
    <t>MNP/NR/2772/2022-2023</t>
  </si>
  <si>
    <t>Building No.2 - Wing D = Gr + Part 1 (Comercial + Residential + Parking) + 2 to 9 (Pt) Parking + 2 to 13 (Pt) Residential + 14th to 37th Floor</t>
  </si>
  <si>
    <t>Building No.2 - Wing D = Pt stilt/Pt Gr + 1st Mezzanine/Part Parking + 2nd to 9th (Pt) Parking Floor + 10th to 13th (Pt) + 14th to 37th Floor</t>
  </si>
  <si>
    <t>Building No. 2</t>
  </si>
  <si>
    <t>7th to 8th, 10th to 12th Floor For Parking &amp; Residential</t>
  </si>
  <si>
    <t>14th, 19th, 24th, 29th &amp; 34th Floor (Part Refuge Area)</t>
  </si>
  <si>
    <t>15th to 18th, 20th to 23rd, 25th to 28th, 30th to 33rd &amp; 35th to 37th Floor</t>
  </si>
  <si>
    <t>Building No.2 (Wing D)</t>
  </si>
  <si>
    <t>13th Floor, Kids Play Area, Society Office &amp; RG Area</t>
  </si>
  <si>
    <t>Flats - 271, Shops - 32</t>
  </si>
  <si>
    <t>We have update CC &amp; revised floor plan for Building No.2 (Wing D) (on 20/10/2023).</t>
  </si>
  <si>
    <t>We considered Gross carpet area = Net carpet + AP Area + Chajja</t>
  </si>
  <si>
    <t>Ground Floor &amp; 1st Floor For Commercial &amp; Parking (All shops Duplex With 1st Mezzanine Floor)</t>
  </si>
  <si>
    <t>MBMNP/NR/2772/2022-2023</t>
  </si>
  <si>
    <t>Layout Plan :</t>
  </si>
  <si>
    <t>Office No. 1031, Wing J, Akshar Business Park, Plot No. 03 Sector 25, Near APMC Market, Vashi, 
Navi Mumbai, Maharashtra 400703 TEL: 022-46090378/79/80                                                                                                                                            E mail : vsjcapf@gmail.com. Web site : www.vsjadon.com</t>
  </si>
  <si>
    <t>Site Person - Contact Details ( Name &amp; Contact No.)</t>
  </si>
  <si>
    <t>Mr. Dhananjay Trivedi 9152031256</t>
  </si>
  <si>
    <t>Shailesh</t>
  </si>
  <si>
    <t>8200 to 9000 + OC + Park</t>
  </si>
  <si>
    <t>Utility Charges</t>
  </si>
  <si>
    <t>Land under Construction Charges</t>
  </si>
  <si>
    <t>Ground Water Charges</t>
  </si>
  <si>
    <t xml:space="preserve">Recommended Rates / Other charges of the Property have been revised on 06/06/2022 &amp; 26/08/2024.
</t>
  </si>
  <si>
    <t>Ranjan Sharma</t>
  </si>
  <si>
    <t>P51700028384</t>
  </si>
  <si>
    <t>Pranita Mhatre</t>
  </si>
  <si>
    <t>Construction work is in process at the time of Visit. (Internal visit was not allowed.)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</si>
</sst>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  <numFmt numFmtId="168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2"/>
      <name val="Times New Roman"/>
      <family val="1"/>
    </font>
    <font>
      <sz val="11"/>
      <name val="Calibri"/>
      <family val="2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4" fontId="6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9">
    <xf numFmtId="0" fontId="0" fillId="0" borderId="0" xfId="0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19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9" fontId="9" fillId="0" borderId="18" xfId="8" applyFont="1" applyFill="1" applyBorder="1" applyAlignment="1" applyProtection="1">
      <alignment horizontal="center" vertical="top" wrapText="1"/>
      <protection locked="0"/>
    </xf>
    <xf numFmtId="0" fontId="8" fillId="0" borderId="10" xfId="1" applyFont="1" applyBorder="1" applyProtection="1">
      <protection hidden="1"/>
    </xf>
    <xf numFmtId="0" fontId="13" fillId="0" borderId="3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13" fillId="0" borderId="0" xfId="1" applyFont="1" applyProtection="1">
      <protection hidden="1"/>
    </xf>
    <xf numFmtId="0" fontId="15" fillId="0" borderId="0" xfId="0" applyFont="1" applyProtection="1">
      <protection hidden="1"/>
    </xf>
    <xf numFmtId="0" fontId="15" fillId="0" borderId="13" xfId="0" applyFont="1" applyBorder="1" applyProtection="1">
      <protection hidden="1"/>
    </xf>
    <xf numFmtId="0" fontId="1" fillId="0" borderId="1" xfId="5" applyFont="1" applyBorder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8" fillId="0" borderId="0" xfId="1" applyFont="1"/>
    <xf numFmtId="0" fontId="16" fillId="0" borderId="0" xfId="1" applyFont="1"/>
    <xf numFmtId="0" fontId="13" fillId="0" borderId="0" xfId="1" applyFont="1"/>
    <xf numFmtId="14" fontId="8" fillId="0" borderId="0" xfId="1" applyNumberFormat="1" applyFont="1"/>
    <xf numFmtId="1" fontId="8" fillId="0" borderId="0" xfId="1" applyNumberFormat="1" applyFont="1"/>
    <xf numFmtId="0" fontId="8" fillId="0" borderId="0" xfId="1" applyFont="1" applyProtection="1">
      <protection hidden="1"/>
    </xf>
    <xf numFmtId="0" fontId="23" fillId="0" borderId="0" xfId="1" applyFont="1"/>
    <xf numFmtId="0" fontId="8" fillId="0" borderId="11" xfId="1" applyFont="1" applyBorder="1" applyProtection="1">
      <protection hidden="1"/>
    </xf>
    <xf numFmtId="0" fontId="13" fillId="0" borderId="12" xfId="1" applyFont="1" applyBorder="1" applyProtection="1">
      <protection hidden="1"/>
    </xf>
    <xf numFmtId="0" fontId="13" fillId="0" borderId="12" xfId="1" applyFont="1" applyBorder="1"/>
    <xf numFmtId="0" fontId="13" fillId="0" borderId="1" xfId="1" applyFont="1" applyBorder="1" applyAlignment="1" applyProtection="1">
      <alignment horizontal="center" wrapText="1"/>
      <protection locked="0"/>
    </xf>
    <xf numFmtId="9" fontId="13" fillId="0" borderId="1" xfId="1" applyNumberFormat="1" applyFont="1" applyBorder="1" applyAlignment="1" applyProtection="1">
      <alignment horizontal="center" vertical="center" wrapText="1"/>
      <protection hidden="1"/>
    </xf>
    <xf numFmtId="0" fontId="15" fillId="0" borderId="12" xfId="0" applyFont="1" applyBorder="1" applyProtection="1">
      <protection hidden="1"/>
    </xf>
    <xf numFmtId="1" fontId="13" fillId="0" borderId="1" xfId="1" applyNumberFormat="1" applyFont="1" applyBorder="1" applyAlignment="1" applyProtection="1">
      <alignment horizontal="center" wrapText="1"/>
      <protection locked="0"/>
    </xf>
    <xf numFmtId="1" fontId="25" fillId="0" borderId="12" xfId="0" applyNumberFormat="1" applyFont="1" applyBorder="1"/>
    <xf numFmtId="1" fontId="25" fillId="0" borderId="12" xfId="0" applyNumberFormat="1" applyFont="1" applyBorder="1" applyAlignment="1">
      <alignment horizontal="right"/>
    </xf>
    <xf numFmtId="0" fontId="13" fillId="0" borderId="6" xfId="1" applyFont="1" applyBorder="1" applyAlignment="1" applyProtection="1">
      <alignment horizontal="center" wrapText="1"/>
      <protection locked="0"/>
    </xf>
    <xf numFmtId="9" fontId="13" fillId="0" borderId="6" xfId="1" applyNumberFormat="1" applyFont="1" applyBorder="1" applyAlignment="1" applyProtection="1">
      <alignment horizontal="center" vertical="center" wrapText="1"/>
      <protection hidden="1"/>
    </xf>
    <xf numFmtId="1" fontId="25" fillId="0" borderId="14" xfId="0" applyNumberFormat="1" applyFont="1" applyBorder="1"/>
    <xf numFmtId="0" fontId="17" fillId="0" borderId="0" xfId="1" applyFont="1"/>
    <xf numFmtId="0" fontId="7" fillId="0" borderId="0" xfId="2" applyFont="1"/>
    <xf numFmtId="0" fontId="8" fillId="0" borderId="0" xfId="0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1" fontId="8" fillId="0" borderId="0" xfId="1" applyNumberFormat="1" applyFont="1" applyAlignment="1">
      <alignment horizontal="center" vertical="center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0" fontId="8" fillId="2" borderId="0" xfId="1" applyFont="1" applyFill="1"/>
    <xf numFmtId="14" fontId="8" fillId="2" borderId="0" xfId="1" applyNumberFormat="1" applyFont="1" applyFill="1"/>
    <xf numFmtId="1" fontId="8" fillId="0" borderId="0" xfId="0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0" xfId="1" applyFont="1" applyAlignment="1">
      <alignment horizontal="center" vertical="center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vertical="top"/>
      <protection locked="0"/>
    </xf>
    <xf numFmtId="0" fontId="14" fillId="0" borderId="1" xfId="1" applyFont="1" applyFill="1" applyBorder="1" applyAlignment="1" applyProtection="1">
      <alignment horizontal="left" vertical="top"/>
      <protection locked="0"/>
    </xf>
    <xf numFmtId="0" fontId="8" fillId="3" borderId="0" xfId="1" applyFont="1" applyFill="1"/>
    <xf numFmtId="14" fontId="8" fillId="3" borderId="0" xfId="1" applyNumberFormat="1" applyFont="1" applyFill="1"/>
    <xf numFmtId="1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8" fillId="0" borderId="0" xfId="1" applyFont="1" applyAlignment="1">
      <alignment horizontal="center" vertical="center"/>
    </xf>
    <xf numFmtId="1" fontId="7" fillId="0" borderId="19" xfId="1" applyNumberFormat="1" applyFont="1" applyBorder="1" applyAlignment="1" applyProtection="1">
      <alignment horizontal="center" vertical="center" wrapText="1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27" xfId="1" applyNumberFormat="1" applyFont="1" applyBorder="1" applyAlignment="1" applyProtection="1">
      <alignment horizontal="center" vertical="center" wrapText="1"/>
      <protection locked="0"/>
    </xf>
    <xf numFmtId="1" fontId="7" fillId="0" borderId="28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21" xfId="1" applyNumberFormat="1" applyFont="1" applyBorder="1" applyAlignment="1" applyProtection="1">
      <alignment horizontal="center" vertical="center" wrapText="1"/>
      <protection locked="0"/>
    </xf>
    <xf numFmtId="1" fontId="7" fillId="0" borderId="22" xfId="1" applyNumberFormat="1" applyFont="1" applyBorder="1" applyAlignment="1" applyProtection="1">
      <alignment horizontal="center" vertical="center" wrapText="1"/>
      <protection locked="0"/>
    </xf>
    <xf numFmtId="1" fontId="14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23" xfId="1" applyNumberFormat="1" applyFont="1" applyBorder="1" applyAlignment="1" applyProtection="1">
      <alignment horizontal="center" vertical="center" wrapText="1"/>
      <protection locked="0"/>
    </xf>
    <xf numFmtId="1" fontId="7" fillId="0" borderId="9" xfId="1" applyNumberFormat="1" applyFont="1" applyBorder="1" applyAlignment="1" applyProtection="1">
      <alignment horizontal="center" vertical="center" wrapText="1"/>
      <protection locked="0"/>
    </xf>
    <xf numFmtId="1" fontId="9" fillId="0" borderId="19" xfId="1" applyNumberFormat="1" applyFont="1" applyBorder="1" applyAlignment="1" applyProtection="1">
      <alignment horizontal="center" vertical="top" wrapText="1"/>
      <protection locked="0"/>
    </xf>
    <xf numFmtId="1" fontId="9" fillId="0" borderId="21" xfId="1" applyNumberFormat="1" applyFont="1" applyBorder="1" applyAlignment="1" applyProtection="1">
      <alignment horizontal="center" vertical="top" wrapText="1"/>
      <protection locked="0"/>
    </xf>
    <xf numFmtId="1" fontId="9" fillId="0" borderId="8" xfId="0" applyNumberFormat="1" applyFont="1" applyBorder="1" applyAlignment="1" applyProtection="1">
      <alignment vertical="top" wrapText="1"/>
      <protection locked="0"/>
    </xf>
    <xf numFmtId="1" fontId="9" fillId="0" borderId="23" xfId="0" applyNumberFormat="1" applyFont="1" applyBorder="1" applyAlignment="1" applyProtection="1">
      <alignment vertical="top" wrapText="1"/>
      <protection locked="0"/>
    </xf>
    <xf numFmtId="1" fontId="9" fillId="0" borderId="9" xfId="0" applyNumberFormat="1" applyFont="1" applyBorder="1" applyAlignment="1" applyProtection="1">
      <alignment vertical="top" wrapText="1"/>
      <protection locked="0"/>
    </xf>
    <xf numFmtId="0" fontId="7" fillId="0" borderId="8" xfId="1" applyFont="1" applyFill="1" applyBorder="1" applyAlignment="1" applyProtection="1">
      <alignment horizontal="left" vertical="top" wrapText="1"/>
      <protection locked="0"/>
    </xf>
    <xf numFmtId="0" fontId="7" fillId="0" borderId="9" xfId="1" applyFont="1" applyFill="1" applyBorder="1" applyAlignment="1" applyProtection="1">
      <alignment horizontal="left" vertical="top" wrapText="1"/>
      <protection locked="0"/>
    </xf>
    <xf numFmtId="0" fontId="14" fillId="0" borderId="8" xfId="1" applyFont="1" applyFill="1" applyBorder="1" applyAlignment="1" applyProtection="1">
      <alignment horizontal="left" vertical="top"/>
      <protection locked="0"/>
    </xf>
    <xf numFmtId="0" fontId="14" fillId="0" borderId="23" xfId="1" applyFont="1" applyFill="1" applyBorder="1" applyAlignment="1" applyProtection="1">
      <alignment horizontal="left" vertical="top"/>
      <protection locked="0"/>
    </xf>
    <xf numFmtId="0" fontId="14" fillId="0" borderId="9" xfId="1" applyFont="1" applyFill="1" applyBorder="1" applyAlignment="1" applyProtection="1">
      <alignment horizontal="left" vertical="top"/>
      <protection locked="0"/>
    </xf>
    <xf numFmtId="168" fontId="13" fillId="0" borderId="1" xfId="9" applyNumberFormat="1" applyFont="1" applyFill="1" applyBorder="1" applyAlignment="1" applyProtection="1">
      <alignment horizontal="left" vertical="top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0" fontId="13" fillId="0" borderId="8" xfId="1" applyFont="1" applyFill="1" applyBorder="1" applyAlignment="1" applyProtection="1">
      <alignment horizontal="left" vertical="top" wrapText="1"/>
      <protection locked="0"/>
    </xf>
    <xf numFmtId="0" fontId="13" fillId="0" borderId="23" xfId="1" applyFont="1" applyFill="1" applyBorder="1" applyAlignment="1" applyProtection="1">
      <alignment horizontal="left" vertical="top" wrapText="1"/>
      <protection locked="0"/>
    </xf>
    <xf numFmtId="0" fontId="13" fillId="0" borderId="9" xfId="1" applyFont="1" applyFill="1" applyBorder="1" applyAlignment="1" applyProtection="1">
      <alignment horizontal="left" vertical="top" wrapText="1"/>
      <protection locked="0"/>
    </xf>
    <xf numFmtId="1" fontId="14" fillId="0" borderId="8" xfId="0" applyNumberFormat="1" applyFont="1" applyBorder="1" applyAlignment="1" applyProtection="1">
      <alignment vertical="top" wrapText="1"/>
      <protection locked="0"/>
    </xf>
    <xf numFmtId="1" fontId="14" fillId="0" borderId="23" xfId="0" applyNumberFormat="1" applyFont="1" applyBorder="1" applyAlignment="1" applyProtection="1">
      <alignment vertical="top" wrapText="1"/>
      <protection locked="0"/>
    </xf>
    <xf numFmtId="1" fontId="14" fillId="0" borderId="9" xfId="0" applyNumberFormat="1" applyFont="1" applyBorder="1" applyAlignment="1" applyProtection="1">
      <alignment vertical="top" wrapText="1"/>
      <protection locked="0"/>
    </xf>
    <xf numFmtId="1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Fill="1" applyBorder="1" applyAlignment="1" applyProtection="1">
      <alignment horizontal="left" vertical="top"/>
      <protection locked="0"/>
    </xf>
    <xf numFmtId="2" fontId="7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165" fontId="7" fillId="0" borderId="1" xfId="1" applyNumberFormat="1" applyFont="1" applyFill="1" applyBorder="1" applyAlignment="1" applyProtection="1">
      <alignment horizontal="left" vertical="top"/>
      <protection locked="0"/>
    </xf>
    <xf numFmtId="2" fontId="7" fillId="0" borderId="1" xfId="1" applyNumberFormat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9" fillId="0" borderId="1" xfId="1" applyFont="1" applyFill="1" applyBorder="1" applyAlignment="1" applyProtection="1">
      <alignment horizontal="left" vertical="top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0" fontId="13" fillId="0" borderId="2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167" fontId="13" fillId="0" borderId="1" xfId="1" applyNumberFormat="1" applyFont="1" applyFill="1" applyBorder="1" applyAlignment="1" applyProtection="1">
      <alignment horizontal="left" vertical="top" wrapText="1"/>
      <protection locked="0"/>
    </xf>
    <xf numFmtId="0" fontId="24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9" fontId="13" fillId="0" borderId="1" xfId="1" applyNumberFormat="1" applyFont="1" applyBorder="1" applyAlignment="1" applyProtection="1">
      <alignment horizontal="center" vertical="center" wrapText="1"/>
      <protection hidden="1"/>
    </xf>
    <xf numFmtId="9" fontId="13" fillId="0" borderId="6" xfId="1" applyNumberFormat="1" applyFont="1" applyBorder="1" applyAlignment="1" applyProtection="1">
      <alignment horizontal="center" vertical="center" wrapText="1"/>
      <protection hidden="1"/>
    </xf>
    <xf numFmtId="9" fontId="13" fillId="0" borderId="4" xfId="1" applyNumberFormat="1" applyFont="1" applyBorder="1" applyAlignment="1" applyProtection="1">
      <alignment horizontal="center" vertical="center" wrapText="1"/>
      <protection hidden="1"/>
    </xf>
    <xf numFmtId="9" fontId="13" fillId="0" borderId="7" xfId="1" applyNumberFormat="1" applyFont="1" applyBorder="1" applyAlignment="1" applyProtection="1">
      <alignment horizontal="center" vertical="center" wrapText="1"/>
      <protection hidden="1"/>
    </xf>
    <xf numFmtId="0" fontId="13" fillId="0" borderId="5" xfId="1" applyFont="1" applyBorder="1" applyAlignment="1" applyProtection="1">
      <alignment horizontal="center" vertical="top" wrapText="1"/>
      <protection locked="0"/>
    </xf>
    <xf numFmtId="0" fontId="13" fillId="0" borderId="6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4" fillId="0" borderId="1" xfId="1" applyFont="1" applyBorder="1" applyAlignment="1" applyProtection="1">
      <alignment horizontal="center"/>
      <protection locked="0"/>
    </xf>
    <xf numFmtId="0" fontId="8" fillId="0" borderId="8" xfId="1" applyFont="1" applyBorder="1" applyAlignment="1" applyProtection="1">
      <alignment horizontal="left"/>
      <protection locked="0"/>
    </xf>
    <xf numFmtId="0" fontId="8" fillId="0" borderId="23" xfId="1" applyFont="1" applyBorder="1" applyAlignment="1" applyProtection="1">
      <alignment horizontal="left"/>
      <protection locked="0"/>
    </xf>
    <xf numFmtId="0" fontId="8" fillId="0" borderId="9" xfId="1" applyFont="1" applyBorder="1" applyAlignment="1" applyProtection="1">
      <alignment horizontal="left"/>
      <protection locked="0"/>
    </xf>
    <xf numFmtId="0" fontId="26" fillId="0" borderId="8" xfId="10" applyBorder="1" applyAlignment="1" applyProtection="1">
      <alignment horizontal="left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/>
      <protection locked="0"/>
    </xf>
    <xf numFmtId="167" fontId="7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9" fillId="0" borderId="8" xfId="1" applyFont="1" applyBorder="1" applyAlignment="1" applyProtection="1">
      <alignment horizontal="center" vertical="top"/>
      <protection locked="0"/>
    </xf>
    <xf numFmtId="0" fontId="9" fillId="0" borderId="23" xfId="1" applyFont="1" applyBorder="1" applyAlignment="1" applyProtection="1">
      <alignment horizontal="center" vertical="top"/>
      <protection locked="0"/>
    </xf>
    <xf numFmtId="0" fontId="9" fillId="0" borderId="9" xfId="1" applyFont="1" applyBorder="1" applyAlignment="1" applyProtection="1">
      <alignment horizontal="center" vertical="top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0" fontId="14" fillId="0" borderId="3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0" fontId="9" fillId="0" borderId="24" xfId="1" applyFont="1" applyFill="1" applyBorder="1" applyAlignment="1" applyProtection="1">
      <alignment horizontal="left" vertical="top" wrapText="1"/>
      <protection locked="0"/>
    </xf>
    <xf numFmtId="0" fontId="9" fillId="0" borderId="17" xfId="1" applyFont="1" applyFill="1" applyBorder="1" applyAlignment="1" applyProtection="1">
      <alignment horizontal="left" vertical="top" wrapText="1"/>
      <protection locked="0"/>
    </xf>
    <xf numFmtId="0" fontId="9" fillId="0" borderId="15" xfId="1" applyFont="1" applyFill="1" applyBorder="1" applyAlignment="1" applyProtection="1">
      <alignment horizontal="left" vertical="top" wrapText="1"/>
      <protection locked="0"/>
    </xf>
    <xf numFmtId="0" fontId="9" fillId="0" borderId="16" xfId="1" applyFont="1" applyFill="1" applyBorder="1" applyAlignment="1" applyProtection="1">
      <alignment horizontal="left" vertical="top" wrapText="1"/>
      <protection locked="0"/>
    </xf>
    <xf numFmtId="0" fontId="9" fillId="0" borderId="25" xfId="1" applyFont="1" applyFill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14" fillId="0" borderId="4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1" fontId="9" fillId="0" borderId="20" xfId="1" applyNumberFormat="1" applyFont="1" applyBorder="1" applyAlignment="1" applyProtection="1">
      <alignment horizontal="center" vertical="top" wrapText="1"/>
      <protection locked="0"/>
    </xf>
    <xf numFmtId="1" fontId="9" fillId="0" borderId="22" xfId="1" applyNumberFormat="1" applyFont="1" applyBorder="1" applyAlignment="1" applyProtection="1">
      <alignment horizontal="center" vertical="top" wrapText="1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9" fillId="0" borderId="1" xfId="1" applyFont="1" applyFill="1" applyBorder="1" applyAlignment="1" applyProtection="1">
      <alignment horizontal="center" vertical="top"/>
      <protection locked="0"/>
    </xf>
    <xf numFmtId="1" fontId="9" fillId="0" borderId="8" xfId="1" applyNumberFormat="1" applyFont="1" applyBorder="1" applyAlignment="1" applyProtection="1">
      <alignment horizontal="center" vertical="center" wrapText="1"/>
      <protection locked="0"/>
    </xf>
    <xf numFmtId="1" fontId="9" fillId="0" borderId="23" xfId="1" applyNumberFormat="1" applyFont="1" applyBorder="1" applyAlignment="1" applyProtection="1">
      <alignment horizontal="center" vertical="center" wrapText="1"/>
      <protection locked="0"/>
    </xf>
    <xf numFmtId="1" fontId="9" fillId="0" borderId="9" xfId="1" applyNumberFormat="1" applyFont="1" applyBorder="1" applyAlignment="1" applyProtection="1">
      <alignment horizontal="center" vertical="center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5" fillId="0" borderId="2" xfId="1" applyNumberFormat="1" applyFont="1" applyBorder="1" applyAlignment="1" applyProtection="1">
      <alignment horizontal="center" vertical="top" wrapText="1"/>
      <protection locked="0"/>
    </xf>
    <xf numFmtId="1" fontId="5" fillId="0" borderId="18" xfId="1" applyNumberFormat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168" fontId="14" fillId="0" borderId="1" xfId="9" applyNumberFormat="1" applyFont="1" applyFill="1" applyBorder="1" applyAlignment="1" applyProtection="1">
      <alignment horizontal="left" vertical="top"/>
      <protection locked="0"/>
    </xf>
    <xf numFmtId="1" fontId="14" fillId="4" borderId="8" xfId="0" applyNumberFormat="1" applyFont="1" applyFill="1" applyBorder="1" applyAlignment="1" applyProtection="1">
      <alignment vertical="top" wrapText="1"/>
      <protection locked="0"/>
    </xf>
    <xf numFmtId="1" fontId="14" fillId="4" borderId="23" xfId="0" applyNumberFormat="1" applyFont="1" applyFill="1" applyBorder="1" applyAlignment="1" applyProtection="1">
      <alignment vertical="top" wrapText="1"/>
      <protection locked="0"/>
    </xf>
    <xf numFmtId="1" fontId="14" fillId="4" borderId="9" xfId="0" applyNumberFormat="1" applyFont="1" applyFill="1" applyBorder="1" applyAlignment="1" applyProtection="1">
      <alignment vertical="top" wrapText="1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Fill="1" applyBorder="1" applyAlignment="1" applyProtection="1">
      <alignment horizontal="left" vertical="top" wrapText="1"/>
      <protection locked="0"/>
    </xf>
    <xf numFmtId="0" fontId="14" fillId="0" borderId="1" xfId="1" applyFont="1" applyFill="1" applyBorder="1" applyAlignment="1" applyProtection="1">
      <alignment horizontal="left" vertical="top" wrapText="1"/>
      <protection locked="0"/>
    </xf>
    <xf numFmtId="0" fontId="14" fillId="0" borderId="1" xfId="1" applyFont="1" applyFill="1" applyBorder="1" applyAlignment="1" applyProtection="1">
      <alignment horizontal="left" vertical="top"/>
      <protection locked="0"/>
    </xf>
    <xf numFmtId="0" fontId="14" fillId="0" borderId="1" xfId="1" applyFont="1" applyFill="1" applyBorder="1" applyAlignment="1" applyProtection="1">
      <alignment vertical="top"/>
      <protection locked="0"/>
    </xf>
    <xf numFmtId="167" fontId="14" fillId="0" borderId="1" xfId="1" applyNumberFormat="1" applyFont="1" applyFill="1" applyBorder="1" applyAlignment="1" applyProtection="1">
      <alignment horizontal="left" vertical="top" wrapText="1"/>
      <protection locked="0"/>
    </xf>
    <xf numFmtId="0" fontId="10" fillId="0" borderId="1" xfId="5" applyFont="1" applyBorder="1" applyAlignment="1">
      <alignment horizontal="left"/>
    </xf>
    <xf numFmtId="167" fontId="13" fillId="0" borderId="1" xfId="1" applyNumberFormat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center" vertical="top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335</xdr:row>
      <xdr:rowOff>90400</xdr:rowOff>
    </xdr:from>
    <xdr:to>
      <xdr:col>7</xdr:col>
      <xdr:colOff>20141</xdr:colOff>
      <xdr:row>353</xdr:row>
      <xdr:rowOff>89951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60707500"/>
          <a:ext cx="5344616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790575</xdr:colOff>
      <xdr:row>316</xdr:row>
      <xdr:rowOff>95250</xdr:rowOff>
    </xdr:from>
    <xdr:to>
      <xdr:col>7</xdr:col>
      <xdr:colOff>20141</xdr:colOff>
      <xdr:row>334</xdr:row>
      <xdr:rowOff>94799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56911875"/>
          <a:ext cx="5344616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1009524</xdr:colOff>
      <xdr:row>220</xdr:row>
      <xdr:rowOff>67536</xdr:rowOff>
    </xdr:from>
    <xdr:to>
      <xdr:col>9</xdr:col>
      <xdr:colOff>76200</xdr:colOff>
      <xdr:row>221</xdr:row>
      <xdr:rowOff>139700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8223124" y="46289186"/>
          <a:ext cx="285876" cy="2690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D</a:t>
          </a:r>
        </a:p>
      </xdr:txBody>
    </xdr:sp>
    <xdr:clientData/>
  </xdr:twoCellAnchor>
  <xdr:twoCellAnchor editAs="oneCell">
    <xdr:from>
      <xdr:col>8</xdr:col>
      <xdr:colOff>117231</xdr:colOff>
      <xdr:row>44</xdr:row>
      <xdr:rowOff>175846</xdr:rowOff>
    </xdr:from>
    <xdr:to>
      <xdr:col>16</xdr:col>
      <xdr:colOff>38728</xdr:colOff>
      <xdr:row>46</xdr:row>
      <xdr:rowOff>107635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52846" y="9752134"/>
          <a:ext cx="6695238" cy="561905"/>
        </a:xfrm>
        <a:prstGeom prst="rect">
          <a:avLst/>
        </a:prstGeom>
      </xdr:spPr>
    </xdr:pic>
    <xdr:clientData/>
  </xdr:twoCellAnchor>
  <xdr:twoCellAnchor editAs="oneCell">
    <xdr:from>
      <xdr:col>8</xdr:col>
      <xdr:colOff>73270</xdr:colOff>
      <xdr:row>54</xdr:row>
      <xdr:rowOff>29310</xdr:rowOff>
    </xdr:from>
    <xdr:to>
      <xdr:col>9</xdr:col>
      <xdr:colOff>253053</xdr:colOff>
      <xdr:row>55</xdr:row>
      <xdr:rowOff>336804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8885" y="12023483"/>
          <a:ext cx="1344764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276</xdr:row>
      <xdr:rowOff>183173</xdr:rowOff>
    </xdr:from>
    <xdr:to>
      <xdr:col>7</xdr:col>
      <xdr:colOff>492835</xdr:colOff>
      <xdr:row>295</xdr:row>
      <xdr:rowOff>24462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51552231"/>
          <a:ext cx="5533758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234462</xdr:colOff>
      <xdr:row>281</xdr:row>
      <xdr:rowOff>29308</xdr:rowOff>
    </xdr:from>
    <xdr:to>
      <xdr:col>3</xdr:col>
      <xdr:colOff>835269</xdr:colOff>
      <xdr:row>289</xdr:row>
      <xdr:rowOff>87923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96462" y="52387500"/>
          <a:ext cx="2249365" cy="164123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937846</xdr:colOff>
      <xdr:row>278</xdr:row>
      <xdr:rowOff>139211</xdr:rowOff>
    </xdr:from>
    <xdr:to>
      <xdr:col>5</xdr:col>
      <xdr:colOff>278423</xdr:colOff>
      <xdr:row>286</xdr:row>
      <xdr:rowOff>7327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348404" y="51903923"/>
          <a:ext cx="1069731" cy="1450731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</xdr:col>
      <xdr:colOff>227133</xdr:colOff>
      <xdr:row>288</xdr:row>
      <xdr:rowOff>43960</xdr:rowOff>
    </xdr:from>
    <xdr:to>
      <xdr:col>3</xdr:col>
      <xdr:colOff>490903</xdr:colOff>
      <xdr:row>289</xdr:row>
      <xdr:rowOff>153864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89133" y="53786941"/>
          <a:ext cx="1912328" cy="3077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 b="1"/>
            <a:t>Building No.1 (Wing A, B &amp; C)</a:t>
          </a:r>
        </a:p>
      </xdr:txBody>
    </xdr:sp>
    <xdr:clientData/>
  </xdr:twoCellAnchor>
  <xdr:twoCellAnchor>
    <xdr:from>
      <xdr:col>4</xdr:col>
      <xdr:colOff>117230</xdr:colOff>
      <xdr:row>283</xdr:row>
      <xdr:rowOff>153865</xdr:rowOff>
    </xdr:from>
    <xdr:to>
      <xdr:col>5</xdr:col>
      <xdr:colOff>322384</xdr:colOff>
      <xdr:row>286</xdr:row>
      <xdr:rowOff>109904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472961" y="52907711"/>
          <a:ext cx="989135" cy="549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 b="1"/>
            <a:t>Building No.2 (Wing D)</a:t>
          </a:r>
        </a:p>
      </xdr:txBody>
    </xdr:sp>
    <xdr:clientData/>
  </xdr:twoCellAnchor>
  <xdr:twoCellAnchor>
    <xdr:from>
      <xdr:col>8</xdr:col>
      <xdr:colOff>967827</xdr:colOff>
      <xdr:row>219</xdr:row>
      <xdr:rowOff>62394</xdr:rowOff>
    </xdr:from>
    <xdr:to>
      <xdr:col>16</xdr:col>
      <xdr:colOff>242567</xdr:colOff>
      <xdr:row>258</xdr:row>
      <xdr:rowOff>172936</xdr:rowOff>
    </xdr:to>
    <xdr:grpSp>
      <xdr:nvGrpSpPr>
        <xdr:cNvPr id="11" name="Group 10"/>
        <xdr:cNvGrpSpPr/>
      </xdr:nvGrpSpPr>
      <xdr:grpSpPr>
        <a:xfrm>
          <a:off x="7848239" y="48169247"/>
          <a:ext cx="6065504" cy="7965865"/>
          <a:chOff x="514349" y="47815500"/>
          <a:chExt cx="6038851" cy="7886704"/>
        </a:xfrm>
      </xdr:grpSpPr>
      <xdr:grpSp>
        <xdr:nvGrpSpPr>
          <xdr:cNvPr id="10" name="Group 9"/>
          <xdr:cNvGrpSpPr/>
        </xdr:nvGrpSpPr>
        <xdr:grpSpPr>
          <a:xfrm>
            <a:off x="514349" y="47815500"/>
            <a:ext cx="6038851" cy="7886704"/>
            <a:chOff x="333374" y="47815500"/>
            <a:chExt cx="6038851" cy="7886704"/>
          </a:xfrm>
        </xdr:grpSpPr>
        <xdr:pic>
          <xdr:nvPicPr>
            <xdr:cNvPr id="19" name="Picture 18" descr="https://vsjcllp.vsjadon.com/upload/insp-236272-152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 rot="5400000">
              <a:off x="2084789" y="53560270"/>
              <a:ext cx="2447925" cy="1835944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4" name="Picture 23" descr="https://vsjcllp.vsjadon.com/upload/insp-236272-849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 rot="16200000">
              <a:off x="4067556" y="50844832"/>
              <a:ext cx="2667001" cy="194233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7" name="Picture 26" descr="https://vsjcllp.vsjadon.com/upload/insp-236272-86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33374" y="47815500"/>
              <a:ext cx="4000500" cy="5334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6" name="Picture 35" descr="https://vsjcllp.vsjadon.com/upload/insp-236272-862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429124" y="47815500"/>
              <a:ext cx="1943101" cy="2590801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4133848" y="47815500"/>
            <a:ext cx="371477" cy="3810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800" b="1">
                <a:solidFill>
                  <a:sysClr val="windowText" lastClr="000000"/>
                </a:solidFill>
              </a:rPr>
              <a:t>D</a:t>
            </a:r>
          </a:p>
        </xdr:txBody>
      </xdr:sp>
    </xdr:grpSp>
    <xdr:clientData/>
  </xdr:twoCellAnchor>
  <xdr:twoCellAnchor>
    <xdr:from>
      <xdr:col>0</xdr:col>
      <xdr:colOff>625927</xdr:colOff>
      <xdr:row>219</xdr:row>
      <xdr:rowOff>149679</xdr:rowOff>
    </xdr:from>
    <xdr:to>
      <xdr:col>7</xdr:col>
      <xdr:colOff>721177</xdr:colOff>
      <xdr:row>260</xdr:row>
      <xdr:rowOff>81643</xdr:rowOff>
    </xdr:to>
    <xdr:grpSp>
      <xdr:nvGrpSpPr>
        <xdr:cNvPr id="26" name="Group 25"/>
        <xdr:cNvGrpSpPr/>
      </xdr:nvGrpSpPr>
      <xdr:grpSpPr>
        <a:xfrm>
          <a:off x="625927" y="48256532"/>
          <a:ext cx="5799044" cy="8190699"/>
          <a:chOff x="1152670" y="1133987"/>
          <a:chExt cx="4186590" cy="7322224"/>
        </a:xfrm>
      </xdr:grpSpPr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3793007" y="7046026"/>
            <a:ext cx="1611640" cy="120873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/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454905" y="1831752"/>
            <a:ext cx="5582120" cy="418659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2440145" y="7046026"/>
            <a:ext cx="1611640" cy="120873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1092945" y="7046026"/>
            <a:ext cx="1611640" cy="120873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6</xdr:col>
      <xdr:colOff>459441</xdr:colOff>
      <xdr:row>35</xdr:row>
      <xdr:rowOff>45742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868706"/>
          <a:ext cx="6858000" cy="3855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hbAKxzcQzVDy6tog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316"/>
  <sheetViews>
    <sheetView tabSelected="1" view="pageBreakPreview" topLeftCell="A61" zoomScale="85" zoomScaleNormal="100" zoomScaleSheetLayoutView="85" zoomScalePageLayoutView="85" workbookViewId="0">
      <selection activeCell="K73" sqref="K73"/>
    </sheetView>
  </sheetViews>
  <sheetFormatPr defaultColWidth="9.140625" defaultRowHeight="15.75" x14ac:dyDescent="0.25"/>
  <cols>
    <col min="1" max="1" width="11.42578125" style="52" customWidth="1"/>
    <col min="2" max="2" width="12" style="52" customWidth="1"/>
    <col min="3" max="3" width="12.7109375" style="52" customWidth="1"/>
    <col min="4" max="4" width="14.140625" style="52" customWidth="1"/>
    <col min="5" max="7" width="11.7109375" style="52" customWidth="1"/>
    <col min="8" max="8" width="17.7109375" style="52" customWidth="1"/>
    <col min="9" max="9" width="17.42578125" style="26" customWidth="1"/>
    <col min="10" max="10" width="16.28515625" style="26" customWidth="1"/>
    <col min="11" max="11" width="11.28515625" style="26" bestFit="1" customWidth="1"/>
    <col min="12" max="12" width="10.5703125" style="26" customWidth="1"/>
    <col min="13" max="13" width="11.85546875" style="26" customWidth="1"/>
    <col min="14" max="14" width="12.5703125" style="26" customWidth="1"/>
    <col min="15" max="15" width="9.85546875" style="26" customWidth="1"/>
    <col min="16" max="16" width="11.7109375" style="26" customWidth="1"/>
    <col min="17" max="247" width="9.140625" style="26"/>
    <col min="248" max="248" width="8.7109375" style="26" customWidth="1"/>
    <col min="249" max="249" width="9.85546875" style="26" customWidth="1"/>
    <col min="250" max="250" width="14.42578125" style="26" customWidth="1"/>
    <col min="251" max="251" width="7.28515625" style="26" customWidth="1"/>
    <col min="252" max="252" width="5.5703125" style="26" customWidth="1"/>
    <col min="253" max="253" width="9" style="26" customWidth="1"/>
    <col min="254" max="255" width="9.85546875" style="26" customWidth="1"/>
    <col min="256" max="256" width="11.140625" style="26" customWidth="1"/>
    <col min="257" max="257" width="2.85546875" style="26" customWidth="1"/>
    <col min="258" max="258" width="3.5703125" style="26" customWidth="1"/>
    <col min="259" max="503" width="9.140625" style="26"/>
    <col min="504" max="504" width="8.7109375" style="26" customWidth="1"/>
    <col min="505" max="505" width="9.85546875" style="26" customWidth="1"/>
    <col min="506" max="506" width="14.42578125" style="26" customWidth="1"/>
    <col min="507" max="507" width="7.28515625" style="26" customWidth="1"/>
    <col min="508" max="508" width="5.5703125" style="26" customWidth="1"/>
    <col min="509" max="509" width="9" style="26" customWidth="1"/>
    <col min="510" max="511" width="9.85546875" style="26" customWidth="1"/>
    <col min="512" max="512" width="11.140625" style="26" customWidth="1"/>
    <col min="513" max="513" width="2.85546875" style="26" customWidth="1"/>
    <col min="514" max="514" width="3.5703125" style="26" customWidth="1"/>
    <col min="515" max="759" width="9.140625" style="26"/>
    <col min="760" max="760" width="8.7109375" style="26" customWidth="1"/>
    <col min="761" max="761" width="9.85546875" style="26" customWidth="1"/>
    <col min="762" max="762" width="14.42578125" style="26" customWidth="1"/>
    <col min="763" max="763" width="7.28515625" style="26" customWidth="1"/>
    <col min="764" max="764" width="5.5703125" style="26" customWidth="1"/>
    <col min="765" max="765" width="9" style="26" customWidth="1"/>
    <col min="766" max="767" width="9.85546875" style="26" customWidth="1"/>
    <col min="768" max="768" width="11.140625" style="26" customWidth="1"/>
    <col min="769" max="769" width="2.85546875" style="26" customWidth="1"/>
    <col min="770" max="770" width="3.5703125" style="26" customWidth="1"/>
    <col min="771" max="1015" width="9.140625" style="26"/>
    <col min="1016" max="1016" width="8.7109375" style="26" customWidth="1"/>
    <col min="1017" max="1017" width="9.85546875" style="26" customWidth="1"/>
    <col min="1018" max="1018" width="14.42578125" style="26" customWidth="1"/>
    <col min="1019" max="1019" width="7.28515625" style="26" customWidth="1"/>
    <col min="1020" max="1020" width="5.5703125" style="26" customWidth="1"/>
    <col min="1021" max="1021" width="9" style="26" customWidth="1"/>
    <col min="1022" max="1023" width="9.85546875" style="26" customWidth="1"/>
    <col min="1024" max="1024" width="11.140625" style="26" customWidth="1"/>
    <col min="1025" max="1025" width="2.85546875" style="26" customWidth="1"/>
    <col min="1026" max="1026" width="3.5703125" style="26" customWidth="1"/>
    <col min="1027" max="1271" width="9.140625" style="26"/>
    <col min="1272" max="1272" width="8.7109375" style="26" customWidth="1"/>
    <col min="1273" max="1273" width="9.85546875" style="26" customWidth="1"/>
    <col min="1274" max="1274" width="14.42578125" style="26" customWidth="1"/>
    <col min="1275" max="1275" width="7.28515625" style="26" customWidth="1"/>
    <col min="1276" max="1276" width="5.5703125" style="26" customWidth="1"/>
    <col min="1277" max="1277" width="9" style="26" customWidth="1"/>
    <col min="1278" max="1279" width="9.85546875" style="26" customWidth="1"/>
    <col min="1280" max="1280" width="11.140625" style="26" customWidth="1"/>
    <col min="1281" max="1281" width="2.85546875" style="26" customWidth="1"/>
    <col min="1282" max="1282" width="3.5703125" style="26" customWidth="1"/>
    <col min="1283" max="1527" width="9.140625" style="26"/>
    <col min="1528" max="1528" width="8.7109375" style="26" customWidth="1"/>
    <col min="1529" max="1529" width="9.85546875" style="26" customWidth="1"/>
    <col min="1530" max="1530" width="14.42578125" style="26" customWidth="1"/>
    <col min="1531" max="1531" width="7.28515625" style="26" customWidth="1"/>
    <col min="1532" max="1532" width="5.5703125" style="26" customWidth="1"/>
    <col min="1533" max="1533" width="9" style="26" customWidth="1"/>
    <col min="1534" max="1535" width="9.85546875" style="26" customWidth="1"/>
    <col min="1536" max="1536" width="11.140625" style="26" customWidth="1"/>
    <col min="1537" max="1537" width="2.85546875" style="26" customWidth="1"/>
    <col min="1538" max="1538" width="3.5703125" style="26" customWidth="1"/>
    <col min="1539" max="1783" width="9.140625" style="26"/>
    <col min="1784" max="1784" width="8.7109375" style="26" customWidth="1"/>
    <col min="1785" max="1785" width="9.85546875" style="26" customWidth="1"/>
    <col min="1786" max="1786" width="14.42578125" style="26" customWidth="1"/>
    <col min="1787" max="1787" width="7.28515625" style="26" customWidth="1"/>
    <col min="1788" max="1788" width="5.5703125" style="26" customWidth="1"/>
    <col min="1789" max="1789" width="9" style="26" customWidth="1"/>
    <col min="1790" max="1791" width="9.85546875" style="26" customWidth="1"/>
    <col min="1792" max="1792" width="11.140625" style="26" customWidth="1"/>
    <col min="1793" max="1793" width="2.85546875" style="26" customWidth="1"/>
    <col min="1794" max="1794" width="3.5703125" style="26" customWidth="1"/>
    <col min="1795" max="2039" width="9.140625" style="26"/>
    <col min="2040" max="2040" width="8.7109375" style="26" customWidth="1"/>
    <col min="2041" max="2041" width="9.85546875" style="26" customWidth="1"/>
    <col min="2042" max="2042" width="14.42578125" style="26" customWidth="1"/>
    <col min="2043" max="2043" width="7.28515625" style="26" customWidth="1"/>
    <col min="2044" max="2044" width="5.5703125" style="26" customWidth="1"/>
    <col min="2045" max="2045" width="9" style="26" customWidth="1"/>
    <col min="2046" max="2047" width="9.85546875" style="26" customWidth="1"/>
    <col min="2048" max="2048" width="11.140625" style="26" customWidth="1"/>
    <col min="2049" max="2049" width="2.85546875" style="26" customWidth="1"/>
    <col min="2050" max="2050" width="3.5703125" style="26" customWidth="1"/>
    <col min="2051" max="2295" width="9.140625" style="26"/>
    <col min="2296" max="2296" width="8.7109375" style="26" customWidth="1"/>
    <col min="2297" max="2297" width="9.85546875" style="26" customWidth="1"/>
    <col min="2298" max="2298" width="14.42578125" style="26" customWidth="1"/>
    <col min="2299" max="2299" width="7.28515625" style="26" customWidth="1"/>
    <col min="2300" max="2300" width="5.5703125" style="26" customWidth="1"/>
    <col min="2301" max="2301" width="9" style="26" customWidth="1"/>
    <col min="2302" max="2303" width="9.85546875" style="26" customWidth="1"/>
    <col min="2304" max="2304" width="11.140625" style="26" customWidth="1"/>
    <col min="2305" max="2305" width="2.85546875" style="26" customWidth="1"/>
    <col min="2306" max="2306" width="3.5703125" style="26" customWidth="1"/>
    <col min="2307" max="2551" width="9.140625" style="26"/>
    <col min="2552" max="2552" width="8.7109375" style="26" customWidth="1"/>
    <col min="2553" max="2553" width="9.85546875" style="26" customWidth="1"/>
    <col min="2554" max="2554" width="14.42578125" style="26" customWidth="1"/>
    <col min="2555" max="2555" width="7.28515625" style="26" customWidth="1"/>
    <col min="2556" max="2556" width="5.5703125" style="26" customWidth="1"/>
    <col min="2557" max="2557" width="9" style="26" customWidth="1"/>
    <col min="2558" max="2559" width="9.85546875" style="26" customWidth="1"/>
    <col min="2560" max="2560" width="11.140625" style="26" customWidth="1"/>
    <col min="2561" max="2561" width="2.85546875" style="26" customWidth="1"/>
    <col min="2562" max="2562" width="3.5703125" style="26" customWidth="1"/>
    <col min="2563" max="2807" width="9.140625" style="26"/>
    <col min="2808" max="2808" width="8.7109375" style="26" customWidth="1"/>
    <col min="2809" max="2809" width="9.85546875" style="26" customWidth="1"/>
    <col min="2810" max="2810" width="14.42578125" style="26" customWidth="1"/>
    <col min="2811" max="2811" width="7.28515625" style="26" customWidth="1"/>
    <col min="2812" max="2812" width="5.5703125" style="26" customWidth="1"/>
    <col min="2813" max="2813" width="9" style="26" customWidth="1"/>
    <col min="2814" max="2815" width="9.85546875" style="26" customWidth="1"/>
    <col min="2816" max="2816" width="11.140625" style="26" customWidth="1"/>
    <col min="2817" max="2817" width="2.85546875" style="26" customWidth="1"/>
    <col min="2818" max="2818" width="3.5703125" style="26" customWidth="1"/>
    <col min="2819" max="3063" width="9.140625" style="26"/>
    <col min="3064" max="3064" width="8.7109375" style="26" customWidth="1"/>
    <col min="3065" max="3065" width="9.85546875" style="26" customWidth="1"/>
    <col min="3066" max="3066" width="14.42578125" style="26" customWidth="1"/>
    <col min="3067" max="3067" width="7.28515625" style="26" customWidth="1"/>
    <col min="3068" max="3068" width="5.5703125" style="26" customWidth="1"/>
    <col min="3069" max="3069" width="9" style="26" customWidth="1"/>
    <col min="3070" max="3071" width="9.85546875" style="26" customWidth="1"/>
    <col min="3072" max="3072" width="11.140625" style="26" customWidth="1"/>
    <col min="3073" max="3073" width="2.85546875" style="26" customWidth="1"/>
    <col min="3074" max="3074" width="3.5703125" style="26" customWidth="1"/>
    <col min="3075" max="3319" width="9.140625" style="26"/>
    <col min="3320" max="3320" width="8.7109375" style="26" customWidth="1"/>
    <col min="3321" max="3321" width="9.85546875" style="26" customWidth="1"/>
    <col min="3322" max="3322" width="14.42578125" style="26" customWidth="1"/>
    <col min="3323" max="3323" width="7.28515625" style="26" customWidth="1"/>
    <col min="3324" max="3324" width="5.5703125" style="26" customWidth="1"/>
    <col min="3325" max="3325" width="9" style="26" customWidth="1"/>
    <col min="3326" max="3327" width="9.85546875" style="26" customWidth="1"/>
    <col min="3328" max="3328" width="11.140625" style="26" customWidth="1"/>
    <col min="3329" max="3329" width="2.85546875" style="26" customWidth="1"/>
    <col min="3330" max="3330" width="3.5703125" style="26" customWidth="1"/>
    <col min="3331" max="3575" width="9.140625" style="26"/>
    <col min="3576" max="3576" width="8.7109375" style="26" customWidth="1"/>
    <col min="3577" max="3577" width="9.85546875" style="26" customWidth="1"/>
    <col min="3578" max="3578" width="14.42578125" style="26" customWidth="1"/>
    <col min="3579" max="3579" width="7.28515625" style="26" customWidth="1"/>
    <col min="3580" max="3580" width="5.5703125" style="26" customWidth="1"/>
    <col min="3581" max="3581" width="9" style="26" customWidth="1"/>
    <col min="3582" max="3583" width="9.85546875" style="26" customWidth="1"/>
    <col min="3584" max="3584" width="11.140625" style="26" customWidth="1"/>
    <col min="3585" max="3585" width="2.85546875" style="26" customWidth="1"/>
    <col min="3586" max="3586" width="3.5703125" style="26" customWidth="1"/>
    <col min="3587" max="3831" width="9.140625" style="26"/>
    <col min="3832" max="3832" width="8.7109375" style="26" customWidth="1"/>
    <col min="3833" max="3833" width="9.85546875" style="26" customWidth="1"/>
    <col min="3834" max="3834" width="14.42578125" style="26" customWidth="1"/>
    <col min="3835" max="3835" width="7.28515625" style="26" customWidth="1"/>
    <col min="3836" max="3836" width="5.5703125" style="26" customWidth="1"/>
    <col min="3837" max="3837" width="9" style="26" customWidth="1"/>
    <col min="3838" max="3839" width="9.85546875" style="26" customWidth="1"/>
    <col min="3840" max="3840" width="11.140625" style="26" customWidth="1"/>
    <col min="3841" max="3841" width="2.85546875" style="26" customWidth="1"/>
    <col min="3842" max="3842" width="3.5703125" style="26" customWidth="1"/>
    <col min="3843" max="4087" width="9.140625" style="26"/>
    <col min="4088" max="4088" width="8.7109375" style="26" customWidth="1"/>
    <col min="4089" max="4089" width="9.85546875" style="26" customWidth="1"/>
    <col min="4090" max="4090" width="14.42578125" style="26" customWidth="1"/>
    <col min="4091" max="4091" width="7.28515625" style="26" customWidth="1"/>
    <col min="4092" max="4092" width="5.5703125" style="26" customWidth="1"/>
    <col min="4093" max="4093" width="9" style="26" customWidth="1"/>
    <col min="4094" max="4095" width="9.85546875" style="26" customWidth="1"/>
    <col min="4096" max="4096" width="11.140625" style="26" customWidth="1"/>
    <col min="4097" max="4097" width="2.85546875" style="26" customWidth="1"/>
    <col min="4098" max="4098" width="3.5703125" style="26" customWidth="1"/>
    <col min="4099" max="4343" width="9.140625" style="26"/>
    <col min="4344" max="4344" width="8.7109375" style="26" customWidth="1"/>
    <col min="4345" max="4345" width="9.85546875" style="26" customWidth="1"/>
    <col min="4346" max="4346" width="14.42578125" style="26" customWidth="1"/>
    <col min="4347" max="4347" width="7.28515625" style="26" customWidth="1"/>
    <col min="4348" max="4348" width="5.5703125" style="26" customWidth="1"/>
    <col min="4349" max="4349" width="9" style="26" customWidth="1"/>
    <col min="4350" max="4351" width="9.85546875" style="26" customWidth="1"/>
    <col min="4352" max="4352" width="11.140625" style="26" customWidth="1"/>
    <col min="4353" max="4353" width="2.85546875" style="26" customWidth="1"/>
    <col min="4354" max="4354" width="3.5703125" style="26" customWidth="1"/>
    <col min="4355" max="4599" width="9.140625" style="26"/>
    <col min="4600" max="4600" width="8.7109375" style="26" customWidth="1"/>
    <col min="4601" max="4601" width="9.85546875" style="26" customWidth="1"/>
    <col min="4602" max="4602" width="14.42578125" style="26" customWidth="1"/>
    <col min="4603" max="4603" width="7.28515625" style="26" customWidth="1"/>
    <col min="4604" max="4604" width="5.5703125" style="26" customWidth="1"/>
    <col min="4605" max="4605" width="9" style="26" customWidth="1"/>
    <col min="4606" max="4607" width="9.85546875" style="26" customWidth="1"/>
    <col min="4608" max="4608" width="11.140625" style="26" customWidth="1"/>
    <col min="4609" max="4609" width="2.85546875" style="26" customWidth="1"/>
    <col min="4610" max="4610" width="3.5703125" style="26" customWidth="1"/>
    <col min="4611" max="4855" width="9.140625" style="26"/>
    <col min="4856" max="4856" width="8.7109375" style="26" customWidth="1"/>
    <col min="4857" max="4857" width="9.85546875" style="26" customWidth="1"/>
    <col min="4858" max="4858" width="14.42578125" style="26" customWidth="1"/>
    <col min="4859" max="4859" width="7.28515625" style="26" customWidth="1"/>
    <col min="4860" max="4860" width="5.5703125" style="26" customWidth="1"/>
    <col min="4861" max="4861" width="9" style="26" customWidth="1"/>
    <col min="4862" max="4863" width="9.85546875" style="26" customWidth="1"/>
    <col min="4864" max="4864" width="11.140625" style="26" customWidth="1"/>
    <col min="4865" max="4865" width="2.85546875" style="26" customWidth="1"/>
    <col min="4866" max="4866" width="3.5703125" style="26" customWidth="1"/>
    <col min="4867" max="5111" width="9.140625" style="26"/>
    <col min="5112" max="5112" width="8.7109375" style="26" customWidth="1"/>
    <col min="5113" max="5113" width="9.85546875" style="26" customWidth="1"/>
    <col min="5114" max="5114" width="14.42578125" style="26" customWidth="1"/>
    <col min="5115" max="5115" width="7.28515625" style="26" customWidth="1"/>
    <col min="5116" max="5116" width="5.5703125" style="26" customWidth="1"/>
    <col min="5117" max="5117" width="9" style="26" customWidth="1"/>
    <col min="5118" max="5119" width="9.85546875" style="26" customWidth="1"/>
    <col min="5120" max="5120" width="11.140625" style="26" customWidth="1"/>
    <col min="5121" max="5121" width="2.85546875" style="26" customWidth="1"/>
    <col min="5122" max="5122" width="3.5703125" style="26" customWidth="1"/>
    <col min="5123" max="5367" width="9.140625" style="26"/>
    <col min="5368" max="5368" width="8.7109375" style="26" customWidth="1"/>
    <col min="5369" max="5369" width="9.85546875" style="26" customWidth="1"/>
    <col min="5370" max="5370" width="14.42578125" style="26" customWidth="1"/>
    <col min="5371" max="5371" width="7.28515625" style="26" customWidth="1"/>
    <col min="5372" max="5372" width="5.5703125" style="26" customWidth="1"/>
    <col min="5373" max="5373" width="9" style="26" customWidth="1"/>
    <col min="5374" max="5375" width="9.85546875" style="26" customWidth="1"/>
    <col min="5376" max="5376" width="11.140625" style="26" customWidth="1"/>
    <col min="5377" max="5377" width="2.85546875" style="26" customWidth="1"/>
    <col min="5378" max="5378" width="3.5703125" style="26" customWidth="1"/>
    <col min="5379" max="5623" width="9.140625" style="26"/>
    <col min="5624" max="5624" width="8.7109375" style="26" customWidth="1"/>
    <col min="5625" max="5625" width="9.85546875" style="26" customWidth="1"/>
    <col min="5626" max="5626" width="14.42578125" style="26" customWidth="1"/>
    <col min="5627" max="5627" width="7.28515625" style="26" customWidth="1"/>
    <col min="5628" max="5628" width="5.5703125" style="26" customWidth="1"/>
    <col min="5629" max="5629" width="9" style="26" customWidth="1"/>
    <col min="5630" max="5631" width="9.85546875" style="26" customWidth="1"/>
    <col min="5632" max="5632" width="11.140625" style="26" customWidth="1"/>
    <col min="5633" max="5633" width="2.85546875" style="26" customWidth="1"/>
    <col min="5634" max="5634" width="3.5703125" style="26" customWidth="1"/>
    <col min="5635" max="5879" width="9.140625" style="26"/>
    <col min="5880" max="5880" width="8.7109375" style="26" customWidth="1"/>
    <col min="5881" max="5881" width="9.85546875" style="26" customWidth="1"/>
    <col min="5882" max="5882" width="14.42578125" style="26" customWidth="1"/>
    <col min="5883" max="5883" width="7.28515625" style="26" customWidth="1"/>
    <col min="5884" max="5884" width="5.5703125" style="26" customWidth="1"/>
    <col min="5885" max="5885" width="9" style="26" customWidth="1"/>
    <col min="5886" max="5887" width="9.85546875" style="26" customWidth="1"/>
    <col min="5888" max="5888" width="11.140625" style="26" customWidth="1"/>
    <col min="5889" max="5889" width="2.85546875" style="26" customWidth="1"/>
    <col min="5890" max="5890" width="3.5703125" style="26" customWidth="1"/>
    <col min="5891" max="6135" width="9.140625" style="26"/>
    <col min="6136" max="6136" width="8.7109375" style="26" customWidth="1"/>
    <col min="6137" max="6137" width="9.85546875" style="26" customWidth="1"/>
    <col min="6138" max="6138" width="14.42578125" style="26" customWidth="1"/>
    <col min="6139" max="6139" width="7.28515625" style="26" customWidth="1"/>
    <col min="6140" max="6140" width="5.5703125" style="26" customWidth="1"/>
    <col min="6141" max="6141" width="9" style="26" customWidth="1"/>
    <col min="6142" max="6143" width="9.85546875" style="26" customWidth="1"/>
    <col min="6144" max="6144" width="11.140625" style="26" customWidth="1"/>
    <col min="6145" max="6145" width="2.85546875" style="26" customWidth="1"/>
    <col min="6146" max="6146" width="3.5703125" style="26" customWidth="1"/>
    <col min="6147" max="6391" width="9.140625" style="26"/>
    <col min="6392" max="6392" width="8.7109375" style="26" customWidth="1"/>
    <col min="6393" max="6393" width="9.85546875" style="26" customWidth="1"/>
    <col min="6394" max="6394" width="14.42578125" style="26" customWidth="1"/>
    <col min="6395" max="6395" width="7.28515625" style="26" customWidth="1"/>
    <col min="6396" max="6396" width="5.5703125" style="26" customWidth="1"/>
    <col min="6397" max="6397" width="9" style="26" customWidth="1"/>
    <col min="6398" max="6399" width="9.85546875" style="26" customWidth="1"/>
    <col min="6400" max="6400" width="11.140625" style="26" customWidth="1"/>
    <col min="6401" max="6401" width="2.85546875" style="26" customWidth="1"/>
    <col min="6402" max="6402" width="3.5703125" style="26" customWidth="1"/>
    <col min="6403" max="6647" width="9.140625" style="26"/>
    <col min="6648" max="6648" width="8.7109375" style="26" customWidth="1"/>
    <col min="6649" max="6649" width="9.85546875" style="26" customWidth="1"/>
    <col min="6650" max="6650" width="14.42578125" style="26" customWidth="1"/>
    <col min="6651" max="6651" width="7.28515625" style="26" customWidth="1"/>
    <col min="6652" max="6652" width="5.5703125" style="26" customWidth="1"/>
    <col min="6653" max="6653" width="9" style="26" customWidth="1"/>
    <col min="6654" max="6655" width="9.85546875" style="26" customWidth="1"/>
    <col min="6656" max="6656" width="11.140625" style="26" customWidth="1"/>
    <col min="6657" max="6657" width="2.85546875" style="26" customWidth="1"/>
    <col min="6658" max="6658" width="3.5703125" style="26" customWidth="1"/>
    <col min="6659" max="6903" width="9.140625" style="26"/>
    <col min="6904" max="6904" width="8.7109375" style="26" customWidth="1"/>
    <col min="6905" max="6905" width="9.85546875" style="26" customWidth="1"/>
    <col min="6906" max="6906" width="14.42578125" style="26" customWidth="1"/>
    <col min="6907" max="6907" width="7.28515625" style="26" customWidth="1"/>
    <col min="6908" max="6908" width="5.5703125" style="26" customWidth="1"/>
    <col min="6909" max="6909" width="9" style="26" customWidth="1"/>
    <col min="6910" max="6911" width="9.85546875" style="26" customWidth="1"/>
    <col min="6912" max="6912" width="11.140625" style="26" customWidth="1"/>
    <col min="6913" max="6913" width="2.85546875" style="26" customWidth="1"/>
    <col min="6914" max="6914" width="3.5703125" style="26" customWidth="1"/>
    <col min="6915" max="7159" width="9.140625" style="26"/>
    <col min="7160" max="7160" width="8.7109375" style="26" customWidth="1"/>
    <col min="7161" max="7161" width="9.85546875" style="26" customWidth="1"/>
    <col min="7162" max="7162" width="14.42578125" style="26" customWidth="1"/>
    <col min="7163" max="7163" width="7.28515625" style="26" customWidth="1"/>
    <col min="7164" max="7164" width="5.5703125" style="26" customWidth="1"/>
    <col min="7165" max="7165" width="9" style="26" customWidth="1"/>
    <col min="7166" max="7167" width="9.85546875" style="26" customWidth="1"/>
    <col min="7168" max="7168" width="11.140625" style="26" customWidth="1"/>
    <col min="7169" max="7169" width="2.85546875" style="26" customWidth="1"/>
    <col min="7170" max="7170" width="3.5703125" style="26" customWidth="1"/>
    <col min="7171" max="7415" width="9.140625" style="26"/>
    <col min="7416" max="7416" width="8.7109375" style="26" customWidth="1"/>
    <col min="7417" max="7417" width="9.85546875" style="26" customWidth="1"/>
    <col min="7418" max="7418" width="14.42578125" style="26" customWidth="1"/>
    <col min="7419" max="7419" width="7.28515625" style="26" customWidth="1"/>
    <col min="7420" max="7420" width="5.5703125" style="26" customWidth="1"/>
    <col min="7421" max="7421" width="9" style="26" customWidth="1"/>
    <col min="7422" max="7423" width="9.85546875" style="26" customWidth="1"/>
    <col min="7424" max="7424" width="11.140625" style="26" customWidth="1"/>
    <col min="7425" max="7425" width="2.85546875" style="26" customWidth="1"/>
    <col min="7426" max="7426" width="3.5703125" style="26" customWidth="1"/>
    <col min="7427" max="7671" width="9.140625" style="26"/>
    <col min="7672" max="7672" width="8.7109375" style="26" customWidth="1"/>
    <col min="7673" max="7673" width="9.85546875" style="26" customWidth="1"/>
    <col min="7674" max="7674" width="14.42578125" style="26" customWidth="1"/>
    <col min="7675" max="7675" width="7.28515625" style="26" customWidth="1"/>
    <col min="7676" max="7676" width="5.5703125" style="26" customWidth="1"/>
    <col min="7677" max="7677" width="9" style="26" customWidth="1"/>
    <col min="7678" max="7679" width="9.85546875" style="26" customWidth="1"/>
    <col min="7680" max="7680" width="11.140625" style="26" customWidth="1"/>
    <col min="7681" max="7681" width="2.85546875" style="26" customWidth="1"/>
    <col min="7682" max="7682" width="3.5703125" style="26" customWidth="1"/>
    <col min="7683" max="7927" width="9.140625" style="26"/>
    <col min="7928" max="7928" width="8.7109375" style="26" customWidth="1"/>
    <col min="7929" max="7929" width="9.85546875" style="26" customWidth="1"/>
    <col min="7930" max="7930" width="14.42578125" style="26" customWidth="1"/>
    <col min="7931" max="7931" width="7.28515625" style="26" customWidth="1"/>
    <col min="7932" max="7932" width="5.5703125" style="26" customWidth="1"/>
    <col min="7933" max="7933" width="9" style="26" customWidth="1"/>
    <col min="7934" max="7935" width="9.85546875" style="26" customWidth="1"/>
    <col min="7936" max="7936" width="11.140625" style="26" customWidth="1"/>
    <col min="7937" max="7937" width="2.85546875" style="26" customWidth="1"/>
    <col min="7938" max="7938" width="3.5703125" style="26" customWidth="1"/>
    <col min="7939" max="8183" width="9.140625" style="26"/>
    <col min="8184" max="8184" width="8.7109375" style="26" customWidth="1"/>
    <col min="8185" max="8185" width="9.85546875" style="26" customWidth="1"/>
    <col min="8186" max="8186" width="14.42578125" style="26" customWidth="1"/>
    <col min="8187" max="8187" width="7.28515625" style="26" customWidth="1"/>
    <col min="8188" max="8188" width="5.5703125" style="26" customWidth="1"/>
    <col min="8189" max="8189" width="9" style="26" customWidth="1"/>
    <col min="8190" max="8191" width="9.85546875" style="26" customWidth="1"/>
    <col min="8192" max="8192" width="11.140625" style="26" customWidth="1"/>
    <col min="8193" max="8193" width="2.85546875" style="26" customWidth="1"/>
    <col min="8194" max="8194" width="3.5703125" style="26" customWidth="1"/>
    <col min="8195" max="8439" width="9.140625" style="26"/>
    <col min="8440" max="8440" width="8.7109375" style="26" customWidth="1"/>
    <col min="8441" max="8441" width="9.85546875" style="26" customWidth="1"/>
    <col min="8442" max="8442" width="14.42578125" style="26" customWidth="1"/>
    <col min="8443" max="8443" width="7.28515625" style="26" customWidth="1"/>
    <col min="8444" max="8444" width="5.5703125" style="26" customWidth="1"/>
    <col min="8445" max="8445" width="9" style="26" customWidth="1"/>
    <col min="8446" max="8447" width="9.85546875" style="26" customWidth="1"/>
    <col min="8448" max="8448" width="11.140625" style="26" customWidth="1"/>
    <col min="8449" max="8449" width="2.85546875" style="26" customWidth="1"/>
    <col min="8450" max="8450" width="3.5703125" style="26" customWidth="1"/>
    <col min="8451" max="8695" width="9.140625" style="26"/>
    <col min="8696" max="8696" width="8.7109375" style="26" customWidth="1"/>
    <col min="8697" max="8697" width="9.85546875" style="26" customWidth="1"/>
    <col min="8698" max="8698" width="14.42578125" style="26" customWidth="1"/>
    <col min="8699" max="8699" width="7.28515625" style="26" customWidth="1"/>
    <col min="8700" max="8700" width="5.5703125" style="26" customWidth="1"/>
    <col min="8701" max="8701" width="9" style="26" customWidth="1"/>
    <col min="8702" max="8703" width="9.85546875" style="26" customWidth="1"/>
    <col min="8704" max="8704" width="11.140625" style="26" customWidth="1"/>
    <col min="8705" max="8705" width="2.85546875" style="26" customWidth="1"/>
    <col min="8706" max="8706" width="3.5703125" style="26" customWidth="1"/>
    <col min="8707" max="8951" width="9.140625" style="26"/>
    <col min="8952" max="8952" width="8.7109375" style="26" customWidth="1"/>
    <col min="8953" max="8953" width="9.85546875" style="26" customWidth="1"/>
    <col min="8954" max="8954" width="14.42578125" style="26" customWidth="1"/>
    <col min="8955" max="8955" width="7.28515625" style="26" customWidth="1"/>
    <col min="8956" max="8956" width="5.5703125" style="26" customWidth="1"/>
    <col min="8957" max="8957" width="9" style="26" customWidth="1"/>
    <col min="8958" max="8959" width="9.85546875" style="26" customWidth="1"/>
    <col min="8960" max="8960" width="11.140625" style="26" customWidth="1"/>
    <col min="8961" max="8961" width="2.85546875" style="26" customWidth="1"/>
    <col min="8962" max="8962" width="3.5703125" style="26" customWidth="1"/>
    <col min="8963" max="9207" width="9.140625" style="26"/>
    <col min="9208" max="9208" width="8.7109375" style="26" customWidth="1"/>
    <col min="9209" max="9209" width="9.85546875" style="26" customWidth="1"/>
    <col min="9210" max="9210" width="14.42578125" style="26" customWidth="1"/>
    <col min="9211" max="9211" width="7.28515625" style="26" customWidth="1"/>
    <col min="9212" max="9212" width="5.5703125" style="26" customWidth="1"/>
    <col min="9213" max="9213" width="9" style="26" customWidth="1"/>
    <col min="9214" max="9215" width="9.85546875" style="26" customWidth="1"/>
    <col min="9216" max="9216" width="11.140625" style="26" customWidth="1"/>
    <col min="9217" max="9217" width="2.85546875" style="26" customWidth="1"/>
    <col min="9218" max="9218" width="3.5703125" style="26" customWidth="1"/>
    <col min="9219" max="9463" width="9.140625" style="26"/>
    <col min="9464" max="9464" width="8.7109375" style="26" customWidth="1"/>
    <col min="9465" max="9465" width="9.85546875" style="26" customWidth="1"/>
    <col min="9466" max="9466" width="14.42578125" style="26" customWidth="1"/>
    <col min="9467" max="9467" width="7.28515625" style="26" customWidth="1"/>
    <col min="9468" max="9468" width="5.5703125" style="26" customWidth="1"/>
    <col min="9469" max="9469" width="9" style="26" customWidth="1"/>
    <col min="9470" max="9471" width="9.85546875" style="26" customWidth="1"/>
    <col min="9472" max="9472" width="11.140625" style="26" customWidth="1"/>
    <col min="9473" max="9473" width="2.85546875" style="26" customWidth="1"/>
    <col min="9474" max="9474" width="3.5703125" style="26" customWidth="1"/>
    <col min="9475" max="9719" width="9.140625" style="26"/>
    <col min="9720" max="9720" width="8.7109375" style="26" customWidth="1"/>
    <col min="9721" max="9721" width="9.85546875" style="26" customWidth="1"/>
    <col min="9722" max="9722" width="14.42578125" style="26" customWidth="1"/>
    <col min="9723" max="9723" width="7.28515625" style="26" customWidth="1"/>
    <col min="9724" max="9724" width="5.5703125" style="26" customWidth="1"/>
    <col min="9725" max="9725" width="9" style="26" customWidth="1"/>
    <col min="9726" max="9727" width="9.85546875" style="26" customWidth="1"/>
    <col min="9728" max="9728" width="11.140625" style="26" customWidth="1"/>
    <col min="9729" max="9729" width="2.85546875" style="26" customWidth="1"/>
    <col min="9730" max="9730" width="3.5703125" style="26" customWidth="1"/>
    <col min="9731" max="9975" width="9.140625" style="26"/>
    <col min="9976" max="9976" width="8.7109375" style="26" customWidth="1"/>
    <col min="9977" max="9977" width="9.85546875" style="26" customWidth="1"/>
    <col min="9978" max="9978" width="14.42578125" style="26" customWidth="1"/>
    <col min="9979" max="9979" width="7.28515625" style="26" customWidth="1"/>
    <col min="9980" max="9980" width="5.5703125" style="26" customWidth="1"/>
    <col min="9981" max="9981" width="9" style="26" customWidth="1"/>
    <col min="9982" max="9983" width="9.85546875" style="26" customWidth="1"/>
    <col min="9984" max="9984" width="11.140625" style="26" customWidth="1"/>
    <col min="9985" max="9985" width="2.85546875" style="26" customWidth="1"/>
    <col min="9986" max="9986" width="3.5703125" style="26" customWidth="1"/>
    <col min="9987" max="10231" width="9.140625" style="26"/>
    <col min="10232" max="10232" width="8.7109375" style="26" customWidth="1"/>
    <col min="10233" max="10233" width="9.85546875" style="26" customWidth="1"/>
    <col min="10234" max="10234" width="14.42578125" style="26" customWidth="1"/>
    <col min="10235" max="10235" width="7.28515625" style="26" customWidth="1"/>
    <col min="10236" max="10236" width="5.5703125" style="26" customWidth="1"/>
    <col min="10237" max="10237" width="9" style="26" customWidth="1"/>
    <col min="10238" max="10239" width="9.85546875" style="26" customWidth="1"/>
    <col min="10240" max="10240" width="11.140625" style="26" customWidth="1"/>
    <col min="10241" max="10241" width="2.85546875" style="26" customWidth="1"/>
    <col min="10242" max="10242" width="3.5703125" style="26" customWidth="1"/>
    <col min="10243" max="10487" width="9.140625" style="26"/>
    <col min="10488" max="10488" width="8.7109375" style="26" customWidth="1"/>
    <col min="10489" max="10489" width="9.85546875" style="26" customWidth="1"/>
    <col min="10490" max="10490" width="14.42578125" style="26" customWidth="1"/>
    <col min="10491" max="10491" width="7.28515625" style="26" customWidth="1"/>
    <col min="10492" max="10492" width="5.5703125" style="26" customWidth="1"/>
    <col min="10493" max="10493" width="9" style="26" customWidth="1"/>
    <col min="10494" max="10495" width="9.85546875" style="26" customWidth="1"/>
    <col min="10496" max="10496" width="11.140625" style="26" customWidth="1"/>
    <col min="10497" max="10497" width="2.85546875" style="26" customWidth="1"/>
    <col min="10498" max="10498" width="3.5703125" style="26" customWidth="1"/>
    <col min="10499" max="10743" width="9.140625" style="26"/>
    <col min="10744" max="10744" width="8.7109375" style="26" customWidth="1"/>
    <col min="10745" max="10745" width="9.85546875" style="26" customWidth="1"/>
    <col min="10746" max="10746" width="14.42578125" style="26" customWidth="1"/>
    <col min="10747" max="10747" width="7.28515625" style="26" customWidth="1"/>
    <col min="10748" max="10748" width="5.5703125" style="26" customWidth="1"/>
    <col min="10749" max="10749" width="9" style="26" customWidth="1"/>
    <col min="10750" max="10751" width="9.85546875" style="26" customWidth="1"/>
    <col min="10752" max="10752" width="11.140625" style="26" customWidth="1"/>
    <col min="10753" max="10753" width="2.85546875" style="26" customWidth="1"/>
    <col min="10754" max="10754" width="3.5703125" style="26" customWidth="1"/>
    <col min="10755" max="10999" width="9.140625" style="26"/>
    <col min="11000" max="11000" width="8.7109375" style="26" customWidth="1"/>
    <col min="11001" max="11001" width="9.85546875" style="26" customWidth="1"/>
    <col min="11002" max="11002" width="14.42578125" style="26" customWidth="1"/>
    <col min="11003" max="11003" width="7.28515625" style="26" customWidth="1"/>
    <col min="11004" max="11004" width="5.5703125" style="26" customWidth="1"/>
    <col min="11005" max="11005" width="9" style="26" customWidth="1"/>
    <col min="11006" max="11007" width="9.85546875" style="26" customWidth="1"/>
    <col min="11008" max="11008" width="11.140625" style="26" customWidth="1"/>
    <col min="11009" max="11009" width="2.85546875" style="26" customWidth="1"/>
    <col min="11010" max="11010" width="3.5703125" style="26" customWidth="1"/>
    <col min="11011" max="11255" width="9.140625" style="26"/>
    <col min="11256" max="11256" width="8.7109375" style="26" customWidth="1"/>
    <col min="11257" max="11257" width="9.85546875" style="26" customWidth="1"/>
    <col min="11258" max="11258" width="14.42578125" style="26" customWidth="1"/>
    <col min="11259" max="11259" width="7.28515625" style="26" customWidth="1"/>
    <col min="11260" max="11260" width="5.5703125" style="26" customWidth="1"/>
    <col min="11261" max="11261" width="9" style="26" customWidth="1"/>
    <col min="11262" max="11263" width="9.85546875" style="26" customWidth="1"/>
    <col min="11264" max="11264" width="11.140625" style="26" customWidth="1"/>
    <col min="11265" max="11265" width="2.85546875" style="26" customWidth="1"/>
    <col min="11266" max="11266" width="3.5703125" style="26" customWidth="1"/>
    <col min="11267" max="11511" width="9.140625" style="26"/>
    <col min="11512" max="11512" width="8.7109375" style="26" customWidth="1"/>
    <col min="11513" max="11513" width="9.85546875" style="26" customWidth="1"/>
    <col min="11514" max="11514" width="14.42578125" style="26" customWidth="1"/>
    <col min="11515" max="11515" width="7.28515625" style="26" customWidth="1"/>
    <col min="11516" max="11516" width="5.5703125" style="26" customWidth="1"/>
    <col min="11517" max="11517" width="9" style="26" customWidth="1"/>
    <col min="11518" max="11519" width="9.85546875" style="26" customWidth="1"/>
    <col min="11520" max="11520" width="11.140625" style="26" customWidth="1"/>
    <col min="11521" max="11521" width="2.85546875" style="26" customWidth="1"/>
    <col min="11522" max="11522" width="3.5703125" style="26" customWidth="1"/>
    <col min="11523" max="11767" width="9.140625" style="26"/>
    <col min="11768" max="11768" width="8.7109375" style="26" customWidth="1"/>
    <col min="11769" max="11769" width="9.85546875" style="26" customWidth="1"/>
    <col min="11770" max="11770" width="14.42578125" style="26" customWidth="1"/>
    <col min="11771" max="11771" width="7.28515625" style="26" customWidth="1"/>
    <col min="11772" max="11772" width="5.5703125" style="26" customWidth="1"/>
    <col min="11773" max="11773" width="9" style="26" customWidth="1"/>
    <col min="11774" max="11775" width="9.85546875" style="26" customWidth="1"/>
    <col min="11776" max="11776" width="11.140625" style="26" customWidth="1"/>
    <col min="11777" max="11777" width="2.85546875" style="26" customWidth="1"/>
    <col min="11778" max="11778" width="3.5703125" style="26" customWidth="1"/>
    <col min="11779" max="12023" width="9.140625" style="26"/>
    <col min="12024" max="12024" width="8.7109375" style="26" customWidth="1"/>
    <col min="12025" max="12025" width="9.85546875" style="26" customWidth="1"/>
    <col min="12026" max="12026" width="14.42578125" style="26" customWidth="1"/>
    <col min="12027" max="12027" width="7.28515625" style="26" customWidth="1"/>
    <col min="12028" max="12028" width="5.5703125" style="26" customWidth="1"/>
    <col min="12029" max="12029" width="9" style="26" customWidth="1"/>
    <col min="12030" max="12031" width="9.85546875" style="26" customWidth="1"/>
    <col min="12032" max="12032" width="11.140625" style="26" customWidth="1"/>
    <col min="12033" max="12033" width="2.85546875" style="26" customWidth="1"/>
    <col min="12034" max="12034" width="3.5703125" style="26" customWidth="1"/>
    <col min="12035" max="12279" width="9.140625" style="26"/>
    <col min="12280" max="12280" width="8.7109375" style="26" customWidth="1"/>
    <col min="12281" max="12281" width="9.85546875" style="26" customWidth="1"/>
    <col min="12282" max="12282" width="14.42578125" style="26" customWidth="1"/>
    <col min="12283" max="12283" width="7.28515625" style="26" customWidth="1"/>
    <col min="12284" max="12284" width="5.5703125" style="26" customWidth="1"/>
    <col min="12285" max="12285" width="9" style="26" customWidth="1"/>
    <col min="12286" max="12287" width="9.85546875" style="26" customWidth="1"/>
    <col min="12288" max="12288" width="11.140625" style="26" customWidth="1"/>
    <col min="12289" max="12289" width="2.85546875" style="26" customWidth="1"/>
    <col min="12290" max="12290" width="3.5703125" style="26" customWidth="1"/>
    <col min="12291" max="12535" width="9.140625" style="26"/>
    <col min="12536" max="12536" width="8.7109375" style="26" customWidth="1"/>
    <col min="12537" max="12537" width="9.85546875" style="26" customWidth="1"/>
    <col min="12538" max="12538" width="14.42578125" style="26" customWidth="1"/>
    <col min="12539" max="12539" width="7.28515625" style="26" customWidth="1"/>
    <col min="12540" max="12540" width="5.5703125" style="26" customWidth="1"/>
    <col min="12541" max="12541" width="9" style="26" customWidth="1"/>
    <col min="12542" max="12543" width="9.85546875" style="26" customWidth="1"/>
    <col min="12544" max="12544" width="11.140625" style="26" customWidth="1"/>
    <col min="12545" max="12545" width="2.85546875" style="26" customWidth="1"/>
    <col min="12546" max="12546" width="3.5703125" style="26" customWidth="1"/>
    <col min="12547" max="12791" width="9.140625" style="26"/>
    <col min="12792" max="12792" width="8.7109375" style="26" customWidth="1"/>
    <col min="12793" max="12793" width="9.85546875" style="26" customWidth="1"/>
    <col min="12794" max="12794" width="14.42578125" style="26" customWidth="1"/>
    <col min="12795" max="12795" width="7.28515625" style="26" customWidth="1"/>
    <col min="12796" max="12796" width="5.5703125" style="26" customWidth="1"/>
    <col min="12797" max="12797" width="9" style="26" customWidth="1"/>
    <col min="12798" max="12799" width="9.85546875" style="26" customWidth="1"/>
    <col min="12800" max="12800" width="11.140625" style="26" customWidth="1"/>
    <col min="12801" max="12801" width="2.85546875" style="26" customWidth="1"/>
    <col min="12802" max="12802" width="3.5703125" style="26" customWidth="1"/>
    <col min="12803" max="13047" width="9.140625" style="26"/>
    <col min="13048" max="13048" width="8.7109375" style="26" customWidth="1"/>
    <col min="13049" max="13049" width="9.85546875" style="26" customWidth="1"/>
    <col min="13050" max="13050" width="14.42578125" style="26" customWidth="1"/>
    <col min="13051" max="13051" width="7.28515625" style="26" customWidth="1"/>
    <col min="13052" max="13052" width="5.5703125" style="26" customWidth="1"/>
    <col min="13053" max="13053" width="9" style="26" customWidth="1"/>
    <col min="13054" max="13055" width="9.85546875" style="26" customWidth="1"/>
    <col min="13056" max="13056" width="11.140625" style="26" customWidth="1"/>
    <col min="13057" max="13057" width="2.85546875" style="26" customWidth="1"/>
    <col min="13058" max="13058" width="3.5703125" style="26" customWidth="1"/>
    <col min="13059" max="13303" width="9.140625" style="26"/>
    <col min="13304" max="13304" width="8.7109375" style="26" customWidth="1"/>
    <col min="13305" max="13305" width="9.85546875" style="26" customWidth="1"/>
    <col min="13306" max="13306" width="14.42578125" style="26" customWidth="1"/>
    <col min="13307" max="13307" width="7.28515625" style="26" customWidth="1"/>
    <col min="13308" max="13308" width="5.5703125" style="26" customWidth="1"/>
    <col min="13309" max="13309" width="9" style="26" customWidth="1"/>
    <col min="13310" max="13311" width="9.85546875" style="26" customWidth="1"/>
    <col min="13312" max="13312" width="11.140625" style="26" customWidth="1"/>
    <col min="13313" max="13313" width="2.85546875" style="26" customWidth="1"/>
    <col min="13314" max="13314" width="3.5703125" style="26" customWidth="1"/>
    <col min="13315" max="13559" width="9.140625" style="26"/>
    <col min="13560" max="13560" width="8.7109375" style="26" customWidth="1"/>
    <col min="13561" max="13561" width="9.85546875" style="26" customWidth="1"/>
    <col min="13562" max="13562" width="14.42578125" style="26" customWidth="1"/>
    <col min="13563" max="13563" width="7.28515625" style="26" customWidth="1"/>
    <col min="13564" max="13564" width="5.5703125" style="26" customWidth="1"/>
    <col min="13565" max="13565" width="9" style="26" customWidth="1"/>
    <col min="13566" max="13567" width="9.85546875" style="26" customWidth="1"/>
    <col min="13568" max="13568" width="11.140625" style="26" customWidth="1"/>
    <col min="13569" max="13569" width="2.85546875" style="26" customWidth="1"/>
    <col min="13570" max="13570" width="3.5703125" style="26" customWidth="1"/>
    <col min="13571" max="13815" width="9.140625" style="26"/>
    <col min="13816" max="13816" width="8.7109375" style="26" customWidth="1"/>
    <col min="13817" max="13817" width="9.85546875" style="26" customWidth="1"/>
    <col min="13818" max="13818" width="14.42578125" style="26" customWidth="1"/>
    <col min="13819" max="13819" width="7.28515625" style="26" customWidth="1"/>
    <col min="13820" max="13820" width="5.5703125" style="26" customWidth="1"/>
    <col min="13821" max="13821" width="9" style="26" customWidth="1"/>
    <col min="13822" max="13823" width="9.85546875" style="26" customWidth="1"/>
    <col min="13824" max="13824" width="11.140625" style="26" customWidth="1"/>
    <col min="13825" max="13825" width="2.85546875" style="26" customWidth="1"/>
    <col min="13826" max="13826" width="3.5703125" style="26" customWidth="1"/>
    <col min="13827" max="14071" width="9.140625" style="26"/>
    <col min="14072" max="14072" width="8.7109375" style="26" customWidth="1"/>
    <col min="14073" max="14073" width="9.85546875" style="26" customWidth="1"/>
    <col min="14074" max="14074" width="14.42578125" style="26" customWidth="1"/>
    <col min="14075" max="14075" width="7.28515625" style="26" customWidth="1"/>
    <col min="14076" max="14076" width="5.5703125" style="26" customWidth="1"/>
    <col min="14077" max="14077" width="9" style="26" customWidth="1"/>
    <col min="14078" max="14079" width="9.85546875" style="26" customWidth="1"/>
    <col min="14080" max="14080" width="11.140625" style="26" customWidth="1"/>
    <col min="14081" max="14081" width="2.85546875" style="26" customWidth="1"/>
    <col min="14082" max="14082" width="3.5703125" style="26" customWidth="1"/>
    <col min="14083" max="14327" width="9.140625" style="26"/>
    <col min="14328" max="14328" width="8.7109375" style="26" customWidth="1"/>
    <col min="14329" max="14329" width="9.85546875" style="26" customWidth="1"/>
    <col min="14330" max="14330" width="14.42578125" style="26" customWidth="1"/>
    <col min="14331" max="14331" width="7.28515625" style="26" customWidth="1"/>
    <col min="14332" max="14332" width="5.5703125" style="26" customWidth="1"/>
    <col min="14333" max="14333" width="9" style="26" customWidth="1"/>
    <col min="14334" max="14335" width="9.85546875" style="26" customWidth="1"/>
    <col min="14336" max="14336" width="11.140625" style="26" customWidth="1"/>
    <col min="14337" max="14337" width="2.85546875" style="26" customWidth="1"/>
    <col min="14338" max="14338" width="3.5703125" style="26" customWidth="1"/>
    <col min="14339" max="14583" width="9.140625" style="26"/>
    <col min="14584" max="14584" width="8.7109375" style="26" customWidth="1"/>
    <col min="14585" max="14585" width="9.85546875" style="26" customWidth="1"/>
    <col min="14586" max="14586" width="14.42578125" style="26" customWidth="1"/>
    <col min="14587" max="14587" width="7.28515625" style="26" customWidth="1"/>
    <col min="14588" max="14588" width="5.5703125" style="26" customWidth="1"/>
    <col min="14589" max="14589" width="9" style="26" customWidth="1"/>
    <col min="14590" max="14591" width="9.85546875" style="26" customWidth="1"/>
    <col min="14592" max="14592" width="11.140625" style="26" customWidth="1"/>
    <col min="14593" max="14593" width="2.85546875" style="26" customWidth="1"/>
    <col min="14594" max="14594" width="3.5703125" style="26" customWidth="1"/>
    <col min="14595" max="14839" width="9.140625" style="26"/>
    <col min="14840" max="14840" width="8.7109375" style="26" customWidth="1"/>
    <col min="14841" max="14841" width="9.85546875" style="26" customWidth="1"/>
    <col min="14842" max="14842" width="14.42578125" style="26" customWidth="1"/>
    <col min="14843" max="14843" width="7.28515625" style="26" customWidth="1"/>
    <col min="14844" max="14844" width="5.5703125" style="26" customWidth="1"/>
    <col min="14845" max="14845" width="9" style="26" customWidth="1"/>
    <col min="14846" max="14847" width="9.85546875" style="26" customWidth="1"/>
    <col min="14848" max="14848" width="11.140625" style="26" customWidth="1"/>
    <col min="14849" max="14849" width="2.85546875" style="26" customWidth="1"/>
    <col min="14850" max="14850" width="3.5703125" style="26" customWidth="1"/>
    <col min="14851" max="15095" width="9.140625" style="26"/>
    <col min="15096" max="15096" width="8.7109375" style="26" customWidth="1"/>
    <col min="15097" max="15097" width="9.85546875" style="26" customWidth="1"/>
    <col min="15098" max="15098" width="14.42578125" style="26" customWidth="1"/>
    <col min="15099" max="15099" width="7.28515625" style="26" customWidth="1"/>
    <col min="15100" max="15100" width="5.5703125" style="26" customWidth="1"/>
    <col min="15101" max="15101" width="9" style="26" customWidth="1"/>
    <col min="15102" max="15103" width="9.85546875" style="26" customWidth="1"/>
    <col min="15104" max="15104" width="11.140625" style="26" customWidth="1"/>
    <col min="15105" max="15105" width="2.85546875" style="26" customWidth="1"/>
    <col min="15106" max="15106" width="3.5703125" style="26" customWidth="1"/>
    <col min="15107" max="15351" width="9.140625" style="26"/>
    <col min="15352" max="15352" width="8.7109375" style="26" customWidth="1"/>
    <col min="15353" max="15353" width="9.85546875" style="26" customWidth="1"/>
    <col min="15354" max="15354" width="14.42578125" style="26" customWidth="1"/>
    <col min="15355" max="15355" width="7.28515625" style="26" customWidth="1"/>
    <col min="15356" max="15356" width="5.5703125" style="26" customWidth="1"/>
    <col min="15357" max="15357" width="9" style="26" customWidth="1"/>
    <col min="15358" max="15359" width="9.85546875" style="26" customWidth="1"/>
    <col min="15360" max="15360" width="11.140625" style="26" customWidth="1"/>
    <col min="15361" max="15361" width="2.85546875" style="26" customWidth="1"/>
    <col min="15362" max="15362" width="3.5703125" style="26" customWidth="1"/>
    <col min="15363" max="15607" width="9.140625" style="26"/>
    <col min="15608" max="15608" width="8.7109375" style="26" customWidth="1"/>
    <col min="15609" max="15609" width="9.85546875" style="26" customWidth="1"/>
    <col min="15610" max="15610" width="14.42578125" style="26" customWidth="1"/>
    <col min="15611" max="15611" width="7.28515625" style="26" customWidth="1"/>
    <col min="15612" max="15612" width="5.5703125" style="26" customWidth="1"/>
    <col min="15613" max="15613" width="9" style="26" customWidth="1"/>
    <col min="15614" max="15615" width="9.85546875" style="26" customWidth="1"/>
    <col min="15616" max="15616" width="11.140625" style="26" customWidth="1"/>
    <col min="15617" max="15617" width="2.85546875" style="26" customWidth="1"/>
    <col min="15618" max="15618" width="3.5703125" style="26" customWidth="1"/>
    <col min="15619" max="15863" width="9.140625" style="26"/>
    <col min="15864" max="15864" width="8.7109375" style="26" customWidth="1"/>
    <col min="15865" max="15865" width="9.85546875" style="26" customWidth="1"/>
    <col min="15866" max="15866" width="14.42578125" style="26" customWidth="1"/>
    <col min="15867" max="15867" width="7.28515625" style="26" customWidth="1"/>
    <col min="15868" max="15868" width="5.5703125" style="26" customWidth="1"/>
    <col min="15869" max="15869" width="9" style="26" customWidth="1"/>
    <col min="15870" max="15871" width="9.85546875" style="26" customWidth="1"/>
    <col min="15872" max="15872" width="11.140625" style="26" customWidth="1"/>
    <col min="15873" max="15873" width="2.85546875" style="26" customWidth="1"/>
    <col min="15874" max="15874" width="3.5703125" style="26" customWidth="1"/>
    <col min="15875" max="16119" width="9.140625" style="26"/>
    <col min="16120" max="16120" width="8.7109375" style="26" customWidth="1"/>
    <col min="16121" max="16121" width="9.85546875" style="26" customWidth="1"/>
    <col min="16122" max="16122" width="14.42578125" style="26" customWidth="1"/>
    <col min="16123" max="16123" width="7.28515625" style="26" customWidth="1"/>
    <col min="16124" max="16124" width="5.5703125" style="26" customWidth="1"/>
    <col min="16125" max="16125" width="9" style="26" customWidth="1"/>
    <col min="16126" max="16127" width="9.85546875" style="26" customWidth="1"/>
    <col min="16128" max="16128" width="11.140625" style="26" customWidth="1"/>
    <col min="16129" max="16129" width="2.85546875" style="26" customWidth="1"/>
    <col min="16130" max="16130" width="3.5703125" style="26" customWidth="1"/>
    <col min="16131" max="16384" width="9.140625" style="26"/>
  </cols>
  <sheetData>
    <row r="1" spans="1:12" ht="46.5" customHeight="1" x14ac:dyDescent="0.25">
      <c r="A1" s="137" t="s">
        <v>218</v>
      </c>
      <c r="B1" s="137"/>
      <c r="C1" s="137"/>
      <c r="D1" s="137"/>
      <c r="E1" s="137"/>
      <c r="F1" s="137"/>
      <c r="G1" s="137"/>
      <c r="H1" s="137"/>
    </row>
    <row r="2" spans="1:12" ht="16.5" customHeight="1" x14ac:dyDescent="0.25">
      <c r="A2" s="138" t="s">
        <v>0</v>
      </c>
      <c r="B2" s="139"/>
      <c r="C2" s="139"/>
      <c r="D2" s="139"/>
      <c r="E2" s="139"/>
      <c r="F2" s="139"/>
      <c r="G2" s="139"/>
      <c r="H2" s="140"/>
    </row>
    <row r="3" spans="1:12" x14ac:dyDescent="0.25">
      <c r="A3" s="66" t="s">
        <v>1</v>
      </c>
      <c r="B3" s="66"/>
      <c r="C3" s="66"/>
      <c r="D3" s="66"/>
      <c r="E3" s="136" t="str">
        <f ca="1">TEXT(TODAY(),"DD/MM/YYYY")</f>
        <v>15/09/2025</v>
      </c>
      <c r="F3" s="136"/>
      <c r="G3" s="136"/>
      <c r="H3" s="136"/>
    </row>
    <row r="4" spans="1:12" ht="15" customHeight="1" x14ac:dyDescent="0.25">
      <c r="A4" s="134" t="s">
        <v>2</v>
      </c>
      <c r="B4" s="134"/>
      <c r="C4" s="134"/>
      <c r="D4" s="134"/>
      <c r="E4" s="133" t="s">
        <v>164</v>
      </c>
      <c r="F4" s="133"/>
      <c r="G4" s="133"/>
      <c r="H4" s="133"/>
    </row>
    <row r="5" spans="1:12" x14ac:dyDescent="0.25">
      <c r="A5" s="134" t="s">
        <v>3</v>
      </c>
      <c r="B5" s="134"/>
      <c r="C5" s="134"/>
      <c r="D5" s="134"/>
      <c r="E5" s="187">
        <v>45909</v>
      </c>
      <c r="F5" s="187"/>
      <c r="G5" s="187"/>
      <c r="H5" s="187"/>
    </row>
    <row r="6" spans="1:12" ht="16.5" customHeight="1" x14ac:dyDescent="0.25">
      <c r="A6" s="134" t="s">
        <v>4</v>
      </c>
      <c r="B6" s="134"/>
      <c r="C6" s="134"/>
      <c r="D6" s="134"/>
      <c r="E6" s="116" t="s">
        <v>193</v>
      </c>
      <c r="F6" s="116"/>
      <c r="G6" s="116"/>
      <c r="H6" s="116"/>
    </row>
    <row r="7" spans="1:12" ht="15" customHeight="1" x14ac:dyDescent="0.25">
      <c r="A7" s="134" t="s">
        <v>5</v>
      </c>
      <c r="B7" s="134"/>
      <c r="C7" s="134"/>
      <c r="D7" s="134"/>
      <c r="E7" s="116" t="str">
        <f>E6</f>
        <v>M/s. JP Infra Residency Private Limited</v>
      </c>
      <c r="F7" s="116"/>
      <c r="G7" s="116"/>
      <c r="H7" s="116"/>
    </row>
    <row r="8" spans="1:12" x14ac:dyDescent="0.25">
      <c r="A8" s="134" t="s">
        <v>6</v>
      </c>
      <c r="B8" s="134"/>
      <c r="C8" s="134"/>
      <c r="D8" s="134"/>
      <c r="E8" s="144" t="s">
        <v>165</v>
      </c>
      <c r="F8" s="144"/>
      <c r="G8" s="144"/>
      <c r="H8" s="144"/>
    </row>
    <row r="9" spans="1:12" x14ac:dyDescent="0.25">
      <c r="A9" s="134" t="s">
        <v>124</v>
      </c>
      <c r="B9" s="134"/>
      <c r="C9" s="134"/>
      <c r="D9" s="134"/>
      <c r="E9" s="134">
        <v>7045920486</v>
      </c>
      <c r="F9" s="134"/>
      <c r="G9" s="134"/>
      <c r="H9" s="134"/>
    </row>
    <row r="10" spans="1:12" x14ac:dyDescent="0.25">
      <c r="A10" s="134" t="s">
        <v>219</v>
      </c>
      <c r="B10" s="134"/>
      <c r="C10" s="134"/>
      <c r="D10" s="134"/>
      <c r="E10" s="134" t="s">
        <v>30</v>
      </c>
      <c r="F10" s="134"/>
      <c r="G10" s="134"/>
      <c r="H10" s="134"/>
      <c r="I10" s="66" t="s">
        <v>220</v>
      </c>
      <c r="J10" s="66"/>
      <c r="K10" s="66"/>
      <c r="L10" s="66"/>
    </row>
    <row r="11" spans="1:12" x14ac:dyDescent="0.25">
      <c r="A11" s="134" t="s">
        <v>7</v>
      </c>
      <c r="B11" s="134"/>
      <c r="C11" s="134"/>
      <c r="D11" s="134"/>
      <c r="E11" s="134" t="s">
        <v>210</v>
      </c>
      <c r="F11" s="134"/>
      <c r="G11" s="134"/>
      <c r="H11" s="134"/>
    </row>
    <row r="12" spans="1:12" x14ac:dyDescent="0.25">
      <c r="A12" s="134" t="s">
        <v>8</v>
      </c>
      <c r="B12" s="134"/>
      <c r="C12" s="134"/>
      <c r="D12" s="134"/>
      <c r="E12" s="116" t="s">
        <v>189</v>
      </c>
      <c r="F12" s="116"/>
      <c r="G12" s="116"/>
      <c r="H12" s="116"/>
    </row>
    <row r="13" spans="1:12" x14ac:dyDescent="0.25">
      <c r="A13" s="66" t="s">
        <v>9</v>
      </c>
      <c r="B13" s="66"/>
      <c r="C13" s="66"/>
      <c r="D13" s="66"/>
      <c r="E13" s="116" t="s">
        <v>228</v>
      </c>
      <c r="F13" s="134"/>
      <c r="G13" s="134"/>
      <c r="H13" s="134"/>
    </row>
    <row r="14" spans="1:12" ht="48.75" customHeight="1" x14ac:dyDescent="0.25">
      <c r="A14" s="132" t="s">
        <v>10</v>
      </c>
      <c r="B14" s="132"/>
      <c r="C14" s="132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North Barcelona Wing D, Survey No.20/1, 20/2, 30/7(pt.), 30/8(pt.) 31/4, 31/6, near Podar International School - Mira Road, Mira Bhayander Road, Ghodbunder, Mira Road, Thane East, Thane - 401107.</v>
      </c>
      <c r="D14" s="132"/>
      <c r="E14" s="132"/>
      <c r="F14" s="132"/>
      <c r="G14" s="132"/>
      <c r="H14" s="132"/>
    </row>
    <row r="15" spans="1:12" x14ac:dyDescent="0.25">
      <c r="A15" s="116" t="s">
        <v>166</v>
      </c>
      <c r="B15" s="116"/>
      <c r="C15" s="116" t="s">
        <v>167</v>
      </c>
      <c r="D15" s="116"/>
      <c r="E15" s="116"/>
      <c r="F15" s="116"/>
      <c r="G15" s="116"/>
      <c r="H15" s="116"/>
    </row>
    <row r="16" spans="1:12" ht="15.75" customHeight="1" x14ac:dyDescent="0.25">
      <c r="A16" s="132" t="s">
        <v>11</v>
      </c>
      <c r="B16" s="132"/>
      <c r="C16" s="134" t="s">
        <v>173</v>
      </c>
      <c r="D16" s="134"/>
      <c r="E16" s="132" t="s">
        <v>168</v>
      </c>
      <c r="F16" s="132"/>
      <c r="G16" s="116" t="s">
        <v>169</v>
      </c>
      <c r="H16" s="116"/>
    </row>
    <row r="17" spans="1:8" x14ac:dyDescent="0.25">
      <c r="A17" s="66" t="s">
        <v>13</v>
      </c>
      <c r="B17" s="66"/>
      <c r="C17" s="116" t="s">
        <v>194</v>
      </c>
      <c r="D17" s="116"/>
      <c r="E17" s="132" t="s">
        <v>12</v>
      </c>
      <c r="F17" s="132"/>
      <c r="G17" s="135" t="s">
        <v>170</v>
      </c>
      <c r="H17" s="135"/>
    </row>
    <row r="18" spans="1:8" x14ac:dyDescent="0.25">
      <c r="A18" s="66" t="s">
        <v>76</v>
      </c>
      <c r="B18" s="66"/>
      <c r="C18" s="116" t="s">
        <v>175</v>
      </c>
      <c r="D18" s="116"/>
      <c r="E18" s="132" t="s">
        <v>14</v>
      </c>
      <c r="F18" s="132"/>
      <c r="G18" s="116">
        <v>401107</v>
      </c>
      <c r="H18" s="116"/>
    </row>
    <row r="19" spans="1:8" ht="32.25" customHeight="1" x14ac:dyDescent="0.25">
      <c r="A19" s="66" t="s">
        <v>125</v>
      </c>
      <c r="B19" s="66"/>
      <c r="C19" s="132" t="s">
        <v>174</v>
      </c>
      <c r="D19" s="132"/>
      <c r="E19" s="132" t="s">
        <v>15</v>
      </c>
      <c r="F19" s="132"/>
      <c r="G19" s="116" t="s">
        <v>171</v>
      </c>
      <c r="H19" s="116"/>
    </row>
    <row r="20" spans="1:8" ht="15" customHeight="1" x14ac:dyDescent="0.25">
      <c r="A20" s="132" t="s">
        <v>79</v>
      </c>
      <c r="B20" s="132"/>
      <c r="C20" s="132"/>
      <c r="D20" s="132"/>
      <c r="E20" s="134" t="s">
        <v>16</v>
      </c>
      <c r="F20" s="134"/>
      <c r="G20" s="134"/>
      <c r="H20" s="134"/>
    </row>
    <row r="21" spans="1:8" ht="18.75" customHeight="1" x14ac:dyDescent="0.25">
      <c r="A21" s="132"/>
      <c r="B21" s="132"/>
      <c r="C21" s="132"/>
      <c r="D21" s="132"/>
      <c r="E21" s="134"/>
      <c r="F21" s="134"/>
      <c r="G21" s="134"/>
      <c r="H21" s="134"/>
    </row>
    <row r="22" spans="1:8" ht="15.75" customHeight="1" x14ac:dyDescent="0.25">
      <c r="A22" s="132" t="s">
        <v>17</v>
      </c>
      <c r="B22" s="132"/>
      <c r="C22" s="132"/>
      <c r="D22" s="132"/>
      <c r="E22" s="116" t="s">
        <v>18</v>
      </c>
      <c r="F22" s="116"/>
      <c r="G22" s="116"/>
      <c r="H22" s="116"/>
    </row>
    <row r="23" spans="1:8" ht="15" customHeight="1" x14ac:dyDescent="0.25">
      <c r="A23" s="66" t="s">
        <v>19</v>
      </c>
      <c r="B23" s="66"/>
      <c r="C23" s="66"/>
      <c r="D23" s="66"/>
      <c r="E23" s="116" t="str">
        <f>IF(AND(G17="Mumbai"),"Upper Class","Middle Class")</f>
        <v>Middle Class</v>
      </c>
      <c r="F23" s="116"/>
      <c r="G23" s="116"/>
      <c r="H23" s="116"/>
    </row>
    <row r="24" spans="1:8" x14ac:dyDescent="0.25">
      <c r="A24" s="66" t="s">
        <v>20</v>
      </c>
      <c r="B24" s="66"/>
      <c r="C24" s="66"/>
      <c r="D24" s="66"/>
      <c r="E24" s="116" t="s">
        <v>21</v>
      </c>
      <c r="F24" s="116"/>
      <c r="G24" s="116"/>
      <c r="H24" s="116"/>
    </row>
    <row r="25" spans="1:8" ht="15.75" customHeight="1" x14ac:dyDescent="0.25">
      <c r="A25" s="66" t="s">
        <v>22</v>
      </c>
      <c r="B25" s="66"/>
      <c r="C25" s="66"/>
      <c r="D25" s="66"/>
      <c r="E25" s="116" t="str">
        <f>IF(AND(G17="Mumbai"),"Developed","Developing")</f>
        <v>Developing</v>
      </c>
      <c r="F25" s="116"/>
      <c r="G25" s="116"/>
      <c r="H25" s="116"/>
    </row>
    <row r="26" spans="1:8" x14ac:dyDescent="0.25">
      <c r="A26" s="66" t="s">
        <v>23</v>
      </c>
      <c r="B26" s="66"/>
      <c r="C26" s="66"/>
      <c r="D26" s="66"/>
      <c r="E26" s="116" t="s">
        <v>24</v>
      </c>
      <c r="F26" s="116"/>
      <c r="G26" s="116"/>
      <c r="H26" s="116"/>
    </row>
    <row r="27" spans="1:8" x14ac:dyDescent="0.25">
      <c r="A27" s="66" t="s">
        <v>84</v>
      </c>
      <c r="B27" s="66"/>
      <c r="C27" s="66"/>
      <c r="D27" s="66"/>
      <c r="E27" s="116" t="s">
        <v>85</v>
      </c>
      <c r="F27" s="116"/>
      <c r="G27" s="116"/>
      <c r="H27" s="116"/>
    </row>
    <row r="28" spans="1:8" ht="15" customHeight="1" x14ac:dyDescent="0.25">
      <c r="A28" s="132" t="s">
        <v>33</v>
      </c>
      <c r="B28" s="132"/>
      <c r="C28" s="132"/>
      <c r="D28" s="132"/>
      <c r="E28" s="133" t="s">
        <v>192</v>
      </c>
      <c r="F28" s="133"/>
      <c r="G28" s="133"/>
      <c r="H28" s="133"/>
    </row>
    <row r="29" spans="1:8" x14ac:dyDescent="0.25">
      <c r="A29" s="132" t="s">
        <v>96</v>
      </c>
      <c r="B29" s="132"/>
      <c r="C29" s="132"/>
      <c r="D29" s="132"/>
      <c r="E29" s="132" t="s">
        <v>34</v>
      </c>
      <c r="F29" s="132"/>
      <c r="G29" s="132"/>
      <c r="H29" s="132"/>
    </row>
    <row r="30" spans="1:8" s="27" customFormat="1" x14ac:dyDescent="0.25">
      <c r="A30" s="127" t="s">
        <v>97</v>
      </c>
      <c r="B30" s="127"/>
      <c r="C30" s="125" t="s">
        <v>29</v>
      </c>
      <c r="D30" s="125"/>
      <c r="E30" s="125"/>
      <c r="F30" s="125" t="s">
        <v>31</v>
      </c>
      <c r="G30" s="125"/>
      <c r="H30" s="125"/>
    </row>
    <row r="31" spans="1:8" s="27" customFormat="1" x14ac:dyDescent="0.25">
      <c r="A31" s="126" t="s">
        <v>25</v>
      </c>
      <c r="B31" s="126" t="s">
        <v>30</v>
      </c>
      <c r="C31" s="123" t="s">
        <v>30</v>
      </c>
      <c r="D31" s="123"/>
      <c r="E31" s="123"/>
      <c r="F31" s="123" t="s">
        <v>11</v>
      </c>
      <c r="G31" s="123"/>
      <c r="H31" s="123"/>
    </row>
    <row r="32" spans="1:8" x14ac:dyDescent="0.25">
      <c r="A32" s="126" t="s">
        <v>26</v>
      </c>
      <c r="B32" s="126" t="s">
        <v>30</v>
      </c>
      <c r="C32" s="123" t="s">
        <v>30</v>
      </c>
      <c r="D32" s="123"/>
      <c r="E32" s="123"/>
      <c r="F32" s="123" t="s">
        <v>176</v>
      </c>
      <c r="G32" s="123"/>
      <c r="H32" s="123"/>
    </row>
    <row r="33" spans="1:8" s="27" customFormat="1" x14ac:dyDescent="0.25">
      <c r="A33" s="126" t="s">
        <v>28</v>
      </c>
      <c r="B33" s="126" t="s">
        <v>30</v>
      </c>
      <c r="C33" s="123" t="s">
        <v>30</v>
      </c>
      <c r="D33" s="123"/>
      <c r="E33" s="123"/>
      <c r="F33" s="123" t="s">
        <v>177</v>
      </c>
      <c r="G33" s="123"/>
      <c r="H33" s="123"/>
    </row>
    <row r="34" spans="1:8" x14ac:dyDescent="0.25">
      <c r="A34" s="126" t="s">
        <v>27</v>
      </c>
      <c r="B34" s="126" t="s">
        <v>30</v>
      </c>
      <c r="C34" s="123" t="s">
        <v>30</v>
      </c>
      <c r="D34" s="123"/>
      <c r="E34" s="123"/>
      <c r="F34" s="123" t="s">
        <v>177</v>
      </c>
      <c r="G34" s="123"/>
      <c r="H34" s="123"/>
    </row>
    <row r="35" spans="1:8" x14ac:dyDescent="0.25">
      <c r="A35" s="66" t="s">
        <v>32</v>
      </c>
      <c r="B35" s="66"/>
      <c r="C35" s="66"/>
      <c r="D35" s="66"/>
      <c r="E35" s="66"/>
      <c r="F35" s="66"/>
      <c r="G35" s="66"/>
      <c r="H35" s="66"/>
    </row>
    <row r="36" spans="1:8" ht="15.75" customHeight="1" x14ac:dyDescent="0.25">
      <c r="A36" s="124" t="s">
        <v>200</v>
      </c>
      <c r="B36" s="124"/>
      <c r="C36" s="128" t="s">
        <v>199</v>
      </c>
      <c r="D36" s="129"/>
      <c r="E36" s="129"/>
      <c r="F36" s="129"/>
      <c r="G36" s="129"/>
      <c r="H36" s="130"/>
    </row>
    <row r="37" spans="1:8" ht="15.75" customHeight="1" x14ac:dyDescent="0.25">
      <c r="A37" s="124" t="s">
        <v>201</v>
      </c>
      <c r="B37" s="124"/>
      <c r="C37" s="131" t="s">
        <v>202</v>
      </c>
      <c r="D37" s="129"/>
      <c r="E37" s="129"/>
      <c r="F37" s="129"/>
      <c r="G37" s="129"/>
      <c r="H37" s="130"/>
    </row>
    <row r="38" spans="1:8" x14ac:dyDescent="0.25">
      <c r="A38" s="107" t="s">
        <v>35</v>
      </c>
      <c r="B38" s="107"/>
      <c r="C38" s="107"/>
      <c r="D38" s="107"/>
      <c r="E38" s="107"/>
      <c r="F38" s="107"/>
      <c r="G38" s="107"/>
      <c r="H38" s="107"/>
    </row>
    <row r="39" spans="1:8" x14ac:dyDescent="0.25">
      <c r="A39" s="100" t="s">
        <v>36</v>
      </c>
      <c r="B39" s="100"/>
      <c r="C39" s="100"/>
      <c r="D39" s="100"/>
      <c r="E39" s="101">
        <v>11178.03</v>
      </c>
      <c r="F39" s="101"/>
      <c r="G39" s="101"/>
      <c r="H39" s="101"/>
    </row>
    <row r="40" spans="1:8" x14ac:dyDescent="0.25">
      <c r="A40" s="100" t="s">
        <v>37</v>
      </c>
      <c r="B40" s="100"/>
      <c r="C40" s="100"/>
      <c r="D40" s="100"/>
      <c r="E40" s="104">
        <v>1.1000000000000001</v>
      </c>
      <c r="F40" s="104"/>
      <c r="G40" s="104"/>
      <c r="H40" s="104"/>
    </row>
    <row r="41" spans="1:8" x14ac:dyDescent="0.25">
      <c r="A41" s="100" t="s">
        <v>38</v>
      </c>
      <c r="B41" s="100"/>
      <c r="C41" s="100"/>
      <c r="D41" s="100"/>
      <c r="E41" s="104">
        <f>E43/E39-E40</f>
        <v>4.8457167318391505</v>
      </c>
      <c r="F41" s="104"/>
      <c r="G41" s="104"/>
      <c r="H41" s="104"/>
    </row>
    <row r="42" spans="1:8" x14ac:dyDescent="0.25">
      <c r="A42" s="100" t="s">
        <v>39</v>
      </c>
      <c r="B42" s="100"/>
      <c r="C42" s="100"/>
      <c r="D42" s="100"/>
      <c r="E42" s="104">
        <f>E40+E41</f>
        <v>5.9457167318391502</v>
      </c>
      <c r="F42" s="104"/>
      <c r="G42" s="104"/>
      <c r="H42" s="104"/>
    </row>
    <row r="43" spans="1:8" x14ac:dyDescent="0.25">
      <c r="A43" s="100" t="s">
        <v>95</v>
      </c>
      <c r="B43" s="100"/>
      <c r="C43" s="100"/>
      <c r="D43" s="100"/>
      <c r="E43" s="105">
        <v>66461.399999999994</v>
      </c>
      <c r="F43" s="105"/>
      <c r="G43" s="105"/>
      <c r="H43" s="105"/>
    </row>
    <row r="44" spans="1:8" x14ac:dyDescent="0.25">
      <c r="A44" s="106" t="s">
        <v>40</v>
      </c>
      <c r="B44" s="106"/>
      <c r="C44" s="106"/>
      <c r="D44" s="106"/>
      <c r="E44" s="106" t="s">
        <v>179</v>
      </c>
      <c r="F44" s="106"/>
      <c r="G44" s="106"/>
      <c r="H44" s="106"/>
    </row>
    <row r="45" spans="1:8" x14ac:dyDescent="0.25">
      <c r="A45" s="107" t="s">
        <v>41</v>
      </c>
      <c r="B45" s="107"/>
      <c r="C45" s="107"/>
      <c r="D45" s="107"/>
      <c r="E45" s="107"/>
      <c r="F45" s="107"/>
      <c r="G45" s="107"/>
      <c r="H45" s="107"/>
    </row>
    <row r="46" spans="1:8" ht="33.75" customHeight="1" x14ac:dyDescent="0.25">
      <c r="A46" s="84" t="s">
        <v>154</v>
      </c>
      <c r="B46" s="85"/>
      <c r="C46" s="86" t="s">
        <v>172</v>
      </c>
      <c r="D46" s="87"/>
      <c r="E46" s="87"/>
      <c r="F46" s="87"/>
      <c r="G46" s="87"/>
      <c r="H46" s="88"/>
    </row>
    <row r="47" spans="1:8" x14ac:dyDescent="0.25">
      <c r="A47" s="181" t="s">
        <v>42</v>
      </c>
      <c r="B47" s="181"/>
      <c r="C47" s="115" t="s">
        <v>216</v>
      </c>
      <c r="D47" s="115"/>
      <c r="E47" s="115"/>
      <c r="F47" s="60" t="s">
        <v>43</v>
      </c>
      <c r="G47" s="113">
        <v>44854</v>
      </c>
      <c r="H47" s="113"/>
    </row>
    <row r="48" spans="1:8" x14ac:dyDescent="0.25">
      <c r="A48" s="100" t="s">
        <v>44</v>
      </c>
      <c r="B48" s="100"/>
      <c r="C48" s="115" t="str">
        <f>C47</f>
        <v>MBMNP/NR/2772/2022-2023</v>
      </c>
      <c r="D48" s="115"/>
      <c r="E48" s="115"/>
      <c r="F48" s="60" t="s">
        <v>43</v>
      </c>
      <c r="G48" s="113">
        <f>G47</f>
        <v>44854</v>
      </c>
      <c r="H48" s="113"/>
    </row>
    <row r="49" spans="1:14" s="28" customFormat="1" x14ac:dyDescent="0.25">
      <c r="A49" s="114" t="s">
        <v>158</v>
      </c>
      <c r="B49" s="115"/>
      <c r="C49" s="115" t="s">
        <v>203</v>
      </c>
      <c r="D49" s="106"/>
      <c r="E49" s="106"/>
      <c r="F49" s="61" t="s">
        <v>43</v>
      </c>
      <c r="G49" s="113">
        <f>G48</f>
        <v>44854</v>
      </c>
      <c r="H49" s="113"/>
    </row>
    <row r="50" spans="1:14" s="28" customFormat="1" ht="31.5" customHeight="1" x14ac:dyDescent="0.25">
      <c r="A50" s="115"/>
      <c r="B50" s="115"/>
      <c r="C50" s="92" t="s">
        <v>204</v>
      </c>
      <c r="D50" s="93"/>
      <c r="E50" s="93"/>
      <c r="F50" s="93"/>
      <c r="G50" s="93"/>
      <c r="H50" s="94"/>
    </row>
    <row r="51" spans="1:14" s="28" customFormat="1" x14ac:dyDescent="0.25">
      <c r="A51" s="182" t="s">
        <v>45</v>
      </c>
      <c r="B51" s="182"/>
      <c r="C51" s="182" t="s">
        <v>106</v>
      </c>
      <c r="D51" s="183"/>
      <c r="E51" s="183" t="s">
        <v>46</v>
      </c>
      <c r="F51" s="62" t="s">
        <v>43</v>
      </c>
      <c r="G51" s="185" t="s">
        <v>30</v>
      </c>
      <c r="H51" s="185"/>
    </row>
    <row r="52" spans="1:14" x14ac:dyDescent="0.25">
      <c r="A52" s="184" t="s">
        <v>48</v>
      </c>
      <c r="B52" s="184"/>
      <c r="C52" s="184"/>
      <c r="D52" s="184"/>
      <c r="E52" s="184"/>
      <c r="F52" s="184"/>
      <c r="G52" s="184"/>
      <c r="H52" s="184"/>
    </row>
    <row r="53" spans="1:14" x14ac:dyDescent="0.25">
      <c r="A53" s="132" t="s">
        <v>94</v>
      </c>
      <c r="B53" s="132"/>
      <c r="C53" s="132"/>
      <c r="D53" s="66">
        <f>E43</f>
        <v>66461.399999999994</v>
      </c>
      <c r="E53" s="66"/>
      <c r="F53" s="66"/>
      <c r="G53" s="66"/>
      <c r="H53" s="66"/>
    </row>
    <row r="54" spans="1:14" x14ac:dyDescent="0.25">
      <c r="A54" s="116" t="s">
        <v>49</v>
      </c>
      <c r="B54" s="134"/>
      <c r="C54" s="134"/>
      <c r="D54" s="134" t="s">
        <v>212</v>
      </c>
      <c r="E54" s="134"/>
      <c r="F54" s="134"/>
      <c r="G54" s="134"/>
      <c r="H54" s="134"/>
    </row>
    <row r="55" spans="1:14" ht="32.25" customHeight="1" x14ac:dyDescent="0.25">
      <c r="A55" s="110" t="s">
        <v>50</v>
      </c>
      <c r="B55" s="111"/>
      <c r="C55" s="112"/>
      <c r="D55" s="108" t="s">
        <v>205</v>
      </c>
      <c r="E55" s="109"/>
      <c r="F55" s="109"/>
      <c r="G55" s="109"/>
      <c r="H55" s="109"/>
    </row>
    <row r="56" spans="1:14" ht="33" customHeight="1" x14ac:dyDescent="0.25">
      <c r="A56" s="110" t="s">
        <v>92</v>
      </c>
      <c r="B56" s="111"/>
      <c r="C56" s="111"/>
      <c r="D56" s="108" t="s">
        <v>205</v>
      </c>
      <c r="E56" s="109"/>
      <c r="F56" s="109"/>
      <c r="G56" s="109"/>
      <c r="H56" s="109"/>
    </row>
    <row r="57" spans="1:14" ht="15.75" customHeight="1" x14ac:dyDescent="0.25">
      <c r="A57" s="66" t="s">
        <v>47</v>
      </c>
      <c r="B57" s="66"/>
      <c r="C57" s="66"/>
      <c r="D57" s="116" t="s">
        <v>178</v>
      </c>
      <c r="E57" s="116"/>
      <c r="F57" s="116"/>
      <c r="G57" s="116"/>
      <c r="H57" s="116"/>
      <c r="J57" s="29"/>
      <c r="K57" s="30"/>
      <c r="N57" s="30"/>
    </row>
    <row r="58" spans="1:14" ht="15.75" customHeight="1" x14ac:dyDescent="0.25">
      <c r="A58" s="66" t="s">
        <v>90</v>
      </c>
      <c r="B58" s="66"/>
      <c r="C58" s="66"/>
      <c r="D58" s="142" t="str">
        <f>(IF(G51="NA","60 Years After Completion",IF(G51&lt;&gt;"NA",""&amp;60-ROUNDDOWN((E3-G51)/360,0)&amp;" Years"," ")))</f>
        <v>60 Years After Completion</v>
      </c>
      <c r="E58" s="142"/>
      <c r="F58" s="142"/>
      <c r="G58" s="142"/>
      <c r="H58" s="142"/>
      <c r="N58" s="30"/>
    </row>
    <row r="59" spans="1:14" ht="15.75" customHeight="1" x14ac:dyDescent="0.25">
      <c r="A59" s="66" t="s">
        <v>91</v>
      </c>
      <c r="B59" s="66"/>
      <c r="C59" s="66"/>
      <c r="D59" s="132" t="s">
        <v>24</v>
      </c>
      <c r="E59" s="132"/>
      <c r="F59" s="132"/>
      <c r="G59" s="132"/>
      <c r="H59" s="132"/>
      <c r="J59" s="31"/>
      <c r="K59" s="31"/>
    </row>
    <row r="60" spans="1:14" ht="15" hidden="1" customHeight="1" x14ac:dyDescent="0.25">
      <c r="A60" s="66" t="s">
        <v>77</v>
      </c>
      <c r="B60" s="66"/>
      <c r="C60" s="66"/>
      <c r="D60" s="116" t="s">
        <v>151</v>
      </c>
      <c r="E60" s="132"/>
      <c r="F60" s="132"/>
      <c r="G60" s="132"/>
      <c r="H60" s="132"/>
    </row>
    <row r="61" spans="1:14" x14ac:dyDescent="0.25">
      <c r="A61" s="132" t="s">
        <v>152</v>
      </c>
      <c r="B61" s="132"/>
      <c r="C61" s="132"/>
      <c r="D61" s="132" t="s">
        <v>30</v>
      </c>
      <c r="E61" s="132"/>
      <c r="F61" s="132"/>
      <c r="G61" s="132"/>
      <c r="H61" s="132"/>
      <c r="I61" s="32"/>
      <c r="J61" s="32"/>
      <c r="K61" s="32"/>
      <c r="L61" s="32"/>
      <c r="M61" s="32"/>
      <c r="N61" s="32"/>
    </row>
    <row r="62" spans="1:14" ht="15.75" customHeight="1" x14ac:dyDescent="0.25">
      <c r="A62" s="153" t="s">
        <v>89</v>
      </c>
      <c r="B62" s="153"/>
      <c r="C62" s="153"/>
      <c r="D62" s="108" t="str">
        <f ca="1">(IF(G68&gt;95%,"Nothing",IF(G68&gt;0%,"Cement, Aggregate, Steel, etc",IF(G68=0%,"Work not yet Started"))))</f>
        <v>Cement, Aggregate, Steel, etc</v>
      </c>
      <c r="E62" s="108"/>
      <c r="F62" s="108"/>
      <c r="G62" s="108"/>
      <c r="H62" s="108"/>
      <c r="J62" s="31"/>
    </row>
    <row r="63" spans="1:14" ht="33.75" customHeight="1" thickBot="1" x14ac:dyDescent="0.3">
      <c r="A63" s="152" t="s">
        <v>119</v>
      </c>
      <c r="B63" s="152"/>
      <c r="C63" s="152"/>
      <c r="D63" s="108" t="str">
        <f ca="1">(IF(D62="Nothing","Yes",IF(D62="Cement, Aggregate, Steel, etc","Under Construction",IF(D62="Work not yet Started","Work not yet Started"))))</f>
        <v>Under Construction</v>
      </c>
      <c r="E63" s="108"/>
      <c r="F63" s="108" t="str">
        <f ca="1">(IF(D62="Nothing","Yes",IF(D62="Cement, Aggregate, Steel, etc","Under Construction",IF(D62="Work not yet Started","Work not yet Started"))))</f>
        <v>Under Construction</v>
      </c>
      <c r="G63" s="108"/>
      <c r="H63" s="108"/>
    </row>
    <row r="64" spans="1:14" ht="30.75" customHeight="1" x14ac:dyDescent="0.25">
      <c r="A64" s="145" t="s">
        <v>143</v>
      </c>
      <c r="B64" s="146"/>
      <c r="C64" s="147" t="str">
        <f>D56</f>
        <v>Building No.2 - Wing D = Pt stilt/Pt Gr + 1st Mezzanine/Part Parking + 2nd to 9th (Pt) Parking Floor + 10th to 13th (Pt) + 14th to 37th Floor</v>
      </c>
      <c r="D64" s="148"/>
      <c r="E64" s="148"/>
      <c r="F64" s="148"/>
      <c r="G64" s="148"/>
      <c r="H64" s="149"/>
      <c r="I64" s="14" t="str">
        <f ca="1">(IF(E68&gt;99%,"All work completed. Please provide OC.",IF(E68&gt;89.8%,"Plinth, RCC, Brick, Plaster, Flooring, Painting work Completed. Finishing work is in process.",IF(E68&lt;94%,(IF(C68=0,"Work not yet Started.",IF(D68=25%,"Piling work in process",IF(D68=50%,"Excavation work in process",IF(D68=100%,"Excavation work Completed. ","0")))&amp;(IF(C69=0%,"",IF(C69=J70,"Footing work is process",IF(C69=J71,"Footing work Completed",IF(C69=J72,"1st Basement Completed",IF(C69=J73,"1st &amp; 2nd Basement Completed",IF(C69=J74,"1st to 3rd Basement Completed",IF(C69=J75,"1st to 4th Basement Completed",IF(C69=J76,"Plinth work is process",IF(C69=J77,"Plinth work completed","0")))))))))))&amp;(IF(C70=(D65+F65+H65),", RCC Slab Completed",IF(C70&gt;0,", RCC upto "&amp;C70&amp;" Slab Completed",""))&amp;(IF(C71=H65,", Brickwork Completed",IF(C71&gt;0,", Brickwork upto "&amp;C71&amp;" Floor Completed",""))&amp;(IF(C72=H65,", Internal Plaster Completed",IF(C72&gt;0,", Internal Plaster upto "&amp;C72&amp;" Floor Completed",""))&amp;(IF(C73=H65,", External Plaster Completed",IF(C73&gt;0,", External Plaster upto "&amp;C73&amp;" Floor Completed",""))&amp;(IF(C74=H65,", Flooring Completed",IF(C74&gt;0,", Flooring upto "&amp;C74&amp;" Floor Completed",""))&amp;(IF(C75=H65,", Painting Completed",IF(C75&gt;0,", Painting upto "&amp;C75&amp;" Floor Completed",""))&amp;(IF(C76&gt;0,", Finishing upto "&amp;C76&amp;" Floor Completed","")&amp;(IF(C70&gt;0.5,".",""))))))))))))))</f>
        <v>Excavation work Completed. Plinth work completed, RCC Slab Completed, Brickwork Completed, Internal Plaster Completed, External Plaster Completed, Flooring upto 28 Floor Completed, Painting upto 23 Floor Completed.</v>
      </c>
      <c r="J64" s="33"/>
    </row>
    <row r="65" spans="1:13" s="28" customFormat="1" x14ac:dyDescent="0.25">
      <c r="A65" s="15" t="s">
        <v>145</v>
      </c>
      <c r="B65" s="25">
        <v>0</v>
      </c>
      <c r="C65" s="25" t="s">
        <v>75</v>
      </c>
      <c r="D65" s="25">
        <v>1</v>
      </c>
      <c r="E65" s="25" t="s">
        <v>74</v>
      </c>
      <c r="F65" s="25">
        <v>0</v>
      </c>
      <c r="G65" s="25" t="s">
        <v>83</v>
      </c>
      <c r="H65" s="16">
        <f ca="1">--TRIM(RIGHT(SUBSTITUTE(LEFT(C64,_xlfn.AGGREGATE(16,6,FIND({0,1,2,3,4,5,6,7,8,9},C64,ROW(INDIRECT("1:"&amp;LEN(C64)))),1))," ",REPT(" ",LEN(C64))),LEN(C64)))</f>
        <v>37</v>
      </c>
      <c r="I65" s="17"/>
      <c r="J65" s="34"/>
    </row>
    <row r="66" spans="1:13" s="28" customFormat="1" ht="52.5" customHeight="1" x14ac:dyDescent="0.25">
      <c r="A66" s="143" t="s">
        <v>93</v>
      </c>
      <c r="B66" s="144"/>
      <c r="C66" s="150" t="str">
        <f ca="1">I64</f>
        <v>Excavation work Completed. Plinth work completed, RCC Slab Completed, Brickwork Completed, Internal Plaster Completed, External Plaster Completed, Flooring upto 28 Floor Completed, Painting upto 23 Floor Completed.</v>
      </c>
      <c r="D66" s="150"/>
      <c r="E66" s="150"/>
      <c r="F66" s="150"/>
      <c r="G66" s="150"/>
      <c r="H66" s="151"/>
      <c r="I66" s="17" t="s">
        <v>105</v>
      </c>
      <c r="J66" s="34"/>
    </row>
    <row r="67" spans="1:13" s="28" customFormat="1" ht="15.75" customHeight="1" x14ac:dyDescent="0.25">
      <c r="A67" s="102" t="s">
        <v>51</v>
      </c>
      <c r="B67" s="103"/>
      <c r="C67" s="23" t="s">
        <v>142</v>
      </c>
      <c r="D67" s="23" t="s">
        <v>86</v>
      </c>
      <c r="E67" s="103" t="s">
        <v>88</v>
      </c>
      <c r="F67" s="103"/>
      <c r="G67" s="103" t="s">
        <v>87</v>
      </c>
      <c r="H67" s="155"/>
      <c r="I67" s="18" t="s">
        <v>144</v>
      </c>
      <c r="J67" s="35">
        <f ca="1">H65*25%</f>
        <v>9.25</v>
      </c>
    </row>
    <row r="68" spans="1:13" s="28" customFormat="1" x14ac:dyDescent="0.25">
      <c r="A68" s="102" t="s">
        <v>131</v>
      </c>
      <c r="B68" s="103"/>
      <c r="C68" s="36">
        <f ca="1">J69</f>
        <v>37</v>
      </c>
      <c r="D68" s="37">
        <f ca="1">((100/H65)*C68)/100</f>
        <v>1</v>
      </c>
      <c r="E68" s="117">
        <f ca="1">(((C69/H65*10)+(40/(D65+F65+H65)*C70)+(7.5/(H65)*C71)+(7.5/(H65)*C72)+(10/H65*C73)+(10/H65*C74)+(5/H65*C75)+(5/H65*C76)+(5/H65*C77))/100)</f>
        <v>0.85675675675675678</v>
      </c>
      <c r="F68" s="117"/>
      <c r="G68" s="117">
        <f ca="1">((((C68/H65)*20)+((C69/H65)*25)+(30/(H65+F65+D65)*C70)+(5/H65*C71)+(5/H65*C72)+(5/H65*C73)+(5/H65*C74)+(0/H65*C75)+(0/H65*C76)+(5/H65*C77))/100)</f>
        <v>0.93783783783783792</v>
      </c>
      <c r="H68" s="119"/>
      <c r="I68" s="18" t="s">
        <v>100</v>
      </c>
      <c r="J68" s="38">
        <f ca="1">H65*50%</f>
        <v>18.5</v>
      </c>
    </row>
    <row r="69" spans="1:13" s="28" customFormat="1" x14ac:dyDescent="0.25">
      <c r="A69" s="102" t="s">
        <v>52</v>
      </c>
      <c r="B69" s="103"/>
      <c r="C69" s="39">
        <f ca="1">J77</f>
        <v>37</v>
      </c>
      <c r="D69" s="37">
        <f ca="1">((100/H65)*C69)/100</f>
        <v>1</v>
      </c>
      <c r="E69" s="117"/>
      <c r="F69" s="117"/>
      <c r="G69" s="117"/>
      <c r="H69" s="119"/>
      <c r="I69" s="18" t="s">
        <v>101</v>
      </c>
      <c r="J69" s="38">
        <f ca="1">H65</f>
        <v>37</v>
      </c>
    </row>
    <row r="70" spans="1:13" s="28" customFormat="1" ht="15.75" customHeight="1" x14ac:dyDescent="0.25">
      <c r="A70" s="102" t="s">
        <v>132</v>
      </c>
      <c r="B70" s="103"/>
      <c r="C70" s="39">
        <v>38</v>
      </c>
      <c r="D70" s="37">
        <f ca="1">((100/(D65+F65+H65))*C70)/100</f>
        <v>1</v>
      </c>
      <c r="E70" s="117"/>
      <c r="F70" s="117"/>
      <c r="G70" s="117"/>
      <c r="H70" s="119"/>
      <c r="I70" s="18" t="s">
        <v>102</v>
      </c>
      <c r="J70" s="40">
        <f ca="1">(IF(B65&gt;1,(H65/(B65+2)),H65/4))</f>
        <v>9.25</v>
      </c>
    </row>
    <row r="71" spans="1:13" s="28" customFormat="1" ht="15.75" customHeight="1" x14ac:dyDescent="0.25">
      <c r="A71" s="102" t="s">
        <v>139</v>
      </c>
      <c r="B71" s="103" t="s">
        <v>133</v>
      </c>
      <c r="C71" s="39">
        <f>C70-1</f>
        <v>37</v>
      </c>
      <c r="D71" s="37">
        <f ca="1">((100/H65)*C71)/100</f>
        <v>1</v>
      </c>
      <c r="E71" s="117"/>
      <c r="F71" s="117"/>
      <c r="G71" s="117"/>
      <c r="H71" s="119"/>
      <c r="I71" s="18" t="s">
        <v>103</v>
      </c>
      <c r="J71" s="40">
        <f ca="1">(IF(B65&gt;1,(H65/(B65+2)+J70),H65/4+J70))</f>
        <v>18.5</v>
      </c>
    </row>
    <row r="72" spans="1:13" s="28" customFormat="1" ht="15.75" customHeight="1" x14ac:dyDescent="0.25">
      <c r="A72" s="102" t="s">
        <v>140</v>
      </c>
      <c r="B72" s="103" t="s">
        <v>133</v>
      </c>
      <c r="C72" s="39">
        <v>37</v>
      </c>
      <c r="D72" s="37">
        <f ca="1">((100/H65)*C72)/100</f>
        <v>1</v>
      </c>
      <c r="E72" s="117"/>
      <c r="F72" s="117"/>
      <c r="G72" s="117"/>
      <c r="H72" s="119"/>
      <c r="I72" s="18" t="s">
        <v>149</v>
      </c>
      <c r="J72" s="40">
        <f>(IF(B65&gt;1,(H65/(B65+2)+J71),0))</f>
        <v>0</v>
      </c>
    </row>
    <row r="73" spans="1:13" s="28" customFormat="1" ht="15" customHeight="1" x14ac:dyDescent="0.25">
      <c r="A73" s="188" t="s">
        <v>138</v>
      </c>
      <c r="B73" s="123" t="s">
        <v>135</v>
      </c>
      <c r="C73" s="39">
        <v>37</v>
      </c>
      <c r="D73" s="37">
        <f ca="1">((100/(H65))*C73)/100</f>
        <v>1</v>
      </c>
      <c r="E73" s="117"/>
      <c r="F73" s="117"/>
      <c r="G73" s="117"/>
      <c r="H73" s="119"/>
      <c r="I73" s="18" t="s">
        <v>146</v>
      </c>
      <c r="J73" s="40">
        <f>(IF(B65&gt;2,(H65/(B65+2)+J72),0))</f>
        <v>0</v>
      </c>
    </row>
    <row r="74" spans="1:13" s="28" customFormat="1" ht="15.75" customHeight="1" x14ac:dyDescent="0.25">
      <c r="A74" s="102" t="s">
        <v>134</v>
      </c>
      <c r="B74" s="103" t="s">
        <v>134</v>
      </c>
      <c r="C74" s="36">
        <v>28</v>
      </c>
      <c r="D74" s="37">
        <f ca="1">((100/H65)*C74)/100</f>
        <v>0.7567567567567568</v>
      </c>
      <c r="E74" s="117"/>
      <c r="F74" s="117"/>
      <c r="G74" s="117"/>
      <c r="H74" s="119"/>
      <c r="I74" s="18" t="s">
        <v>147</v>
      </c>
      <c r="J74" s="41">
        <f>(IF(B65&gt;3,(H65/(B65+2)+J73),0))</f>
        <v>0</v>
      </c>
    </row>
    <row r="75" spans="1:13" s="28" customFormat="1" ht="15.75" customHeight="1" x14ac:dyDescent="0.25">
      <c r="A75" s="102" t="s">
        <v>141</v>
      </c>
      <c r="B75" s="103"/>
      <c r="C75" s="36">
        <v>23</v>
      </c>
      <c r="D75" s="37">
        <f ca="1">((100/H65)*C75)/100</f>
        <v>0.6216216216216216</v>
      </c>
      <c r="E75" s="117"/>
      <c r="F75" s="117"/>
      <c r="G75" s="117"/>
      <c r="H75" s="119"/>
      <c r="I75" s="18" t="s">
        <v>148</v>
      </c>
      <c r="J75" s="40">
        <f>(IF(B65&gt;4,(H65/(B65+2)+J74),0))</f>
        <v>0</v>
      </c>
    </row>
    <row r="76" spans="1:13" s="28" customFormat="1" ht="15.75" customHeight="1" x14ac:dyDescent="0.25">
      <c r="A76" s="102" t="s">
        <v>136</v>
      </c>
      <c r="B76" s="103" t="s">
        <v>136</v>
      </c>
      <c r="C76" s="36">
        <v>0</v>
      </c>
      <c r="D76" s="37">
        <f ca="1">((100/(H65))*C76)/100</f>
        <v>0</v>
      </c>
      <c r="E76" s="117"/>
      <c r="F76" s="117"/>
      <c r="G76" s="117"/>
      <c r="H76" s="119"/>
      <c r="I76" s="18" t="s">
        <v>150</v>
      </c>
      <c r="J76" s="40">
        <f ca="1">(IF(B65=1,(H65/(B65+3)+J71),IF(B65=0,(H65/4+J71),IF(B65&gt;1,0))))</f>
        <v>27.75</v>
      </c>
    </row>
    <row r="77" spans="1:13" s="28" customFormat="1" ht="16.5" thickBot="1" x14ac:dyDescent="0.3">
      <c r="A77" s="121" t="s">
        <v>137</v>
      </c>
      <c r="B77" s="122"/>
      <c r="C77" s="42">
        <v>0</v>
      </c>
      <c r="D77" s="43">
        <f ca="1">((100/(H65))*C77)/100</f>
        <v>0</v>
      </c>
      <c r="E77" s="118"/>
      <c r="F77" s="118"/>
      <c r="G77" s="118"/>
      <c r="H77" s="120"/>
      <c r="I77" s="19" t="s">
        <v>104</v>
      </c>
      <c r="J77" s="44">
        <f ca="1">(IF(B65&gt;1.5,(H65/(B65+2)+J71+MAX(0,J72-J71)+MAX(0,J73-J72)+MAX(0,J74-J73)+MAX(0,J75-J74)+MAX(0,J76-J75)),IF(B65=1,(H65/(B65+3)+J76),IF(B65=0,H65/4+J76))))</f>
        <v>37</v>
      </c>
    </row>
    <row r="78" spans="1:13" x14ac:dyDescent="0.25">
      <c r="A78" s="107" t="s">
        <v>160</v>
      </c>
      <c r="B78" s="107"/>
      <c r="C78" s="107"/>
      <c r="D78" s="107"/>
      <c r="E78" s="107"/>
      <c r="F78" s="124" t="s">
        <v>163</v>
      </c>
      <c r="G78" s="124"/>
      <c r="H78" s="124"/>
    </row>
    <row r="79" spans="1:13" x14ac:dyDescent="0.25">
      <c r="A79" s="66" t="s">
        <v>162</v>
      </c>
      <c r="B79" s="66"/>
      <c r="C79" s="66"/>
      <c r="D79" s="66"/>
      <c r="E79" s="66"/>
      <c r="F79" s="176">
        <v>9000</v>
      </c>
      <c r="G79" s="176"/>
      <c r="H79" s="176"/>
      <c r="I79" s="54" t="s">
        <v>196</v>
      </c>
      <c r="J79" s="55">
        <v>44718</v>
      </c>
      <c r="K79" s="54" t="s">
        <v>197</v>
      </c>
      <c r="L79" s="54" t="s">
        <v>198</v>
      </c>
    </row>
    <row r="80" spans="1:13" x14ac:dyDescent="0.25">
      <c r="A80" s="66" t="s">
        <v>161</v>
      </c>
      <c r="B80" s="66"/>
      <c r="C80" s="66"/>
      <c r="D80" s="66"/>
      <c r="E80" s="66"/>
      <c r="F80" s="89">
        <v>15000</v>
      </c>
      <c r="G80" s="89"/>
      <c r="H80" s="89"/>
      <c r="I80" s="63" t="s">
        <v>222</v>
      </c>
      <c r="K80" s="64">
        <v>45525</v>
      </c>
      <c r="L80" s="63" t="s">
        <v>197</v>
      </c>
      <c r="M80" s="63" t="s">
        <v>221</v>
      </c>
    </row>
    <row r="81" spans="1:10" s="45" customFormat="1" x14ac:dyDescent="0.25">
      <c r="A81" s="66" t="s">
        <v>190</v>
      </c>
      <c r="B81" s="66"/>
      <c r="C81" s="66"/>
      <c r="D81" s="66"/>
      <c r="E81" s="66"/>
      <c r="F81" s="89">
        <v>375000</v>
      </c>
      <c r="G81" s="89"/>
      <c r="H81" s="89"/>
    </row>
    <row r="82" spans="1:10" s="45" customFormat="1" x14ac:dyDescent="0.25">
      <c r="A82" s="66" t="s">
        <v>223</v>
      </c>
      <c r="B82" s="66"/>
      <c r="C82" s="66"/>
      <c r="D82" s="66"/>
      <c r="E82" s="66"/>
      <c r="F82" s="89">
        <v>75000</v>
      </c>
      <c r="G82" s="89"/>
      <c r="H82" s="89"/>
    </row>
    <row r="83" spans="1:10" s="45" customFormat="1" x14ac:dyDescent="0.25">
      <c r="A83" s="66" t="s">
        <v>224</v>
      </c>
      <c r="B83" s="66"/>
      <c r="C83" s="66"/>
      <c r="D83" s="66"/>
      <c r="E83" s="66"/>
      <c r="F83" s="89">
        <v>145000</v>
      </c>
      <c r="G83" s="89"/>
      <c r="H83" s="89"/>
    </row>
    <row r="84" spans="1:10" s="45" customFormat="1" x14ac:dyDescent="0.25">
      <c r="A84" s="66" t="s">
        <v>225</v>
      </c>
      <c r="B84" s="66"/>
      <c r="C84" s="66"/>
      <c r="D84" s="66"/>
      <c r="E84" s="66"/>
      <c r="F84" s="89">
        <v>100000</v>
      </c>
      <c r="G84" s="89"/>
      <c r="H84" s="89"/>
    </row>
    <row r="85" spans="1:10" s="45" customFormat="1" hidden="1" x14ac:dyDescent="0.25">
      <c r="A85" s="66" t="s">
        <v>98</v>
      </c>
      <c r="B85" s="66"/>
      <c r="C85" s="66"/>
      <c r="D85" s="66"/>
      <c r="E85" s="66"/>
      <c r="F85" s="89"/>
      <c r="G85" s="89"/>
      <c r="H85" s="89"/>
    </row>
    <row r="86" spans="1:10" s="45" customFormat="1" x14ac:dyDescent="0.25">
      <c r="A86" s="66" t="s">
        <v>99</v>
      </c>
      <c r="B86" s="66"/>
      <c r="C86" s="66"/>
      <c r="D86" s="66"/>
      <c r="E86" s="66"/>
      <c r="F86" s="89">
        <v>25000</v>
      </c>
      <c r="G86" s="89"/>
      <c r="H86" s="89"/>
    </row>
    <row r="87" spans="1:10" x14ac:dyDescent="0.25">
      <c r="A87" s="66" t="s">
        <v>53</v>
      </c>
      <c r="B87" s="66"/>
      <c r="C87" s="66"/>
      <c r="D87" s="66"/>
      <c r="E87" s="66"/>
      <c r="F87" s="89">
        <v>600000</v>
      </c>
      <c r="G87" s="89"/>
      <c r="H87" s="89"/>
    </row>
    <row r="88" spans="1:10" s="46" customFormat="1" x14ac:dyDescent="0.25">
      <c r="A88" s="141" t="s">
        <v>54</v>
      </c>
      <c r="B88" s="141"/>
      <c r="C88" s="141"/>
      <c r="D88" s="141"/>
      <c r="E88" s="141"/>
      <c r="F88" s="89">
        <f>F79*0.8</f>
        <v>7200</v>
      </c>
      <c r="G88" s="89"/>
      <c r="H88" s="89"/>
    </row>
    <row r="89" spans="1:10" s="47" customFormat="1" ht="15.75" customHeight="1" x14ac:dyDescent="0.25">
      <c r="A89" s="170" t="s">
        <v>78</v>
      </c>
      <c r="B89" s="170"/>
      <c r="C89" s="170"/>
      <c r="D89" s="170"/>
      <c r="E89" s="170"/>
      <c r="F89" s="170"/>
      <c r="G89" s="170"/>
      <c r="H89" s="170"/>
    </row>
    <row r="90" spans="1:10" s="47" customFormat="1" ht="15.75" customHeight="1" x14ac:dyDescent="0.25">
      <c r="A90" s="156" t="s">
        <v>55</v>
      </c>
      <c r="B90" s="156"/>
      <c r="C90" s="154" t="s">
        <v>81</v>
      </c>
      <c r="D90" s="154"/>
      <c r="E90" s="163" t="s">
        <v>56</v>
      </c>
      <c r="F90" s="163"/>
      <c r="G90" s="156" t="s">
        <v>57</v>
      </c>
      <c r="H90" s="156"/>
    </row>
    <row r="91" spans="1:10" s="47" customFormat="1" x14ac:dyDescent="0.25">
      <c r="A91" s="171" t="s">
        <v>210</v>
      </c>
      <c r="B91" s="171"/>
      <c r="C91" s="157">
        <f>COUNT(D102:D133)</f>
        <v>32</v>
      </c>
      <c r="D91" s="158"/>
      <c r="E91" s="159">
        <f>SUM(D102:D133)</f>
        <v>8608.1860800000013</v>
      </c>
      <c r="F91" s="160"/>
      <c r="G91" s="159">
        <f>SUM(F102:F133)</f>
        <v>13773.097728000001</v>
      </c>
      <c r="H91" s="160"/>
      <c r="J91" s="56">
        <f>G94+G91</f>
        <v>377378.90798400005</v>
      </c>
    </row>
    <row r="92" spans="1:10" s="47" customFormat="1" x14ac:dyDescent="0.25">
      <c r="A92" s="170" t="s">
        <v>73</v>
      </c>
      <c r="B92" s="170"/>
      <c r="C92" s="170"/>
      <c r="D92" s="170"/>
      <c r="E92" s="170"/>
      <c r="F92" s="170"/>
      <c r="G92" s="170"/>
      <c r="H92" s="170"/>
      <c r="J92" s="56">
        <f>E94+E91</f>
        <v>250834.44999600004</v>
      </c>
    </row>
    <row r="93" spans="1:10" s="47" customFormat="1" ht="15.75" customHeight="1" x14ac:dyDescent="0.25">
      <c r="A93" s="156" t="s">
        <v>55</v>
      </c>
      <c r="B93" s="156"/>
      <c r="C93" s="154" t="s">
        <v>81</v>
      </c>
      <c r="D93" s="154"/>
      <c r="E93" s="163" t="s">
        <v>56</v>
      </c>
      <c r="F93" s="163"/>
      <c r="G93" s="156" t="s">
        <v>57</v>
      </c>
      <c r="H93" s="156"/>
    </row>
    <row r="94" spans="1:10" s="47" customFormat="1" x14ac:dyDescent="0.25">
      <c r="A94" s="171" t="s">
        <v>210</v>
      </c>
      <c r="B94" s="171"/>
      <c r="C94" s="158">
        <f>COUNT(D138)+COUNT(D140:D144)+COUNT(D146:D150)*2+COUNT(D152:D156)*2+COUNT(D158:D162)*5+COUNT(D164:D166,D168)+COUNT(D170:D178)*19+COUNT(D180:D182,D184:D188)*5+COUNT(D190:D194)</f>
        <v>271</v>
      </c>
      <c r="D94" s="158"/>
      <c r="E94" s="159">
        <f>SUM(D138)+SUM(D140:D144)+SUM(D146:D150)*2+SUM(D152:D156)*2+SUM(D158:D162)*5+SUM(D164:D166,D168)+SUM(D170:D178)*19+SUM(D180:D182,D184:D188)*5+SUM(D190:D194)</f>
        <v>242226.26391600003</v>
      </c>
      <c r="F94" s="159"/>
      <c r="G94" s="159">
        <f>SUM(F138)+SUM(F140:F144)+SUM(F146:F150)*2+SUM(F152:F156)*2+SUM(F158:F162)*5+SUM(F164:F166,F168)+SUM(F170:F178)*19+SUM(F180:F182,F184:F188)*5+SUM(F190:F194)</f>
        <v>363605.81025600003</v>
      </c>
      <c r="H94" s="159"/>
    </row>
    <row r="95" spans="1:10" s="46" customFormat="1" x14ac:dyDescent="0.25">
      <c r="A95" s="164" t="s">
        <v>58</v>
      </c>
      <c r="B95" s="164"/>
      <c r="C95" s="164"/>
      <c r="D95" s="164"/>
      <c r="E95" s="164"/>
      <c r="F95" s="164"/>
      <c r="G95" s="164"/>
      <c r="H95" s="164"/>
    </row>
    <row r="96" spans="1:10" x14ac:dyDescent="0.25">
      <c r="A96" s="124" t="s">
        <v>59</v>
      </c>
      <c r="B96" s="124"/>
      <c r="C96" s="124"/>
      <c r="D96" s="124"/>
      <c r="E96" s="124"/>
      <c r="F96" s="124"/>
      <c r="G96" s="124"/>
      <c r="H96" s="124"/>
    </row>
    <row r="97" spans="1:14" ht="47.25" customHeight="1" x14ac:dyDescent="0.25">
      <c r="A97" s="90" t="s">
        <v>121</v>
      </c>
      <c r="B97" s="90" t="s">
        <v>120</v>
      </c>
      <c r="C97" s="90" t="s">
        <v>60</v>
      </c>
      <c r="D97" s="90" t="s">
        <v>61</v>
      </c>
      <c r="E97" s="173" t="s">
        <v>159</v>
      </c>
      <c r="F97" s="22" t="s">
        <v>153</v>
      </c>
      <c r="G97" s="79" t="s">
        <v>63</v>
      </c>
      <c r="H97" s="161"/>
    </row>
    <row r="98" spans="1:14" s="48" customFormat="1" x14ac:dyDescent="0.25">
      <c r="A98" s="91"/>
      <c r="B98" s="91"/>
      <c r="C98" s="91"/>
      <c r="D98" s="91"/>
      <c r="E98" s="174"/>
      <c r="F98" s="13">
        <v>0.6</v>
      </c>
      <c r="G98" s="80"/>
      <c r="H98" s="162"/>
    </row>
    <row r="99" spans="1:14" s="57" customFormat="1" x14ac:dyDescent="0.25">
      <c r="A99" s="165" t="s">
        <v>206</v>
      </c>
      <c r="B99" s="166"/>
      <c r="C99" s="166"/>
      <c r="D99" s="166"/>
      <c r="E99" s="166"/>
      <c r="F99" s="166"/>
      <c r="G99" s="166"/>
      <c r="H99" s="167"/>
      <c r="J99" s="49"/>
    </row>
    <row r="100" spans="1:14" s="48" customFormat="1" x14ac:dyDescent="0.25">
      <c r="A100" s="165" t="s">
        <v>195</v>
      </c>
      <c r="B100" s="166"/>
      <c r="C100" s="166"/>
      <c r="D100" s="166"/>
      <c r="E100" s="166"/>
      <c r="F100" s="166"/>
      <c r="G100" s="166"/>
      <c r="H100" s="167"/>
      <c r="J100" s="49"/>
    </row>
    <row r="101" spans="1:14" s="48" customFormat="1" x14ac:dyDescent="0.25">
      <c r="A101" s="165" t="s">
        <v>215</v>
      </c>
      <c r="B101" s="166"/>
      <c r="C101" s="166"/>
      <c r="D101" s="166"/>
      <c r="E101" s="166"/>
      <c r="F101" s="166"/>
      <c r="G101" s="166"/>
      <c r="H101" s="167"/>
      <c r="J101" s="49"/>
    </row>
    <row r="102" spans="1:14" s="48" customFormat="1" x14ac:dyDescent="0.25">
      <c r="A102" s="76">
        <v>1</v>
      </c>
      <c r="B102" s="78"/>
      <c r="C102" s="21" t="s">
        <v>180</v>
      </c>
      <c r="D102" s="58">
        <f t="shared" ref="D102:D110" si="0">(2.48*6.56+9.52)*10.764</f>
        <v>277.59064319999999</v>
      </c>
      <c r="E102" s="21">
        <v>0</v>
      </c>
      <c r="F102" s="21">
        <f>(D102+E102)*(($F$98)+1)</f>
        <v>444.14502912</v>
      </c>
      <c r="G102" s="76" t="str">
        <f>A101</f>
        <v>Ground Floor &amp; 1st Floor For Commercial &amp; Parking (All shops Duplex With 1st Mezzanine Floor)</v>
      </c>
      <c r="H102" s="78"/>
      <c r="I102" s="58">
        <v>10.763999999999999</v>
      </c>
      <c r="L102" s="67"/>
      <c r="M102" s="67"/>
      <c r="N102" s="49"/>
    </row>
    <row r="103" spans="1:14" s="48" customFormat="1" x14ac:dyDescent="0.25">
      <c r="A103" s="76">
        <f t="shared" ref="A103:A133" si="1">A102+1</f>
        <v>2</v>
      </c>
      <c r="B103" s="78"/>
      <c r="C103" s="21" t="s">
        <v>180</v>
      </c>
      <c r="D103" s="58">
        <f t="shared" si="0"/>
        <v>277.59064319999999</v>
      </c>
      <c r="E103" s="21">
        <v>0</v>
      </c>
      <c r="F103" s="21">
        <f t="shared" ref="F103:F108" si="2">(D103+E103)*(($F$98)+1)</f>
        <v>444.14502912</v>
      </c>
      <c r="G103" s="76" t="str">
        <f t="shared" ref="G103:G133" si="3">G102</f>
        <v>Ground Floor &amp; 1st Floor For Commercial &amp; Parking (All shops Duplex With 1st Mezzanine Floor)</v>
      </c>
      <c r="H103" s="78"/>
      <c r="I103" s="49"/>
      <c r="L103" s="67"/>
      <c r="M103" s="67"/>
      <c r="N103" s="49"/>
    </row>
    <row r="104" spans="1:14" s="48" customFormat="1" x14ac:dyDescent="0.25">
      <c r="A104" s="76">
        <f t="shared" si="1"/>
        <v>3</v>
      </c>
      <c r="B104" s="78"/>
      <c r="C104" s="21" t="s">
        <v>180</v>
      </c>
      <c r="D104" s="58">
        <f t="shared" si="0"/>
        <v>277.59064319999999</v>
      </c>
      <c r="E104" s="21">
        <v>0</v>
      </c>
      <c r="F104" s="21">
        <f t="shared" si="2"/>
        <v>444.14502912</v>
      </c>
      <c r="G104" s="76" t="str">
        <f t="shared" si="3"/>
        <v>Ground Floor &amp; 1st Floor For Commercial &amp; Parking (All shops Duplex With 1st Mezzanine Floor)</v>
      </c>
      <c r="H104" s="78"/>
      <c r="I104" s="49"/>
      <c r="L104" s="67"/>
      <c r="M104" s="67"/>
      <c r="N104" s="49"/>
    </row>
    <row r="105" spans="1:14" s="48" customFormat="1" x14ac:dyDescent="0.25">
      <c r="A105" s="76">
        <f t="shared" si="1"/>
        <v>4</v>
      </c>
      <c r="B105" s="78"/>
      <c r="C105" s="21" t="s">
        <v>180</v>
      </c>
      <c r="D105" s="58">
        <f t="shared" si="0"/>
        <v>277.59064319999999</v>
      </c>
      <c r="E105" s="21">
        <v>0</v>
      </c>
      <c r="F105" s="21">
        <f t="shared" si="2"/>
        <v>444.14502912</v>
      </c>
      <c r="G105" s="76" t="str">
        <f t="shared" si="3"/>
        <v>Ground Floor &amp; 1st Floor For Commercial &amp; Parking (All shops Duplex With 1st Mezzanine Floor)</v>
      </c>
      <c r="H105" s="78"/>
      <c r="I105" s="49"/>
      <c r="L105" s="67"/>
      <c r="M105" s="67"/>
      <c r="N105" s="49"/>
    </row>
    <row r="106" spans="1:14" s="48" customFormat="1" x14ac:dyDescent="0.25">
      <c r="A106" s="76">
        <f t="shared" si="1"/>
        <v>5</v>
      </c>
      <c r="B106" s="78"/>
      <c r="C106" s="21" t="s">
        <v>180</v>
      </c>
      <c r="D106" s="58">
        <f t="shared" si="0"/>
        <v>277.59064319999999</v>
      </c>
      <c r="E106" s="21">
        <v>0</v>
      </c>
      <c r="F106" s="21">
        <f t="shared" si="2"/>
        <v>444.14502912</v>
      </c>
      <c r="G106" s="76" t="str">
        <f t="shared" si="3"/>
        <v>Ground Floor &amp; 1st Floor For Commercial &amp; Parking (All shops Duplex With 1st Mezzanine Floor)</v>
      </c>
      <c r="H106" s="78"/>
      <c r="I106" s="49"/>
      <c r="L106" s="67"/>
      <c r="M106" s="67"/>
      <c r="N106" s="49"/>
    </row>
    <row r="107" spans="1:14" s="48" customFormat="1" x14ac:dyDescent="0.25">
      <c r="A107" s="76">
        <f t="shared" si="1"/>
        <v>6</v>
      </c>
      <c r="B107" s="78"/>
      <c r="C107" s="21" t="s">
        <v>180</v>
      </c>
      <c r="D107" s="58">
        <f t="shared" si="0"/>
        <v>277.59064319999999</v>
      </c>
      <c r="E107" s="21">
        <v>0</v>
      </c>
      <c r="F107" s="21">
        <f t="shared" si="2"/>
        <v>444.14502912</v>
      </c>
      <c r="G107" s="76" t="str">
        <f t="shared" si="3"/>
        <v>Ground Floor &amp; 1st Floor For Commercial &amp; Parking (All shops Duplex With 1st Mezzanine Floor)</v>
      </c>
      <c r="H107" s="78"/>
      <c r="I107" s="49"/>
      <c r="L107" s="67"/>
      <c r="M107" s="67"/>
      <c r="N107" s="49"/>
    </row>
    <row r="108" spans="1:14" s="48" customFormat="1" x14ac:dyDescent="0.25">
      <c r="A108" s="76">
        <f t="shared" si="1"/>
        <v>7</v>
      </c>
      <c r="B108" s="78"/>
      <c r="C108" s="21" t="s">
        <v>180</v>
      </c>
      <c r="D108" s="58">
        <f t="shared" si="0"/>
        <v>277.59064319999999</v>
      </c>
      <c r="E108" s="21">
        <v>0</v>
      </c>
      <c r="F108" s="21">
        <f t="shared" si="2"/>
        <v>444.14502912</v>
      </c>
      <c r="G108" s="76" t="str">
        <f t="shared" si="3"/>
        <v>Ground Floor &amp; 1st Floor For Commercial &amp; Parking (All shops Duplex With 1st Mezzanine Floor)</v>
      </c>
      <c r="H108" s="78"/>
      <c r="I108" s="49"/>
      <c r="L108" s="67"/>
      <c r="M108" s="67"/>
      <c r="N108" s="49"/>
    </row>
    <row r="109" spans="1:14" s="48" customFormat="1" x14ac:dyDescent="0.25">
      <c r="A109" s="76">
        <f t="shared" si="1"/>
        <v>8</v>
      </c>
      <c r="B109" s="78"/>
      <c r="C109" s="21" t="s">
        <v>180</v>
      </c>
      <c r="D109" s="58">
        <f t="shared" si="0"/>
        <v>277.59064319999999</v>
      </c>
      <c r="E109" s="21">
        <v>0</v>
      </c>
      <c r="F109" s="21">
        <f t="shared" ref="F109:F114" si="4">(D109+E109)*(($F$98)+1)</f>
        <v>444.14502912</v>
      </c>
      <c r="G109" s="76" t="str">
        <f t="shared" si="3"/>
        <v>Ground Floor &amp; 1st Floor For Commercial &amp; Parking (All shops Duplex With 1st Mezzanine Floor)</v>
      </c>
      <c r="H109" s="78"/>
      <c r="I109" s="49"/>
      <c r="L109" s="67"/>
      <c r="M109" s="67"/>
      <c r="N109" s="49"/>
    </row>
    <row r="110" spans="1:14" s="48" customFormat="1" x14ac:dyDescent="0.25">
      <c r="A110" s="76">
        <f t="shared" si="1"/>
        <v>9</v>
      </c>
      <c r="B110" s="78"/>
      <c r="C110" s="21" t="s">
        <v>180</v>
      </c>
      <c r="D110" s="58">
        <f t="shared" si="0"/>
        <v>277.59064319999999</v>
      </c>
      <c r="E110" s="21">
        <v>0</v>
      </c>
      <c r="F110" s="21">
        <f t="shared" si="4"/>
        <v>444.14502912</v>
      </c>
      <c r="G110" s="76" t="str">
        <f t="shared" si="3"/>
        <v>Ground Floor &amp; 1st Floor For Commercial &amp; Parking (All shops Duplex With 1st Mezzanine Floor)</v>
      </c>
      <c r="H110" s="78"/>
      <c r="I110" s="49"/>
      <c r="L110" s="67"/>
      <c r="M110" s="67"/>
      <c r="N110" s="49"/>
    </row>
    <row r="111" spans="1:14" s="48" customFormat="1" x14ac:dyDescent="0.25">
      <c r="A111" s="76">
        <f t="shared" si="1"/>
        <v>10</v>
      </c>
      <c r="B111" s="78"/>
      <c r="C111" s="21" t="s">
        <v>180</v>
      </c>
      <c r="D111" s="58">
        <f>(3.82*6.65+14.54)*10.764</f>
        <v>429.94645199999997</v>
      </c>
      <c r="E111" s="21">
        <v>0</v>
      </c>
      <c r="F111" s="21">
        <f t="shared" si="4"/>
        <v>687.91432320000001</v>
      </c>
      <c r="G111" s="76" t="str">
        <f t="shared" si="3"/>
        <v>Ground Floor &amp; 1st Floor For Commercial &amp; Parking (All shops Duplex With 1st Mezzanine Floor)</v>
      </c>
      <c r="H111" s="78"/>
      <c r="I111" s="49"/>
      <c r="L111" s="67"/>
      <c r="M111" s="67"/>
      <c r="N111" s="49"/>
    </row>
    <row r="112" spans="1:14" s="48" customFormat="1" x14ac:dyDescent="0.25">
      <c r="A112" s="76">
        <f t="shared" si="1"/>
        <v>11</v>
      </c>
      <c r="B112" s="78"/>
      <c r="C112" s="21" t="s">
        <v>180</v>
      </c>
      <c r="D112" s="58">
        <f>(2.15*6.65+6.42)*10.764</f>
        <v>223.00317000000001</v>
      </c>
      <c r="E112" s="21">
        <v>0</v>
      </c>
      <c r="F112" s="21">
        <f t="shared" si="4"/>
        <v>356.80507200000005</v>
      </c>
      <c r="G112" s="76" t="str">
        <f t="shared" si="3"/>
        <v>Ground Floor &amp; 1st Floor For Commercial &amp; Parking (All shops Duplex With 1st Mezzanine Floor)</v>
      </c>
      <c r="H112" s="78"/>
      <c r="I112" s="49"/>
      <c r="L112" s="67"/>
      <c r="M112" s="67"/>
      <c r="N112" s="49"/>
    </row>
    <row r="113" spans="1:14" s="48" customFormat="1" x14ac:dyDescent="0.25">
      <c r="A113" s="76">
        <f t="shared" si="1"/>
        <v>12</v>
      </c>
      <c r="B113" s="78"/>
      <c r="C113" s="21" t="s">
        <v>180</v>
      </c>
      <c r="D113" s="58">
        <f>(2.5*6.65+9.7)*10.764</f>
        <v>283.36229999999995</v>
      </c>
      <c r="E113" s="21">
        <v>0</v>
      </c>
      <c r="F113" s="21">
        <f t="shared" si="4"/>
        <v>453.37967999999995</v>
      </c>
      <c r="G113" s="76" t="str">
        <f t="shared" si="3"/>
        <v>Ground Floor &amp; 1st Floor For Commercial &amp; Parking (All shops Duplex With 1st Mezzanine Floor)</v>
      </c>
      <c r="H113" s="78"/>
      <c r="I113" s="49"/>
      <c r="L113" s="67"/>
      <c r="M113" s="67"/>
      <c r="N113" s="49"/>
    </row>
    <row r="114" spans="1:14" s="48" customFormat="1" x14ac:dyDescent="0.25">
      <c r="A114" s="76">
        <f t="shared" si="1"/>
        <v>13</v>
      </c>
      <c r="B114" s="78"/>
      <c r="C114" s="21" t="s">
        <v>180</v>
      </c>
      <c r="D114" s="58">
        <f>(2.5*6.65+9.7)*10.764</f>
        <v>283.36229999999995</v>
      </c>
      <c r="E114" s="21">
        <v>0</v>
      </c>
      <c r="F114" s="21">
        <f t="shared" si="4"/>
        <v>453.37967999999995</v>
      </c>
      <c r="G114" s="76" t="str">
        <f t="shared" si="3"/>
        <v>Ground Floor &amp; 1st Floor For Commercial &amp; Parking (All shops Duplex With 1st Mezzanine Floor)</v>
      </c>
      <c r="H114" s="78"/>
      <c r="I114" s="49"/>
      <c r="L114" s="67"/>
      <c r="M114" s="67"/>
      <c r="N114" s="49"/>
    </row>
    <row r="115" spans="1:14" s="48" customFormat="1" x14ac:dyDescent="0.25">
      <c r="A115" s="76">
        <f t="shared" si="1"/>
        <v>14</v>
      </c>
      <c r="B115" s="78"/>
      <c r="C115" s="21" t="s">
        <v>180</v>
      </c>
      <c r="D115" s="58">
        <f>(2.5*6.85+9.7)*10.764</f>
        <v>288.74429999999995</v>
      </c>
      <c r="E115" s="21">
        <v>0</v>
      </c>
      <c r="F115" s="21">
        <f t="shared" ref="F115:F120" si="5">(D115+E115)*(($F$98)+1)</f>
        <v>461.99087999999995</v>
      </c>
      <c r="G115" s="76" t="str">
        <f t="shared" si="3"/>
        <v>Ground Floor &amp; 1st Floor For Commercial &amp; Parking (All shops Duplex With 1st Mezzanine Floor)</v>
      </c>
      <c r="H115" s="78"/>
      <c r="I115" s="49"/>
      <c r="L115" s="67"/>
      <c r="M115" s="67"/>
      <c r="N115" s="49"/>
    </row>
    <row r="116" spans="1:14" s="48" customFormat="1" x14ac:dyDescent="0.25">
      <c r="A116" s="76">
        <f t="shared" si="1"/>
        <v>15</v>
      </c>
      <c r="B116" s="78"/>
      <c r="C116" s="21" t="s">
        <v>180</v>
      </c>
      <c r="D116" s="58">
        <f>(2.52*5.75+9.26)*10.764</f>
        <v>255.64499999999998</v>
      </c>
      <c r="E116" s="21">
        <v>0</v>
      </c>
      <c r="F116" s="21">
        <f t="shared" si="5"/>
        <v>409.03199999999998</v>
      </c>
      <c r="G116" s="76" t="str">
        <f t="shared" si="3"/>
        <v>Ground Floor &amp; 1st Floor For Commercial &amp; Parking (All shops Duplex With 1st Mezzanine Floor)</v>
      </c>
      <c r="H116" s="78"/>
      <c r="I116" s="49"/>
      <c r="L116" s="67"/>
      <c r="M116" s="67"/>
      <c r="N116" s="49"/>
    </row>
    <row r="117" spans="1:14" s="48" customFormat="1" x14ac:dyDescent="0.25">
      <c r="A117" s="76">
        <f t="shared" si="1"/>
        <v>16</v>
      </c>
      <c r="B117" s="78"/>
      <c r="C117" s="21" t="s">
        <v>180</v>
      </c>
      <c r="D117" s="58">
        <f>(3.9*4.4+7.23)*10.764</f>
        <v>262.53395999999998</v>
      </c>
      <c r="E117" s="21">
        <v>0</v>
      </c>
      <c r="F117" s="21">
        <f t="shared" si="5"/>
        <v>420.05433599999998</v>
      </c>
      <c r="G117" s="76" t="str">
        <f t="shared" si="3"/>
        <v>Ground Floor &amp; 1st Floor For Commercial &amp; Parking (All shops Duplex With 1st Mezzanine Floor)</v>
      </c>
      <c r="H117" s="78"/>
      <c r="I117" s="49"/>
      <c r="L117" s="67"/>
      <c r="M117" s="67"/>
      <c r="N117" s="49"/>
    </row>
    <row r="118" spans="1:14" s="48" customFormat="1" x14ac:dyDescent="0.25">
      <c r="A118" s="76">
        <f t="shared" si="1"/>
        <v>17</v>
      </c>
      <c r="B118" s="78"/>
      <c r="C118" s="21" t="s">
        <v>180</v>
      </c>
      <c r="D118" s="58">
        <f>(3.1*5.42+4.59*3.37+1.81*1.1+2.25*1.61)*10.764</f>
        <v>407.7812232</v>
      </c>
      <c r="E118" s="21">
        <v>0</v>
      </c>
      <c r="F118" s="21">
        <f t="shared" si="5"/>
        <v>652.44995712000002</v>
      </c>
      <c r="G118" s="76" t="str">
        <f t="shared" si="3"/>
        <v>Ground Floor &amp; 1st Floor For Commercial &amp; Parking (All shops Duplex With 1st Mezzanine Floor)</v>
      </c>
      <c r="H118" s="78"/>
      <c r="I118" s="49"/>
      <c r="L118" s="67"/>
      <c r="M118" s="67"/>
      <c r="N118" s="49"/>
    </row>
    <row r="119" spans="1:14" s="48" customFormat="1" x14ac:dyDescent="0.25">
      <c r="A119" s="76">
        <f t="shared" si="1"/>
        <v>18</v>
      </c>
      <c r="B119" s="78"/>
      <c r="C119" s="21" t="s">
        <v>180</v>
      </c>
      <c r="D119" s="58">
        <f>(2.4*4.71+7.29)*10.764</f>
        <v>200.145816</v>
      </c>
      <c r="E119" s="21">
        <v>0</v>
      </c>
      <c r="F119" s="21">
        <f t="shared" si="5"/>
        <v>320.23330559999999</v>
      </c>
      <c r="G119" s="76" t="str">
        <f t="shared" si="3"/>
        <v>Ground Floor &amp; 1st Floor For Commercial &amp; Parking (All shops Duplex With 1st Mezzanine Floor)</v>
      </c>
      <c r="H119" s="78"/>
      <c r="I119" s="49"/>
      <c r="L119" s="67"/>
      <c r="M119" s="67"/>
      <c r="N119" s="49"/>
    </row>
    <row r="120" spans="1:14" s="48" customFormat="1" x14ac:dyDescent="0.25">
      <c r="A120" s="76">
        <f t="shared" si="1"/>
        <v>19</v>
      </c>
      <c r="B120" s="78"/>
      <c r="C120" s="21" t="s">
        <v>180</v>
      </c>
      <c r="D120" s="58">
        <f>(9.82+9.42)*10.764</f>
        <v>207.09936000000002</v>
      </c>
      <c r="E120" s="21">
        <v>0</v>
      </c>
      <c r="F120" s="21">
        <f t="shared" si="5"/>
        <v>331.35897600000004</v>
      </c>
      <c r="G120" s="76" t="str">
        <f t="shared" si="3"/>
        <v>Ground Floor &amp; 1st Floor For Commercial &amp; Parking (All shops Duplex With 1st Mezzanine Floor)</v>
      </c>
      <c r="H120" s="78"/>
      <c r="I120" s="49"/>
      <c r="L120" s="67"/>
      <c r="M120" s="67"/>
      <c r="N120" s="49"/>
    </row>
    <row r="121" spans="1:14" s="48" customFormat="1" x14ac:dyDescent="0.25">
      <c r="A121" s="76">
        <f t="shared" si="1"/>
        <v>20</v>
      </c>
      <c r="B121" s="78"/>
      <c r="C121" s="21" t="s">
        <v>180</v>
      </c>
      <c r="D121" s="58">
        <f>(5.25*2+6.59)*10.764</f>
        <v>183.95675999999997</v>
      </c>
      <c r="E121" s="21">
        <v>0</v>
      </c>
      <c r="F121" s="21">
        <f t="shared" ref="F121:F126" si="6">(D121+E121)*(($F$98)+1)</f>
        <v>294.33081599999997</v>
      </c>
      <c r="G121" s="76" t="str">
        <f t="shared" si="3"/>
        <v>Ground Floor &amp; 1st Floor For Commercial &amp; Parking (All shops Duplex With 1st Mezzanine Floor)</v>
      </c>
      <c r="H121" s="78"/>
      <c r="I121" s="49"/>
      <c r="L121" s="67"/>
      <c r="M121" s="67"/>
      <c r="N121" s="49"/>
    </row>
    <row r="122" spans="1:14" s="48" customFormat="1" x14ac:dyDescent="0.25">
      <c r="A122" s="76">
        <f t="shared" si="1"/>
        <v>21</v>
      </c>
      <c r="B122" s="78"/>
      <c r="C122" s="21" t="s">
        <v>180</v>
      </c>
      <c r="D122" s="58">
        <f>(5.25*2+6.07)*10.764</f>
        <v>178.35947999999999</v>
      </c>
      <c r="E122" s="21">
        <v>0</v>
      </c>
      <c r="F122" s="21">
        <f t="shared" si="6"/>
        <v>285.37516799999997</v>
      </c>
      <c r="G122" s="76" t="str">
        <f t="shared" si="3"/>
        <v>Ground Floor &amp; 1st Floor For Commercial &amp; Parking (All shops Duplex With 1st Mezzanine Floor)</v>
      </c>
      <c r="H122" s="78"/>
      <c r="I122" s="49"/>
      <c r="L122" s="67"/>
      <c r="M122" s="67"/>
      <c r="N122" s="49"/>
    </row>
    <row r="123" spans="1:14" s="48" customFormat="1" x14ac:dyDescent="0.25">
      <c r="A123" s="76">
        <f t="shared" si="1"/>
        <v>22</v>
      </c>
      <c r="B123" s="78"/>
      <c r="C123" s="21" t="s">
        <v>180</v>
      </c>
      <c r="D123" s="58">
        <f>(6.65*2.54+9.96)*10.764</f>
        <v>289.02416399999998</v>
      </c>
      <c r="E123" s="21">
        <v>0</v>
      </c>
      <c r="F123" s="21">
        <f t="shared" si="6"/>
        <v>462.4386624</v>
      </c>
      <c r="G123" s="76" t="str">
        <f t="shared" si="3"/>
        <v>Ground Floor &amp; 1st Floor For Commercial &amp; Parking (All shops Duplex With 1st Mezzanine Floor)</v>
      </c>
      <c r="H123" s="78"/>
      <c r="I123" s="49"/>
      <c r="L123" s="67"/>
      <c r="M123" s="67"/>
      <c r="N123" s="49"/>
    </row>
    <row r="124" spans="1:14" s="48" customFormat="1" x14ac:dyDescent="0.25">
      <c r="A124" s="76">
        <f t="shared" si="1"/>
        <v>23</v>
      </c>
      <c r="B124" s="78"/>
      <c r="C124" s="21" t="s">
        <v>180</v>
      </c>
      <c r="D124" s="58">
        <f>(4.45*2.41+3.4*1.91+0.83*2.41)*10.764</f>
        <v>206.87116319999996</v>
      </c>
      <c r="E124" s="21">
        <v>0</v>
      </c>
      <c r="F124" s="21">
        <f t="shared" si="6"/>
        <v>330.99386111999996</v>
      </c>
      <c r="G124" s="76" t="str">
        <f t="shared" si="3"/>
        <v>Ground Floor &amp; 1st Floor For Commercial &amp; Parking (All shops Duplex With 1st Mezzanine Floor)</v>
      </c>
      <c r="H124" s="78"/>
      <c r="I124" s="49"/>
      <c r="L124" s="67"/>
      <c r="M124" s="67"/>
      <c r="N124" s="49"/>
    </row>
    <row r="125" spans="1:14" s="48" customFormat="1" x14ac:dyDescent="0.25">
      <c r="A125" s="76">
        <f t="shared" si="1"/>
        <v>24</v>
      </c>
      <c r="B125" s="78"/>
      <c r="C125" s="21" t="s">
        <v>180</v>
      </c>
      <c r="D125" s="58">
        <f>(4.6*3.05+3.6*3.25)*10.764</f>
        <v>276.95771999999994</v>
      </c>
      <c r="E125" s="21">
        <v>0</v>
      </c>
      <c r="F125" s="21">
        <f t="shared" si="6"/>
        <v>443.13235199999991</v>
      </c>
      <c r="G125" s="76" t="str">
        <f t="shared" si="3"/>
        <v>Ground Floor &amp; 1st Floor For Commercial &amp; Parking (All shops Duplex With 1st Mezzanine Floor)</v>
      </c>
      <c r="H125" s="78"/>
      <c r="I125" s="49"/>
      <c r="L125" s="67"/>
      <c r="M125" s="67"/>
      <c r="N125" s="49"/>
    </row>
    <row r="126" spans="1:14" s="48" customFormat="1" x14ac:dyDescent="0.25">
      <c r="A126" s="76">
        <f t="shared" si="1"/>
        <v>25</v>
      </c>
      <c r="B126" s="78"/>
      <c r="C126" s="21" t="s">
        <v>180</v>
      </c>
      <c r="D126" s="58">
        <f>(4.34*2.95+13.01)*10.764</f>
        <v>277.85113200000001</v>
      </c>
      <c r="E126" s="21">
        <v>0</v>
      </c>
      <c r="F126" s="21">
        <f t="shared" si="6"/>
        <v>444.56181120000002</v>
      </c>
      <c r="G126" s="76" t="str">
        <f t="shared" si="3"/>
        <v>Ground Floor &amp; 1st Floor For Commercial &amp; Parking (All shops Duplex With 1st Mezzanine Floor)</v>
      </c>
      <c r="H126" s="78"/>
      <c r="I126" s="49"/>
      <c r="L126" s="67"/>
      <c r="M126" s="67"/>
      <c r="N126" s="49"/>
    </row>
    <row r="127" spans="1:14" s="48" customFormat="1" x14ac:dyDescent="0.25">
      <c r="A127" s="76">
        <f t="shared" si="1"/>
        <v>26</v>
      </c>
      <c r="B127" s="78"/>
      <c r="C127" s="21" t="s">
        <v>180</v>
      </c>
      <c r="D127" s="58">
        <f>(4.19*2.26+8.07)*10.764</f>
        <v>188.7941016</v>
      </c>
      <c r="E127" s="21">
        <v>0</v>
      </c>
      <c r="F127" s="21">
        <f t="shared" ref="F127:F130" si="7">(D127+E127)*(($F$98)+1)</f>
        <v>302.07056256000004</v>
      </c>
      <c r="G127" s="76" t="str">
        <f t="shared" si="3"/>
        <v>Ground Floor &amp; 1st Floor For Commercial &amp; Parking (All shops Duplex With 1st Mezzanine Floor)</v>
      </c>
      <c r="H127" s="78"/>
      <c r="I127" s="49"/>
      <c r="L127" s="67"/>
      <c r="M127" s="67"/>
      <c r="N127" s="49"/>
    </row>
    <row r="128" spans="1:14" s="48" customFormat="1" x14ac:dyDescent="0.25">
      <c r="A128" s="76">
        <f t="shared" si="1"/>
        <v>27</v>
      </c>
      <c r="B128" s="78"/>
      <c r="C128" s="21" t="s">
        <v>180</v>
      </c>
      <c r="D128" s="58">
        <f>(4.34*2.87+10.3)*10.764</f>
        <v>244.94343119999999</v>
      </c>
      <c r="E128" s="21">
        <v>0</v>
      </c>
      <c r="F128" s="21">
        <f t="shared" si="7"/>
        <v>391.90948992</v>
      </c>
      <c r="G128" s="76" t="str">
        <f t="shared" si="3"/>
        <v>Ground Floor &amp; 1st Floor For Commercial &amp; Parking (All shops Duplex With 1st Mezzanine Floor)</v>
      </c>
      <c r="H128" s="78"/>
      <c r="I128" s="49"/>
      <c r="L128" s="67"/>
      <c r="M128" s="67"/>
      <c r="N128" s="49"/>
    </row>
    <row r="129" spans="1:14" s="48" customFormat="1" x14ac:dyDescent="0.25">
      <c r="A129" s="76">
        <f t="shared" si="1"/>
        <v>28</v>
      </c>
      <c r="B129" s="78"/>
      <c r="C129" s="21" t="s">
        <v>180</v>
      </c>
      <c r="D129" s="58">
        <f>(6.65*2.95+11)*10.764</f>
        <v>329.56677000000002</v>
      </c>
      <c r="E129" s="21">
        <v>0</v>
      </c>
      <c r="F129" s="21">
        <f t="shared" si="7"/>
        <v>527.3068320000001</v>
      </c>
      <c r="G129" s="76" t="str">
        <f t="shared" si="3"/>
        <v>Ground Floor &amp; 1st Floor For Commercial &amp; Parking (All shops Duplex With 1st Mezzanine Floor)</v>
      </c>
      <c r="H129" s="78"/>
      <c r="I129" s="49"/>
      <c r="L129" s="67"/>
      <c r="M129" s="67"/>
      <c r="N129" s="49"/>
    </row>
    <row r="130" spans="1:14" s="48" customFormat="1" x14ac:dyDescent="0.25">
      <c r="A130" s="76">
        <f t="shared" si="1"/>
        <v>29</v>
      </c>
      <c r="B130" s="78"/>
      <c r="C130" s="21" t="s">
        <v>180</v>
      </c>
      <c r="D130" s="58">
        <f>(5.75*3.05+1.2*2.84+1.1*1+1.15*0.7+1.15*3.05)*10.764</f>
        <v>283.717512</v>
      </c>
      <c r="E130" s="21">
        <v>0</v>
      </c>
      <c r="F130" s="21">
        <f t="shared" si="7"/>
        <v>453.94801920000003</v>
      </c>
      <c r="G130" s="76" t="str">
        <f t="shared" si="3"/>
        <v>Ground Floor &amp; 1st Floor For Commercial &amp; Parking (All shops Duplex With 1st Mezzanine Floor)</v>
      </c>
      <c r="H130" s="78"/>
      <c r="I130" s="49"/>
      <c r="L130" s="67"/>
      <c r="M130" s="67"/>
      <c r="N130" s="49"/>
    </row>
    <row r="131" spans="1:14" s="48" customFormat="1" x14ac:dyDescent="0.25">
      <c r="A131" s="76">
        <f t="shared" si="1"/>
        <v>30</v>
      </c>
      <c r="B131" s="78"/>
      <c r="C131" s="21" t="s">
        <v>180</v>
      </c>
      <c r="D131" s="58">
        <f>(4.45*2.51+7.35)*10.764</f>
        <v>199.343898</v>
      </c>
      <c r="E131" s="21">
        <v>0</v>
      </c>
      <c r="F131" s="21">
        <f t="shared" ref="F131:F133" si="8">(D131+E131)*(($F$98)+1)</f>
        <v>318.95023680000003</v>
      </c>
      <c r="G131" s="76" t="str">
        <f t="shared" si="3"/>
        <v>Ground Floor &amp; 1st Floor For Commercial &amp; Parking (All shops Duplex With 1st Mezzanine Floor)</v>
      </c>
      <c r="H131" s="78"/>
      <c r="I131" s="49"/>
      <c r="L131" s="67"/>
      <c r="M131" s="67"/>
      <c r="N131" s="49"/>
    </row>
    <row r="132" spans="1:14" s="48" customFormat="1" x14ac:dyDescent="0.25">
      <c r="A132" s="76">
        <f t="shared" si="1"/>
        <v>31</v>
      </c>
      <c r="B132" s="78"/>
      <c r="C132" s="21" t="s">
        <v>180</v>
      </c>
      <c r="D132" s="58">
        <f>(5.21*2.45+7.85)*10.764</f>
        <v>221.89447799999999</v>
      </c>
      <c r="E132" s="21">
        <v>0</v>
      </c>
      <c r="F132" s="21">
        <f>(D132+E132)*(($F$98)+1)</f>
        <v>355.0311648</v>
      </c>
      <c r="G132" s="76" t="str">
        <f t="shared" si="3"/>
        <v>Ground Floor &amp; 1st Floor For Commercial &amp; Parking (All shops Duplex With 1st Mezzanine Floor)</v>
      </c>
      <c r="H132" s="78"/>
      <c r="I132" s="49"/>
      <c r="L132" s="67"/>
      <c r="M132" s="67"/>
      <c r="N132" s="49"/>
    </row>
    <row r="133" spans="1:14" s="48" customFormat="1" x14ac:dyDescent="0.25">
      <c r="A133" s="76">
        <f t="shared" si="1"/>
        <v>32</v>
      </c>
      <c r="B133" s="78"/>
      <c r="C133" s="21" t="s">
        <v>180</v>
      </c>
      <c r="D133" s="58">
        <f>(6.9*3.3+13.18)*10.764</f>
        <v>386.9658</v>
      </c>
      <c r="E133" s="21">
        <v>0</v>
      </c>
      <c r="F133" s="21">
        <f t="shared" si="8"/>
        <v>619.14528000000007</v>
      </c>
      <c r="G133" s="76" t="str">
        <f t="shared" si="3"/>
        <v>Ground Floor &amp; 1st Floor For Commercial &amp; Parking (All shops Duplex With 1st Mezzanine Floor)</v>
      </c>
      <c r="H133" s="78"/>
      <c r="I133" s="49"/>
      <c r="L133" s="67"/>
      <c r="M133" s="67"/>
      <c r="N133" s="49"/>
    </row>
    <row r="134" spans="1:14" s="48" customFormat="1" x14ac:dyDescent="0.25">
      <c r="A134" s="76"/>
      <c r="B134" s="77"/>
      <c r="C134" s="77"/>
      <c r="D134" s="77"/>
      <c r="E134" s="77"/>
      <c r="F134" s="77"/>
      <c r="G134" s="77"/>
      <c r="H134" s="78"/>
      <c r="I134" s="49"/>
      <c r="N134" s="49"/>
    </row>
    <row r="135" spans="1:14" ht="49.5" customHeight="1" x14ac:dyDescent="0.25">
      <c r="A135" s="79" t="s">
        <v>122</v>
      </c>
      <c r="B135" s="79" t="s">
        <v>123</v>
      </c>
      <c r="C135" s="90" t="s">
        <v>60</v>
      </c>
      <c r="D135" s="90" t="s">
        <v>61</v>
      </c>
      <c r="E135" s="173" t="s">
        <v>62</v>
      </c>
      <c r="F135" s="22" t="s">
        <v>153</v>
      </c>
      <c r="G135" s="79" t="s">
        <v>63</v>
      </c>
      <c r="H135" s="161"/>
      <c r="I135" s="49"/>
    </row>
    <row r="136" spans="1:14" s="48" customFormat="1" x14ac:dyDescent="0.25">
      <c r="A136" s="80"/>
      <c r="B136" s="80"/>
      <c r="C136" s="91"/>
      <c r="D136" s="91"/>
      <c r="E136" s="174"/>
      <c r="F136" s="13">
        <v>0.5</v>
      </c>
      <c r="G136" s="80"/>
      <c r="H136" s="162"/>
      <c r="I136" s="49"/>
    </row>
    <row r="137" spans="1:14" s="48" customFormat="1" x14ac:dyDescent="0.25">
      <c r="A137" s="99" t="s">
        <v>181</v>
      </c>
      <c r="B137" s="99"/>
      <c r="C137" s="99"/>
      <c r="D137" s="99"/>
      <c r="E137" s="99"/>
      <c r="F137" s="99"/>
      <c r="G137" s="99"/>
      <c r="H137" s="99"/>
      <c r="I137" s="49"/>
      <c r="J137" s="48">
        <v>1</v>
      </c>
      <c r="L137" s="67"/>
      <c r="M137" s="67"/>
    </row>
    <row r="138" spans="1:14" s="48" customFormat="1" x14ac:dyDescent="0.25">
      <c r="A138" s="72">
        <v>1</v>
      </c>
      <c r="B138" s="72"/>
      <c r="C138" s="21" t="s">
        <v>182</v>
      </c>
      <c r="D138" s="21">
        <f>(96.36+1.8*6.15+0.75*(3+2.9)+0.3*(2.05+2))*10.764</f>
        <v>1217.08548</v>
      </c>
      <c r="E138" s="21">
        <v>0</v>
      </c>
      <c r="F138" s="21">
        <f t="shared" ref="F138" si="9">D138*(($F$136)+1)+(IF(E138&lt;101,E138,IF(E138&lt;201,E138/2,IF(E138&lt;=301,E138/3,E138/4))))</f>
        <v>1825.6282200000001</v>
      </c>
      <c r="G138" s="72" t="str">
        <f>A137</f>
        <v>1st Floor For Commercial, Parking &amp; Residential</v>
      </c>
      <c r="H138" s="72"/>
      <c r="I138" s="49">
        <f>2.85*1.2+1.65*0.45+8.15*5+3.75*3.2+2.25*0.35+1.2*1.25+4.24*2.16+1.28*1.16+1.26*2.29+3.05*3.53+3*3.35+2.1*0.6+1.25*2.5+0.1*1.5</f>
        <v>98.080100000000002</v>
      </c>
      <c r="N138" s="49"/>
    </row>
    <row r="139" spans="1:14" s="48" customFormat="1" x14ac:dyDescent="0.25">
      <c r="A139" s="75" t="s">
        <v>184</v>
      </c>
      <c r="B139" s="75"/>
      <c r="C139" s="75"/>
      <c r="D139" s="75"/>
      <c r="E139" s="75"/>
      <c r="F139" s="75"/>
      <c r="G139" s="75"/>
      <c r="H139" s="75"/>
      <c r="I139" s="49"/>
      <c r="J139" s="48">
        <v>1</v>
      </c>
      <c r="L139" s="67"/>
      <c r="M139" s="67"/>
    </row>
    <row r="140" spans="1:14" s="48" customFormat="1" ht="15.75" customHeight="1" x14ac:dyDescent="0.25">
      <c r="A140" s="72">
        <v>1</v>
      </c>
      <c r="B140" s="72"/>
      <c r="C140" s="21" t="s">
        <v>183</v>
      </c>
      <c r="D140" s="21">
        <f>(63.16+1.8*3+0.75*(3+2.9)+0.3*2.05)*10.764</f>
        <v>792.23039999999992</v>
      </c>
      <c r="E140" s="21">
        <v>0</v>
      </c>
      <c r="F140" s="21">
        <f t="shared" ref="F140:F141" si="10">D140*(($F$136)+1)+(IF(E140&lt;101,E140,IF(E140&lt;201,E140/2,IF(E140&lt;=301,E140/3,E140/4))))</f>
        <v>1188.3455999999999</v>
      </c>
      <c r="G140" s="68" t="str">
        <f>A139</f>
        <v>2nd Floor For Parking &amp; Residential</v>
      </c>
      <c r="H140" s="69"/>
      <c r="I140" s="49">
        <f>2.85*1.2+1.65*0.45+8.15*5+3.75*3.2+2.25*0.35+1.2*1.25+4.24*2.16+1.28*1.16+1.26*2.29+3.05*3.53+3*3.35+2.1*0.6+1.25*2.5+0.1*1.5</f>
        <v>98.080100000000002</v>
      </c>
      <c r="N140" s="49"/>
    </row>
    <row r="141" spans="1:14" s="48" customFormat="1" ht="15.75" customHeight="1" x14ac:dyDescent="0.25">
      <c r="A141" s="72">
        <f>A140+1</f>
        <v>2</v>
      </c>
      <c r="B141" s="72"/>
      <c r="C141" s="21" t="s">
        <v>183</v>
      </c>
      <c r="D141" s="58">
        <f>(64.32+1.8*3+0.75*(2.85+3.05)+0.3*2.17)*10.764</f>
        <v>805.10414399999991</v>
      </c>
      <c r="E141" s="58">
        <v>0</v>
      </c>
      <c r="F141" s="21">
        <f t="shared" si="10"/>
        <v>1207.6562159999999</v>
      </c>
      <c r="G141" s="70"/>
      <c r="H141" s="71"/>
      <c r="I141" s="49"/>
      <c r="N141" s="49"/>
    </row>
    <row r="142" spans="1:14" s="48" customFormat="1" ht="15.75" customHeight="1" x14ac:dyDescent="0.25">
      <c r="A142" s="72">
        <f>A141+1</f>
        <v>3</v>
      </c>
      <c r="B142" s="72"/>
      <c r="C142" s="21" t="s">
        <v>182</v>
      </c>
      <c r="D142" s="58">
        <f>(86+0.9*3.9+0.75*(3.35+3.35))*10.764</f>
        <v>1017.57474</v>
      </c>
      <c r="E142" s="58">
        <f>(1*2.91+1.6*2.1+2.65*3.05)*10.764</f>
        <v>154.49030999999999</v>
      </c>
      <c r="F142" s="21">
        <f>D142*(($F$136)+1)+(IF(E142&lt;101,E142,IF(E142&lt;201,E142/2,IF(E142&lt;=301,E142/3,E142/4))))</f>
        <v>1603.6072650000001</v>
      </c>
      <c r="G142" s="70"/>
      <c r="H142" s="71"/>
      <c r="I142" s="49"/>
      <c r="N142" s="49"/>
    </row>
    <row r="143" spans="1:14" s="48" customFormat="1" ht="15.75" customHeight="1" x14ac:dyDescent="0.25">
      <c r="A143" s="72">
        <f>A142+1</f>
        <v>4</v>
      </c>
      <c r="B143" s="72"/>
      <c r="C143" s="21" t="s">
        <v>183</v>
      </c>
      <c r="D143" s="58">
        <f>(64.12)*10.764</f>
        <v>690.18768</v>
      </c>
      <c r="E143" s="58">
        <f>(1*(2.9+3.07)+1.85*2.11+2.65*3)*10.764</f>
        <v>191.85215399999998</v>
      </c>
      <c r="F143" s="21">
        <f t="shared" ref="F143:F144" si="11">D143*(($F$136)+1)+(IF(E143&lt;101,E143,IF(E143&lt;201,E143/2,IF(E143&lt;=301,E143/3,E143/4))))</f>
        <v>1131.2075970000001</v>
      </c>
      <c r="G143" s="70"/>
      <c r="H143" s="71"/>
      <c r="I143" s="49"/>
      <c r="N143" s="49"/>
    </row>
    <row r="144" spans="1:14" s="48" customFormat="1" ht="15.75" customHeight="1" x14ac:dyDescent="0.25">
      <c r="A144" s="72">
        <f>A143+1</f>
        <v>5</v>
      </c>
      <c r="B144" s="72"/>
      <c r="C144" s="21" t="s">
        <v>182</v>
      </c>
      <c r="D144" s="58">
        <f>(85.08)*10.764</f>
        <v>915.80111999999997</v>
      </c>
      <c r="E144" s="58">
        <f>(2.65*3+1.65*2.1+1*2.91+1*3)*10.764</f>
        <v>186.48629999999997</v>
      </c>
      <c r="F144" s="21">
        <f t="shared" si="11"/>
        <v>1466.9448299999999</v>
      </c>
      <c r="G144" s="73"/>
      <c r="H144" s="74"/>
      <c r="I144" s="49"/>
      <c r="N144" s="49"/>
    </row>
    <row r="145" spans="1:14" s="48" customFormat="1" x14ac:dyDescent="0.25">
      <c r="A145" s="75" t="s">
        <v>185</v>
      </c>
      <c r="B145" s="75"/>
      <c r="C145" s="75"/>
      <c r="D145" s="75"/>
      <c r="E145" s="75"/>
      <c r="F145" s="75"/>
      <c r="G145" s="75"/>
      <c r="H145" s="75"/>
      <c r="I145" s="49">
        <f>3*5.45+1.25*0.75+1.46*3.2+1.26*1.16+1.26*2.29+2.85*2.15+0.9*2.85+3.05*3.55+3*3.35+2.2*0.6+1.25*2.5+0.25*1.6</f>
        <v>60.721500000000006</v>
      </c>
      <c r="J145" s="48">
        <v>2</v>
      </c>
      <c r="L145" s="67"/>
      <c r="M145" s="67"/>
    </row>
    <row r="146" spans="1:14" s="48" customFormat="1" ht="15.75" customHeight="1" x14ac:dyDescent="0.25">
      <c r="A146" s="72">
        <v>1</v>
      </c>
      <c r="B146" s="72"/>
      <c r="C146" s="58" t="s">
        <v>183</v>
      </c>
      <c r="D146" s="58">
        <f>(63.16+0.75*(3+2.9)+1.8*3+0.3*2.1)*10.764</f>
        <v>792.39185999999995</v>
      </c>
      <c r="E146" s="21">
        <v>0</v>
      </c>
      <c r="F146" s="21">
        <f t="shared" ref="F146:F147" si="12">D146*(($F$136)+1)+(IF(E146&lt;101,E146,IF(E146&lt;201,E146/2,IF(E146&lt;=301,E146/3,E146/4))))</f>
        <v>1188.58779</v>
      </c>
      <c r="G146" s="68" t="str">
        <f>A145</f>
        <v>3rd &amp; 4th Floor For Parking &amp; Residential</v>
      </c>
      <c r="H146" s="69"/>
      <c r="I146" s="49"/>
      <c r="N146" s="49"/>
    </row>
    <row r="147" spans="1:14" s="48" customFormat="1" ht="15.75" customHeight="1" x14ac:dyDescent="0.25">
      <c r="A147" s="72">
        <f>A146+1</f>
        <v>2</v>
      </c>
      <c r="B147" s="72"/>
      <c r="C147" s="58" t="s">
        <v>183</v>
      </c>
      <c r="D147" s="58">
        <f>(64.32+0.75*(2.85+3.05)+1.8*3+0.3*2.17)*10.764</f>
        <v>805.10414399999991</v>
      </c>
      <c r="E147" s="21">
        <v>0</v>
      </c>
      <c r="F147" s="21">
        <f t="shared" si="12"/>
        <v>1207.6562159999999</v>
      </c>
      <c r="G147" s="70"/>
      <c r="H147" s="71"/>
      <c r="I147" s="49"/>
      <c r="N147" s="49"/>
    </row>
    <row r="148" spans="1:14" s="48" customFormat="1" ht="15.75" customHeight="1" x14ac:dyDescent="0.25">
      <c r="A148" s="72">
        <f>A147+1</f>
        <v>3</v>
      </c>
      <c r="B148" s="72"/>
      <c r="C148" s="58" t="s">
        <v>182</v>
      </c>
      <c r="D148" s="58">
        <f>(86+0.75*(3.36+3.35+2.91)+1.8*3.1+0.9*3.96+0.3*2.1)*10.764</f>
        <v>1108.573596</v>
      </c>
      <c r="E148" s="21">
        <v>0</v>
      </c>
      <c r="F148" s="21">
        <f>D148*(($F$136)+1)+(IF(E148&lt;101,E148,IF(E148&lt;201,E148/2,IF(E148&lt;=301,E148/3,E148/4))))</f>
        <v>1662.8603939999998</v>
      </c>
      <c r="G148" s="70"/>
      <c r="H148" s="71"/>
      <c r="I148" s="49"/>
      <c r="N148" s="49"/>
    </row>
    <row r="149" spans="1:14" s="48" customFormat="1" ht="15.75" customHeight="1" x14ac:dyDescent="0.25">
      <c r="A149" s="72">
        <f>A148+1</f>
        <v>4</v>
      </c>
      <c r="B149" s="72"/>
      <c r="C149" s="58" t="s">
        <v>183</v>
      </c>
      <c r="D149" s="58">
        <f>(64.12+0.75*(2.9+3.07)+1.8*3+0.3*2.11)*10.764</f>
        <v>803.32270200000005</v>
      </c>
      <c r="E149" s="21">
        <v>0</v>
      </c>
      <c r="F149" s="21">
        <f t="shared" ref="F149:F150" si="13">D149*(($F$136)+1)+(IF(E149&lt;101,E149,IF(E149&lt;201,E149/2,IF(E149&lt;=301,E149/3,E149/4))))</f>
        <v>1204.9840530000001</v>
      </c>
      <c r="G149" s="70"/>
      <c r="H149" s="71"/>
      <c r="I149" s="49"/>
      <c r="N149" s="49"/>
    </row>
    <row r="150" spans="1:14" s="48" customFormat="1" ht="15.75" customHeight="1" x14ac:dyDescent="0.25">
      <c r="A150" s="72">
        <f>A149+1</f>
        <v>5</v>
      </c>
      <c r="B150" s="72"/>
      <c r="C150" s="58" t="s">
        <v>182</v>
      </c>
      <c r="D150" s="58">
        <f>(85.08+0.75*(3+2.91+3.2)+1.8*3+0.3*2.1)*10.764</f>
        <v>1054.25307</v>
      </c>
      <c r="E150" s="21">
        <v>0</v>
      </c>
      <c r="F150" s="21">
        <f t="shared" si="13"/>
        <v>1581.3796050000001</v>
      </c>
      <c r="G150" s="73"/>
      <c r="H150" s="74"/>
      <c r="I150" s="49"/>
      <c r="N150" s="49"/>
    </row>
    <row r="151" spans="1:14" s="48" customFormat="1" x14ac:dyDescent="0.25">
      <c r="A151" s="98" t="s">
        <v>186</v>
      </c>
      <c r="B151" s="98"/>
      <c r="C151" s="98"/>
      <c r="D151" s="98"/>
      <c r="E151" s="98"/>
      <c r="F151" s="98"/>
      <c r="G151" s="98"/>
      <c r="H151" s="98"/>
      <c r="I151" s="49">
        <f>10000000/F153</f>
        <v>8280.5022385609136</v>
      </c>
      <c r="J151" s="48">
        <v>2</v>
      </c>
      <c r="L151" s="67"/>
      <c r="M151" s="67"/>
    </row>
    <row r="152" spans="1:14" s="48" customFormat="1" ht="15.75" customHeight="1" x14ac:dyDescent="0.25">
      <c r="A152" s="72">
        <v>1</v>
      </c>
      <c r="B152" s="72"/>
      <c r="C152" s="58" t="s">
        <v>183</v>
      </c>
      <c r="D152" s="58">
        <f>(63.16+0.75*(3+2.9)+1.8*3+0.3*2.1)*10.764</f>
        <v>792.39185999999995</v>
      </c>
      <c r="E152" s="21">
        <v>0</v>
      </c>
      <c r="F152" s="21">
        <f t="shared" ref="F152:F153" si="14">D152*(($F$136)+1)+(IF(E152&lt;101,E152,IF(E152&lt;201,E152/2,IF(E152&lt;=301,E152/3,E152/4))))</f>
        <v>1188.58779</v>
      </c>
      <c r="G152" s="68" t="str">
        <f>A151</f>
        <v>5th &amp; 6th Floor For Parking &amp; Residential</v>
      </c>
      <c r="H152" s="69"/>
      <c r="I152" s="49"/>
      <c r="N152" s="49"/>
    </row>
    <row r="153" spans="1:14" s="48" customFormat="1" ht="15.75" customHeight="1" x14ac:dyDescent="0.25">
      <c r="A153" s="72">
        <f>A152+1</f>
        <v>2</v>
      </c>
      <c r="B153" s="72"/>
      <c r="C153" s="58" t="s">
        <v>183</v>
      </c>
      <c r="D153" s="58">
        <f>(64.32+0.75*(2.85+3.05)+1.8*3+0.3*2.17)*10.764</f>
        <v>805.10414399999991</v>
      </c>
      <c r="E153" s="21">
        <v>0</v>
      </c>
      <c r="F153" s="21">
        <f t="shared" si="14"/>
        <v>1207.6562159999999</v>
      </c>
      <c r="G153" s="70" t="str">
        <f>G152</f>
        <v>5th &amp; 6th Floor For Parking &amp; Residential</v>
      </c>
      <c r="H153" s="71"/>
      <c r="I153" s="49">
        <f>13000000/F154</f>
        <v>7817.8541306937886</v>
      </c>
      <c r="N153" s="49"/>
    </row>
    <row r="154" spans="1:14" s="48" customFormat="1" ht="15.75" customHeight="1" x14ac:dyDescent="0.25">
      <c r="A154" s="72">
        <f>A153+1</f>
        <v>3</v>
      </c>
      <c r="B154" s="72"/>
      <c r="C154" s="58" t="s">
        <v>182</v>
      </c>
      <c r="D154" s="58">
        <f>(86+0.75*(3.36+3.35+2.91)+1.8*3.1+0.9*3.96+0.3*2.1)*10.764</f>
        <v>1108.573596</v>
      </c>
      <c r="E154" s="21">
        <v>0</v>
      </c>
      <c r="F154" s="21">
        <f>D154*(($F$136)+1)+(IF(E154&lt;101,E154,IF(E154&lt;201,E154/2,IF(E154&lt;=301,E154/3,E154/4))))</f>
        <v>1662.8603939999998</v>
      </c>
      <c r="G154" s="70" t="str">
        <f>G153</f>
        <v>5th &amp; 6th Floor For Parking &amp; Residential</v>
      </c>
      <c r="H154" s="71"/>
      <c r="I154" s="49"/>
      <c r="N154" s="49"/>
    </row>
    <row r="155" spans="1:14" s="48" customFormat="1" ht="15.75" customHeight="1" x14ac:dyDescent="0.25">
      <c r="A155" s="72">
        <f>A154+1</f>
        <v>4</v>
      </c>
      <c r="B155" s="72"/>
      <c r="C155" s="58" t="s">
        <v>183</v>
      </c>
      <c r="D155" s="58">
        <f>(64.12+0.75*(2.9+3.07)+1.8*3+0.3*2.11)*10.764</f>
        <v>803.32270200000005</v>
      </c>
      <c r="E155" s="21">
        <v>0</v>
      </c>
      <c r="F155" s="21">
        <f t="shared" ref="F155:F156" si="15">D155*(($F$136)+1)+(IF(E155&lt;101,E155,IF(E155&lt;201,E155/2,IF(E155&lt;=301,E155/3,E155/4))))</f>
        <v>1204.9840530000001</v>
      </c>
      <c r="G155" s="70" t="str">
        <f>G154</f>
        <v>5th &amp; 6th Floor For Parking &amp; Residential</v>
      </c>
      <c r="H155" s="71"/>
      <c r="I155" s="49">
        <f>13000000/F156</f>
        <v>8220.6700775048885</v>
      </c>
      <c r="N155" s="49"/>
    </row>
    <row r="156" spans="1:14" s="48" customFormat="1" ht="15.75" customHeight="1" x14ac:dyDescent="0.25">
      <c r="A156" s="72">
        <f>A155+1</f>
        <v>5</v>
      </c>
      <c r="B156" s="72"/>
      <c r="C156" s="58" t="s">
        <v>182</v>
      </c>
      <c r="D156" s="58">
        <f>(85.08+0.75*(3+2.91+3.2)+1.8*3+0.3*2.1)*10.764</f>
        <v>1054.25307</v>
      </c>
      <c r="E156" s="21">
        <v>0</v>
      </c>
      <c r="F156" s="21">
        <f t="shared" si="15"/>
        <v>1581.3796050000001</v>
      </c>
      <c r="G156" s="73" t="str">
        <f>G155</f>
        <v>5th &amp; 6th Floor For Parking &amp; Residential</v>
      </c>
      <c r="H156" s="74"/>
      <c r="I156" s="49"/>
      <c r="J156" s="48">
        <v>5</v>
      </c>
      <c r="N156" s="49"/>
    </row>
    <row r="157" spans="1:14" s="48" customFormat="1" x14ac:dyDescent="0.25">
      <c r="A157" s="75" t="s">
        <v>207</v>
      </c>
      <c r="B157" s="75"/>
      <c r="C157" s="75"/>
      <c r="D157" s="75"/>
      <c r="E157" s="75"/>
      <c r="F157" s="75"/>
      <c r="G157" s="75"/>
      <c r="H157" s="75"/>
      <c r="I157" s="49"/>
      <c r="L157" s="67"/>
      <c r="M157" s="67"/>
    </row>
    <row r="158" spans="1:14" s="48" customFormat="1" ht="15.75" customHeight="1" x14ac:dyDescent="0.25">
      <c r="A158" s="72">
        <v>1</v>
      </c>
      <c r="B158" s="72"/>
      <c r="C158" s="58" t="s">
        <v>183</v>
      </c>
      <c r="D158" s="58">
        <f>(63.16+0.75*(3+2.9)+1.8*3+0.3*2.1)*10.764</f>
        <v>792.39185999999995</v>
      </c>
      <c r="E158" s="21">
        <v>0</v>
      </c>
      <c r="F158" s="21">
        <f t="shared" ref="F158:F159" si="16">D158*(($F$136)+1)+(IF(E158&lt;101,E158,IF(E158&lt;201,E158/2,IF(E158&lt;=301,E158/3,E158/4))))</f>
        <v>1188.58779</v>
      </c>
      <c r="G158" s="68" t="str">
        <f>A157</f>
        <v>7th to 8th, 10th to 12th Floor For Parking &amp; Residential</v>
      </c>
      <c r="H158" s="69"/>
      <c r="I158" s="49"/>
      <c r="N158" s="49"/>
    </row>
    <row r="159" spans="1:14" s="48" customFormat="1" ht="15.75" customHeight="1" x14ac:dyDescent="0.25">
      <c r="A159" s="72">
        <f>A158+1</f>
        <v>2</v>
      </c>
      <c r="B159" s="72"/>
      <c r="C159" s="58" t="s">
        <v>183</v>
      </c>
      <c r="D159" s="58">
        <f>(64.32+0.75*(2.85+3.05)+1.8*3+0.3*2.17)*10.764</f>
        <v>805.10414399999991</v>
      </c>
      <c r="E159" s="21">
        <v>0</v>
      </c>
      <c r="F159" s="21">
        <f t="shared" si="16"/>
        <v>1207.6562159999999</v>
      </c>
      <c r="G159" s="70" t="str">
        <f>G158</f>
        <v>7th to 8th, 10th to 12th Floor For Parking &amp; Residential</v>
      </c>
      <c r="H159" s="71"/>
      <c r="I159" s="49"/>
      <c r="N159" s="49"/>
    </row>
    <row r="160" spans="1:14" s="48" customFormat="1" ht="15.75" customHeight="1" x14ac:dyDescent="0.25">
      <c r="A160" s="72">
        <f>A159+1</f>
        <v>3</v>
      </c>
      <c r="B160" s="72"/>
      <c r="C160" s="58" t="s">
        <v>182</v>
      </c>
      <c r="D160" s="58">
        <f>(86+0.75*(3.36+3.35+2.91)+1.8*3.1+0.9*3.96+0.3*2.1)*10.764</f>
        <v>1108.573596</v>
      </c>
      <c r="E160" s="21">
        <v>0</v>
      </c>
      <c r="F160" s="21">
        <f>D160*(($F$136)+1)+(IF(E160&lt;101,E160,IF(E160&lt;201,E160/2,IF(E160&lt;=301,E160/3,E160/4))))</f>
        <v>1662.8603939999998</v>
      </c>
      <c r="G160" s="70" t="str">
        <f>G159</f>
        <v>7th to 8th, 10th to 12th Floor For Parking &amp; Residential</v>
      </c>
      <c r="H160" s="71"/>
      <c r="I160" s="49"/>
      <c r="N160" s="49"/>
    </row>
    <row r="161" spans="1:14" s="48" customFormat="1" ht="15.75" customHeight="1" x14ac:dyDescent="0.25">
      <c r="A161" s="72">
        <f>A160+1</f>
        <v>4</v>
      </c>
      <c r="B161" s="72"/>
      <c r="C161" s="58" t="s">
        <v>183</v>
      </c>
      <c r="D161" s="58">
        <f>(64.12+0.75*(2.9+3.07)+1.8*3+0.3*2.11)*10.764</f>
        <v>803.32270200000005</v>
      </c>
      <c r="E161" s="21">
        <v>0</v>
      </c>
      <c r="F161" s="21">
        <f t="shared" ref="F161:F162" si="17">D161*(($F$136)+1)+(IF(E161&lt;101,E161,IF(E161&lt;201,E161/2,IF(E161&lt;=301,E161/3,E161/4))))</f>
        <v>1204.9840530000001</v>
      </c>
      <c r="G161" s="70" t="str">
        <f>G160</f>
        <v>7th to 8th, 10th to 12th Floor For Parking &amp; Residential</v>
      </c>
      <c r="H161" s="71"/>
      <c r="I161" s="49"/>
      <c r="N161" s="49"/>
    </row>
    <row r="162" spans="1:14" s="48" customFormat="1" ht="15.75" customHeight="1" x14ac:dyDescent="0.25">
      <c r="A162" s="72">
        <f>A161+1</f>
        <v>5</v>
      </c>
      <c r="B162" s="72"/>
      <c r="C162" s="58" t="s">
        <v>182</v>
      </c>
      <c r="D162" s="58">
        <f>(85.08+0.75*(3+2.91+3.2)+1.8*3+0.3*2.1)*10.764</f>
        <v>1054.25307</v>
      </c>
      <c r="E162" s="21">
        <v>0</v>
      </c>
      <c r="F162" s="21">
        <f t="shared" si="17"/>
        <v>1581.3796050000001</v>
      </c>
      <c r="G162" s="73" t="str">
        <f>G161</f>
        <v>7th to 8th, 10th to 12th Floor For Parking &amp; Residential</v>
      </c>
      <c r="H162" s="74"/>
      <c r="I162" s="49"/>
      <c r="N162" s="49"/>
    </row>
    <row r="163" spans="1:14" s="48" customFormat="1" x14ac:dyDescent="0.25">
      <c r="A163" s="99" t="s">
        <v>187</v>
      </c>
      <c r="B163" s="99"/>
      <c r="C163" s="99"/>
      <c r="D163" s="99"/>
      <c r="E163" s="99"/>
      <c r="F163" s="99"/>
      <c r="G163" s="99"/>
      <c r="H163" s="99"/>
      <c r="I163" s="49"/>
      <c r="J163" s="48">
        <v>1</v>
      </c>
      <c r="L163" s="67"/>
      <c r="M163" s="67"/>
    </row>
    <row r="164" spans="1:14" s="48" customFormat="1" ht="15.75" customHeight="1" x14ac:dyDescent="0.25">
      <c r="A164" s="72">
        <v>1</v>
      </c>
      <c r="B164" s="72"/>
      <c r="C164" s="58" t="s">
        <v>183</v>
      </c>
      <c r="D164" s="58">
        <f>(63.16+0.75*(3+2.9)+1.8*3+0.3*2.1)*10.764</f>
        <v>792.39185999999995</v>
      </c>
      <c r="E164" s="21">
        <v>0</v>
      </c>
      <c r="F164" s="21">
        <f t="shared" ref="F164:F165" si="18">D164*(($F$136)+1)+(IF(E164&lt;101,E164,IF(E164&lt;201,E164/2,IF(E164&lt;=301,E164/3,E164/4))))</f>
        <v>1188.58779</v>
      </c>
      <c r="G164" s="68" t="str">
        <f>A163</f>
        <v>9th Floor For Parking &amp; Residential (Part Refuge Area)</v>
      </c>
      <c r="H164" s="69"/>
      <c r="I164" s="49"/>
      <c r="N164" s="49"/>
    </row>
    <row r="165" spans="1:14" s="48" customFormat="1" ht="15.75" customHeight="1" x14ac:dyDescent="0.25">
      <c r="A165" s="72">
        <f>A164+1</f>
        <v>2</v>
      </c>
      <c r="B165" s="72"/>
      <c r="C165" s="58" t="s">
        <v>183</v>
      </c>
      <c r="D165" s="58">
        <f>(64.32+0.75*(2.85+3.05)+1.8*3+0.3*2.17)*10.764</f>
        <v>805.10414399999991</v>
      </c>
      <c r="E165" s="21">
        <v>0</v>
      </c>
      <c r="F165" s="21">
        <f t="shared" si="18"/>
        <v>1207.6562159999999</v>
      </c>
      <c r="G165" s="70" t="str">
        <f>G164</f>
        <v>9th Floor For Parking &amp; Residential (Part Refuge Area)</v>
      </c>
      <c r="H165" s="71"/>
      <c r="I165" s="49"/>
      <c r="N165" s="49"/>
    </row>
    <row r="166" spans="1:14" s="48" customFormat="1" ht="15.75" customHeight="1" x14ac:dyDescent="0.25">
      <c r="A166" s="72">
        <f>A165+1</f>
        <v>3</v>
      </c>
      <c r="B166" s="72"/>
      <c r="C166" s="58" t="s">
        <v>182</v>
      </c>
      <c r="D166" s="58">
        <f>(86+0.75*(3.36+3.35+2.91)+1.8*3.1+0.9*3.96+0.3*2.1)*10.764</f>
        <v>1108.573596</v>
      </c>
      <c r="E166" s="21">
        <v>0</v>
      </c>
      <c r="F166" s="21">
        <f>D166*(($F$136)+1)+(IF(E166&lt;101,E166,IF(E166&lt;201,E166/2,IF(E166&lt;=301,E166/3,E166/4))))</f>
        <v>1662.8603939999998</v>
      </c>
      <c r="G166" s="70" t="str">
        <f>G165</f>
        <v>9th Floor For Parking &amp; Residential (Part Refuge Area)</v>
      </c>
      <c r="H166" s="71"/>
      <c r="I166" s="49"/>
      <c r="N166" s="49"/>
    </row>
    <row r="167" spans="1:14" s="48" customFormat="1" ht="15.75" customHeight="1" x14ac:dyDescent="0.25">
      <c r="A167" s="72">
        <f>A166+1</f>
        <v>4</v>
      </c>
      <c r="B167" s="72"/>
      <c r="C167" s="76" t="s">
        <v>188</v>
      </c>
      <c r="D167" s="77"/>
      <c r="E167" s="77"/>
      <c r="F167" s="78"/>
      <c r="G167" s="70" t="str">
        <f>G166</f>
        <v>9th Floor For Parking &amp; Residential (Part Refuge Area)</v>
      </c>
      <c r="H167" s="71"/>
      <c r="I167" s="49"/>
      <c r="N167" s="49"/>
    </row>
    <row r="168" spans="1:14" s="48" customFormat="1" ht="15.75" customHeight="1" x14ac:dyDescent="0.25">
      <c r="A168" s="72">
        <f>A167+1</f>
        <v>5</v>
      </c>
      <c r="B168" s="72"/>
      <c r="C168" s="58" t="s">
        <v>182</v>
      </c>
      <c r="D168" s="58">
        <f>(85.08+0.75*(3+2.91+3.2)+1.8*3+0.3*2.1)*10.764</f>
        <v>1054.25307</v>
      </c>
      <c r="E168" s="21">
        <v>0</v>
      </c>
      <c r="F168" s="21">
        <f t="shared" ref="F168" si="19">D168*(($F$136)+1)+(IF(E168&lt;101,E168,IF(E168&lt;201,E168/2,IF(E168&lt;=301,E168/3,E168/4))))</f>
        <v>1581.3796050000001</v>
      </c>
      <c r="G168" s="73" t="str">
        <f>G167</f>
        <v>9th Floor For Parking &amp; Residential (Part Refuge Area)</v>
      </c>
      <c r="H168" s="74"/>
      <c r="I168" s="49"/>
      <c r="N168" s="49"/>
    </row>
    <row r="169" spans="1:14" s="59" customFormat="1" x14ac:dyDescent="0.25">
      <c r="A169" s="75" t="s">
        <v>209</v>
      </c>
      <c r="B169" s="75"/>
      <c r="C169" s="75"/>
      <c r="D169" s="75"/>
      <c r="E169" s="75"/>
      <c r="F169" s="75"/>
      <c r="G169" s="75"/>
      <c r="H169" s="75"/>
      <c r="I169" s="49"/>
      <c r="J169" s="59">
        <v>4</v>
      </c>
      <c r="L169" s="67"/>
      <c r="M169" s="67"/>
    </row>
    <row r="170" spans="1:14" s="59" customFormat="1" ht="15.75" customHeight="1" x14ac:dyDescent="0.25">
      <c r="A170" s="72">
        <v>1</v>
      </c>
      <c r="B170" s="72"/>
      <c r="C170" s="58" t="s">
        <v>183</v>
      </c>
      <c r="D170" s="58">
        <f>(63.16+0.75*(3+2.9)+1.8*3+0.3*2.1)*10.764</f>
        <v>792.39185999999995</v>
      </c>
      <c r="E170" s="58">
        <v>0</v>
      </c>
      <c r="F170" s="58">
        <f t="shared" ref="F170:F171" si="20">D170*(($F$136)+1)+(IF(E170&lt;101,E170,IF(E170&lt;201,E170/2,IF(E170&lt;=301,E170/3,E170/4))))</f>
        <v>1188.58779</v>
      </c>
      <c r="G170" s="68" t="str">
        <f>A169</f>
        <v>15th to 18th, 20th to 23rd, 25th to 28th, 30th to 33rd &amp; 35th to 37th Floor</v>
      </c>
      <c r="H170" s="69"/>
      <c r="I170" s="49"/>
      <c r="J170" s="59">
        <v>4</v>
      </c>
      <c r="K170" s="59">
        <f>J169+J170+J171+J172+J173</f>
        <v>19</v>
      </c>
      <c r="N170" s="49"/>
    </row>
    <row r="171" spans="1:14" s="59" customFormat="1" ht="15.75" customHeight="1" x14ac:dyDescent="0.25">
      <c r="A171" s="72">
        <v>2</v>
      </c>
      <c r="B171" s="72"/>
      <c r="C171" s="58" t="s">
        <v>183</v>
      </c>
      <c r="D171" s="58">
        <f>(64.32+0.75*(2.85+3.05)+1.8*3+0.3*2.17)*10.764</f>
        <v>805.10414399999991</v>
      </c>
      <c r="E171" s="58">
        <v>0</v>
      </c>
      <c r="F171" s="58">
        <f t="shared" si="20"/>
        <v>1207.6562159999999</v>
      </c>
      <c r="G171" s="70"/>
      <c r="H171" s="71"/>
      <c r="I171" s="49"/>
      <c r="J171" s="59">
        <v>4</v>
      </c>
      <c r="N171" s="49"/>
    </row>
    <row r="172" spans="1:14" s="59" customFormat="1" ht="15.75" customHeight="1" x14ac:dyDescent="0.25">
      <c r="A172" s="72">
        <v>3</v>
      </c>
      <c r="B172" s="72"/>
      <c r="C172" s="58" t="s">
        <v>182</v>
      </c>
      <c r="D172" s="58">
        <f>(86+0.75*(3.36+3.35+2.91)+1.8*3.1+0.9*3.96+0.3*2.1)*10.764</f>
        <v>1108.573596</v>
      </c>
      <c r="E172" s="58">
        <v>0</v>
      </c>
      <c r="F172" s="58">
        <f>D172*(($F$136)+1)+(IF(E172&lt;101,E172,IF(E172&lt;201,E172/2,IF(E172&lt;=301,E172/3,E172/4))))</f>
        <v>1662.8603939999998</v>
      </c>
      <c r="G172" s="70"/>
      <c r="H172" s="71"/>
      <c r="J172" s="59">
        <v>4</v>
      </c>
      <c r="M172" s="49"/>
    </row>
    <row r="173" spans="1:14" s="59" customFormat="1" ht="15.75" customHeight="1" x14ac:dyDescent="0.25">
      <c r="A173" s="72">
        <v>4</v>
      </c>
      <c r="B173" s="72"/>
      <c r="C173" s="58" t="s">
        <v>183</v>
      </c>
      <c r="D173" s="58">
        <f>(64.12+0.75*(2.9+3.07)+1.8*3+0.3*2.11)*10.764</f>
        <v>803.32270200000005</v>
      </c>
      <c r="E173" s="58">
        <v>0</v>
      </c>
      <c r="F173" s="58">
        <f t="shared" ref="F173:F176" si="21">D173*(($F$136)+1)+(IF(E173&lt;101,E173,IF(E173&lt;201,E173/2,IF(E173&lt;=301,E173/3,E173/4))))</f>
        <v>1204.9840530000001</v>
      </c>
      <c r="G173" s="70"/>
      <c r="H173" s="71"/>
      <c r="I173" s="49"/>
      <c r="J173" s="59">
        <v>3</v>
      </c>
      <c r="N173" s="49"/>
    </row>
    <row r="174" spans="1:14" s="59" customFormat="1" ht="15.75" customHeight="1" x14ac:dyDescent="0.25">
      <c r="A174" s="72">
        <v>5</v>
      </c>
      <c r="B174" s="72"/>
      <c r="C174" s="58" t="s">
        <v>182</v>
      </c>
      <c r="D174" s="58">
        <f>(85.08+0.75*(3+2.91+3.2)+1.8*3+0.3*2.1)*10.764</f>
        <v>1054.25307</v>
      </c>
      <c r="E174" s="58">
        <v>0</v>
      </c>
      <c r="F174" s="58">
        <f t="shared" si="21"/>
        <v>1581.3796050000001</v>
      </c>
      <c r="G174" s="70"/>
      <c r="H174" s="71"/>
      <c r="I174" s="49"/>
      <c r="N174" s="49"/>
    </row>
    <row r="175" spans="1:14" s="59" customFormat="1" ht="15.75" customHeight="1" x14ac:dyDescent="0.25">
      <c r="A175" s="72">
        <v>6</v>
      </c>
      <c r="B175" s="72"/>
      <c r="C175" s="58" t="s">
        <v>182</v>
      </c>
      <c r="D175" s="58">
        <f>(85.08+0.75*(3+2.91+3.2)+1.8*3+0.3*2.1)*10.764</f>
        <v>1054.25307</v>
      </c>
      <c r="E175" s="58">
        <v>0</v>
      </c>
      <c r="F175" s="58">
        <f t="shared" si="21"/>
        <v>1581.3796050000001</v>
      </c>
      <c r="G175" s="70"/>
      <c r="H175" s="71"/>
      <c r="I175" s="49"/>
      <c r="N175" s="49"/>
    </row>
    <row r="176" spans="1:14" s="59" customFormat="1" ht="15.75" customHeight="1" x14ac:dyDescent="0.25">
      <c r="A176" s="72">
        <v>7</v>
      </c>
      <c r="B176" s="72"/>
      <c r="C176" s="58" t="s">
        <v>183</v>
      </c>
      <c r="D176" s="58">
        <f>(64.12+0.75*(2.9+3.07)+1.8*3+0.3*2.11)*10.764</f>
        <v>803.32270200000005</v>
      </c>
      <c r="E176" s="58">
        <v>0</v>
      </c>
      <c r="F176" s="58">
        <f t="shared" si="21"/>
        <v>1204.9840530000001</v>
      </c>
      <c r="G176" s="70"/>
      <c r="H176" s="71"/>
      <c r="I176" s="49"/>
      <c r="N176" s="49"/>
    </row>
    <row r="177" spans="1:14" s="59" customFormat="1" ht="15.75" customHeight="1" x14ac:dyDescent="0.25">
      <c r="A177" s="72">
        <v>8</v>
      </c>
      <c r="B177" s="72"/>
      <c r="C177" s="58" t="s">
        <v>183</v>
      </c>
      <c r="D177" s="58">
        <f>(62.78+0.75*(2.85+3.05)+1.8*3+0.3*2.17)*10.764</f>
        <v>788.52758399999993</v>
      </c>
      <c r="E177" s="58">
        <v>0</v>
      </c>
      <c r="F177" s="58">
        <f>D177*(($F$136)+1)+(IF(E177&lt;101,E177,IF(E177&lt;201,E177/2,IF(E177&lt;=301,E177/3,E177/4))))</f>
        <v>1182.7913759999999</v>
      </c>
      <c r="G177" s="70"/>
      <c r="H177" s="71"/>
      <c r="I177" s="49"/>
      <c r="N177" s="49"/>
    </row>
    <row r="178" spans="1:14" s="59" customFormat="1" ht="15.75" customHeight="1" x14ac:dyDescent="0.25">
      <c r="A178" s="72">
        <v>9</v>
      </c>
      <c r="B178" s="72"/>
      <c r="C178" s="58" t="s">
        <v>183</v>
      </c>
      <c r="D178" s="58">
        <f>(60.67+0.75*(3+2.9)+1.8*3+0.3*2.1)*10.764</f>
        <v>765.58949999999993</v>
      </c>
      <c r="E178" s="58">
        <v>0</v>
      </c>
      <c r="F178" s="58">
        <f t="shared" ref="F178" si="22">D178*(($F$136)+1)+(IF(E178&lt;101,E178,IF(E178&lt;201,E178/2,IF(E178&lt;=301,E178/3,E178/4))))</f>
        <v>1148.3842499999998</v>
      </c>
      <c r="G178" s="73"/>
      <c r="H178" s="74"/>
      <c r="I178" s="49"/>
      <c r="N178" s="49"/>
    </row>
    <row r="179" spans="1:14" s="59" customFormat="1" x14ac:dyDescent="0.25">
      <c r="A179" s="75" t="s">
        <v>208</v>
      </c>
      <c r="B179" s="75"/>
      <c r="C179" s="75"/>
      <c r="D179" s="75"/>
      <c r="E179" s="75"/>
      <c r="F179" s="75"/>
      <c r="G179" s="75"/>
      <c r="H179" s="75"/>
      <c r="I179" s="49"/>
      <c r="J179" s="59">
        <v>5</v>
      </c>
      <c r="L179" s="67"/>
      <c r="M179" s="67"/>
    </row>
    <row r="180" spans="1:14" s="59" customFormat="1" ht="15.75" customHeight="1" x14ac:dyDescent="0.25">
      <c r="A180" s="72">
        <v>1</v>
      </c>
      <c r="B180" s="72"/>
      <c r="C180" s="58" t="s">
        <v>183</v>
      </c>
      <c r="D180" s="58">
        <f>(63.16+0.75*(3+2.9)+1.8*3+0.3*2.1)*10.764</f>
        <v>792.39185999999995</v>
      </c>
      <c r="E180" s="58">
        <v>0</v>
      </c>
      <c r="F180" s="58">
        <f t="shared" ref="F180:F181" si="23">D180*(($F$136)+1)+(IF(E180&lt;101,E180,IF(E180&lt;201,E180/2,IF(E180&lt;=301,E180/3,E180/4))))</f>
        <v>1188.58779</v>
      </c>
      <c r="G180" s="68" t="str">
        <f>A179</f>
        <v>14th, 19th, 24th, 29th &amp; 34th Floor (Part Refuge Area)</v>
      </c>
      <c r="H180" s="69"/>
      <c r="I180" s="49"/>
      <c r="N180" s="49"/>
    </row>
    <row r="181" spans="1:14" s="59" customFormat="1" ht="15.75" customHeight="1" x14ac:dyDescent="0.25">
      <c r="A181" s="72">
        <v>2</v>
      </c>
      <c r="B181" s="72"/>
      <c r="C181" s="58" t="s">
        <v>183</v>
      </c>
      <c r="D181" s="58">
        <f>(64.32+0.75*(2.85+3.05)+1.8*3+0.3*2.17)*10.764</f>
        <v>805.10414399999991</v>
      </c>
      <c r="E181" s="58">
        <v>0</v>
      </c>
      <c r="F181" s="58">
        <f t="shared" si="23"/>
        <v>1207.6562159999999</v>
      </c>
      <c r="G181" s="70"/>
      <c r="H181" s="71"/>
      <c r="I181" s="49"/>
      <c r="N181" s="49"/>
    </row>
    <row r="182" spans="1:14" s="59" customFormat="1" ht="15.75" customHeight="1" x14ac:dyDescent="0.25">
      <c r="A182" s="72">
        <v>3</v>
      </c>
      <c r="B182" s="72"/>
      <c r="C182" s="58" t="s">
        <v>182</v>
      </c>
      <c r="D182" s="58">
        <f>(86+0.75*(3.36+3.35+2.91)+1.8*3.1+0.9*3.96+0.3*2.1)*10.764</f>
        <v>1108.573596</v>
      </c>
      <c r="E182" s="58">
        <v>0</v>
      </c>
      <c r="F182" s="58">
        <f>D182*(($F$136)+1)+(IF(E182&lt;101,E182,IF(E182&lt;201,E182/2,IF(E182&lt;=301,E182/3,E182/4))))</f>
        <v>1662.8603939999998</v>
      </c>
      <c r="G182" s="70"/>
      <c r="H182" s="71"/>
      <c r="M182" s="49"/>
    </row>
    <row r="183" spans="1:14" s="59" customFormat="1" ht="15.75" customHeight="1" x14ac:dyDescent="0.25">
      <c r="A183" s="72">
        <v>4</v>
      </c>
      <c r="B183" s="72"/>
      <c r="C183" s="76" t="s">
        <v>188</v>
      </c>
      <c r="D183" s="77"/>
      <c r="E183" s="77"/>
      <c r="F183" s="78"/>
      <c r="G183" s="70"/>
      <c r="H183" s="71"/>
      <c r="I183" s="49"/>
      <c r="N183" s="49"/>
    </row>
    <row r="184" spans="1:14" s="59" customFormat="1" ht="15.75" customHeight="1" x14ac:dyDescent="0.25">
      <c r="A184" s="72">
        <v>5</v>
      </c>
      <c r="B184" s="72"/>
      <c r="C184" s="58" t="s">
        <v>182</v>
      </c>
      <c r="D184" s="58">
        <f>(85.08+0.75*(3+2.91+3.2)+1.8*3+0.3*2.1)*10.764</f>
        <v>1054.25307</v>
      </c>
      <c r="E184" s="58">
        <v>0</v>
      </c>
      <c r="F184" s="58">
        <f t="shared" ref="F184:F186" si="24">D184*(($F$136)+1)+(IF(E184&lt;101,E184,IF(E184&lt;201,E184/2,IF(E184&lt;=301,E184/3,E184/4))))</f>
        <v>1581.3796050000001</v>
      </c>
      <c r="G184" s="70"/>
      <c r="H184" s="71"/>
      <c r="I184" s="49"/>
      <c r="N184" s="49"/>
    </row>
    <row r="185" spans="1:14" s="59" customFormat="1" ht="15.75" customHeight="1" x14ac:dyDescent="0.25">
      <c r="A185" s="72">
        <v>6</v>
      </c>
      <c r="B185" s="72"/>
      <c r="C185" s="58" t="s">
        <v>182</v>
      </c>
      <c r="D185" s="58">
        <f>(85.08+0.75*(3+2.91+3.2)+1.8*3+0.3*2.1)*10.764</f>
        <v>1054.25307</v>
      </c>
      <c r="E185" s="58">
        <v>0</v>
      </c>
      <c r="F185" s="58">
        <f t="shared" si="24"/>
        <v>1581.3796050000001</v>
      </c>
      <c r="G185" s="70"/>
      <c r="H185" s="71"/>
      <c r="I185" s="49"/>
      <c r="N185" s="49"/>
    </row>
    <row r="186" spans="1:14" s="59" customFormat="1" ht="15.75" customHeight="1" x14ac:dyDescent="0.25">
      <c r="A186" s="72">
        <v>7</v>
      </c>
      <c r="B186" s="72"/>
      <c r="C186" s="58" t="s">
        <v>183</v>
      </c>
      <c r="D186" s="58">
        <f>(64.12+0.75*(2.9+3.07)+1.8*3+0.3*2.11)*10.764</f>
        <v>803.32270200000005</v>
      </c>
      <c r="E186" s="58">
        <v>0</v>
      </c>
      <c r="F186" s="58">
        <f t="shared" si="24"/>
        <v>1204.9840530000001</v>
      </c>
      <c r="G186" s="70"/>
      <c r="H186" s="71"/>
      <c r="I186" s="49"/>
      <c r="N186" s="49"/>
    </row>
    <row r="187" spans="1:14" s="59" customFormat="1" ht="15.75" customHeight="1" x14ac:dyDescent="0.25">
      <c r="A187" s="72">
        <v>8</v>
      </c>
      <c r="B187" s="72"/>
      <c r="C187" s="58" t="s">
        <v>183</v>
      </c>
      <c r="D187" s="58">
        <f>(62.78+0.75*(2.85+3.05)+1.8*3+0.3*2.17)*10.764</f>
        <v>788.52758399999993</v>
      </c>
      <c r="E187" s="58">
        <v>0</v>
      </c>
      <c r="F187" s="58">
        <f>D187*(($F$136)+1)+(IF(E187&lt;101,E187,IF(E187&lt;201,E187/2,IF(E187&lt;=301,E187/3,E187/4))))</f>
        <v>1182.7913759999999</v>
      </c>
      <c r="G187" s="70"/>
      <c r="H187" s="71"/>
      <c r="I187" s="49"/>
      <c r="N187" s="49"/>
    </row>
    <row r="188" spans="1:14" s="59" customFormat="1" ht="15.75" customHeight="1" x14ac:dyDescent="0.25">
      <c r="A188" s="72">
        <v>9</v>
      </c>
      <c r="B188" s="72"/>
      <c r="C188" s="58" t="s">
        <v>183</v>
      </c>
      <c r="D188" s="58">
        <f>(60.67+0.75*(3+2.9)+1.8*3+0.3*2.1)*10.764</f>
        <v>765.58949999999993</v>
      </c>
      <c r="E188" s="58">
        <v>0</v>
      </c>
      <c r="F188" s="58">
        <f t="shared" ref="F188" si="25">D188*(($F$136)+1)+(IF(E188&lt;101,E188,IF(E188&lt;201,E188/2,IF(E188&lt;=301,E188/3,E188/4))))</f>
        <v>1148.3842499999998</v>
      </c>
      <c r="G188" s="73"/>
      <c r="H188" s="74"/>
      <c r="I188" s="49"/>
      <c r="N188" s="49"/>
    </row>
    <row r="189" spans="1:14" s="59" customFormat="1" x14ac:dyDescent="0.25">
      <c r="A189" s="75" t="s">
        <v>211</v>
      </c>
      <c r="B189" s="75"/>
      <c r="C189" s="75"/>
      <c r="D189" s="75"/>
      <c r="E189" s="75"/>
      <c r="F189" s="75"/>
      <c r="G189" s="75"/>
      <c r="H189" s="75"/>
      <c r="I189" s="49"/>
      <c r="J189" s="59">
        <v>1</v>
      </c>
      <c r="L189" s="67"/>
      <c r="M189" s="67"/>
    </row>
    <row r="190" spans="1:14" s="59" customFormat="1" ht="15.75" customHeight="1" x14ac:dyDescent="0.25">
      <c r="A190" s="72">
        <v>1</v>
      </c>
      <c r="B190" s="72"/>
      <c r="C190" s="58" t="s">
        <v>183</v>
      </c>
      <c r="D190" s="58">
        <f>(63.16+0.75*(3+2.9)+1.8*3+0.3*2.1)*10.764</f>
        <v>792.39185999999995</v>
      </c>
      <c r="E190" s="58">
        <v>0</v>
      </c>
      <c r="F190" s="58">
        <f t="shared" ref="F190:F191" si="26">D190*(($F$136)+1)+(IF(E190&lt;101,E190,IF(E190&lt;201,E190/2,IF(E190&lt;=301,E190/3,E190/4))))</f>
        <v>1188.58779</v>
      </c>
      <c r="G190" s="68" t="str">
        <f>A189</f>
        <v>13th Floor, Kids Play Area, Society Office &amp; RG Area</v>
      </c>
      <c r="H190" s="69"/>
      <c r="I190" s="49"/>
      <c r="N190" s="49"/>
    </row>
    <row r="191" spans="1:14" s="59" customFormat="1" ht="15.75" customHeight="1" x14ac:dyDescent="0.25">
      <c r="A191" s="72">
        <v>2</v>
      </c>
      <c r="B191" s="72"/>
      <c r="C191" s="58" t="s">
        <v>183</v>
      </c>
      <c r="D191" s="58">
        <f>(64.32+0.75*(2.85+3.05)+1.8*3+0.3*2.17)*10.764</f>
        <v>805.10414399999991</v>
      </c>
      <c r="E191" s="58">
        <v>0</v>
      </c>
      <c r="F191" s="58">
        <f t="shared" si="26"/>
        <v>1207.6562159999999</v>
      </c>
      <c r="G191" s="70"/>
      <c r="H191" s="71"/>
      <c r="I191" s="49"/>
      <c r="N191" s="49"/>
    </row>
    <row r="192" spans="1:14" s="59" customFormat="1" ht="15.75" customHeight="1" x14ac:dyDescent="0.25">
      <c r="A192" s="72">
        <v>3</v>
      </c>
      <c r="B192" s="72"/>
      <c r="C192" s="58" t="s">
        <v>182</v>
      </c>
      <c r="D192" s="58">
        <f>(86+0.75*(3.36+3.35+2.91)+1.8*3.1+0.9*3.96+0.3*2.1)*10.764</f>
        <v>1108.573596</v>
      </c>
      <c r="E192" s="58">
        <v>0</v>
      </c>
      <c r="F192" s="58">
        <f>D192*(($F$136)+1)+(IF(E192&lt;101,E192,IF(E192&lt;201,E192/2,IF(E192&lt;=301,E192/3,E192/4))))</f>
        <v>1662.8603939999998</v>
      </c>
      <c r="G192" s="70"/>
      <c r="H192" s="71"/>
      <c r="M192" s="49"/>
    </row>
    <row r="193" spans="1:14" s="59" customFormat="1" ht="15.75" customHeight="1" x14ac:dyDescent="0.25">
      <c r="A193" s="72">
        <v>4</v>
      </c>
      <c r="B193" s="72"/>
      <c r="C193" s="58" t="s">
        <v>183</v>
      </c>
      <c r="D193" s="58">
        <f>(64.12+0.75*(2.9+3.07)+1.8*3+0.3*2.11)*10.764</f>
        <v>803.32270200000005</v>
      </c>
      <c r="E193" s="58">
        <v>0</v>
      </c>
      <c r="F193" s="58">
        <f t="shared" ref="F193:F194" si="27">D193*(($F$136)+1)+(IF(E193&lt;101,E193,IF(E193&lt;201,E193/2,IF(E193&lt;=301,E193/3,E193/4))))</f>
        <v>1204.9840530000001</v>
      </c>
      <c r="G193" s="70"/>
      <c r="H193" s="71"/>
      <c r="I193" s="49"/>
      <c r="N193" s="49"/>
    </row>
    <row r="194" spans="1:14" s="59" customFormat="1" ht="15.75" customHeight="1" x14ac:dyDescent="0.25">
      <c r="A194" s="72">
        <v>5</v>
      </c>
      <c r="B194" s="72"/>
      <c r="C194" s="58" t="s">
        <v>182</v>
      </c>
      <c r="D194" s="58">
        <f>(85.08+0.75*(3+2.91+3.2)+1.8*3+0.3*2.1)*10.764</f>
        <v>1054.25307</v>
      </c>
      <c r="E194" s="58">
        <v>0</v>
      </c>
      <c r="F194" s="58">
        <f t="shared" si="27"/>
        <v>1581.3796050000001</v>
      </c>
      <c r="G194" s="70"/>
      <c r="H194" s="71"/>
      <c r="I194" s="49"/>
      <c r="J194" s="59">
        <f>SUM(J137:J189)</f>
        <v>37</v>
      </c>
      <c r="N194" s="49"/>
    </row>
    <row r="195" spans="1:14" s="47" customFormat="1" x14ac:dyDescent="0.25">
      <c r="A195" s="180" t="s">
        <v>71</v>
      </c>
      <c r="B195" s="180"/>
      <c r="C195" s="180"/>
      <c r="D195" s="180"/>
      <c r="E195" s="180"/>
      <c r="F195" s="180"/>
      <c r="G195" s="180"/>
      <c r="H195" s="180"/>
    </row>
    <row r="196" spans="1:14" s="47" customFormat="1" x14ac:dyDescent="0.25">
      <c r="A196" s="24" t="s">
        <v>156</v>
      </c>
      <c r="B196" s="95" t="s">
        <v>230</v>
      </c>
      <c r="C196" s="96"/>
      <c r="D196" s="96"/>
      <c r="E196" s="96"/>
      <c r="F196" s="96"/>
      <c r="G196" s="96"/>
      <c r="H196" s="97"/>
    </row>
    <row r="197" spans="1:14" s="47" customFormat="1" x14ac:dyDescent="0.25">
      <c r="A197" s="24" t="s">
        <v>156</v>
      </c>
      <c r="B197" s="95" t="str">
        <f>(IF(F135="Saleable area Loading :","We have considered Saleable area of Flats as per our Calculation.","We considered Saleable area of Flat as per Builder area Sheet."))</f>
        <v>We have considered Saleable area of Flats as per our Calculation.</v>
      </c>
      <c r="C197" s="96"/>
      <c r="D197" s="96"/>
      <c r="E197" s="96"/>
      <c r="F197" s="96"/>
      <c r="G197" s="96"/>
      <c r="H197" s="97"/>
    </row>
    <row r="198" spans="1:14" s="47" customFormat="1" x14ac:dyDescent="0.25">
      <c r="A198" s="24" t="s">
        <v>156</v>
      </c>
      <c r="B198" s="95" t="str">
        <f>(IF(F97="Saleable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8" s="96"/>
      <c r="D198" s="96"/>
      <c r="E198" s="96"/>
      <c r="F198" s="96"/>
      <c r="G198" s="96"/>
      <c r="H198" s="97"/>
    </row>
    <row r="199" spans="1:14" s="47" customFormat="1" x14ac:dyDescent="0.25">
      <c r="A199" s="24" t="s">
        <v>156</v>
      </c>
      <c r="B199" s="81" t="s">
        <v>126</v>
      </c>
      <c r="C199" s="82"/>
      <c r="D199" s="82"/>
      <c r="E199" s="82"/>
      <c r="F199" s="82"/>
      <c r="G199" s="82"/>
      <c r="H199" s="83"/>
    </row>
    <row r="200" spans="1:14" s="47" customFormat="1" x14ac:dyDescent="0.25">
      <c r="A200" s="24" t="s">
        <v>156</v>
      </c>
      <c r="B200" s="81" t="s">
        <v>214</v>
      </c>
      <c r="C200" s="82"/>
      <c r="D200" s="82"/>
      <c r="E200" s="82"/>
      <c r="F200" s="82"/>
      <c r="G200" s="82"/>
      <c r="H200" s="83"/>
    </row>
    <row r="201" spans="1:14" s="47" customFormat="1" x14ac:dyDescent="0.25">
      <c r="A201" s="24" t="s">
        <v>156</v>
      </c>
      <c r="B201" s="81" t="s">
        <v>155</v>
      </c>
      <c r="C201" s="82"/>
      <c r="D201" s="82"/>
      <c r="E201" s="82"/>
      <c r="F201" s="82"/>
      <c r="G201" s="82"/>
      <c r="H201" s="83"/>
    </row>
    <row r="202" spans="1:14" s="47" customFormat="1" x14ac:dyDescent="0.25">
      <c r="A202" s="24" t="s">
        <v>156</v>
      </c>
      <c r="B202" s="81" t="s">
        <v>127</v>
      </c>
      <c r="C202" s="82"/>
      <c r="D202" s="82"/>
      <c r="E202" s="82"/>
      <c r="F202" s="82"/>
      <c r="G202" s="82"/>
      <c r="H202" s="83"/>
    </row>
    <row r="203" spans="1:14" s="47" customFormat="1" ht="34.5" customHeight="1" x14ac:dyDescent="0.25">
      <c r="A203" s="24" t="s">
        <v>156</v>
      </c>
      <c r="B203" s="81" t="s">
        <v>157</v>
      </c>
      <c r="C203" s="82"/>
      <c r="D203" s="82"/>
      <c r="E203" s="82"/>
      <c r="F203" s="82"/>
      <c r="G203" s="82"/>
      <c r="H203" s="83"/>
    </row>
    <row r="204" spans="1:14" s="47" customFormat="1" x14ac:dyDescent="0.25">
      <c r="A204" s="24" t="s">
        <v>156</v>
      </c>
      <c r="B204" s="81" t="s">
        <v>128</v>
      </c>
      <c r="C204" s="82"/>
      <c r="D204" s="82"/>
      <c r="E204" s="82"/>
      <c r="F204" s="82"/>
      <c r="G204" s="82"/>
      <c r="H204" s="83"/>
    </row>
    <row r="205" spans="1:14" s="47" customFormat="1" ht="36.75" customHeight="1" x14ac:dyDescent="0.25">
      <c r="A205" s="65" t="s">
        <v>156</v>
      </c>
      <c r="B205" s="177" t="s">
        <v>226</v>
      </c>
      <c r="C205" s="178"/>
      <c r="D205" s="178"/>
      <c r="E205" s="178"/>
      <c r="F205" s="178"/>
      <c r="G205" s="178"/>
      <c r="H205" s="179"/>
    </row>
    <row r="206" spans="1:14" s="47" customFormat="1" x14ac:dyDescent="0.25">
      <c r="A206" s="24" t="s">
        <v>156</v>
      </c>
      <c r="B206" s="95" t="s">
        <v>213</v>
      </c>
      <c r="C206" s="96"/>
      <c r="D206" s="96"/>
      <c r="E206" s="96"/>
      <c r="F206" s="96"/>
      <c r="G206" s="96"/>
      <c r="H206" s="97"/>
      <c r="I206" s="26"/>
    </row>
    <row r="207" spans="1:14" x14ac:dyDescent="0.25">
      <c r="A207" s="175" t="s">
        <v>64</v>
      </c>
      <c r="B207" s="175"/>
      <c r="C207" s="175"/>
      <c r="D207" s="175"/>
      <c r="E207" s="175"/>
      <c r="F207" s="175"/>
      <c r="G207" s="175"/>
      <c r="H207" s="175"/>
    </row>
    <row r="208" spans="1:14" x14ac:dyDescent="0.25">
      <c r="A208" s="66" t="s">
        <v>65</v>
      </c>
      <c r="B208" s="66"/>
      <c r="C208" s="66"/>
      <c r="D208" s="66"/>
      <c r="E208" s="66"/>
      <c r="F208" s="66"/>
      <c r="G208" s="66"/>
      <c r="H208" s="66"/>
    </row>
    <row r="209" spans="1:8" ht="15.75" customHeight="1" x14ac:dyDescent="0.25">
      <c r="A209" s="172" t="s">
        <v>66</v>
      </c>
      <c r="B209" s="172"/>
      <c r="C209" s="172"/>
      <c r="D209" s="172"/>
      <c r="E209" s="172"/>
      <c r="F209" s="172"/>
      <c r="G209" s="172"/>
      <c r="H209" s="172"/>
    </row>
    <row r="210" spans="1:8" x14ac:dyDescent="0.25">
      <c r="A210" s="66" t="s">
        <v>67</v>
      </c>
      <c r="B210" s="66"/>
      <c r="C210" s="66"/>
      <c r="D210" s="66"/>
      <c r="E210" s="66"/>
      <c r="F210" s="66"/>
      <c r="G210" s="66"/>
      <c r="H210" s="66"/>
    </row>
    <row r="211" spans="1:8" x14ac:dyDescent="0.25">
      <c r="A211" s="66" t="s">
        <v>68</v>
      </c>
      <c r="B211" s="66"/>
      <c r="C211" s="66"/>
      <c r="D211" s="66"/>
      <c r="E211" s="66"/>
      <c r="F211" s="66"/>
      <c r="G211" s="66"/>
      <c r="H211" s="66"/>
    </row>
    <row r="212" spans="1:8" x14ac:dyDescent="0.25">
      <c r="A212" s="66" t="s">
        <v>129</v>
      </c>
      <c r="B212" s="66"/>
      <c r="C212" s="66"/>
      <c r="D212" s="66"/>
      <c r="E212" s="66"/>
      <c r="F212" s="66"/>
      <c r="G212" s="66"/>
      <c r="H212" s="66"/>
    </row>
    <row r="213" spans="1:8" ht="35.25" customHeight="1" x14ac:dyDescent="0.25">
      <c r="A213" s="132" t="s">
        <v>130</v>
      </c>
      <c r="B213" s="132"/>
      <c r="C213" s="132"/>
      <c r="D213" s="132"/>
      <c r="E213" s="132"/>
      <c r="F213" s="132"/>
      <c r="G213" s="132"/>
      <c r="H213" s="132"/>
    </row>
    <row r="214" spans="1:8" x14ac:dyDescent="0.25">
      <c r="A214" s="169" t="s">
        <v>80</v>
      </c>
      <c r="B214" s="169"/>
      <c r="C214" s="169" t="s">
        <v>227</v>
      </c>
      <c r="D214" s="169"/>
      <c r="E214" s="169" t="s">
        <v>107</v>
      </c>
      <c r="F214" s="169"/>
      <c r="G214" s="169" t="s">
        <v>229</v>
      </c>
      <c r="H214" s="169"/>
    </row>
    <row r="215" spans="1:8" x14ac:dyDescent="0.25">
      <c r="A215" s="168" t="s">
        <v>82</v>
      </c>
      <c r="B215" s="168"/>
      <c r="C215" s="168"/>
      <c r="D215" s="168"/>
      <c r="E215" s="168"/>
      <c r="F215" s="168"/>
      <c r="G215" s="168"/>
      <c r="H215" s="168"/>
    </row>
    <row r="216" spans="1:8" x14ac:dyDescent="0.25">
      <c r="A216" s="168"/>
      <c r="B216" s="168"/>
      <c r="C216" s="168"/>
      <c r="D216" s="168"/>
      <c r="E216" s="168"/>
      <c r="F216" s="168"/>
      <c r="G216" s="168"/>
      <c r="H216" s="168"/>
    </row>
    <row r="217" spans="1:8" x14ac:dyDescent="0.25">
      <c r="A217" s="168"/>
      <c r="B217" s="168"/>
      <c r="C217" s="168"/>
      <c r="D217" s="168"/>
      <c r="E217" s="168"/>
      <c r="F217" s="168"/>
      <c r="G217" s="168"/>
      <c r="H217" s="168"/>
    </row>
    <row r="218" spans="1:8" x14ac:dyDescent="0.25">
      <c r="A218" s="168"/>
      <c r="B218" s="168"/>
      <c r="C218" s="168"/>
      <c r="D218" s="168"/>
      <c r="E218" s="168"/>
      <c r="F218" s="168"/>
      <c r="G218" s="168"/>
      <c r="H218" s="168"/>
    </row>
    <row r="219" spans="1:8" x14ac:dyDescent="0.25">
      <c r="A219" s="50" t="s">
        <v>69</v>
      </c>
      <c r="B219" s="51"/>
      <c r="C219" s="51"/>
      <c r="D219" s="50" t="str">
        <f>E8</f>
        <v>North Barcelona Wing D</v>
      </c>
      <c r="F219" s="51"/>
      <c r="G219" s="51"/>
      <c r="H219" s="51"/>
    </row>
    <row r="220" spans="1:8" x14ac:dyDescent="0.25">
      <c r="A220" s="51"/>
      <c r="B220" s="51"/>
      <c r="C220" s="51"/>
      <c r="D220" s="51"/>
      <c r="E220" s="51"/>
      <c r="F220" s="51"/>
      <c r="G220" s="51"/>
      <c r="H220" s="51"/>
    </row>
    <row r="221" spans="1:8" x14ac:dyDescent="0.25">
      <c r="A221" s="51"/>
      <c r="B221" s="51"/>
      <c r="C221" s="51"/>
      <c r="D221" s="51"/>
      <c r="E221" s="51"/>
      <c r="F221" s="51"/>
      <c r="G221" s="51"/>
      <c r="H221" s="51"/>
    </row>
    <row r="222" spans="1:8" ht="15" customHeight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t="65.25" hidden="1" customHeight="1" x14ac:dyDescent="0.25"/>
    <row r="270" hidden="1" x14ac:dyDescent="0.25"/>
    <row r="271" hidden="1" x14ac:dyDescent="0.25"/>
    <row r="272" hidden="1" x14ac:dyDescent="0.25"/>
    <row r="273" spans="1:1" hidden="1" x14ac:dyDescent="0.25"/>
    <row r="274" spans="1:1" hidden="1" x14ac:dyDescent="0.25"/>
    <row r="275" spans="1:1" x14ac:dyDescent="0.25">
      <c r="A275" s="53" t="s">
        <v>217</v>
      </c>
    </row>
    <row r="305" spans="1:1" hidden="1" x14ac:dyDescent="0.25"/>
    <row r="306" spans="1:1" hidden="1" x14ac:dyDescent="0.25"/>
    <row r="307" spans="1:1" hidden="1" x14ac:dyDescent="0.25"/>
    <row r="308" spans="1:1" hidden="1" x14ac:dyDescent="0.25"/>
    <row r="309" spans="1:1" hidden="1" x14ac:dyDescent="0.25"/>
    <row r="310" spans="1:1" hidden="1" x14ac:dyDescent="0.25"/>
    <row r="311" spans="1:1" hidden="1" x14ac:dyDescent="0.25"/>
    <row r="312" spans="1:1" hidden="1" x14ac:dyDescent="0.25"/>
    <row r="313" spans="1:1" hidden="1" x14ac:dyDescent="0.25"/>
    <row r="314" spans="1:1" hidden="1" x14ac:dyDescent="0.25"/>
    <row r="316" spans="1:1" x14ac:dyDescent="0.25">
      <c r="A316" s="53" t="s">
        <v>70</v>
      </c>
    </row>
  </sheetData>
  <mergeCells count="410">
    <mergeCell ref="E40:H40"/>
    <mergeCell ref="A40:D40"/>
    <mergeCell ref="A47:B47"/>
    <mergeCell ref="C47:E47"/>
    <mergeCell ref="G47:H47"/>
    <mergeCell ref="G49:H49"/>
    <mergeCell ref="D53:H53"/>
    <mergeCell ref="C49:E49"/>
    <mergeCell ref="A56:C56"/>
    <mergeCell ref="D56:H56"/>
    <mergeCell ref="C48:E48"/>
    <mergeCell ref="A51:B51"/>
    <mergeCell ref="C51:E51"/>
    <mergeCell ref="A48:B48"/>
    <mergeCell ref="A52:H52"/>
    <mergeCell ref="A53:C53"/>
    <mergeCell ref="A54:C54"/>
    <mergeCell ref="D54:H54"/>
    <mergeCell ref="G51:H51"/>
    <mergeCell ref="A208:H208"/>
    <mergeCell ref="E93:F93"/>
    <mergeCell ref="B206:H206"/>
    <mergeCell ref="A74:B74"/>
    <mergeCell ref="B204:H204"/>
    <mergeCell ref="A73:B73"/>
    <mergeCell ref="F79:H79"/>
    <mergeCell ref="G91:H91"/>
    <mergeCell ref="A192:B192"/>
    <mergeCell ref="A193:B193"/>
    <mergeCell ref="A194:B194"/>
    <mergeCell ref="C94:D94"/>
    <mergeCell ref="E94:F94"/>
    <mergeCell ref="G94:H94"/>
    <mergeCell ref="F83:H83"/>
    <mergeCell ref="A79:E79"/>
    <mergeCell ref="A101:H101"/>
    <mergeCell ref="E97:E98"/>
    <mergeCell ref="G93:H93"/>
    <mergeCell ref="A99:H99"/>
    <mergeCell ref="B205:H205"/>
    <mergeCell ref="A195:H195"/>
    <mergeCell ref="C90:D90"/>
    <mergeCell ref="F85:H85"/>
    <mergeCell ref="A215:H218"/>
    <mergeCell ref="A214:B214"/>
    <mergeCell ref="E214:F214"/>
    <mergeCell ref="C214:D214"/>
    <mergeCell ref="G214:H214"/>
    <mergeCell ref="A89:H89"/>
    <mergeCell ref="A87:E87"/>
    <mergeCell ref="F87:H87"/>
    <mergeCell ref="A88:E88"/>
    <mergeCell ref="F88:H88"/>
    <mergeCell ref="A137:H137"/>
    <mergeCell ref="A94:B94"/>
    <mergeCell ref="A190:B190"/>
    <mergeCell ref="A91:B91"/>
    <mergeCell ref="A210:H210"/>
    <mergeCell ref="A92:H92"/>
    <mergeCell ref="A212:H212"/>
    <mergeCell ref="A209:H209"/>
    <mergeCell ref="A138:B138"/>
    <mergeCell ref="A93:B93"/>
    <mergeCell ref="D135:D136"/>
    <mergeCell ref="E135:E136"/>
    <mergeCell ref="G135:H136"/>
    <mergeCell ref="A207:H207"/>
    <mergeCell ref="A213:H213"/>
    <mergeCell ref="A211:H211"/>
    <mergeCell ref="A75:B75"/>
    <mergeCell ref="A84:E84"/>
    <mergeCell ref="A78:E78"/>
    <mergeCell ref="F78:H78"/>
    <mergeCell ref="C93:D93"/>
    <mergeCell ref="G67:H67"/>
    <mergeCell ref="A96:H96"/>
    <mergeCell ref="G90:H90"/>
    <mergeCell ref="A86:E86"/>
    <mergeCell ref="C91:D91"/>
    <mergeCell ref="E91:F91"/>
    <mergeCell ref="B97:B98"/>
    <mergeCell ref="A97:A98"/>
    <mergeCell ref="A82:E82"/>
    <mergeCell ref="A83:E83"/>
    <mergeCell ref="A85:E85"/>
    <mergeCell ref="G97:H98"/>
    <mergeCell ref="E90:F90"/>
    <mergeCell ref="A95:H95"/>
    <mergeCell ref="A90:B90"/>
    <mergeCell ref="F84:H84"/>
    <mergeCell ref="A100:H100"/>
    <mergeCell ref="D58:H58"/>
    <mergeCell ref="A66:B66"/>
    <mergeCell ref="A64:B64"/>
    <mergeCell ref="C64:H64"/>
    <mergeCell ref="A72:B72"/>
    <mergeCell ref="A59:C59"/>
    <mergeCell ref="D59:H59"/>
    <mergeCell ref="C66:H66"/>
    <mergeCell ref="A69:B69"/>
    <mergeCell ref="D60:H60"/>
    <mergeCell ref="A63:C63"/>
    <mergeCell ref="D63:H63"/>
    <mergeCell ref="A61:C61"/>
    <mergeCell ref="D61:H61"/>
    <mergeCell ref="A62:C62"/>
    <mergeCell ref="D62:H62"/>
    <mergeCell ref="A68:B68"/>
    <mergeCell ref="A60:C60"/>
    <mergeCell ref="A67:B67"/>
    <mergeCell ref="A70:B70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9:D9"/>
    <mergeCell ref="E9:H9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38:H38"/>
    <mergeCell ref="C34:E34"/>
    <mergeCell ref="C36:H36"/>
    <mergeCell ref="A37:B37"/>
    <mergeCell ref="C37:H37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F31:H31"/>
    <mergeCell ref="F32:H32"/>
    <mergeCell ref="C30:E30"/>
    <mergeCell ref="F33:H33"/>
    <mergeCell ref="F34:H34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A39:D39"/>
    <mergeCell ref="E39:H39"/>
    <mergeCell ref="A71:B71"/>
    <mergeCell ref="E67:F67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D55:H55"/>
    <mergeCell ref="A55:C55"/>
    <mergeCell ref="G48:H48"/>
    <mergeCell ref="A49:B50"/>
    <mergeCell ref="A57:C57"/>
    <mergeCell ref="A58:C58"/>
    <mergeCell ref="D57:H57"/>
    <mergeCell ref="E68:F77"/>
    <mergeCell ref="G68:H77"/>
    <mergeCell ref="A76:B76"/>
    <mergeCell ref="A77:B77"/>
    <mergeCell ref="G104:H104"/>
    <mergeCell ref="G102:H102"/>
    <mergeCell ref="G108:H108"/>
    <mergeCell ref="G107:H107"/>
    <mergeCell ref="G103:H103"/>
    <mergeCell ref="G106:H106"/>
    <mergeCell ref="G105:H105"/>
    <mergeCell ref="L106:M106"/>
    <mergeCell ref="L105:M105"/>
    <mergeCell ref="L104:M104"/>
    <mergeCell ref="L103:M103"/>
    <mergeCell ref="L102:M102"/>
    <mergeCell ref="L108:M108"/>
    <mergeCell ref="L107:M107"/>
    <mergeCell ref="B196:H196"/>
    <mergeCell ref="B197:H197"/>
    <mergeCell ref="B199:H199"/>
    <mergeCell ref="B200:H200"/>
    <mergeCell ref="A134:H134"/>
    <mergeCell ref="A135:A136"/>
    <mergeCell ref="C135:C136"/>
    <mergeCell ref="A141:B141"/>
    <mergeCell ref="A142:B142"/>
    <mergeCell ref="A143:B143"/>
    <mergeCell ref="A144:B144"/>
    <mergeCell ref="A145:H145"/>
    <mergeCell ref="A150:B150"/>
    <mergeCell ref="A151:H151"/>
    <mergeCell ref="A156:B156"/>
    <mergeCell ref="A157:H157"/>
    <mergeCell ref="A162:B162"/>
    <mergeCell ref="A163:H163"/>
    <mergeCell ref="A167:B167"/>
    <mergeCell ref="A169:H169"/>
    <mergeCell ref="A189:H189"/>
    <mergeCell ref="A185:B185"/>
    <mergeCell ref="A177:B177"/>
    <mergeCell ref="A178:B178"/>
    <mergeCell ref="B203:H203"/>
    <mergeCell ref="A46:B46"/>
    <mergeCell ref="C46:H46"/>
    <mergeCell ref="B201:H201"/>
    <mergeCell ref="F80:H80"/>
    <mergeCell ref="A80:E80"/>
    <mergeCell ref="G138:H138"/>
    <mergeCell ref="D97:D98"/>
    <mergeCell ref="A81:E81"/>
    <mergeCell ref="A108:B108"/>
    <mergeCell ref="A102:B102"/>
    <mergeCell ref="A103:B103"/>
    <mergeCell ref="A104:B104"/>
    <mergeCell ref="A105:B105"/>
    <mergeCell ref="C50:H50"/>
    <mergeCell ref="A106:B106"/>
    <mergeCell ref="F81:H81"/>
    <mergeCell ref="F86:H86"/>
    <mergeCell ref="A107:B107"/>
    <mergeCell ref="A113:B113"/>
    <mergeCell ref="F82:H82"/>
    <mergeCell ref="B202:H202"/>
    <mergeCell ref="C97:C98"/>
    <mergeCell ref="B198:H198"/>
    <mergeCell ref="L112:M112"/>
    <mergeCell ref="A109:B109"/>
    <mergeCell ref="G109:H109"/>
    <mergeCell ref="G113:H113"/>
    <mergeCell ref="L113:M113"/>
    <mergeCell ref="A114:B114"/>
    <mergeCell ref="G114:H114"/>
    <mergeCell ref="L114:M114"/>
    <mergeCell ref="A115:B115"/>
    <mergeCell ref="G115:H115"/>
    <mergeCell ref="L115:M115"/>
    <mergeCell ref="L109:M109"/>
    <mergeCell ref="A110:B110"/>
    <mergeCell ref="G110:H110"/>
    <mergeCell ref="L110:M110"/>
    <mergeCell ref="A111:B111"/>
    <mergeCell ref="G111:H111"/>
    <mergeCell ref="L111:M111"/>
    <mergeCell ref="A112:B112"/>
    <mergeCell ref="G112:H112"/>
    <mergeCell ref="L116:M116"/>
    <mergeCell ref="A117:B117"/>
    <mergeCell ref="G117:H117"/>
    <mergeCell ref="L117:M117"/>
    <mergeCell ref="A118:B118"/>
    <mergeCell ref="G118:H118"/>
    <mergeCell ref="L118:M118"/>
    <mergeCell ref="A119:B119"/>
    <mergeCell ref="G119:H119"/>
    <mergeCell ref="L119:M119"/>
    <mergeCell ref="A116:B116"/>
    <mergeCell ref="G116:H116"/>
    <mergeCell ref="A120:B120"/>
    <mergeCell ref="G120:H120"/>
    <mergeCell ref="L120:M120"/>
    <mergeCell ref="A121:B121"/>
    <mergeCell ref="G121:H121"/>
    <mergeCell ref="L121:M121"/>
    <mergeCell ref="A122:B122"/>
    <mergeCell ref="G122:H122"/>
    <mergeCell ref="L122:M122"/>
    <mergeCell ref="A123:B123"/>
    <mergeCell ref="G123:H123"/>
    <mergeCell ref="L123:M123"/>
    <mergeCell ref="A124:B124"/>
    <mergeCell ref="G124:H124"/>
    <mergeCell ref="L124:M124"/>
    <mergeCell ref="A125:B125"/>
    <mergeCell ref="G125:H125"/>
    <mergeCell ref="L125:M125"/>
    <mergeCell ref="A126:B126"/>
    <mergeCell ref="G126:H126"/>
    <mergeCell ref="L126:M126"/>
    <mergeCell ref="A127:B127"/>
    <mergeCell ref="G127:H127"/>
    <mergeCell ref="L127:M127"/>
    <mergeCell ref="A128:B128"/>
    <mergeCell ref="G128:H128"/>
    <mergeCell ref="L128:M128"/>
    <mergeCell ref="A129:B129"/>
    <mergeCell ref="G129:H129"/>
    <mergeCell ref="L129:M129"/>
    <mergeCell ref="A130:B130"/>
    <mergeCell ref="G130:H130"/>
    <mergeCell ref="L130:M130"/>
    <mergeCell ref="A131:B131"/>
    <mergeCell ref="G131:H131"/>
    <mergeCell ref="L131:M131"/>
    <mergeCell ref="A132:B132"/>
    <mergeCell ref="G132:H132"/>
    <mergeCell ref="L132:M132"/>
    <mergeCell ref="L145:M145"/>
    <mergeCell ref="A146:B146"/>
    <mergeCell ref="A147:B147"/>
    <mergeCell ref="A148:B148"/>
    <mergeCell ref="A149:B149"/>
    <mergeCell ref="G146:H150"/>
    <mergeCell ref="A133:B133"/>
    <mergeCell ref="G133:H133"/>
    <mergeCell ref="L133:M133"/>
    <mergeCell ref="A139:H139"/>
    <mergeCell ref="L139:M139"/>
    <mergeCell ref="A140:B140"/>
    <mergeCell ref="L137:M137"/>
    <mergeCell ref="G140:H144"/>
    <mergeCell ref="B135:B136"/>
    <mergeCell ref="L157:M157"/>
    <mergeCell ref="A158:B158"/>
    <mergeCell ref="A159:B159"/>
    <mergeCell ref="A160:B160"/>
    <mergeCell ref="A161:B161"/>
    <mergeCell ref="L151:M151"/>
    <mergeCell ref="A152:B152"/>
    <mergeCell ref="A153:B153"/>
    <mergeCell ref="A154:B154"/>
    <mergeCell ref="A155:B155"/>
    <mergeCell ref="G152:H156"/>
    <mergeCell ref="A172:B172"/>
    <mergeCell ref="A173:B173"/>
    <mergeCell ref="A174:B174"/>
    <mergeCell ref="A168:B168"/>
    <mergeCell ref="C167:F167"/>
    <mergeCell ref="L163:M163"/>
    <mergeCell ref="A164:B164"/>
    <mergeCell ref="A165:B165"/>
    <mergeCell ref="A166:B166"/>
    <mergeCell ref="I10:L10"/>
    <mergeCell ref="L189:M189"/>
    <mergeCell ref="G190:H194"/>
    <mergeCell ref="A191:B191"/>
    <mergeCell ref="A175:B175"/>
    <mergeCell ref="A176:B176"/>
    <mergeCell ref="G170:H178"/>
    <mergeCell ref="A179:H179"/>
    <mergeCell ref="L179:M179"/>
    <mergeCell ref="A180:B180"/>
    <mergeCell ref="G180:H188"/>
    <mergeCell ref="A181:B181"/>
    <mergeCell ref="C183:F183"/>
    <mergeCell ref="L169:M169"/>
    <mergeCell ref="A170:B170"/>
    <mergeCell ref="A171:B171"/>
    <mergeCell ref="G158:H162"/>
    <mergeCell ref="G164:H168"/>
    <mergeCell ref="A186:B186"/>
    <mergeCell ref="A187:B187"/>
    <mergeCell ref="A188:B188"/>
    <mergeCell ref="A182:B182"/>
    <mergeCell ref="A183:B183"/>
    <mergeCell ref="A184:B184"/>
  </mergeCells>
  <hyperlinks>
    <hyperlink ref="C37" r:id="rId1"/>
  </hyperlinks>
  <printOptions horizontalCentered="1"/>
  <pageMargins left="0.39370078740157483" right="0.39370078740157483" top="0.78740157480314965" bottom="0.78740157480314965" header="0.19685039370078741" footer="0.19685039370078741"/>
  <pageSetup paperSize="2" scale="95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77" max="16383" man="1"/>
    <brk id="206" max="7" man="1"/>
    <brk id="218" max="16383" man="1"/>
    <brk id="274" max="16383" man="1"/>
    <brk id="31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4" zoomScale="85" zoomScaleNormal="85" workbookViewId="0">
      <selection activeCell="H9" sqref="H9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86" t="s">
        <v>108</v>
      </c>
      <c r="C3" s="186"/>
      <c r="D3" s="186"/>
      <c r="E3" s="186"/>
      <c r="F3" s="186"/>
      <c r="G3" s="186"/>
      <c r="H3" s="186"/>
    </row>
    <row r="4" spans="1:9" x14ac:dyDescent="0.25">
      <c r="A4" s="2"/>
      <c r="B4" s="3" t="s">
        <v>109</v>
      </c>
      <c r="C4" s="3" t="s">
        <v>110</v>
      </c>
      <c r="D4" s="3" t="s">
        <v>72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25">
      <c r="A5" s="2"/>
      <c r="B5" s="5" t="s">
        <v>113</v>
      </c>
      <c r="C5" s="6"/>
      <c r="D5" s="20" t="s">
        <v>183</v>
      </c>
      <c r="E5" s="5">
        <v>822</v>
      </c>
      <c r="F5" s="7">
        <f>E5*1.55</f>
        <v>1274.1000000000001</v>
      </c>
      <c r="G5" s="7">
        <f>H5/F5</f>
        <v>6035.6329958402002</v>
      </c>
      <c r="H5" s="8">
        <v>7690000</v>
      </c>
    </row>
    <row r="6" spans="1:9" x14ac:dyDescent="0.25">
      <c r="A6" s="2"/>
      <c r="B6" s="5"/>
      <c r="C6" s="9"/>
      <c r="D6" s="20" t="s">
        <v>182</v>
      </c>
      <c r="E6" s="5">
        <v>1124</v>
      </c>
      <c r="F6" s="7">
        <f>E6*1.55</f>
        <v>1742.2</v>
      </c>
      <c r="G6" s="7">
        <f t="shared" ref="G6:G11" si="0">H6/F6</f>
        <v>7499.5287567443456</v>
      </c>
      <c r="H6" s="8">
        <v>13065679</v>
      </c>
    </row>
    <row r="7" spans="1:9" ht="15" customHeight="1" x14ac:dyDescent="0.25">
      <c r="A7" s="2"/>
      <c r="B7" s="20" t="s">
        <v>191</v>
      </c>
      <c r="C7" s="6"/>
      <c r="D7" s="20" t="s">
        <v>183</v>
      </c>
      <c r="E7" s="5">
        <v>822</v>
      </c>
      <c r="F7" s="7">
        <f>E7*1.55</f>
        <v>1274.1000000000001</v>
      </c>
      <c r="G7" s="7">
        <f t="shared" si="0"/>
        <v>6828.349423122203</v>
      </c>
      <c r="H7" s="8">
        <v>8700000</v>
      </c>
    </row>
    <row r="8" spans="1:9" x14ac:dyDescent="0.25">
      <c r="A8" s="2"/>
      <c r="B8" s="5" t="s">
        <v>113</v>
      </c>
      <c r="C8" s="9"/>
      <c r="D8" s="20" t="s">
        <v>182</v>
      </c>
      <c r="E8" s="5">
        <v>1124</v>
      </c>
      <c r="F8" s="7">
        <f>E8*1.55</f>
        <v>1742.2</v>
      </c>
      <c r="G8" s="7">
        <f t="shared" si="0"/>
        <v>7748.8233268281483</v>
      </c>
      <c r="H8" s="8">
        <v>13500000</v>
      </c>
    </row>
    <row r="9" spans="1:9" ht="15" customHeight="1" x14ac:dyDescent="0.25">
      <c r="A9" s="2"/>
      <c r="B9" s="5" t="s">
        <v>113</v>
      </c>
      <c r="C9" s="9"/>
      <c r="D9" s="5"/>
      <c r="E9" s="5"/>
      <c r="F9" s="7">
        <f t="shared" ref="F9:F11" si="1">E9*1.6</f>
        <v>0</v>
      </c>
      <c r="G9" s="7" t="e">
        <f t="shared" si="0"/>
        <v>#DIV/0!</v>
      </c>
      <c r="H9" s="8"/>
    </row>
    <row r="10" spans="1:9" ht="15" customHeight="1" x14ac:dyDescent="0.25">
      <c r="A10" s="2"/>
      <c r="B10" s="5" t="s">
        <v>114</v>
      </c>
      <c r="C10" s="6"/>
      <c r="D10" s="5"/>
      <c r="E10" s="5"/>
      <c r="F10" s="7">
        <f t="shared" si="1"/>
        <v>0</v>
      </c>
      <c r="G10" s="7" t="e">
        <f t="shared" si="0"/>
        <v>#DIV/0!</v>
      </c>
      <c r="H10" s="8"/>
    </row>
    <row r="11" spans="1:9" ht="15" customHeight="1" x14ac:dyDescent="0.25">
      <c r="A11" s="2"/>
      <c r="B11" s="5" t="s">
        <v>114</v>
      </c>
      <c r="C11" s="6"/>
      <c r="D11" s="5"/>
      <c r="E11" s="5"/>
      <c r="F11" s="7">
        <f t="shared" si="1"/>
        <v>0</v>
      </c>
      <c r="G11" s="7" t="e">
        <f t="shared" si="0"/>
        <v>#DIV/0!</v>
      </c>
      <c r="H11" s="8"/>
    </row>
    <row r="12" spans="1:9" ht="15" customHeight="1" x14ac:dyDescent="0.25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16" sqref="G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2025-09-15T07:23:00Z</cp:lastPrinted>
  <dcterms:created xsi:type="dcterms:W3CDTF">2019-07-16T09:29:46Z</dcterms:created>
  <dcterms:modified xsi:type="dcterms:W3CDTF">2025-09-15T07:25:30Z</dcterms:modified>
</cp:coreProperties>
</file>