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6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155" i="1" l="1"/>
  <c r="D155" i="1"/>
  <c r="F155" i="1" s="1"/>
  <c r="E164" i="1"/>
  <c r="D164" i="1"/>
  <c r="F164" i="1" s="1"/>
  <c r="E163" i="1"/>
  <c r="D163" i="1"/>
  <c r="E162" i="1"/>
  <c r="D162" i="1"/>
  <c r="E161" i="1"/>
  <c r="D161" i="1"/>
  <c r="F161" i="1" s="1"/>
  <c r="E160" i="1"/>
  <c r="D160" i="1"/>
  <c r="F160" i="1" s="1"/>
  <c r="E159" i="1"/>
  <c r="D159" i="1"/>
  <c r="E158" i="1"/>
  <c r="D158" i="1"/>
  <c r="E157" i="1"/>
  <c r="D157" i="1"/>
  <c r="F157" i="1" s="1"/>
  <c r="E154" i="1"/>
  <c r="D154" i="1"/>
  <c r="F154" i="1" s="1"/>
  <c r="E153" i="1"/>
  <c r="D153" i="1"/>
  <c r="E152" i="1"/>
  <c r="D152" i="1"/>
  <c r="E151" i="1"/>
  <c r="D151" i="1"/>
  <c r="F151" i="1" s="1"/>
  <c r="E150" i="1"/>
  <c r="D150" i="1"/>
  <c r="F150" i="1" s="1"/>
  <c r="E149" i="1"/>
  <c r="D149" i="1"/>
  <c r="E148" i="1"/>
  <c r="D148" i="1"/>
  <c r="F148" i="1" s="1"/>
  <c r="E146" i="1"/>
  <c r="D146" i="1"/>
  <c r="E145" i="1"/>
  <c r="D145" i="1"/>
  <c r="F145" i="1" s="1"/>
  <c r="E144" i="1"/>
  <c r="D144" i="1"/>
  <c r="E143" i="1"/>
  <c r="D143" i="1"/>
  <c r="F143" i="1" s="1"/>
  <c r="E142" i="1"/>
  <c r="D142" i="1"/>
  <c r="F142" i="1" s="1"/>
  <c r="E141" i="1"/>
  <c r="D141" i="1"/>
  <c r="E140" i="1"/>
  <c r="D140" i="1"/>
  <c r="E139" i="1"/>
  <c r="D139" i="1"/>
  <c r="F139" i="1" s="1"/>
  <c r="E137" i="1"/>
  <c r="D137" i="1"/>
  <c r="E136" i="1"/>
  <c r="D136" i="1"/>
  <c r="E135" i="1"/>
  <c r="D135" i="1"/>
  <c r="E134" i="1"/>
  <c r="D134" i="1"/>
  <c r="E133" i="1"/>
  <c r="D133" i="1"/>
  <c r="E132" i="1"/>
  <c r="D132" i="1"/>
  <c r="F132" i="1" s="1"/>
  <c r="E131" i="1"/>
  <c r="D131" i="1"/>
  <c r="E130" i="1"/>
  <c r="D130" i="1"/>
  <c r="E127" i="1"/>
  <c r="D127" i="1"/>
  <c r="F127" i="1" s="1"/>
  <c r="E126" i="1"/>
  <c r="D126" i="1"/>
  <c r="E125" i="1"/>
  <c r="D125" i="1"/>
  <c r="E124" i="1"/>
  <c r="D124" i="1"/>
  <c r="F124" i="1" s="1"/>
  <c r="E122" i="1"/>
  <c r="D122" i="1"/>
  <c r="E121" i="1"/>
  <c r="D121" i="1"/>
  <c r="E120" i="1"/>
  <c r="D120" i="1"/>
  <c r="E119" i="1"/>
  <c r="D119" i="1"/>
  <c r="E117" i="1"/>
  <c r="D117" i="1"/>
  <c r="F117" i="1" s="1"/>
  <c r="E116" i="1"/>
  <c r="D116" i="1"/>
  <c r="E115" i="1"/>
  <c r="D115" i="1"/>
  <c r="E114" i="1"/>
  <c r="D114" i="1"/>
  <c r="E112" i="1"/>
  <c r="D112" i="1"/>
  <c r="F112" i="1" s="1"/>
  <c r="E111" i="1"/>
  <c r="D111" i="1"/>
  <c r="F111" i="1" s="1"/>
  <c r="E110" i="1"/>
  <c r="D110" i="1"/>
  <c r="E109" i="1"/>
  <c r="D109" i="1"/>
  <c r="F109" i="1" s="1"/>
  <c r="E107" i="1"/>
  <c r="D107" i="1"/>
  <c r="E106" i="1"/>
  <c r="D106" i="1"/>
  <c r="E105" i="1"/>
  <c r="D105" i="1"/>
  <c r="A158" i="1"/>
  <c r="A159" i="1" s="1"/>
  <c r="A160" i="1" s="1"/>
  <c r="A161" i="1" s="1"/>
  <c r="A162" i="1" s="1"/>
  <c r="A163" i="1" s="1"/>
  <c r="A164" i="1" s="1"/>
  <c r="G157" i="1"/>
  <c r="A149" i="1"/>
  <c r="A150" i="1" s="1"/>
  <c r="A151" i="1" s="1"/>
  <c r="A152" i="1" s="1"/>
  <c r="A153" i="1" s="1"/>
  <c r="A154" i="1" s="1"/>
  <c r="A155" i="1" s="1"/>
  <c r="G148" i="1"/>
  <c r="A140" i="1"/>
  <c r="A141" i="1" s="1"/>
  <c r="A142" i="1" s="1"/>
  <c r="A143" i="1" s="1"/>
  <c r="A144" i="1" s="1"/>
  <c r="A145" i="1" s="1"/>
  <c r="A146" i="1" s="1"/>
  <c r="G139" i="1"/>
  <c r="A131" i="1"/>
  <c r="A132" i="1" s="1"/>
  <c r="A133" i="1" s="1"/>
  <c r="A134" i="1" s="1"/>
  <c r="A135" i="1" s="1"/>
  <c r="A136" i="1" s="1"/>
  <c r="A137" i="1" s="1"/>
  <c r="G130" i="1"/>
  <c r="A125" i="1"/>
  <c r="A126" i="1" s="1"/>
  <c r="A127" i="1" s="1"/>
  <c r="G124" i="1"/>
  <c r="A120" i="1"/>
  <c r="A121" i="1" s="1"/>
  <c r="A122" i="1" s="1"/>
  <c r="G119" i="1"/>
  <c r="A115" i="1"/>
  <c r="A116" i="1" s="1"/>
  <c r="A117" i="1" s="1"/>
  <c r="G114" i="1"/>
  <c r="A110" i="1"/>
  <c r="A111" i="1" s="1"/>
  <c r="A112" i="1" s="1"/>
  <c r="G109" i="1"/>
  <c r="F153" i="1" l="1"/>
  <c r="F152" i="1"/>
  <c r="F162" i="1"/>
  <c r="C96" i="1"/>
  <c r="C97" i="1" s="1"/>
  <c r="F110" i="1"/>
  <c r="F115" i="1"/>
  <c r="F125" i="1"/>
  <c r="F144" i="1"/>
  <c r="F149" i="1"/>
  <c r="F159" i="1"/>
  <c r="F163" i="1"/>
  <c r="E96" i="1"/>
  <c r="E97" i="1" s="1"/>
  <c r="F158" i="1"/>
  <c r="F133" i="1"/>
  <c r="F146" i="1"/>
  <c r="F131" i="1"/>
  <c r="F114" i="1"/>
  <c r="F134" i="1"/>
  <c r="F140" i="1"/>
  <c r="F119" i="1"/>
  <c r="F126" i="1"/>
  <c r="F130" i="1"/>
  <c r="F137" i="1"/>
  <c r="F141" i="1"/>
  <c r="F116" i="1"/>
  <c r="F120" i="1"/>
  <c r="F122" i="1"/>
  <c r="F121" i="1"/>
  <c r="F136" i="1"/>
  <c r="F135" i="1"/>
  <c r="F105" i="1" l="1"/>
  <c r="E44" i="1" l="1"/>
  <c r="C15" i="1" l="1"/>
  <c r="E30" i="1" l="1"/>
  <c r="F106" i="1" l="1"/>
  <c r="F107" i="1"/>
  <c r="A106" i="1"/>
  <c r="A107" i="1" s="1"/>
  <c r="G105" i="1"/>
  <c r="G96" i="1" l="1"/>
  <c r="G97" i="1" s="1"/>
  <c r="F93" i="1"/>
  <c r="B167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7" i="1"/>
  <c r="C66" i="1"/>
  <c r="B67" i="1" s="1"/>
  <c r="D55" i="1"/>
  <c r="G50" i="1"/>
  <c r="C50" i="1"/>
  <c r="E27" i="1"/>
  <c r="E25" i="1"/>
  <c r="E7" i="1"/>
  <c r="E3" i="1"/>
  <c r="D60" i="1" l="1"/>
  <c r="H67" i="1"/>
  <c r="J72" i="1" l="1"/>
  <c r="J73" i="1" s="1"/>
  <c r="J78" i="1" s="1"/>
  <c r="D79" i="1"/>
  <c r="D76" i="1"/>
  <c r="D75" i="1"/>
  <c r="D73" i="1"/>
  <c r="J66" i="1"/>
  <c r="J68" i="1" s="1"/>
  <c r="D77" i="1"/>
  <c r="D74" i="1"/>
  <c r="D78" i="1"/>
  <c r="J70" i="1"/>
  <c r="J71" i="1"/>
  <c r="C70" i="1" s="1"/>
  <c r="D70" i="1" s="1"/>
  <c r="J69" i="1"/>
  <c r="J74" i="1"/>
  <c r="J75" i="1" s="1"/>
  <c r="J76" i="1" s="1"/>
  <c r="J77" i="1" s="1"/>
  <c r="D72" i="1"/>
  <c r="J79" i="1" l="1"/>
  <c r="G70" i="1" s="1"/>
  <c r="D64" i="1" s="1"/>
  <c r="D65" i="1" s="1"/>
  <c r="J67" i="1" l="1"/>
  <c r="D71" i="1"/>
  <c r="I67" i="1" s="1"/>
  <c r="I68" i="1" s="1"/>
  <c r="E70" i="1"/>
  <c r="F65" i="1"/>
  <c r="I66" i="1" l="1"/>
  <c r="C68" i="1" s="1"/>
</calcChain>
</file>

<file path=xl/sharedStrings.xml><?xml version="1.0" encoding="utf-8"?>
<sst xmlns="http://schemas.openxmlformats.org/spreadsheetml/2006/main" count="309" uniqueCount="227">
  <si>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</si>
  <si>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</si>
  <si>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</si>
  <si>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</si>
  <si>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</si>
  <si>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</si>
  <si>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</si>
  <si>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</si>
  <si>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</si>
  <si>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</si>
  <si>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</si>
  <si>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</si>
  <si>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</si>
  <si>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</si>
  <si>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</si>
  <si>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</si>
  <si>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</si>
  <si>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</si>
  <si>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</si>
  <si>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</si>
  <si>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</si>
  <si>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</si>
  <si>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</si>
  <si>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</si>
  <si>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</si>
  <si>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</si>
  <si>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</si>
  <si>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</si>
  <si>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</si>
  <si>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</si>
  <si>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</si>
  <si>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</si>
  <si>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</si>
  <si>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</si>
  <si>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</si>
  <si>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</si>
  <si>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</si>
  <si>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</si>
  <si>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</si>
  <si>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</si>
  <si>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</si>
  <si>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</si>
  <si>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</si>
  <si>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</si>
  <si>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</si>
  <si>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</si>
  <si>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</si>
  <si>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</si>
  <si>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</si>
  <si>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</si>
  <si>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</si>
  <si>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</si>
  <si>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</si>
  <si>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</si>
  <si>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</si>
  <si>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</si>
  <si>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</si>
  <si>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</si>
  <si>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</si>
  <si>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</si>
  <si>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</si>
  <si>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</si>
  <si>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</si>
  <si>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</si>
  <si>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</si>
  <si>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</si>
  <si>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</si>
  <si>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</si>
  <si>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</si>
  <si>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</si>
  <si>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</si>
  <si>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</si>
  <si>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</si>
  <si>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</si>
  <si>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</si>
  <si>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</si>
  <si>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</si>
  <si>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</si>
  <si>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</si>
  <si>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</si>
  <si>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</si>
  <si>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</si>
  <si>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</si>
  <si>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</si>
  <si>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</si>
  <si>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</si>
  <si>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</si>
  <si>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</si>
  <si>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</si>
  <si>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</si>
  <si>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</si>
  <si>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</si>
  <si>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</si>
  <si>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</si>
  <si>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</si>
  <si>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</si>
  <si>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</si>
  <si>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</si>
  <si>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</si>
  <si>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</si>
  <si>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</si>
  <si>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</si>
  <si>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</si>
  <si>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</si>
  <si>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</si>
  <si>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</si>
  <si>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</si>
  <si>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</si>
  <si>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</si>
  <si>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</si>
  <si>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</si>
  <si>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</si>
  <si>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</si>
  <si>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</si>
  <si>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</si>
  <si>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</si>
  <si>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</si>
  <si>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</si>
  <si>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</si>
  <si>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</si>
  <si>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</si>
  <si>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</si>
  <si>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</si>
  <si>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</si>
  <si>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</si>
  <si>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</si>
  <si>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</si>
  <si>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</si>
  <si>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</si>
  <si>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</si>
  <si>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</si>
  <si>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</si>
  <si>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</si>
  <si>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</si>
  <si>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</si>
  <si>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</si>
  <si>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</si>
  <si>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</si>
  <si>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</si>
  <si>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</si>
  <si>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</si>
  <si>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</si>
  <si>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</si>
  <si>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</si>
  <si>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</si>
  <si>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</si>
  <si>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</si>
  <si>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</si>
  <si>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</si>
  <si>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</si>
  <si>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</si>
  <si>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</si>
  <si>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</si>
  <si>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</si>
  <si>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</si>
  <si>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</si>
  <si>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</si>
  <si>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</si>
  <si>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</si>
  <si>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</si>
  <si>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</si>
  <si>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Latitude, Longitude</t>
  </si>
  <si>
    <t>Provided Contact Details (Name &amp; Contact No.)</t>
  </si>
  <si>
    <t>Site Person - Contact Details (Name &amp; Contact No.)</t>
  </si>
  <si>
    <t>Axis Thane</t>
  </si>
  <si>
    <t>Adhiraj Constructions Private Limited</t>
  </si>
  <si>
    <t>Adhiraj Capital City Tower Mizani</t>
  </si>
  <si>
    <t>Mr. Sanjay Kale - 8108755556</t>
  </si>
  <si>
    <t>Mr. Sumit - 8108755556</t>
  </si>
  <si>
    <t>Tower Mizani (T2)</t>
  </si>
  <si>
    <t>P52000048649</t>
  </si>
  <si>
    <t>https://goo.gl/maps/3r7jApPvgHt6cKzb6?coh=178572&amp;entry=tt</t>
  </si>
  <si>
    <t>19.0818989, 73.0795128</t>
  </si>
  <si>
    <t>Panvel Municipal Corporation</t>
  </si>
  <si>
    <t>PMC/BP/1977/2019</t>
  </si>
  <si>
    <t>Survey No</t>
  </si>
  <si>
    <t>64/2, 66/2, 99/2, 67/1, 67/2/1, 67/2/2, 67/4, 68/1A, 68/1B, 68/2, 68/4, 69/0, 70/1, 70/2, 71/2, 71/3, 71/4, 90/0,89/1, 89/2, 91/3, 86/1, 86/2, 88/0, 72/1A, 72/1B, 72/3, 76/2/1, 76/2/2, 77/1, 76/1, 76/2, 79/3</t>
  </si>
  <si>
    <t>Rohinjan</t>
  </si>
  <si>
    <t>Raigad</t>
  </si>
  <si>
    <t>Panvel</t>
  </si>
  <si>
    <t>Kharghar</t>
  </si>
  <si>
    <t>Internal Road</t>
  </si>
  <si>
    <t>Arihant Clan Aalishan</t>
  </si>
  <si>
    <t>Open Plot</t>
  </si>
  <si>
    <t>Swapnapurti CHS</t>
  </si>
  <si>
    <t>2.2 KM from Taloja Railway Station</t>
  </si>
  <si>
    <t>PMP/NRV/1977</t>
  </si>
  <si>
    <t>Commencement-CC No</t>
  </si>
  <si>
    <t>Valid Up to: Tower 2 = Gr/Stilt + 1st to 4th Podium + 5th to 47th Floor</t>
  </si>
  <si>
    <t>As per RERA - 31/12/2028</t>
  </si>
  <si>
    <t>Tower Mizani - T2 = Gr/Stilt + 1st to 4th Podium + 5th to 47th Floor</t>
  </si>
  <si>
    <t>Tower Mizani -T2</t>
  </si>
  <si>
    <t>Ground Floor for Parking</t>
  </si>
  <si>
    <t>1st Odd Floor for Parking &amp; Residential</t>
  </si>
  <si>
    <t>2BHK</t>
  </si>
  <si>
    <t>1BHK</t>
  </si>
  <si>
    <t>2nd Even Floor</t>
  </si>
  <si>
    <t>1.5BHK</t>
  </si>
  <si>
    <t>3rd Odd Floor</t>
  </si>
  <si>
    <t>4th Even Floor</t>
  </si>
  <si>
    <t>5th Odd Floor</t>
  </si>
  <si>
    <t>Fire Check Floor</t>
  </si>
  <si>
    <t>6th, 8th, 10th, 12th, 14th, 16th, 18th, 20th, 22nd Floor</t>
  </si>
  <si>
    <t>7th, 9th, 11th, 13th, 15th, 17th, 19th, 21st, 23rd Floor</t>
  </si>
  <si>
    <t>24th, 26th, 28th, 30th, 32nd, 34th, 36th, 38th, 40th, 42nd, 44th, 46th Floor</t>
  </si>
  <si>
    <t>25th, 27th, 29th, 31st, 33rd, 35th, 37th, 39th, 41st, 43rd, 45th, 47th Floor</t>
  </si>
  <si>
    <t>We considered Gross carpet area = Net carpet + Enclose balcony + C.B. Area</t>
  </si>
  <si>
    <t>Flats</t>
  </si>
  <si>
    <t>Flats - 355</t>
  </si>
  <si>
    <t>Kids Fun Area, Multipurpose Turf, Fitness centre, Board Games Area, Party Halls, Hangout Gazebos, Jogging Track, Pargola Seating, Meditation Area, Senior Citizen Seating.</t>
  </si>
  <si>
    <t>Approved Plans, CC, Sale Plans, Cost Sheet</t>
  </si>
  <si>
    <t>Rs. 30/- 2nd floor</t>
  </si>
  <si>
    <t>Society Formation Charge</t>
  </si>
  <si>
    <t>Club Membership Charges</t>
  </si>
  <si>
    <t>Development charges</t>
  </si>
  <si>
    <t>Corpus fund for common infrastructure &amp; maintenance</t>
  </si>
  <si>
    <t>Electric Meter &amp; Installation</t>
  </si>
  <si>
    <t>Legal charges</t>
  </si>
  <si>
    <t>Maintenance for 2 years</t>
  </si>
  <si>
    <t>Name of the Project as per RERA</t>
  </si>
  <si>
    <t>Adhiraj Samyama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</si>
  <si>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</si>
  <si>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Sunil Peravi</t>
  </si>
  <si>
    <t>Since the project has received first CC on 27/09/2019, But construction work of 1A, 1B, 3B &amp; Tower Mizani (T2) is not yet Completed.  Please provide revised approved CC for 1A, 1B, 3B &amp; Tower Mizani (T2).</t>
  </si>
  <si>
    <t>Pranita Mhatre</t>
  </si>
  <si>
    <t xml:space="preserve">Construction work is stopped, work is same as last Visit (dtd. 05/05/2023). </t>
  </si>
  <si>
    <t>Since the project has received first CC on 27/09/2019, But construction work of Tower Mizani (T2) is not yet Completed. Please provide revised approved CC.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</si>
</sst>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rgb="FF27272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0" xfId="0" applyFont="1"/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right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580153</xdr:colOff>
      <xdr:row>290</xdr:row>
      <xdr:rowOff>145865</xdr:rowOff>
    </xdr:from>
    <xdr:to>
      <xdr:col>7</xdr:col>
      <xdr:colOff>255130</xdr:colOff>
      <xdr:row>310</xdr:row>
      <xdr:rowOff>128050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0153" y="66690979"/>
          <a:ext cx="5364000" cy="396536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540901</xdr:colOff>
      <xdr:row>269</xdr:row>
      <xdr:rowOff>77931</xdr:rowOff>
    </xdr:from>
    <xdr:to>
      <xdr:col>7</xdr:col>
      <xdr:colOff>355212</xdr:colOff>
      <xdr:row>290</xdr:row>
      <xdr:rowOff>27324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0901" y="62440704"/>
          <a:ext cx="5503334" cy="413173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304800</xdr:colOff>
      <xdr:row>230</xdr:row>
      <xdr:rowOff>57150</xdr:rowOff>
    </xdr:from>
    <xdr:to>
      <xdr:col>6</xdr:col>
      <xdr:colOff>476854</xdr:colOff>
      <xdr:row>255</xdr:row>
      <xdr:rowOff>95953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6800" y="48891825"/>
          <a:ext cx="4324954" cy="503942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11</xdr:col>
      <xdr:colOff>605518</xdr:colOff>
      <xdr:row>188</xdr:row>
      <xdr:rowOff>44223</xdr:rowOff>
    </xdr:from>
    <xdr:to>
      <xdr:col>19</xdr:col>
      <xdr:colOff>159204</xdr:colOff>
      <xdr:row>220</xdr:row>
      <xdr:rowOff>82609</xdr:rowOff>
    </xdr:to>
    <xdr:grpSp>
      <xdr:nvGrpSpPr>
        <xdr:cNvPr id="5" name="Group 4"/>
        <xdr:cNvGrpSpPr/>
      </xdr:nvGrpSpPr>
      <xdr:grpSpPr>
        <a:xfrm>
          <a:off x="9771930" y="40609517"/>
          <a:ext cx="5156627" cy="6481768"/>
          <a:chOff x="742950" y="40400287"/>
          <a:chExt cx="5181600" cy="6425579"/>
        </a:xfrm>
      </xdr:grpSpPr>
      <xdr:pic>
        <xdr:nvPicPr>
          <xdr:cNvPr id="12" name="Picture 11" descr="https://vsjcllp.vsjadon.com/upload/insp-236351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86225" y="44367449"/>
            <a:ext cx="1838325" cy="245365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 descr="https://vsjcllp.vsjadon.com/upload/insp-236351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42950" y="44372211"/>
            <a:ext cx="3268511" cy="245365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 descr="https://vsjcllp.vsjadon.com/upload/insp-236351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42950" y="40400287"/>
            <a:ext cx="5170459" cy="38814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392206</xdr:colOff>
      <xdr:row>187</xdr:row>
      <xdr:rowOff>123264</xdr:rowOff>
    </xdr:from>
    <xdr:to>
      <xdr:col>7</xdr:col>
      <xdr:colOff>190500</xdr:colOff>
      <xdr:row>228</xdr:row>
      <xdr:rowOff>44823</xdr:rowOff>
    </xdr:to>
    <xdr:grpSp>
      <xdr:nvGrpSpPr>
        <xdr:cNvPr id="9" name="Group 8"/>
        <xdr:cNvGrpSpPr/>
      </xdr:nvGrpSpPr>
      <xdr:grpSpPr>
        <a:xfrm>
          <a:off x="392206" y="40486852"/>
          <a:ext cx="5502088" cy="8180295"/>
          <a:chOff x="355619" y="0"/>
          <a:chExt cx="5539372" cy="8913696"/>
        </a:xfrm>
      </xdr:grpSpPr>
      <xdr:pic>
        <xdr:nvPicPr>
          <xdr:cNvPr id="10" name="Picture 9" descr="https://vsjcllp.vsjadon.com/upload/insp-246806-91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8991" y="4313010"/>
            <a:ext cx="3770823" cy="283073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 descr="https://vsjcllp.vsjadon.com/upload/insp-246806-91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5619" y="0"/>
            <a:ext cx="5539372" cy="415838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 descr="https://vsjcllp.vsjadon.com/upload/insp-246806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95827" y="7288854"/>
            <a:ext cx="1217362" cy="162484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 descr="https://vsjcllp.vsjadon.com/upload/insp-246806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7317" y="7279329"/>
            <a:ext cx="1217362" cy="162484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3r7jApPvgHt6cKzb6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69"/>
  <sheetViews>
    <sheetView tabSelected="1" view="pageBreakPreview" topLeftCell="A161" zoomScale="85" zoomScaleNormal="100" zoomScaleSheetLayoutView="85" workbookViewId="0">
      <selection activeCell="K178" sqref="K178"/>
    </sheetView>
  </sheetViews>
  <sheetFormatPr defaultColWidth="9.140625" defaultRowHeight="15.75" x14ac:dyDescent="0.25"/>
  <cols>
    <col min="1" max="1" width="11.42578125" style="38" customWidth="1"/>
    <col min="2" max="2" width="12" style="38" customWidth="1"/>
    <col min="3" max="3" width="12.7109375" style="38" customWidth="1"/>
    <col min="4" max="4" width="14.140625" style="38" customWidth="1"/>
    <col min="5" max="7" width="11.7109375" style="38" customWidth="1"/>
    <col min="8" max="8" width="12.42578125" style="38" customWidth="1"/>
    <col min="9" max="9" width="17.42578125" style="19" customWidth="1"/>
    <col min="10" max="10" width="11.42578125" style="19" customWidth="1"/>
    <col min="11" max="11" width="10.570312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7109375" style="19" customWidth="1"/>
    <col min="17" max="247" width="9.140625" style="19"/>
    <col min="248" max="248" width="8.7109375" style="19" customWidth="1"/>
    <col min="249" max="249" width="9.855468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7109375" style="19" customWidth="1"/>
    <col min="505" max="505" width="9.855468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7109375" style="19" customWidth="1"/>
    <col min="761" max="761" width="9.855468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7109375" style="19" customWidth="1"/>
    <col min="1017" max="1017" width="9.855468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7109375" style="19" customWidth="1"/>
    <col min="1273" max="1273" width="9.855468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7109375" style="19" customWidth="1"/>
    <col min="1529" max="1529" width="9.855468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7109375" style="19" customWidth="1"/>
    <col min="1785" max="1785" width="9.855468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7109375" style="19" customWidth="1"/>
    <col min="2041" max="2041" width="9.855468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7109375" style="19" customWidth="1"/>
    <col min="2297" max="2297" width="9.855468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7109375" style="19" customWidth="1"/>
    <col min="2553" max="2553" width="9.855468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7109375" style="19" customWidth="1"/>
    <col min="2809" max="2809" width="9.855468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7109375" style="19" customWidth="1"/>
    <col min="3065" max="3065" width="9.855468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7109375" style="19" customWidth="1"/>
    <col min="3321" max="3321" width="9.855468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7109375" style="19" customWidth="1"/>
    <col min="3577" max="3577" width="9.855468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7109375" style="19" customWidth="1"/>
    <col min="3833" max="3833" width="9.855468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7109375" style="19" customWidth="1"/>
    <col min="4089" max="4089" width="9.855468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7109375" style="19" customWidth="1"/>
    <col min="4345" max="4345" width="9.855468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7109375" style="19" customWidth="1"/>
    <col min="4601" max="4601" width="9.855468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7109375" style="19" customWidth="1"/>
    <col min="4857" max="4857" width="9.855468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7109375" style="19" customWidth="1"/>
    <col min="5113" max="5113" width="9.855468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7109375" style="19" customWidth="1"/>
    <col min="5369" max="5369" width="9.855468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7109375" style="19" customWidth="1"/>
    <col min="5625" max="5625" width="9.855468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7109375" style="19" customWidth="1"/>
    <col min="5881" max="5881" width="9.855468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7109375" style="19" customWidth="1"/>
    <col min="6137" max="6137" width="9.855468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7109375" style="19" customWidth="1"/>
    <col min="6393" max="6393" width="9.855468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7109375" style="19" customWidth="1"/>
    <col min="6649" max="6649" width="9.855468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7109375" style="19" customWidth="1"/>
    <col min="6905" max="6905" width="9.855468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7109375" style="19" customWidth="1"/>
    <col min="7161" max="7161" width="9.855468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7109375" style="19" customWidth="1"/>
    <col min="7417" max="7417" width="9.855468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7109375" style="19" customWidth="1"/>
    <col min="7673" max="7673" width="9.855468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7109375" style="19" customWidth="1"/>
    <col min="7929" max="7929" width="9.855468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7109375" style="19" customWidth="1"/>
    <col min="8185" max="8185" width="9.855468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7109375" style="19" customWidth="1"/>
    <col min="8441" max="8441" width="9.855468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7109375" style="19" customWidth="1"/>
    <col min="8697" max="8697" width="9.855468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7109375" style="19" customWidth="1"/>
    <col min="8953" max="8953" width="9.855468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7109375" style="19" customWidth="1"/>
    <col min="9209" max="9209" width="9.855468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7109375" style="19" customWidth="1"/>
    <col min="9465" max="9465" width="9.855468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7109375" style="19" customWidth="1"/>
    <col min="9721" max="9721" width="9.855468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7109375" style="19" customWidth="1"/>
    <col min="9977" max="9977" width="9.855468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7109375" style="19" customWidth="1"/>
    <col min="10233" max="10233" width="9.855468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7109375" style="19" customWidth="1"/>
    <col min="10489" max="10489" width="9.855468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7109375" style="19" customWidth="1"/>
    <col min="10745" max="10745" width="9.855468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7109375" style="19" customWidth="1"/>
    <col min="11001" max="11001" width="9.855468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7109375" style="19" customWidth="1"/>
    <col min="11257" max="11257" width="9.855468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7109375" style="19" customWidth="1"/>
    <col min="11513" max="11513" width="9.855468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7109375" style="19" customWidth="1"/>
    <col min="11769" max="11769" width="9.855468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7109375" style="19" customWidth="1"/>
    <col min="12025" max="12025" width="9.855468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7109375" style="19" customWidth="1"/>
    <col min="12281" max="12281" width="9.855468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7109375" style="19" customWidth="1"/>
    <col min="12537" max="12537" width="9.855468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7109375" style="19" customWidth="1"/>
    <col min="12793" max="12793" width="9.855468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7109375" style="19" customWidth="1"/>
    <col min="13049" max="13049" width="9.855468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7109375" style="19" customWidth="1"/>
    <col min="13305" max="13305" width="9.855468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7109375" style="19" customWidth="1"/>
    <col min="13561" max="13561" width="9.855468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7109375" style="19" customWidth="1"/>
    <col min="13817" max="13817" width="9.855468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7109375" style="19" customWidth="1"/>
    <col min="14073" max="14073" width="9.855468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7109375" style="19" customWidth="1"/>
    <col min="14329" max="14329" width="9.855468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7109375" style="19" customWidth="1"/>
    <col min="14585" max="14585" width="9.855468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7109375" style="19" customWidth="1"/>
    <col min="14841" max="14841" width="9.855468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7109375" style="19" customWidth="1"/>
    <col min="15097" max="15097" width="9.855468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7109375" style="19" customWidth="1"/>
    <col min="15353" max="15353" width="9.855468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7109375" style="19" customWidth="1"/>
    <col min="15609" max="15609" width="9.855468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7109375" style="19" customWidth="1"/>
    <col min="15865" max="15865" width="9.855468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7109375" style="19" customWidth="1"/>
    <col min="16121" max="16121" width="9.855468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12" ht="46.5" customHeight="1" x14ac:dyDescent="0.25">
      <c r="A1" s="148" t="s">
        <v>221</v>
      </c>
      <c r="B1" s="148"/>
      <c r="C1" s="148"/>
      <c r="D1" s="148"/>
      <c r="E1" s="148"/>
      <c r="F1" s="148"/>
      <c r="G1" s="148"/>
      <c r="H1" s="148"/>
    </row>
    <row r="2" spans="1:12" ht="16.5" customHeight="1" x14ac:dyDescent="0.25">
      <c r="A2" s="108" t="s">
        <v>0</v>
      </c>
      <c r="B2" s="108"/>
      <c r="C2" s="108"/>
      <c r="D2" s="108"/>
      <c r="E2" s="108"/>
      <c r="F2" s="108"/>
      <c r="G2" s="108"/>
      <c r="H2" s="108"/>
    </row>
    <row r="3" spans="1:12" x14ac:dyDescent="0.25">
      <c r="A3" s="128" t="s">
        <v>1</v>
      </c>
      <c r="B3" s="128"/>
      <c r="C3" s="128"/>
      <c r="D3" s="128"/>
      <c r="E3" s="128" t="str">
        <f ca="1">TEXT(TODAY(),"DD/MM/YYYY")</f>
        <v>19/09/2025</v>
      </c>
      <c r="F3" s="128"/>
      <c r="G3" s="128"/>
      <c r="H3" s="128"/>
    </row>
    <row r="4" spans="1:12" ht="15" customHeight="1" x14ac:dyDescent="0.25">
      <c r="A4" s="128" t="s">
        <v>2</v>
      </c>
      <c r="B4" s="128"/>
      <c r="C4" s="128"/>
      <c r="D4" s="128"/>
      <c r="E4" s="128" t="s">
        <v>164</v>
      </c>
      <c r="F4" s="128"/>
      <c r="G4" s="128"/>
      <c r="H4" s="128"/>
    </row>
    <row r="5" spans="1:12" x14ac:dyDescent="0.25">
      <c r="A5" s="128" t="s">
        <v>3</v>
      </c>
      <c r="B5" s="128"/>
      <c r="C5" s="128"/>
      <c r="D5" s="128"/>
      <c r="E5" s="149">
        <v>45913</v>
      </c>
      <c r="F5" s="128"/>
      <c r="G5" s="128"/>
      <c r="H5" s="128"/>
    </row>
    <row r="6" spans="1:12" ht="16.5" customHeight="1" x14ac:dyDescent="0.25">
      <c r="A6" s="128" t="s">
        <v>4</v>
      </c>
      <c r="B6" s="128"/>
      <c r="C6" s="128"/>
      <c r="D6" s="128"/>
      <c r="E6" s="128" t="s">
        <v>165</v>
      </c>
      <c r="F6" s="128"/>
      <c r="G6" s="128"/>
      <c r="H6" s="128"/>
    </row>
    <row r="7" spans="1:12" ht="15" customHeight="1" x14ac:dyDescent="0.25">
      <c r="A7" s="128" t="s">
        <v>5</v>
      </c>
      <c r="B7" s="128"/>
      <c r="C7" s="128"/>
      <c r="D7" s="128"/>
      <c r="E7" s="128" t="str">
        <f>E6</f>
        <v>Adhiraj Constructions Private Limited</v>
      </c>
      <c r="F7" s="128"/>
      <c r="G7" s="128"/>
      <c r="H7" s="128"/>
    </row>
    <row r="8" spans="1:12" x14ac:dyDescent="0.25">
      <c r="A8" s="128" t="s">
        <v>6</v>
      </c>
      <c r="B8" s="128"/>
      <c r="C8" s="128"/>
      <c r="D8" s="128"/>
      <c r="E8" s="94" t="s">
        <v>220</v>
      </c>
      <c r="F8" s="94"/>
      <c r="G8" s="94"/>
      <c r="H8" s="94"/>
      <c r="I8"/>
    </row>
    <row r="9" spans="1:12" x14ac:dyDescent="0.25">
      <c r="A9" s="128" t="s">
        <v>219</v>
      </c>
      <c r="B9" s="128"/>
      <c r="C9" s="128"/>
      <c r="D9" s="128"/>
      <c r="E9" s="94" t="s">
        <v>166</v>
      </c>
      <c r="F9" s="94"/>
      <c r="G9" s="94"/>
      <c r="H9" s="94"/>
      <c r="I9"/>
    </row>
    <row r="10" spans="1:12" x14ac:dyDescent="0.25">
      <c r="A10" s="128" t="s">
        <v>162</v>
      </c>
      <c r="B10" s="128"/>
      <c r="C10" s="128"/>
      <c r="D10" s="128"/>
      <c r="E10" s="128" t="s">
        <v>167</v>
      </c>
      <c r="F10" s="128"/>
      <c r="G10" s="128"/>
      <c r="H10" s="128"/>
    </row>
    <row r="11" spans="1:12" x14ac:dyDescent="0.25">
      <c r="A11" s="128" t="s">
        <v>163</v>
      </c>
      <c r="B11" s="128"/>
      <c r="C11" s="128"/>
      <c r="D11" s="128"/>
      <c r="E11" s="128" t="s">
        <v>30</v>
      </c>
      <c r="F11" s="128"/>
      <c r="G11" s="128"/>
      <c r="H11" s="128"/>
      <c r="I11" s="128" t="s">
        <v>168</v>
      </c>
      <c r="J11" s="128"/>
      <c r="K11" s="128"/>
      <c r="L11" s="128"/>
    </row>
    <row r="12" spans="1:12" x14ac:dyDescent="0.25">
      <c r="A12" s="128" t="s">
        <v>7</v>
      </c>
      <c r="B12" s="128"/>
      <c r="C12" s="128"/>
      <c r="D12" s="128"/>
      <c r="E12" s="128" t="s">
        <v>169</v>
      </c>
      <c r="F12" s="128"/>
      <c r="G12" s="128"/>
      <c r="H12" s="128"/>
    </row>
    <row r="13" spans="1:12" ht="18" customHeight="1" x14ac:dyDescent="0.25">
      <c r="A13" s="87" t="s">
        <v>8</v>
      </c>
      <c r="B13" s="87"/>
      <c r="C13" s="87"/>
      <c r="D13" s="87"/>
      <c r="E13" s="80" t="s">
        <v>210</v>
      </c>
      <c r="F13" s="80"/>
      <c r="G13" s="80"/>
      <c r="H13" s="80"/>
    </row>
    <row r="14" spans="1:12" x14ac:dyDescent="0.25">
      <c r="A14" s="87" t="s">
        <v>9</v>
      </c>
      <c r="B14" s="87"/>
      <c r="C14" s="87"/>
      <c r="D14" s="87"/>
      <c r="E14" s="80" t="s">
        <v>170</v>
      </c>
      <c r="F14" s="128"/>
      <c r="G14" s="128"/>
      <c r="H14" s="128"/>
    </row>
    <row r="15" spans="1:12" ht="67.5" customHeight="1" x14ac:dyDescent="0.25">
      <c r="A15" s="145" t="s">
        <v>10</v>
      </c>
      <c r="B15" s="145"/>
      <c r="C15" s="145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Adhiraj Samyama, Survey No.64/2, 66/2, 99/2, 67/1, 67/2/1, 67/2/2, 67/4, 68/1A, 68/1B, 68/2, 68/4, 69/0, 70/1, 70/2, 71/2, 71/3, 71/4, 90/0,89/1, 89/2, 91/3, 86/1, 86/2, 88/0, 72/1A, 72/1B, 72/3, 76/2/1, 76/2/2, 77/1, 76/1, 76/2, 79/3, near Arihant Clan Aalishan, Internal Road, , Rohinjan, Kharghar, Panvel, Raigad - 410210.</v>
      </c>
      <c r="D15" s="145"/>
      <c r="E15" s="145"/>
      <c r="F15" s="145"/>
      <c r="G15" s="145"/>
      <c r="H15" s="145"/>
    </row>
    <row r="16" spans="1:12" ht="49.5" customHeight="1" x14ac:dyDescent="0.25">
      <c r="A16" s="80" t="s">
        <v>175</v>
      </c>
      <c r="B16" s="80"/>
      <c r="C16" s="80" t="s">
        <v>176</v>
      </c>
      <c r="D16" s="80"/>
      <c r="E16" s="80"/>
      <c r="F16" s="80"/>
      <c r="G16" s="80"/>
      <c r="H16" s="80"/>
    </row>
    <row r="17" spans="1:8" ht="15.75" customHeight="1" x14ac:dyDescent="0.25">
      <c r="A17" s="80" t="s">
        <v>159</v>
      </c>
      <c r="B17" s="80"/>
      <c r="C17" s="80" t="s">
        <v>30</v>
      </c>
      <c r="D17" s="80"/>
      <c r="E17" s="80"/>
      <c r="F17" s="80"/>
      <c r="G17" s="80"/>
      <c r="H17" s="80"/>
    </row>
    <row r="18" spans="1:8" ht="15.75" customHeight="1" x14ac:dyDescent="0.25">
      <c r="A18" s="145" t="s">
        <v>11</v>
      </c>
      <c r="B18" s="145"/>
      <c r="C18" s="128" t="s">
        <v>181</v>
      </c>
      <c r="D18" s="128"/>
      <c r="E18" s="145" t="s">
        <v>75</v>
      </c>
      <c r="F18" s="145"/>
      <c r="G18" s="80" t="s">
        <v>177</v>
      </c>
      <c r="H18" s="80"/>
    </row>
    <row r="19" spans="1:8" x14ac:dyDescent="0.25">
      <c r="A19" s="87" t="s">
        <v>13</v>
      </c>
      <c r="B19" s="87"/>
      <c r="C19" s="80" t="s">
        <v>180</v>
      </c>
      <c r="D19" s="80"/>
      <c r="E19" s="145" t="s">
        <v>12</v>
      </c>
      <c r="F19" s="145"/>
      <c r="G19" s="146" t="s">
        <v>178</v>
      </c>
      <c r="H19" s="146"/>
    </row>
    <row r="20" spans="1:8" x14ac:dyDescent="0.25">
      <c r="A20" s="87" t="s">
        <v>76</v>
      </c>
      <c r="B20" s="87"/>
      <c r="C20" s="80" t="s">
        <v>179</v>
      </c>
      <c r="D20" s="80"/>
      <c r="E20" s="145" t="s">
        <v>14</v>
      </c>
      <c r="F20" s="145"/>
      <c r="G20" s="80">
        <v>410210</v>
      </c>
      <c r="H20" s="80"/>
    </row>
    <row r="21" spans="1:8" ht="32.25" customHeight="1" x14ac:dyDescent="0.25">
      <c r="A21" s="87" t="s">
        <v>119</v>
      </c>
      <c r="B21" s="87"/>
      <c r="C21" s="80" t="s">
        <v>182</v>
      </c>
      <c r="D21" s="80"/>
      <c r="E21" s="145" t="s">
        <v>15</v>
      </c>
      <c r="F21" s="145"/>
      <c r="G21" s="80" t="s">
        <v>185</v>
      </c>
      <c r="H21" s="80"/>
    </row>
    <row r="22" spans="1:8" ht="15" customHeight="1" x14ac:dyDescent="0.25">
      <c r="A22" s="145" t="s">
        <v>78</v>
      </c>
      <c r="B22" s="145"/>
      <c r="C22" s="145"/>
      <c r="D22" s="145"/>
      <c r="E22" s="128" t="s">
        <v>16</v>
      </c>
      <c r="F22" s="128"/>
      <c r="G22" s="128"/>
      <c r="H22" s="128"/>
    </row>
    <row r="23" spans="1:8" ht="18.75" customHeight="1" x14ac:dyDescent="0.25">
      <c r="A23" s="145"/>
      <c r="B23" s="145"/>
      <c r="C23" s="145"/>
      <c r="D23" s="145"/>
      <c r="E23" s="128"/>
      <c r="F23" s="128"/>
      <c r="G23" s="128"/>
      <c r="H23" s="128"/>
    </row>
    <row r="24" spans="1:8" ht="15" customHeight="1" x14ac:dyDescent="0.25">
      <c r="A24" s="145" t="s">
        <v>17</v>
      </c>
      <c r="B24" s="145"/>
      <c r="C24" s="145"/>
      <c r="D24" s="145"/>
      <c r="E24" s="80" t="s">
        <v>18</v>
      </c>
      <c r="F24" s="80"/>
      <c r="G24" s="80"/>
      <c r="H24" s="80"/>
    </row>
    <row r="25" spans="1:8" ht="15" customHeight="1" x14ac:dyDescent="0.25">
      <c r="A25" s="87" t="s">
        <v>19</v>
      </c>
      <c r="B25" s="87"/>
      <c r="C25" s="87"/>
      <c r="D25" s="87"/>
      <c r="E25" s="80" t="str">
        <f>IF(AND(G19="Mumbai"),"Upper Class","Middle Class")</f>
        <v>Middle Class</v>
      </c>
      <c r="F25" s="80"/>
      <c r="G25" s="80"/>
      <c r="H25" s="80"/>
    </row>
    <row r="26" spans="1:8" x14ac:dyDescent="0.25">
      <c r="A26" s="87" t="s">
        <v>20</v>
      </c>
      <c r="B26" s="87"/>
      <c r="C26" s="87"/>
      <c r="D26" s="87"/>
      <c r="E26" s="80" t="s">
        <v>21</v>
      </c>
      <c r="F26" s="80"/>
      <c r="G26" s="80"/>
      <c r="H26" s="80"/>
    </row>
    <row r="27" spans="1:8" ht="15.75" customHeight="1" x14ac:dyDescent="0.25">
      <c r="A27" s="87" t="s">
        <v>22</v>
      </c>
      <c r="B27" s="87"/>
      <c r="C27" s="87"/>
      <c r="D27" s="87"/>
      <c r="E27" s="80" t="str">
        <f>IF(AND(G19="Mumbai"),"Developed","Developing")</f>
        <v>Developing</v>
      </c>
      <c r="F27" s="80"/>
      <c r="G27" s="80"/>
      <c r="H27" s="80"/>
    </row>
    <row r="28" spans="1:8" x14ac:dyDescent="0.25">
      <c r="A28" s="87" t="s">
        <v>23</v>
      </c>
      <c r="B28" s="87"/>
      <c r="C28" s="87"/>
      <c r="D28" s="87"/>
      <c r="E28" s="80" t="s">
        <v>24</v>
      </c>
      <c r="F28" s="80"/>
      <c r="G28" s="80"/>
      <c r="H28" s="80"/>
    </row>
    <row r="29" spans="1:8" ht="15.75" customHeight="1" x14ac:dyDescent="0.25">
      <c r="A29" s="87" t="s">
        <v>83</v>
      </c>
      <c r="B29" s="87"/>
      <c r="C29" s="87"/>
      <c r="D29" s="87"/>
      <c r="E29" s="80" t="s">
        <v>84</v>
      </c>
      <c r="F29" s="80"/>
      <c r="G29" s="80"/>
      <c r="H29" s="80"/>
    </row>
    <row r="30" spans="1:8" ht="15" customHeight="1" x14ac:dyDescent="0.25">
      <c r="A30" s="87" t="s">
        <v>33</v>
      </c>
      <c r="B30" s="87"/>
      <c r="C30" s="87"/>
      <c r="D30" s="87"/>
      <c r="E30" s="80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80"/>
      <c r="G30" s="80"/>
      <c r="H30" s="80"/>
    </row>
    <row r="31" spans="1:8" ht="15.75" customHeight="1" x14ac:dyDescent="0.25">
      <c r="A31" s="87" t="s">
        <v>95</v>
      </c>
      <c r="B31" s="87"/>
      <c r="C31" s="87"/>
      <c r="D31" s="87"/>
      <c r="E31" s="80" t="s">
        <v>34</v>
      </c>
      <c r="F31" s="80"/>
      <c r="G31" s="80"/>
      <c r="H31" s="80"/>
    </row>
    <row r="32" spans="1:8" s="20" customFormat="1" x14ac:dyDescent="0.25">
      <c r="A32" s="144" t="s">
        <v>96</v>
      </c>
      <c r="B32" s="144"/>
      <c r="C32" s="143" t="s">
        <v>29</v>
      </c>
      <c r="D32" s="143"/>
      <c r="E32" s="143"/>
      <c r="F32" s="143" t="s">
        <v>31</v>
      </c>
      <c r="G32" s="143"/>
      <c r="H32" s="143"/>
    </row>
    <row r="33" spans="1:8" s="20" customFormat="1" x14ac:dyDescent="0.25">
      <c r="A33" s="109" t="s">
        <v>25</v>
      </c>
      <c r="B33" s="109" t="s">
        <v>30</v>
      </c>
      <c r="C33" s="110" t="s">
        <v>30</v>
      </c>
      <c r="D33" s="110"/>
      <c r="E33" s="110"/>
      <c r="F33" s="110" t="s">
        <v>183</v>
      </c>
      <c r="G33" s="110"/>
      <c r="H33" s="110"/>
    </row>
    <row r="34" spans="1:8" x14ac:dyDescent="0.25">
      <c r="A34" s="109" t="s">
        <v>26</v>
      </c>
      <c r="B34" s="109" t="s">
        <v>30</v>
      </c>
      <c r="C34" s="110" t="s">
        <v>30</v>
      </c>
      <c r="D34" s="110"/>
      <c r="E34" s="110"/>
      <c r="F34" s="110" t="s">
        <v>184</v>
      </c>
      <c r="G34" s="110"/>
      <c r="H34" s="110"/>
    </row>
    <row r="35" spans="1:8" s="20" customFormat="1" x14ac:dyDescent="0.25">
      <c r="A35" s="109" t="s">
        <v>28</v>
      </c>
      <c r="B35" s="109" t="s">
        <v>30</v>
      </c>
      <c r="C35" s="110" t="s">
        <v>30</v>
      </c>
      <c r="D35" s="110"/>
      <c r="E35" s="110"/>
      <c r="F35" s="110" t="s">
        <v>181</v>
      </c>
      <c r="G35" s="110"/>
      <c r="H35" s="110"/>
    </row>
    <row r="36" spans="1:8" x14ac:dyDescent="0.25">
      <c r="A36" s="109" t="s">
        <v>27</v>
      </c>
      <c r="B36" s="109" t="s">
        <v>30</v>
      </c>
      <c r="C36" s="110" t="s">
        <v>30</v>
      </c>
      <c r="D36" s="110"/>
      <c r="E36" s="110"/>
      <c r="F36" s="110" t="s">
        <v>183</v>
      </c>
      <c r="G36" s="110"/>
      <c r="H36" s="110"/>
    </row>
    <row r="37" spans="1:8" x14ac:dyDescent="0.25">
      <c r="A37" s="87" t="s">
        <v>32</v>
      </c>
      <c r="B37" s="87"/>
      <c r="C37" s="87"/>
      <c r="D37" s="87"/>
      <c r="E37" s="87"/>
      <c r="F37" s="87"/>
      <c r="G37" s="87"/>
      <c r="H37" s="87"/>
    </row>
    <row r="38" spans="1:8" ht="15.75" customHeight="1" x14ac:dyDescent="0.25">
      <c r="A38" s="78" t="s">
        <v>161</v>
      </c>
      <c r="B38" s="78"/>
      <c r="C38" s="87" t="s">
        <v>172</v>
      </c>
      <c r="D38" s="87"/>
      <c r="E38" s="87"/>
      <c r="F38" s="87"/>
      <c r="G38" s="87"/>
      <c r="H38" s="87"/>
    </row>
    <row r="39" spans="1:8" x14ac:dyDescent="0.25">
      <c r="A39" s="78" t="s">
        <v>158</v>
      </c>
      <c r="B39" s="78"/>
      <c r="C39" s="79" t="s">
        <v>171</v>
      </c>
      <c r="D39" s="80"/>
      <c r="E39" s="80"/>
      <c r="F39" s="80"/>
      <c r="G39" s="80"/>
      <c r="H39" s="80"/>
    </row>
    <row r="40" spans="1:8" x14ac:dyDescent="0.25">
      <c r="A40" s="78" t="s">
        <v>35</v>
      </c>
      <c r="B40" s="78"/>
      <c r="C40" s="78"/>
      <c r="D40" s="78"/>
      <c r="E40" s="78"/>
      <c r="F40" s="78"/>
      <c r="G40" s="78"/>
      <c r="H40" s="78"/>
    </row>
    <row r="41" spans="1:8" x14ac:dyDescent="0.25">
      <c r="A41" s="87" t="s">
        <v>36</v>
      </c>
      <c r="B41" s="87"/>
      <c r="C41" s="87"/>
      <c r="D41" s="87"/>
      <c r="E41" s="111">
        <v>157450</v>
      </c>
      <c r="F41" s="111"/>
      <c r="G41" s="111"/>
      <c r="H41" s="111"/>
    </row>
    <row r="42" spans="1:8" x14ac:dyDescent="0.25">
      <c r="A42" s="87" t="s">
        <v>37</v>
      </c>
      <c r="B42" s="87"/>
      <c r="C42" s="87"/>
      <c r="D42" s="87"/>
      <c r="E42" s="126">
        <v>4</v>
      </c>
      <c r="F42" s="126"/>
      <c r="G42" s="126"/>
      <c r="H42" s="126"/>
    </row>
    <row r="43" spans="1:8" x14ac:dyDescent="0.25">
      <c r="A43" s="87" t="s">
        <v>38</v>
      </c>
      <c r="B43" s="87"/>
      <c r="C43" s="87"/>
      <c r="D43" s="87"/>
      <c r="E43" s="126">
        <v>0.71</v>
      </c>
      <c r="F43" s="126"/>
      <c r="G43" s="126"/>
      <c r="H43" s="126"/>
    </row>
    <row r="44" spans="1:8" x14ac:dyDescent="0.25">
      <c r="A44" s="87" t="s">
        <v>39</v>
      </c>
      <c r="B44" s="87"/>
      <c r="C44" s="87"/>
      <c r="D44" s="87"/>
      <c r="E44" s="126">
        <f>E42+E43</f>
        <v>4.71</v>
      </c>
      <c r="F44" s="126"/>
      <c r="G44" s="126"/>
      <c r="H44" s="126"/>
    </row>
    <row r="45" spans="1:8" x14ac:dyDescent="0.25">
      <c r="A45" s="87" t="s">
        <v>94</v>
      </c>
      <c r="B45" s="87"/>
      <c r="C45" s="87"/>
      <c r="D45" s="87"/>
      <c r="E45" s="127">
        <f>378633.39+138703.25</f>
        <v>517336.64</v>
      </c>
      <c r="F45" s="127"/>
      <c r="G45" s="127"/>
      <c r="H45" s="127"/>
    </row>
    <row r="46" spans="1:8" x14ac:dyDescent="0.25">
      <c r="A46" s="128" t="s">
        <v>40</v>
      </c>
      <c r="B46" s="128"/>
      <c r="C46" s="128"/>
      <c r="D46" s="128"/>
      <c r="E46" s="128" t="s">
        <v>118</v>
      </c>
      <c r="F46" s="128"/>
      <c r="G46" s="128"/>
      <c r="H46" s="128"/>
    </row>
    <row r="47" spans="1:8" x14ac:dyDescent="0.25">
      <c r="A47" s="78" t="s">
        <v>41</v>
      </c>
      <c r="B47" s="78"/>
      <c r="C47" s="78"/>
      <c r="D47" s="78"/>
      <c r="E47" s="78"/>
      <c r="F47" s="78"/>
      <c r="G47" s="78"/>
      <c r="H47" s="78"/>
    </row>
    <row r="48" spans="1:8" ht="33.75" customHeight="1" x14ac:dyDescent="0.25">
      <c r="A48" s="81" t="s">
        <v>148</v>
      </c>
      <c r="B48" s="82"/>
      <c r="C48" s="83" t="s">
        <v>173</v>
      </c>
      <c r="D48" s="84"/>
      <c r="E48" s="84"/>
      <c r="F48" s="84"/>
      <c r="G48" s="84"/>
      <c r="H48" s="85"/>
    </row>
    <row r="49" spans="1:14" ht="15.75" customHeight="1" x14ac:dyDescent="0.25">
      <c r="A49" s="81" t="s">
        <v>42</v>
      </c>
      <c r="B49" s="82"/>
      <c r="C49" s="81" t="s">
        <v>186</v>
      </c>
      <c r="D49" s="142"/>
      <c r="E49" s="82"/>
      <c r="F49" s="18" t="s">
        <v>43</v>
      </c>
      <c r="G49" s="134">
        <v>43697</v>
      </c>
      <c r="H49" s="82"/>
    </row>
    <row r="50" spans="1:14" x14ac:dyDescent="0.25">
      <c r="A50" s="81" t="s">
        <v>44</v>
      </c>
      <c r="B50" s="82"/>
      <c r="C50" s="81" t="str">
        <f>C49</f>
        <v>PMP/NRV/1977</v>
      </c>
      <c r="D50" s="142"/>
      <c r="E50" s="82"/>
      <c r="F50" s="18" t="s">
        <v>43</v>
      </c>
      <c r="G50" s="134">
        <f>G49</f>
        <v>43697</v>
      </c>
      <c r="H50" s="135"/>
    </row>
    <row r="51" spans="1:14" s="21" customFormat="1" ht="15.75" customHeight="1" x14ac:dyDescent="0.25">
      <c r="A51" s="136" t="s">
        <v>187</v>
      </c>
      <c r="B51" s="137"/>
      <c r="C51" s="81" t="s">
        <v>174</v>
      </c>
      <c r="D51" s="142"/>
      <c r="E51" s="82"/>
      <c r="F51" s="18" t="s">
        <v>43</v>
      </c>
      <c r="G51" s="134">
        <v>43697</v>
      </c>
      <c r="H51" s="82"/>
    </row>
    <row r="52" spans="1:14" s="21" customFormat="1" x14ac:dyDescent="0.25">
      <c r="A52" s="138"/>
      <c r="B52" s="139"/>
      <c r="C52" s="81" t="s">
        <v>188</v>
      </c>
      <c r="D52" s="142"/>
      <c r="E52" s="142"/>
      <c r="F52" s="142"/>
      <c r="G52" s="142"/>
      <c r="H52" s="82"/>
    </row>
    <row r="53" spans="1:14" x14ac:dyDescent="0.25">
      <c r="A53" s="165" t="s">
        <v>45</v>
      </c>
      <c r="B53" s="166"/>
      <c r="C53" s="165" t="s">
        <v>102</v>
      </c>
      <c r="D53" s="167"/>
      <c r="E53" s="166"/>
      <c r="F53" s="42" t="s">
        <v>43</v>
      </c>
      <c r="G53" s="140" t="s">
        <v>30</v>
      </c>
      <c r="H53" s="141"/>
    </row>
    <row r="54" spans="1:14" x14ac:dyDescent="0.25">
      <c r="A54" s="153" t="s">
        <v>47</v>
      </c>
      <c r="B54" s="153"/>
      <c r="C54" s="153"/>
      <c r="D54" s="153"/>
      <c r="E54" s="153"/>
      <c r="F54" s="153"/>
      <c r="G54" s="153"/>
      <c r="H54" s="153"/>
    </row>
    <row r="55" spans="1:14" x14ac:dyDescent="0.25">
      <c r="A55" s="145" t="s">
        <v>93</v>
      </c>
      <c r="B55" s="145"/>
      <c r="C55" s="145"/>
      <c r="D55" s="87">
        <f>E45</f>
        <v>517336.64</v>
      </c>
      <c r="E55" s="87"/>
      <c r="F55" s="87"/>
      <c r="G55" s="87"/>
      <c r="H55" s="87"/>
    </row>
    <row r="56" spans="1:14" x14ac:dyDescent="0.25">
      <c r="A56" s="80" t="s">
        <v>48</v>
      </c>
      <c r="B56" s="128"/>
      <c r="C56" s="128"/>
      <c r="D56" s="128" t="s">
        <v>208</v>
      </c>
      <c r="E56" s="128"/>
      <c r="F56" s="128"/>
      <c r="G56" s="128"/>
      <c r="H56" s="128"/>
      <c r="I56" s="22"/>
    </row>
    <row r="57" spans="1:14" ht="17.25" customHeight="1" x14ac:dyDescent="0.25">
      <c r="A57" s="131" t="s">
        <v>49</v>
      </c>
      <c r="B57" s="132"/>
      <c r="C57" s="133"/>
      <c r="D57" s="129" t="s">
        <v>190</v>
      </c>
      <c r="E57" s="130"/>
      <c r="F57" s="130"/>
      <c r="G57" s="130"/>
      <c r="H57" s="130"/>
    </row>
    <row r="58" spans="1:14" ht="15.75" customHeight="1" x14ac:dyDescent="0.25">
      <c r="A58" s="131" t="s">
        <v>91</v>
      </c>
      <c r="B58" s="132"/>
      <c r="C58" s="132"/>
      <c r="D58" s="80" t="s">
        <v>190</v>
      </c>
      <c r="E58" s="128"/>
      <c r="F58" s="128"/>
      <c r="G58" s="128"/>
      <c r="H58" s="128"/>
    </row>
    <row r="59" spans="1:14" ht="15.75" customHeight="1" x14ac:dyDescent="0.25">
      <c r="A59" s="87" t="s">
        <v>46</v>
      </c>
      <c r="B59" s="87"/>
      <c r="C59" s="87"/>
      <c r="D59" s="125" t="s">
        <v>189</v>
      </c>
      <c r="E59" s="125"/>
      <c r="F59" s="125"/>
      <c r="G59" s="125"/>
      <c r="H59" s="125"/>
      <c r="J59" s="23"/>
      <c r="K59" s="22"/>
      <c r="N59" s="22"/>
    </row>
    <row r="60" spans="1:14" ht="15.75" customHeight="1" x14ac:dyDescent="0.25">
      <c r="A60" s="87" t="s">
        <v>89</v>
      </c>
      <c r="B60" s="87"/>
      <c r="C60" s="87"/>
      <c r="D60" s="162" t="str">
        <f>(IF(G53="NA","60 Years After Completion",IF(G53&lt;&gt;"NA",""&amp;60-ROUNDDOWN((E3-G53)/360,0)&amp;" Years"," ")))</f>
        <v>60 Years After Completion</v>
      </c>
      <c r="E60" s="162"/>
      <c r="F60" s="162"/>
      <c r="G60" s="162"/>
      <c r="H60" s="162"/>
      <c r="N60" s="22"/>
    </row>
    <row r="61" spans="1:14" ht="15.75" customHeight="1" x14ac:dyDescent="0.25">
      <c r="A61" s="87" t="s">
        <v>90</v>
      </c>
      <c r="B61" s="87"/>
      <c r="C61" s="87"/>
      <c r="D61" s="145" t="s">
        <v>24</v>
      </c>
      <c r="E61" s="145"/>
      <c r="F61" s="145"/>
      <c r="G61" s="145"/>
      <c r="H61" s="145"/>
      <c r="J61" s="24"/>
      <c r="K61" s="24"/>
    </row>
    <row r="62" spans="1:14" ht="49.5" customHeight="1" x14ac:dyDescent="0.25">
      <c r="A62" s="87" t="s">
        <v>77</v>
      </c>
      <c r="B62" s="87"/>
      <c r="C62" s="87"/>
      <c r="D62" s="80" t="s">
        <v>209</v>
      </c>
      <c r="E62" s="145"/>
      <c r="F62" s="145"/>
      <c r="G62" s="145"/>
      <c r="H62" s="145"/>
    </row>
    <row r="63" spans="1:14" x14ac:dyDescent="0.25">
      <c r="A63" s="145" t="s">
        <v>145</v>
      </c>
      <c r="B63" s="145"/>
      <c r="C63" s="145"/>
      <c r="D63" s="145" t="s">
        <v>30</v>
      </c>
      <c r="E63" s="145"/>
      <c r="F63" s="145"/>
      <c r="G63" s="145"/>
      <c r="H63" s="145"/>
      <c r="I63" s="25"/>
      <c r="J63" s="25"/>
      <c r="K63" s="25"/>
      <c r="L63" s="25"/>
      <c r="M63" s="25"/>
      <c r="N63" s="25"/>
    </row>
    <row r="64" spans="1:14" ht="15.75" customHeight="1" x14ac:dyDescent="0.25">
      <c r="A64" s="168" t="s">
        <v>88</v>
      </c>
      <c r="B64" s="168"/>
      <c r="C64" s="168"/>
      <c r="D64" s="129" t="str">
        <f ca="1">(IF(G70&gt;95%,"Nothing",IF(G70&gt;0%,"Cement, Aggregate, Steel, etc",IF(G70=0%,"Work not yet Started"))))</f>
        <v>Cement, Aggregate, Steel, etc</v>
      </c>
      <c r="E64" s="129"/>
      <c r="F64" s="129"/>
      <c r="G64" s="129"/>
      <c r="H64" s="129"/>
      <c r="J64" s="24"/>
    </row>
    <row r="65" spans="1:10" ht="33.75" customHeight="1" thickBot="1" x14ac:dyDescent="0.3">
      <c r="A65" s="161" t="s">
        <v>115</v>
      </c>
      <c r="B65" s="161"/>
      <c r="C65" s="161"/>
      <c r="D65" s="129" t="str">
        <f ca="1">(IF(D64="Nothing","Yes",IF(D64="Cement, Aggregate, Steel, etc","Under Construction",IF(D64="Work not yet Started","Work not yet Started"))))</f>
        <v>Under Construction</v>
      </c>
      <c r="E65" s="129"/>
      <c r="F65" s="129" t="str">
        <f ca="1">(IF(D64="Nothing","Yes",IF(D64="Cement, Aggregate, Steel, etc","Under Construction",IF(D64="Work not yet Started","Work not yet Started"))))</f>
        <v>Under Construction</v>
      </c>
      <c r="G65" s="129"/>
      <c r="H65" s="129"/>
    </row>
    <row r="66" spans="1:10" ht="15.75" customHeight="1" x14ac:dyDescent="0.25">
      <c r="A66" s="163" t="s">
        <v>137</v>
      </c>
      <c r="B66" s="164"/>
      <c r="C66" s="156" t="str">
        <f>D58</f>
        <v>Tower Mizani - T2 = Gr/Stilt + 1st to 4th Podium + 5th to 47th Floor</v>
      </c>
      <c r="D66" s="157"/>
      <c r="E66" s="157"/>
      <c r="F66" s="157"/>
      <c r="G66" s="157"/>
      <c r="H66" s="158"/>
      <c r="I66" s="44" t="str">
        <f ca="1">IF(D79=100%,"All work Completed. Possession granted to the Building.",IF(D78=100%,"All work Completed, Waiting for OC",I67&amp;""&amp;I68&amp;""&amp;J67&amp;""&amp;J66&amp;" "&amp;J68))</f>
        <v xml:space="preserve">Excavation Completed </v>
      </c>
      <c r="J66" s="45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/>
      </c>
    </row>
    <row r="67" spans="1:10" x14ac:dyDescent="0.25">
      <c r="A67" s="16" t="s">
        <v>139</v>
      </c>
      <c r="B67" s="50">
        <f>IF(AND(ISNUMBER(SEARCH("1B",C66))),1,IF(AND(ISNUMBER(SEARCH("2B",C66))),2,IF(AND(ISNUMBER(SEARCH("3B",C66))),3,IF(AND(ISNUMBER(SEARCH("4B",C66))),4,IF(ISNUMBER(SEARCH("5B",C66)),5,0)))))</f>
        <v>0</v>
      </c>
      <c r="C67" s="50" t="s">
        <v>74</v>
      </c>
      <c r="D67" s="50">
        <v>1</v>
      </c>
      <c r="E67" s="50" t="s">
        <v>73</v>
      </c>
      <c r="F67" s="50">
        <v>0</v>
      </c>
      <c r="G67" s="50" t="s">
        <v>82</v>
      </c>
      <c r="H67" s="17">
        <f ca="1">--TRIM(RIGHT(SUBSTITUTE(LEFT(C66,_xlfn.AGGREGATE(16,6,FIND({0,1,2,3,4,5,6,7,8,9},C66,ROW(INDIRECT("1:"&amp;LEN(C66)))),1))," ",REPT(" ",LEN(C66))),LEN(C66)))</f>
        <v>47</v>
      </c>
      <c r="I67" s="46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</v>
      </c>
      <c r="J67" s="47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x14ac:dyDescent="0.25">
      <c r="A68" s="93" t="s">
        <v>92</v>
      </c>
      <c r="B68" s="94"/>
      <c r="C68" s="159" t="str">
        <f ca="1">I66</f>
        <v xml:space="preserve">Excavation Completed </v>
      </c>
      <c r="D68" s="159"/>
      <c r="E68" s="159"/>
      <c r="F68" s="159"/>
      <c r="G68" s="159"/>
      <c r="H68" s="160"/>
      <c r="I68" s="46" t="str">
        <f ca="1">IF(I67&lt;&gt;""," Completed","")</f>
        <v xml:space="preserve"> Completed</v>
      </c>
      <c r="J68" s="47" t="str">
        <f ca="1">IF(J66&lt;&gt;"","Completed","")</f>
        <v/>
      </c>
    </row>
    <row r="69" spans="1:10" ht="15.75" customHeight="1" x14ac:dyDescent="0.25">
      <c r="A69" s="91" t="s">
        <v>50</v>
      </c>
      <c r="B69" s="92"/>
      <c r="C69" s="51" t="s">
        <v>136</v>
      </c>
      <c r="D69" s="51" t="s">
        <v>85</v>
      </c>
      <c r="E69" s="92" t="s">
        <v>87</v>
      </c>
      <c r="F69" s="92"/>
      <c r="G69" s="92" t="s">
        <v>86</v>
      </c>
      <c r="H69" s="147"/>
      <c r="I69" s="14" t="s">
        <v>138</v>
      </c>
      <c r="J69" s="26">
        <f ca="1">H67*25%</f>
        <v>11.75</v>
      </c>
    </row>
    <row r="70" spans="1:10" x14ac:dyDescent="0.25">
      <c r="A70" s="91" t="s">
        <v>125</v>
      </c>
      <c r="B70" s="92"/>
      <c r="C70" s="51">
        <f ca="1">J71</f>
        <v>47</v>
      </c>
      <c r="D70" s="52">
        <f ca="1">((100/H67)*C70)/100</f>
        <v>1</v>
      </c>
      <c r="E70" s="114">
        <f ca="1">(((C71/H67*10)+(40/(D67+F67+H67)*C72)+(7.5/(H67)*C73)+(7.5/(H67)*C74)+(10/H67*C75)+(10/H67*C76)+(5/H67*C77)+(5/H67*C78)+(5/H67*C79))/100)</f>
        <v>0</v>
      </c>
      <c r="F70" s="115"/>
      <c r="G70" s="114">
        <f ca="1">((((C70/H67)*20)+((C71/H67)*25)+(30/(H67+F67+D67)*C72)+(5/H67*C73)+(5/H67*C74)+(5/H67*C75)+(5/H67*C76)+(0/H67*C77)+(0/H67*C78)+(5/H67*C79))/100)</f>
        <v>0.2</v>
      </c>
      <c r="H70" s="120"/>
      <c r="I70" s="14" t="s">
        <v>97</v>
      </c>
      <c r="J70" s="27">
        <f ca="1">H67*50%</f>
        <v>23.5</v>
      </c>
    </row>
    <row r="71" spans="1:10" x14ac:dyDescent="0.25">
      <c r="A71" s="91" t="s">
        <v>51</v>
      </c>
      <c r="B71" s="92"/>
      <c r="C71" s="51">
        <v>0</v>
      </c>
      <c r="D71" s="52">
        <f ca="1">((100/H67)*C71)/100</f>
        <v>0</v>
      </c>
      <c r="E71" s="116"/>
      <c r="F71" s="117"/>
      <c r="G71" s="116"/>
      <c r="H71" s="121"/>
      <c r="I71" s="14" t="s">
        <v>98</v>
      </c>
      <c r="J71" s="27">
        <f ca="1">H67</f>
        <v>47</v>
      </c>
    </row>
    <row r="72" spans="1:10" ht="15.75" customHeight="1" x14ac:dyDescent="0.25">
      <c r="A72" s="91" t="s">
        <v>126</v>
      </c>
      <c r="B72" s="92"/>
      <c r="C72" s="51">
        <v>0</v>
      </c>
      <c r="D72" s="52">
        <f ca="1">((100/(D67+F67+H67))*C72)/100</f>
        <v>0</v>
      </c>
      <c r="E72" s="116"/>
      <c r="F72" s="117"/>
      <c r="G72" s="116"/>
      <c r="H72" s="121"/>
      <c r="I72" s="14" t="s">
        <v>99</v>
      </c>
      <c r="J72" s="28">
        <f ca="1">(IF(B67&gt;1,(H67/(B67+2)),H67/4))</f>
        <v>11.75</v>
      </c>
    </row>
    <row r="73" spans="1:10" ht="15.75" customHeight="1" x14ac:dyDescent="0.25">
      <c r="A73" s="91" t="s">
        <v>133</v>
      </c>
      <c r="B73" s="92" t="s">
        <v>127</v>
      </c>
      <c r="C73" s="51">
        <v>0</v>
      </c>
      <c r="D73" s="52">
        <f ca="1">((100/H67)*C73)/100</f>
        <v>0</v>
      </c>
      <c r="E73" s="116"/>
      <c r="F73" s="117"/>
      <c r="G73" s="116"/>
      <c r="H73" s="121"/>
      <c r="I73" s="14" t="s">
        <v>100</v>
      </c>
      <c r="J73" s="28">
        <f ca="1">(IF(B67&gt;1,(H67/(B67+2)+J72),H67/4+J72))</f>
        <v>23.5</v>
      </c>
    </row>
    <row r="74" spans="1:10" ht="15.75" customHeight="1" x14ac:dyDescent="0.25">
      <c r="A74" s="91" t="s">
        <v>134</v>
      </c>
      <c r="B74" s="92" t="s">
        <v>127</v>
      </c>
      <c r="C74" s="51">
        <v>0</v>
      </c>
      <c r="D74" s="52">
        <f ca="1">((100/H67)*C74)/100</f>
        <v>0</v>
      </c>
      <c r="E74" s="116"/>
      <c r="F74" s="117"/>
      <c r="G74" s="116"/>
      <c r="H74" s="121"/>
      <c r="I74" s="14" t="s">
        <v>143</v>
      </c>
      <c r="J74" s="28">
        <f>(IF(B67&gt;1,(H67/(B67+2)+J73),0))</f>
        <v>0</v>
      </c>
    </row>
    <row r="75" spans="1:10" ht="15" customHeight="1" x14ac:dyDescent="0.25">
      <c r="A75" s="91" t="s">
        <v>132</v>
      </c>
      <c r="B75" s="92" t="s">
        <v>129</v>
      </c>
      <c r="C75" s="51">
        <v>0</v>
      </c>
      <c r="D75" s="52">
        <f ca="1">((100/(H67))*C75)/100</f>
        <v>0</v>
      </c>
      <c r="E75" s="116"/>
      <c r="F75" s="117"/>
      <c r="G75" s="116"/>
      <c r="H75" s="121"/>
      <c r="I75" s="14" t="s">
        <v>140</v>
      </c>
      <c r="J75" s="28">
        <f>(IF(B67&gt;2,(H67/(B67+2)+J74),0))</f>
        <v>0</v>
      </c>
    </row>
    <row r="76" spans="1:10" ht="15.75" customHeight="1" x14ac:dyDescent="0.25">
      <c r="A76" s="91" t="s">
        <v>128</v>
      </c>
      <c r="B76" s="92" t="s">
        <v>128</v>
      </c>
      <c r="C76" s="51">
        <v>0</v>
      </c>
      <c r="D76" s="52">
        <f ca="1">((100/H67)*C76)/100</f>
        <v>0</v>
      </c>
      <c r="E76" s="116"/>
      <c r="F76" s="117"/>
      <c r="G76" s="116"/>
      <c r="H76" s="121"/>
      <c r="I76" s="14" t="s">
        <v>141</v>
      </c>
      <c r="J76" s="29">
        <f>(IF(B67&gt;3,(H67/(B67+2)+J75),0))</f>
        <v>0</v>
      </c>
    </row>
    <row r="77" spans="1:10" ht="15.75" customHeight="1" x14ac:dyDescent="0.25">
      <c r="A77" s="91" t="s">
        <v>135</v>
      </c>
      <c r="B77" s="92"/>
      <c r="C77" s="51">
        <v>0</v>
      </c>
      <c r="D77" s="52">
        <f ca="1">((100/H67)*C77)/100</f>
        <v>0</v>
      </c>
      <c r="E77" s="116"/>
      <c r="F77" s="117"/>
      <c r="G77" s="116"/>
      <c r="H77" s="121"/>
      <c r="I77" s="14" t="s">
        <v>142</v>
      </c>
      <c r="J77" s="28">
        <f>(IF(B67&gt;4,(H67/(B67+2)+J76),0))</f>
        <v>0</v>
      </c>
    </row>
    <row r="78" spans="1:10" ht="15.75" customHeight="1" x14ac:dyDescent="0.25">
      <c r="A78" s="91" t="s">
        <v>130</v>
      </c>
      <c r="B78" s="92" t="s">
        <v>130</v>
      </c>
      <c r="C78" s="51">
        <v>0</v>
      </c>
      <c r="D78" s="52">
        <f ca="1">((100/(H67))*C78)/100</f>
        <v>0</v>
      </c>
      <c r="E78" s="116"/>
      <c r="F78" s="117"/>
      <c r="G78" s="116"/>
      <c r="H78" s="121"/>
      <c r="I78" s="14" t="s">
        <v>144</v>
      </c>
      <c r="J78" s="28">
        <f ca="1">(IF(B67=1,(H67/(B67+3)+J73),IF(B67=0,(H67/4+J73),IF(B67&gt;1,0))))</f>
        <v>35.25</v>
      </c>
    </row>
    <row r="79" spans="1:10" ht="16.5" thickBot="1" x14ac:dyDescent="0.3">
      <c r="A79" s="123" t="s">
        <v>131</v>
      </c>
      <c r="B79" s="124"/>
      <c r="C79" s="53">
        <v>0</v>
      </c>
      <c r="D79" s="54">
        <f ca="1">((100/(H67))*C79)/100</f>
        <v>0</v>
      </c>
      <c r="E79" s="118"/>
      <c r="F79" s="119"/>
      <c r="G79" s="118"/>
      <c r="H79" s="122"/>
      <c r="I79" s="15" t="s">
        <v>101</v>
      </c>
      <c r="J79" s="30">
        <f ca="1">(IF(B67&gt;1.5,(H67/(B67+2)+J73+MAX(0,J74-J73)+MAX(0,J75-J74)+MAX(0,J76-J75)+MAX(0,J77-J76)+MAX(0,J78-J77)),IF(B67=1,(H67/(B67+3)+J78),IF(B67=0,H67/4+J78))))</f>
        <v>47</v>
      </c>
    </row>
    <row r="80" spans="1:10" x14ac:dyDescent="0.25">
      <c r="A80" s="89" t="s">
        <v>152</v>
      </c>
      <c r="B80" s="89"/>
      <c r="C80" s="89"/>
      <c r="D80" s="89"/>
      <c r="E80" s="89"/>
      <c r="F80" s="154" t="s">
        <v>157</v>
      </c>
      <c r="G80" s="154"/>
      <c r="H80" s="154"/>
    </row>
    <row r="81" spans="1:8" x14ac:dyDescent="0.25">
      <c r="A81" s="87" t="s">
        <v>155</v>
      </c>
      <c r="B81" s="87"/>
      <c r="C81" s="87"/>
      <c r="D81" s="87"/>
      <c r="E81" s="87"/>
      <c r="F81" s="86">
        <v>9000</v>
      </c>
      <c r="G81" s="86"/>
      <c r="H81" s="86"/>
    </row>
    <row r="82" spans="1:8" hidden="1" x14ac:dyDescent="0.25">
      <c r="A82" s="87" t="s">
        <v>154</v>
      </c>
      <c r="B82" s="87"/>
      <c r="C82" s="87"/>
      <c r="D82" s="87"/>
      <c r="E82" s="87"/>
      <c r="F82" s="86"/>
      <c r="G82" s="86"/>
      <c r="H82" s="86"/>
    </row>
    <row r="83" spans="1:8" hidden="1" x14ac:dyDescent="0.25">
      <c r="A83" s="87" t="s">
        <v>156</v>
      </c>
      <c r="B83" s="87"/>
      <c r="C83" s="87"/>
      <c r="D83" s="87"/>
      <c r="E83" s="87"/>
      <c r="F83" s="86"/>
      <c r="G83" s="86"/>
      <c r="H83" s="86"/>
    </row>
    <row r="84" spans="1:8" s="31" customFormat="1" x14ac:dyDescent="0.25">
      <c r="A84" s="87" t="s">
        <v>153</v>
      </c>
      <c r="B84" s="87"/>
      <c r="C84" s="87"/>
      <c r="D84" s="87"/>
      <c r="E84" s="87"/>
      <c r="F84" s="88" t="s">
        <v>211</v>
      </c>
      <c r="G84" s="88"/>
      <c r="H84" s="88"/>
    </row>
    <row r="85" spans="1:8" s="31" customFormat="1" x14ac:dyDescent="0.25">
      <c r="A85" s="87" t="s">
        <v>212</v>
      </c>
      <c r="B85" s="87"/>
      <c r="C85" s="87"/>
      <c r="D85" s="87"/>
      <c r="E85" s="87"/>
      <c r="F85" s="88">
        <v>5000</v>
      </c>
      <c r="G85" s="88"/>
      <c r="H85" s="88"/>
    </row>
    <row r="86" spans="1:8" s="31" customFormat="1" x14ac:dyDescent="0.25">
      <c r="A86" s="87" t="s">
        <v>213</v>
      </c>
      <c r="B86" s="87"/>
      <c r="C86" s="87"/>
      <c r="D86" s="87"/>
      <c r="E86" s="87"/>
      <c r="F86" s="88">
        <v>250000</v>
      </c>
      <c r="G86" s="88"/>
      <c r="H86" s="88"/>
    </row>
    <row r="87" spans="1:8" s="31" customFormat="1" x14ac:dyDescent="0.25">
      <c r="A87" s="87" t="s">
        <v>214</v>
      </c>
      <c r="B87" s="87"/>
      <c r="C87" s="87"/>
      <c r="D87" s="87"/>
      <c r="E87" s="87"/>
      <c r="F87" s="88">
        <v>250000</v>
      </c>
      <c r="G87" s="88"/>
      <c r="H87" s="88"/>
    </row>
    <row r="88" spans="1:8" s="31" customFormat="1" x14ac:dyDescent="0.25">
      <c r="A88" s="87" t="s">
        <v>215</v>
      </c>
      <c r="B88" s="87"/>
      <c r="C88" s="87"/>
      <c r="D88" s="87"/>
      <c r="E88" s="87"/>
      <c r="F88" s="88">
        <v>250000</v>
      </c>
      <c r="G88" s="88"/>
      <c r="H88" s="88"/>
    </row>
    <row r="89" spans="1:8" s="31" customFormat="1" x14ac:dyDescent="0.25">
      <c r="A89" s="87" t="s">
        <v>216</v>
      </c>
      <c r="B89" s="87"/>
      <c r="C89" s="87"/>
      <c r="D89" s="87"/>
      <c r="E89" s="87"/>
      <c r="F89" s="88">
        <v>70000</v>
      </c>
      <c r="G89" s="88"/>
      <c r="H89" s="88"/>
    </row>
    <row r="90" spans="1:8" s="31" customFormat="1" hidden="1" x14ac:dyDescent="0.25">
      <c r="A90" s="87" t="s">
        <v>217</v>
      </c>
      <c r="B90" s="87"/>
      <c r="C90" s="87"/>
      <c r="D90" s="87"/>
      <c r="E90" s="87"/>
      <c r="F90" s="88">
        <v>10000</v>
      </c>
      <c r="G90" s="88"/>
      <c r="H90" s="88"/>
    </row>
    <row r="91" spans="1:8" s="31" customFormat="1" x14ac:dyDescent="0.25">
      <c r="A91" s="87" t="s">
        <v>218</v>
      </c>
      <c r="B91" s="87"/>
      <c r="C91" s="87"/>
      <c r="D91" s="87"/>
      <c r="E91" s="87"/>
      <c r="F91" s="88">
        <v>100000</v>
      </c>
      <c r="G91" s="88"/>
      <c r="H91" s="88"/>
    </row>
    <row r="92" spans="1:8" x14ac:dyDescent="0.25">
      <c r="A92" s="87" t="s">
        <v>52</v>
      </c>
      <c r="B92" s="87"/>
      <c r="C92" s="87"/>
      <c r="D92" s="87"/>
      <c r="E92" s="87"/>
      <c r="F92" s="88">
        <v>500000</v>
      </c>
      <c r="G92" s="88"/>
      <c r="H92" s="88"/>
    </row>
    <row r="93" spans="1:8" s="32" customFormat="1" x14ac:dyDescent="0.25">
      <c r="A93" s="78" t="s">
        <v>53</v>
      </c>
      <c r="B93" s="78"/>
      <c r="C93" s="78"/>
      <c r="D93" s="78"/>
      <c r="E93" s="78"/>
      <c r="F93" s="86">
        <f>F81*0.8</f>
        <v>7200</v>
      </c>
      <c r="G93" s="86"/>
      <c r="H93" s="86"/>
    </row>
    <row r="94" spans="1:8" s="33" customFormat="1" x14ac:dyDescent="0.25">
      <c r="A94" s="95" t="s">
        <v>72</v>
      </c>
      <c r="B94" s="95"/>
      <c r="C94" s="95"/>
      <c r="D94" s="95"/>
      <c r="E94" s="95"/>
      <c r="F94" s="95"/>
      <c r="G94" s="95"/>
      <c r="H94" s="95"/>
    </row>
    <row r="95" spans="1:8" s="33" customFormat="1" ht="15.75" customHeight="1" x14ac:dyDescent="0.25">
      <c r="A95" s="99" t="s">
        <v>54</v>
      </c>
      <c r="B95" s="99"/>
      <c r="C95" s="98" t="s">
        <v>80</v>
      </c>
      <c r="D95" s="98"/>
      <c r="E95" s="97" t="s">
        <v>55</v>
      </c>
      <c r="F95" s="97"/>
      <c r="G95" s="99" t="s">
        <v>56</v>
      </c>
      <c r="H95" s="99"/>
    </row>
    <row r="96" spans="1:8" s="33" customFormat="1" x14ac:dyDescent="0.25">
      <c r="A96" s="152" t="s">
        <v>207</v>
      </c>
      <c r="B96" s="152"/>
      <c r="C96" s="112">
        <f>COUNT(D105:D107)+COUNT(D109:D112)+COUNT(D114:D117)+COUNT(D119:D122)+COUNT(D124:D127)+COUNT(D130:D137)*9+COUNT(D139:D146)*9+COUNT(D148:D155)*12+COUNT(D157:D164)*12</f>
        <v>355</v>
      </c>
      <c r="D96" s="112"/>
      <c r="E96" s="113">
        <f>SUM(D105:D107)+SUM(D109:D112)+SUM(D114:D117)+SUM(D119:D122)+SUM(D124:D127)+SUM(D130:D137)*9+SUM(D139:D146)*9+SUM(D148:D155)*12+SUM(D157:D164)*12</f>
        <v>204809.71726799995</v>
      </c>
      <c r="F96" s="113"/>
      <c r="G96" s="113">
        <f>SUM(F105:F107)+SUM(F109:F112)+SUM(F114:F117)+SUM(F119:F122)+SUM(F124:F127)+SUM(F130:F137)*9+SUM(F139:F146)*9+SUM(F148:F155)*12+SUM(F157:F164)*12</f>
        <v>342510.81045479991</v>
      </c>
      <c r="H96" s="113"/>
    </row>
    <row r="97" spans="1:14" s="33" customFormat="1" hidden="1" x14ac:dyDescent="0.25">
      <c r="A97" s="95" t="s">
        <v>147</v>
      </c>
      <c r="B97" s="95"/>
      <c r="C97" s="98">
        <f>SUM(C96)</f>
        <v>355</v>
      </c>
      <c r="D97" s="98"/>
      <c r="E97" s="96">
        <f>SUM(E96)</f>
        <v>204809.71726799995</v>
      </c>
      <c r="F97" s="97"/>
      <c r="G97" s="99">
        <f>SUM(G96)</f>
        <v>342510.81045479991</v>
      </c>
      <c r="H97" s="99"/>
    </row>
    <row r="98" spans="1:14" s="32" customFormat="1" x14ac:dyDescent="0.25">
      <c r="A98" s="154" t="s">
        <v>57</v>
      </c>
      <c r="B98" s="154"/>
      <c r="C98" s="154"/>
      <c r="D98" s="154"/>
      <c r="E98" s="154"/>
      <c r="F98" s="154"/>
      <c r="G98" s="154"/>
      <c r="H98" s="154"/>
    </row>
    <row r="99" spans="1:14" x14ac:dyDescent="0.25">
      <c r="A99" s="108" t="s">
        <v>58</v>
      </c>
      <c r="B99" s="108"/>
      <c r="C99" s="108"/>
      <c r="D99" s="108"/>
      <c r="E99" s="108"/>
      <c r="F99" s="108"/>
      <c r="G99" s="108"/>
      <c r="H99" s="108"/>
    </row>
    <row r="100" spans="1:14" ht="47.25" customHeight="1" x14ac:dyDescent="0.25">
      <c r="A100" s="104" t="s">
        <v>116</v>
      </c>
      <c r="B100" s="104" t="s">
        <v>117</v>
      </c>
      <c r="C100" s="100" t="s">
        <v>59</v>
      </c>
      <c r="D100" s="100" t="s">
        <v>60</v>
      </c>
      <c r="E100" s="102" t="s">
        <v>61</v>
      </c>
      <c r="F100" s="41" t="s">
        <v>146</v>
      </c>
      <c r="G100" s="104" t="s">
        <v>62</v>
      </c>
      <c r="H100" s="105"/>
      <c r="I100" s="34"/>
    </row>
    <row r="101" spans="1:14" s="35" customFormat="1" x14ac:dyDescent="0.25">
      <c r="A101" s="106"/>
      <c r="B101" s="106"/>
      <c r="C101" s="101"/>
      <c r="D101" s="101"/>
      <c r="E101" s="103"/>
      <c r="F101" s="13">
        <v>0.6</v>
      </c>
      <c r="G101" s="106"/>
      <c r="H101" s="107"/>
      <c r="I101" s="34"/>
    </row>
    <row r="102" spans="1:14" s="49" customFormat="1" x14ac:dyDescent="0.25">
      <c r="A102" s="63" t="s">
        <v>191</v>
      </c>
      <c r="B102" s="64"/>
      <c r="C102" s="64"/>
      <c r="D102" s="64"/>
      <c r="E102" s="64"/>
      <c r="F102" s="64"/>
      <c r="G102" s="64"/>
      <c r="H102" s="65"/>
      <c r="J102" s="34"/>
    </row>
    <row r="103" spans="1:14" s="49" customFormat="1" x14ac:dyDescent="0.25">
      <c r="A103" s="63" t="s">
        <v>192</v>
      </c>
      <c r="B103" s="64"/>
      <c r="C103" s="64"/>
      <c r="D103" s="64"/>
      <c r="E103" s="64"/>
      <c r="F103" s="64"/>
      <c r="G103" s="64"/>
      <c r="H103" s="65"/>
      <c r="J103" s="57">
        <v>10.763999999999999</v>
      </c>
    </row>
    <row r="104" spans="1:14" s="35" customFormat="1" x14ac:dyDescent="0.25">
      <c r="A104" s="63" t="s">
        <v>193</v>
      </c>
      <c r="B104" s="64"/>
      <c r="C104" s="64"/>
      <c r="D104" s="64"/>
      <c r="E104" s="64"/>
      <c r="F104" s="64"/>
      <c r="G104" s="64"/>
      <c r="H104" s="65"/>
      <c r="J104" s="34"/>
    </row>
    <row r="105" spans="1:14" s="35" customFormat="1" ht="15.75" customHeight="1" x14ac:dyDescent="0.25">
      <c r="A105" s="66">
        <v>1</v>
      </c>
      <c r="B105" s="67"/>
      <c r="C105" s="40" t="s">
        <v>194</v>
      </c>
      <c r="D105" s="57">
        <f>(47.87+3.08*1+2.16*1.3+1.39*0.54+1.56*0.6)*10.764</f>
        <v>596.80567439999993</v>
      </c>
      <c r="E105" s="57">
        <f>(2.3*1.25+0.5*0.9*1.25)*10.764</f>
        <v>37.001249999999999</v>
      </c>
      <c r="F105" s="40">
        <f>D105*(($F$101)+1)+(IF(E105&lt;101,E105,IF(E105&lt;201,E105/2,IF(E105&lt;=301,E105/3,E105/4))))</f>
        <v>991.89032903999998</v>
      </c>
      <c r="G105" s="68" t="str">
        <f>A104</f>
        <v>1st Odd Floor for Parking &amp; Residential</v>
      </c>
      <c r="H105" s="69"/>
      <c r="I105" s="34"/>
      <c r="L105" s="74"/>
      <c r="M105" s="74"/>
      <c r="N105" s="34"/>
    </row>
    <row r="106" spans="1:14" s="35" customFormat="1" x14ac:dyDescent="0.25">
      <c r="A106" s="66">
        <f t="shared" ref="A106:A107" si="0">A105+1</f>
        <v>2</v>
      </c>
      <c r="B106" s="67"/>
      <c r="C106" s="40" t="s">
        <v>194</v>
      </c>
      <c r="D106" s="57">
        <f>(47.87+3.08*1+2.16*1.3+1.39*0.54+1.56*0.6)*10.764</f>
        <v>596.80567439999993</v>
      </c>
      <c r="E106" s="57">
        <f>(2.48*0.83+3.23*0.5)*10.764</f>
        <v>39.540477599999996</v>
      </c>
      <c r="F106" s="40">
        <f>D106*(($F$101)+1)+(IF(E106&lt;101,E106,IF(E106&lt;201,E106/2,IF(E106&lt;=301,E106/3,E106/4))))</f>
        <v>994.42955663999999</v>
      </c>
      <c r="G106" s="70"/>
      <c r="H106" s="71"/>
      <c r="I106" s="34"/>
      <c r="L106" s="74"/>
      <c r="M106" s="74"/>
      <c r="N106" s="34"/>
    </row>
    <row r="107" spans="1:14" s="35" customFormat="1" x14ac:dyDescent="0.25">
      <c r="A107" s="66">
        <f t="shared" si="0"/>
        <v>3</v>
      </c>
      <c r="B107" s="67"/>
      <c r="C107" s="40" t="s">
        <v>195</v>
      </c>
      <c r="D107" s="57">
        <f>(3.08*4.21+1.07*1.4+2.13*3.15+3.08*3.22+2.28*1.35+1.45*2.33+0.9*2.13+1.8*0.35)*10.764</f>
        <v>431.58688560000002</v>
      </c>
      <c r="E107" s="57">
        <f>(2.48*0.83+3.23*0.5)*10.764</f>
        <v>39.540477599999996</v>
      </c>
      <c r="F107" s="40">
        <f>D107*(($F$101)+1)+(IF(E107&lt;101,E107,IF(E107&lt;201,E107/2,IF(E107&lt;=301,E107/3,E107/4))))</f>
        <v>730.07949456000006</v>
      </c>
      <c r="G107" s="72"/>
      <c r="H107" s="73"/>
      <c r="I107" s="34"/>
      <c r="L107" s="74"/>
      <c r="M107" s="74"/>
      <c r="N107" s="34"/>
    </row>
    <row r="108" spans="1:14" s="49" customFormat="1" x14ac:dyDescent="0.25">
      <c r="A108" s="63" t="s">
        <v>196</v>
      </c>
      <c r="B108" s="64"/>
      <c r="C108" s="64"/>
      <c r="D108" s="64"/>
      <c r="E108" s="64"/>
      <c r="F108" s="64"/>
      <c r="G108" s="64"/>
      <c r="H108" s="65"/>
      <c r="J108" s="34"/>
    </row>
    <row r="109" spans="1:14" s="49" customFormat="1" ht="15.75" customHeight="1" x14ac:dyDescent="0.25">
      <c r="A109" s="66">
        <v>1</v>
      </c>
      <c r="B109" s="67"/>
      <c r="C109" s="48" t="s">
        <v>194</v>
      </c>
      <c r="D109" s="57">
        <f>(48.18+2.16*1.39+3.08*1.02+1.86*0.3+1.39*0.54+1.56*0.6)*10.764</f>
        <v>608.90441039999996</v>
      </c>
      <c r="E109" s="57">
        <f>(2.5*1.7)*10.764</f>
        <v>45.747</v>
      </c>
      <c r="F109" s="48">
        <f>D109*(($F$101)+1)+(IF(E109&lt;101,E109,IF(E109&lt;201,E109/2,IF(E109&lt;=301,E109/3,E109/4))))</f>
        <v>1019.9940566399999</v>
      </c>
      <c r="G109" s="68" t="str">
        <f>A108</f>
        <v>2nd Even Floor</v>
      </c>
      <c r="H109" s="69"/>
      <c r="I109" s="34"/>
      <c r="L109" s="74"/>
      <c r="M109" s="74"/>
      <c r="N109" s="34"/>
    </row>
    <row r="110" spans="1:14" s="49" customFormat="1" x14ac:dyDescent="0.25">
      <c r="A110" s="66">
        <f t="shared" ref="A110:A112" si="1">A109+1</f>
        <v>2</v>
      </c>
      <c r="B110" s="67"/>
      <c r="C110" s="48" t="s">
        <v>194</v>
      </c>
      <c r="D110" s="57">
        <f>(48.18+2.16*1.39+3.08*1.02+1.86*0.3+1.39*0.54+1.56*0.6)*10.764</f>
        <v>608.90441039999996</v>
      </c>
      <c r="E110" s="57">
        <f>(2.5*1.7)*10.764</f>
        <v>45.747</v>
      </c>
      <c r="F110" s="48">
        <f>D110*(($F$101)+1)+(IF(E110&lt;101,E110,IF(E110&lt;201,E110/2,IF(E110&lt;=301,E110/3,E110/4))))</f>
        <v>1019.9940566399999</v>
      </c>
      <c r="G110" s="70"/>
      <c r="H110" s="71"/>
      <c r="I110" s="34"/>
      <c r="L110" s="74"/>
      <c r="M110" s="74"/>
      <c r="N110" s="34"/>
    </row>
    <row r="111" spans="1:14" s="49" customFormat="1" x14ac:dyDescent="0.25">
      <c r="A111" s="66">
        <f t="shared" si="1"/>
        <v>3</v>
      </c>
      <c r="B111" s="67"/>
      <c r="C111" s="48" t="s">
        <v>194</v>
      </c>
      <c r="D111" s="57">
        <f>(47.92+2.16*1.39+3.08*1.02+1.86*0.6+1.39*0.54+1.56*0.6)*10.764</f>
        <v>612.11208239999996</v>
      </c>
      <c r="E111" s="57">
        <f>(2.5*1.7)*10.764</f>
        <v>45.747</v>
      </c>
      <c r="F111" s="48">
        <f>D111*(($F$101)+1)+(IF(E111&lt;101,E111,IF(E111&lt;201,E111/2,IF(E111&lt;=301,E111/3,E111/4))))</f>
        <v>1025.1263318399999</v>
      </c>
      <c r="G111" s="70"/>
      <c r="H111" s="71"/>
      <c r="I111" s="34"/>
      <c r="L111" s="74"/>
      <c r="M111" s="74"/>
      <c r="N111" s="34"/>
    </row>
    <row r="112" spans="1:14" s="49" customFormat="1" x14ac:dyDescent="0.25">
      <c r="A112" s="66">
        <f t="shared" si="1"/>
        <v>4</v>
      </c>
      <c r="B112" s="67"/>
      <c r="C112" s="48" t="s">
        <v>197</v>
      </c>
      <c r="D112" s="57">
        <f>(42.01+2.16*1.1+3.08*1.02+1.86*0.6+1.08*0.6+0.94*0.6)*10.764</f>
        <v>536.64567839999995</v>
      </c>
      <c r="E112" s="57">
        <f>(2.5*1.7)*10.764</f>
        <v>45.747</v>
      </c>
      <c r="F112" s="48">
        <f>D112*(($F$101)+1)+(IF(E112&lt;101,E112,IF(E112&lt;201,E112/2,IF(E112&lt;=301,E112/3,E112/4))))</f>
        <v>904.3800854399999</v>
      </c>
      <c r="G112" s="72"/>
      <c r="H112" s="73"/>
      <c r="I112" s="34"/>
      <c r="L112" s="74"/>
      <c r="M112" s="74"/>
      <c r="N112" s="34"/>
    </row>
    <row r="113" spans="1:14" s="49" customFormat="1" x14ac:dyDescent="0.25">
      <c r="A113" s="63" t="s">
        <v>198</v>
      </c>
      <c r="B113" s="64"/>
      <c r="C113" s="64"/>
      <c r="D113" s="64"/>
      <c r="E113" s="64"/>
      <c r="F113" s="64"/>
      <c r="G113" s="64"/>
      <c r="H113" s="65"/>
      <c r="J113" s="34"/>
    </row>
    <row r="114" spans="1:14" s="49" customFormat="1" ht="15.75" customHeight="1" x14ac:dyDescent="0.25">
      <c r="A114" s="66">
        <v>1</v>
      </c>
      <c r="B114" s="67"/>
      <c r="C114" s="48" t="s">
        <v>194</v>
      </c>
      <c r="D114" s="57">
        <f>(47.87+3.08*1+2.16*1.3+1.39*0.54+1.56*0.3)*10.764</f>
        <v>591.76812239999981</v>
      </c>
      <c r="E114" s="57">
        <f>(2.3*1.25+0.5*0.9*1.25)*10.764</f>
        <v>37.001249999999999</v>
      </c>
      <c r="F114" s="48">
        <f>D114*(($F$101)+1)+(IF(E114&lt;101,E114,IF(E114&lt;201,E114/2,IF(E114&lt;=301,E114/3,E114/4))))</f>
        <v>983.83024583999975</v>
      </c>
      <c r="G114" s="68" t="str">
        <f>A113</f>
        <v>3rd Odd Floor</v>
      </c>
      <c r="H114" s="69"/>
      <c r="I114" s="34"/>
      <c r="L114" s="74"/>
      <c r="M114" s="74"/>
      <c r="N114" s="34"/>
    </row>
    <row r="115" spans="1:14" s="49" customFormat="1" x14ac:dyDescent="0.25">
      <c r="A115" s="66">
        <f t="shared" ref="A115:A117" si="2">A114+1</f>
        <v>2</v>
      </c>
      <c r="B115" s="67"/>
      <c r="C115" s="48" t="s">
        <v>194</v>
      </c>
      <c r="D115" s="57">
        <f>(47.87+3.08*1+2.16*1.3+1.39*0.54+1.56*0.3)*10.764</f>
        <v>591.76812239999981</v>
      </c>
      <c r="E115" s="57">
        <f>(2.48*0.8+3.23*0.5)*10.764</f>
        <v>38.739635999999997</v>
      </c>
      <c r="F115" s="48">
        <f>D115*(($F$101)+1)+(IF(E115&lt;101,E115,IF(E115&lt;201,E115/2,IF(E115&lt;=301,E115/3,E115/4))))</f>
        <v>985.56863183999974</v>
      </c>
      <c r="G115" s="70"/>
      <c r="H115" s="71"/>
      <c r="I115" s="34"/>
      <c r="L115" s="74"/>
      <c r="M115" s="74"/>
      <c r="N115" s="34"/>
    </row>
    <row r="116" spans="1:14" s="49" customFormat="1" x14ac:dyDescent="0.25">
      <c r="A116" s="66">
        <f t="shared" si="2"/>
        <v>3</v>
      </c>
      <c r="B116" s="67"/>
      <c r="C116" s="48" t="s">
        <v>194</v>
      </c>
      <c r="D116" s="57">
        <f>(47.61+3.08*1+2.16*1.39+1.56*0.6+1.29*0.54+1.86*0.6)*10.764</f>
        <v>607.53092400000003</v>
      </c>
      <c r="E116" s="57">
        <f>(2.48*0.8+3.23*0.5)*10.764</f>
        <v>38.739635999999997</v>
      </c>
      <c r="F116" s="48">
        <f>D116*(($F$101)+1)+(IF(E116&lt;101,E116,IF(E116&lt;201,E116/2,IF(E116&lt;=301,E116/3,E116/4))))</f>
        <v>1010.7891144000001</v>
      </c>
      <c r="G116" s="70"/>
      <c r="H116" s="71"/>
      <c r="I116" s="34"/>
      <c r="L116" s="74"/>
      <c r="M116" s="74"/>
      <c r="N116" s="34"/>
    </row>
    <row r="117" spans="1:14" s="49" customFormat="1" x14ac:dyDescent="0.25">
      <c r="A117" s="66">
        <f t="shared" si="2"/>
        <v>4</v>
      </c>
      <c r="B117" s="67"/>
      <c r="C117" s="48" t="s">
        <v>197</v>
      </c>
      <c r="D117" s="57">
        <f>(41.66)*10.764</f>
        <v>448.42823999999996</v>
      </c>
      <c r="E117" s="57">
        <f>(2.48*0.8+3.23*0.5)*10.764</f>
        <v>38.739635999999997</v>
      </c>
      <c r="F117" s="48">
        <f>D117*(($F$101)+1)+(IF(E117&lt;101,E117,IF(E117&lt;201,E117/2,IF(E117&lt;=301,E117/3,E117/4))))</f>
        <v>756.22482000000002</v>
      </c>
      <c r="G117" s="72"/>
      <c r="H117" s="73"/>
      <c r="I117" s="34"/>
      <c r="L117" s="74"/>
      <c r="M117" s="74"/>
      <c r="N117" s="34"/>
    </row>
    <row r="118" spans="1:14" s="49" customFormat="1" x14ac:dyDescent="0.25">
      <c r="A118" s="63" t="s">
        <v>199</v>
      </c>
      <c r="B118" s="64"/>
      <c r="C118" s="64"/>
      <c r="D118" s="64"/>
      <c r="E118" s="64"/>
      <c r="F118" s="64"/>
      <c r="G118" s="64"/>
      <c r="H118" s="65"/>
      <c r="J118" s="34"/>
    </row>
    <row r="119" spans="1:14" s="49" customFormat="1" ht="15.75" customHeight="1" x14ac:dyDescent="0.25">
      <c r="A119" s="66">
        <v>1</v>
      </c>
      <c r="B119" s="67"/>
      <c r="C119" s="48" t="s">
        <v>194</v>
      </c>
      <c r="D119" s="57">
        <f>(48.18+2.16*1.39+3.08*1.02+1.86*0.3+1.39*0.54+1.56*0.6)*10.764</f>
        <v>608.90441039999996</v>
      </c>
      <c r="E119" s="57">
        <f>(2.5*1.7)*10.764</f>
        <v>45.747</v>
      </c>
      <c r="F119" s="48">
        <f>D119*(($F$101)+1)+(IF(E119&lt;101,E119,IF(E119&lt;201,E119/2,IF(E119&lt;=301,E119/3,E119/4))))</f>
        <v>1019.9940566399999</v>
      </c>
      <c r="G119" s="68" t="str">
        <f>A118</f>
        <v>4th Even Floor</v>
      </c>
      <c r="H119" s="69"/>
      <c r="I119" s="34"/>
      <c r="L119" s="74"/>
      <c r="M119" s="74"/>
      <c r="N119" s="34"/>
    </row>
    <row r="120" spans="1:14" s="49" customFormat="1" x14ac:dyDescent="0.25">
      <c r="A120" s="66">
        <f t="shared" ref="A120:A122" si="3">A119+1</f>
        <v>2</v>
      </c>
      <c r="B120" s="67"/>
      <c r="C120" s="48" t="s">
        <v>194</v>
      </c>
      <c r="D120" s="57">
        <f>(48.18+2.16*1.39+3.08*1.02+1.86*0.3+1.39*0.54+1.56*0.6)*10.764</f>
        <v>608.90441039999996</v>
      </c>
      <c r="E120" s="57">
        <f>(2.5*1.7)*10.764</f>
        <v>45.747</v>
      </c>
      <c r="F120" s="48">
        <f>D120*(($F$101)+1)+(IF(E120&lt;101,E120,IF(E120&lt;201,E120/2,IF(E120&lt;=301,E120/3,E120/4))))</f>
        <v>1019.9940566399999</v>
      </c>
      <c r="G120" s="70"/>
      <c r="H120" s="71"/>
      <c r="I120" s="34"/>
      <c r="L120" s="74"/>
      <c r="M120" s="74"/>
      <c r="N120" s="34"/>
    </row>
    <row r="121" spans="1:14" s="49" customFormat="1" x14ac:dyDescent="0.25">
      <c r="A121" s="66">
        <f t="shared" si="3"/>
        <v>3</v>
      </c>
      <c r="B121" s="67"/>
      <c r="C121" s="48" t="s">
        <v>194</v>
      </c>
      <c r="D121" s="57">
        <f>(47.92+2.16*1.39+3.08*1.02+1.86*0.6+1.39*0.54+1.56*0.6)*10.764</f>
        <v>612.11208239999996</v>
      </c>
      <c r="E121" s="57">
        <f>(2.5*1.7)*10.764</f>
        <v>45.747</v>
      </c>
      <c r="F121" s="48">
        <f>D121*(($F$101)+1)+(IF(E121&lt;101,E121,IF(E121&lt;201,E121/2,IF(E121&lt;=301,E121/3,E121/4))))</f>
        <v>1025.1263318399999</v>
      </c>
      <c r="G121" s="70"/>
      <c r="H121" s="71"/>
      <c r="I121" s="34"/>
      <c r="L121" s="74"/>
      <c r="M121" s="74"/>
      <c r="N121" s="34"/>
    </row>
    <row r="122" spans="1:14" s="49" customFormat="1" x14ac:dyDescent="0.25">
      <c r="A122" s="66">
        <f t="shared" si="3"/>
        <v>4</v>
      </c>
      <c r="B122" s="67"/>
      <c r="C122" s="48" t="s">
        <v>197</v>
      </c>
      <c r="D122" s="57">
        <f>(42.01+2.16*1.1+3.08*1.02+1.86*0.6+1.08*0.6+0.94*0.6)*10.764</f>
        <v>536.64567839999995</v>
      </c>
      <c r="E122" s="57">
        <f>(2.5*1.7)*10.764</f>
        <v>45.747</v>
      </c>
      <c r="F122" s="48">
        <f>D122*(($F$101)+1)+(IF(E122&lt;101,E122,IF(E122&lt;201,E122/2,IF(E122&lt;=301,E122/3,E122/4))))</f>
        <v>904.3800854399999</v>
      </c>
      <c r="G122" s="72"/>
      <c r="H122" s="73"/>
      <c r="I122" s="34"/>
      <c r="L122" s="74"/>
      <c r="M122" s="74"/>
      <c r="N122" s="34"/>
    </row>
    <row r="123" spans="1:14" s="49" customFormat="1" x14ac:dyDescent="0.25">
      <c r="A123" s="63" t="s">
        <v>200</v>
      </c>
      <c r="B123" s="64"/>
      <c r="C123" s="64"/>
      <c r="D123" s="64"/>
      <c r="E123" s="64"/>
      <c r="F123" s="64"/>
      <c r="G123" s="64"/>
      <c r="H123" s="65"/>
      <c r="J123" s="34"/>
    </row>
    <row r="124" spans="1:14" s="49" customFormat="1" ht="15.75" customHeight="1" x14ac:dyDescent="0.25">
      <c r="A124" s="66">
        <v>1</v>
      </c>
      <c r="B124" s="67"/>
      <c r="C124" s="48" t="s">
        <v>194</v>
      </c>
      <c r="D124" s="57">
        <f>(47.87+3.08*1+2.16*1.3+1.39*0.54+1.56*0.3)*10.764</f>
        <v>591.76812239999981</v>
      </c>
      <c r="E124" s="57">
        <f>(2.3*1.25+0.5*0.9*1.25)*10.764</f>
        <v>37.001249999999999</v>
      </c>
      <c r="F124" s="48">
        <f>D124*(($F$101)+1)+(IF(E124&lt;101,E124,IF(E124&lt;201,E124/2,IF(E124&lt;=301,E124/3,E124/4))))</f>
        <v>983.83024583999975</v>
      </c>
      <c r="G124" s="68" t="str">
        <f>A123</f>
        <v>5th Odd Floor</v>
      </c>
      <c r="H124" s="69"/>
      <c r="I124" s="34"/>
      <c r="L124" s="74"/>
      <c r="M124" s="74"/>
      <c r="N124" s="34"/>
    </row>
    <row r="125" spans="1:14" s="49" customFormat="1" x14ac:dyDescent="0.25">
      <c r="A125" s="66">
        <f t="shared" ref="A125:A127" si="4">A124+1</f>
        <v>2</v>
      </c>
      <c r="B125" s="67"/>
      <c r="C125" s="48" t="s">
        <v>194</v>
      </c>
      <c r="D125" s="57">
        <f>(47.87+3.08*1+2.16*1.3+1.39*0.54+1.56*0.3)*10.764</f>
        <v>591.76812239999981</v>
      </c>
      <c r="E125" s="57">
        <f>(2.48*1.35)*10.764</f>
        <v>36.037872</v>
      </c>
      <c r="F125" s="48">
        <f>D125*(($F$101)+1)+(IF(E125&lt;101,E125,IF(E125&lt;201,E125/2,IF(E125&lt;=301,E125/3,E125/4))))</f>
        <v>982.86686783999971</v>
      </c>
      <c r="G125" s="70"/>
      <c r="H125" s="71"/>
      <c r="I125" s="34"/>
      <c r="L125" s="74"/>
      <c r="M125" s="74"/>
      <c r="N125" s="34"/>
    </row>
    <row r="126" spans="1:14" s="49" customFormat="1" x14ac:dyDescent="0.25">
      <c r="A126" s="66">
        <f t="shared" si="4"/>
        <v>3</v>
      </c>
      <c r="B126" s="67"/>
      <c r="C126" s="48" t="s">
        <v>194</v>
      </c>
      <c r="D126" s="57">
        <f>(47.61+3.08*1+2.16*1.39+1.56*0.6+1.29*0.54+1.86*0.6)*10.764</f>
        <v>607.53092400000003</v>
      </c>
      <c r="E126" s="57">
        <f>(2.48*0.8+3.23*0.5)*10.764</f>
        <v>38.739635999999997</v>
      </c>
      <c r="F126" s="48">
        <f>D126*(($F$101)+1)+(IF(E126&lt;101,E126,IF(E126&lt;201,E126/2,IF(E126&lt;=301,E126/3,E126/4))))</f>
        <v>1010.7891144000001</v>
      </c>
      <c r="G126" s="70"/>
      <c r="H126" s="71"/>
      <c r="I126" s="34"/>
      <c r="L126" s="74"/>
      <c r="M126" s="74"/>
      <c r="N126" s="34"/>
    </row>
    <row r="127" spans="1:14" s="49" customFormat="1" x14ac:dyDescent="0.25">
      <c r="A127" s="66">
        <f t="shared" si="4"/>
        <v>4</v>
      </c>
      <c r="B127" s="67"/>
      <c r="C127" s="48" t="s">
        <v>197</v>
      </c>
      <c r="D127" s="57">
        <f>(41.66+3.08*1+2.16*1.1+1.08*0.6+0.94*0.6+1.86*0.6)*10.764</f>
        <v>532.21521599999994</v>
      </c>
      <c r="E127" s="57">
        <f>(2.48*0.8+3.23*0.5)*10.764</f>
        <v>38.739635999999997</v>
      </c>
      <c r="F127" s="48">
        <f>D127*(($F$101)+1)+(IF(E127&lt;101,E127,IF(E127&lt;201,E127/2,IF(E127&lt;=301,E127/3,E127/4))))</f>
        <v>890.28398159999995</v>
      </c>
      <c r="G127" s="72"/>
      <c r="H127" s="73"/>
      <c r="I127" s="34"/>
      <c r="L127" s="74"/>
      <c r="M127" s="74"/>
      <c r="N127" s="34"/>
    </row>
    <row r="128" spans="1:14" s="49" customFormat="1" x14ac:dyDescent="0.25">
      <c r="A128" s="63" t="s">
        <v>201</v>
      </c>
      <c r="B128" s="64"/>
      <c r="C128" s="64"/>
      <c r="D128" s="64"/>
      <c r="E128" s="64"/>
      <c r="F128" s="64"/>
      <c r="G128" s="64"/>
      <c r="H128" s="65"/>
      <c r="J128" s="34"/>
    </row>
    <row r="129" spans="1:14" s="49" customFormat="1" x14ac:dyDescent="0.25">
      <c r="A129" s="63" t="s">
        <v>202</v>
      </c>
      <c r="B129" s="64"/>
      <c r="C129" s="64"/>
      <c r="D129" s="64"/>
      <c r="E129" s="64"/>
      <c r="F129" s="64"/>
      <c r="G129" s="64"/>
      <c r="H129" s="65"/>
      <c r="J129" s="34"/>
    </row>
    <row r="130" spans="1:14" s="49" customFormat="1" ht="15.75" customHeight="1" x14ac:dyDescent="0.25">
      <c r="A130" s="66">
        <v>1</v>
      </c>
      <c r="B130" s="67"/>
      <c r="C130" s="48" t="s">
        <v>194</v>
      </c>
      <c r="D130" s="57">
        <f>(48.18+2.16*1.39+3.08*1.02+1.86*0.3+1.39*0.54+1.56*0.6)*10.764</f>
        <v>608.90441039999996</v>
      </c>
      <c r="E130" s="57">
        <f t="shared" ref="E130:E137" si="5">(2.5*1.7)*10.764</f>
        <v>45.747</v>
      </c>
      <c r="F130" s="48">
        <f t="shared" ref="F130:F137" si="6">D130*(($F$101)+1)+(IF(E130&lt;101,E130,IF(E130&lt;201,E130/2,IF(E130&lt;=301,E130/3,E130/4))))</f>
        <v>1019.9940566399999</v>
      </c>
      <c r="G130" s="68" t="str">
        <f>A129</f>
        <v>6th, 8th, 10th, 12th, 14th, 16th, 18th, 20th, 22nd Floor</v>
      </c>
      <c r="H130" s="69"/>
      <c r="I130" s="34"/>
      <c r="L130" s="74"/>
      <c r="M130" s="74"/>
      <c r="N130" s="34"/>
    </row>
    <row r="131" spans="1:14" s="49" customFormat="1" x14ac:dyDescent="0.25">
      <c r="A131" s="66">
        <f t="shared" ref="A131:A137" si="7">A130+1</f>
        <v>2</v>
      </c>
      <c r="B131" s="67"/>
      <c r="C131" s="48" t="s">
        <v>194</v>
      </c>
      <c r="D131" s="57">
        <f>(48.18+2.16*1.39+3.08*1.02+1.86*0.3+1.39*0.54+1.56*0.6)*10.764</f>
        <v>608.90441039999996</v>
      </c>
      <c r="E131" s="57">
        <f t="shared" si="5"/>
        <v>45.747</v>
      </c>
      <c r="F131" s="48">
        <f t="shared" si="6"/>
        <v>1019.9940566399999</v>
      </c>
      <c r="G131" s="70"/>
      <c r="H131" s="71"/>
      <c r="I131" s="34"/>
      <c r="L131" s="74"/>
      <c r="M131" s="74"/>
      <c r="N131" s="34"/>
    </row>
    <row r="132" spans="1:14" s="49" customFormat="1" x14ac:dyDescent="0.25">
      <c r="A132" s="66">
        <f t="shared" si="7"/>
        <v>3</v>
      </c>
      <c r="B132" s="67"/>
      <c r="C132" s="48" t="s">
        <v>194</v>
      </c>
      <c r="D132" s="57">
        <f>(47.92+2.16*1.39+3.08*1.02+1.86*0.6+1.39*0.54+1.56*0.6)*10.764</f>
        <v>612.11208239999996</v>
      </c>
      <c r="E132" s="57">
        <f t="shared" si="5"/>
        <v>45.747</v>
      </c>
      <c r="F132" s="48">
        <f t="shared" si="6"/>
        <v>1025.1263318399999</v>
      </c>
      <c r="G132" s="70"/>
      <c r="H132" s="71"/>
      <c r="I132" s="34"/>
      <c r="L132" s="74"/>
      <c r="M132" s="74"/>
      <c r="N132" s="34"/>
    </row>
    <row r="133" spans="1:14" s="49" customFormat="1" x14ac:dyDescent="0.25">
      <c r="A133" s="66">
        <f t="shared" si="7"/>
        <v>4</v>
      </c>
      <c r="B133" s="67"/>
      <c r="C133" s="48" t="s">
        <v>197</v>
      </c>
      <c r="D133" s="57">
        <f>(42.01+2.16*1.1+3.08*1.02+1.86*0.6+1.08*0.6+0.94*0.6)*10.764</f>
        <v>536.64567839999995</v>
      </c>
      <c r="E133" s="57">
        <f t="shared" si="5"/>
        <v>45.747</v>
      </c>
      <c r="F133" s="48">
        <f t="shared" si="6"/>
        <v>904.3800854399999</v>
      </c>
      <c r="G133" s="70"/>
      <c r="H133" s="71"/>
      <c r="I133" s="34"/>
      <c r="L133" s="74"/>
      <c r="M133" s="74"/>
      <c r="N133" s="34"/>
    </row>
    <row r="134" spans="1:14" s="49" customFormat="1" ht="15.75" customHeight="1" x14ac:dyDescent="0.25">
      <c r="A134" s="66">
        <f t="shared" si="7"/>
        <v>5</v>
      </c>
      <c r="B134" s="67"/>
      <c r="C134" s="48" t="s">
        <v>197</v>
      </c>
      <c r="D134" s="57">
        <f>(42.09+2.16*1.1+3.08*1.02+1.86*0.6+1.08*0.6+0.94*0.6)*10.764</f>
        <v>537.50679839999998</v>
      </c>
      <c r="E134" s="57">
        <f t="shared" si="5"/>
        <v>45.747</v>
      </c>
      <c r="F134" s="48">
        <f t="shared" si="6"/>
        <v>905.75787744000002</v>
      </c>
      <c r="G134" s="70"/>
      <c r="H134" s="71"/>
      <c r="I134" s="34"/>
      <c r="L134" s="74"/>
      <c r="M134" s="74"/>
      <c r="N134" s="34"/>
    </row>
    <row r="135" spans="1:14" s="49" customFormat="1" x14ac:dyDescent="0.25">
      <c r="A135" s="66">
        <f t="shared" si="7"/>
        <v>6</v>
      </c>
      <c r="B135" s="67"/>
      <c r="C135" s="48" t="s">
        <v>197</v>
      </c>
      <c r="D135" s="57">
        <f>(42.09+2.16*1.1+3.08*1.02+1.86*0.6+1.08*0.6+0.94*0.6)*10.764</f>
        <v>537.50679839999998</v>
      </c>
      <c r="E135" s="57">
        <f t="shared" si="5"/>
        <v>45.747</v>
      </c>
      <c r="F135" s="48">
        <f t="shared" si="6"/>
        <v>905.75787744000002</v>
      </c>
      <c r="G135" s="70"/>
      <c r="H135" s="71"/>
      <c r="I135" s="34"/>
      <c r="L135" s="74"/>
      <c r="M135" s="74"/>
      <c r="N135" s="34"/>
    </row>
    <row r="136" spans="1:14" s="49" customFormat="1" x14ac:dyDescent="0.25">
      <c r="A136" s="66">
        <f t="shared" si="7"/>
        <v>7</v>
      </c>
      <c r="B136" s="67"/>
      <c r="C136" s="48" t="s">
        <v>194</v>
      </c>
      <c r="D136" s="57">
        <f>(48.18+2.16*1.39+3.08*1.02+1.86*0.3+1.39*0.54+1.56*0.6)*10.764</f>
        <v>608.90441039999996</v>
      </c>
      <c r="E136" s="57">
        <f t="shared" si="5"/>
        <v>45.747</v>
      </c>
      <c r="F136" s="48">
        <f t="shared" si="6"/>
        <v>1019.9940566399999</v>
      </c>
      <c r="G136" s="70"/>
      <c r="H136" s="71"/>
      <c r="I136" s="34"/>
      <c r="L136" s="74"/>
      <c r="M136" s="74"/>
      <c r="N136" s="34"/>
    </row>
    <row r="137" spans="1:14" s="49" customFormat="1" x14ac:dyDescent="0.25">
      <c r="A137" s="66">
        <f t="shared" si="7"/>
        <v>8</v>
      </c>
      <c r="B137" s="67"/>
      <c r="C137" s="48" t="s">
        <v>194</v>
      </c>
      <c r="D137" s="57">
        <f>(48.18+2.16*1.39+3.08*1.02+1.86*0.3+1.39*0.54+1.56*0.6)*10.764</f>
        <v>608.90441039999996</v>
      </c>
      <c r="E137" s="57">
        <f t="shared" si="5"/>
        <v>45.747</v>
      </c>
      <c r="F137" s="48">
        <f t="shared" si="6"/>
        <v>1019.9940566399999</v>
      </c>
      <c r="G137" s="72"/>
      <c r="H137" s="73"/>
      <c r="I137" s="34"/>
      <c r="L137" s="74"/>
      <c r="M137" s="74"/>
      <c r="N137" s="34"/>
    </row>
    <row r="138" spans="1:14" s="49" customFormat="1" x14ac:dyDescent="0.25">
      <c r="A138" s="63" t="s">
        <v>203</v>
      </c>
      <c r="B138" s="64"/>
      <c r="C138" s="64"/>
      <c r="D138" s="64"/>
      <c r="E138" s="64"/>
      <c r="F138" s="64"/>
      <c r="G138" s="64"/>
      <c r="H138" s="65"/>
      <c r="J138" s="34"/>
    </row>
    <row r="139" spans="1:14" s="49" customFormat="1" ht="15.75" customHeight="1" x14ac:dyDescent="0.25">
      <c r="A139" s="66">
        <v>1</v>
      </c>
      <c r="B139" s="67"/>
      <c r="C139" s="48" t="s">
        <v>194</v>
      </c>
      <c r="D139" s="57">
        <f>(47.87+3.08*1+2.16*1.3+1.39*0.54+1.56*0.3)*10.764</f>
        <v>591.76812239999981</v>
      </c>
      <c r="E139" s="57">
        <f>(2.3*1.25+0.5*0.9*1.25)*10.764</f>
        <v>37.001249999999999</v>
      </c>
      <c r="F139" s="48">
        <f t="shared" ref="F139:F146" si="8">D139*(($F$101)+1)+(IF(E139&lt;101,E139,IF(E139&lt;201,E139/2,IF(E139&lt;=301,E139/3,E139/4))))</f>
        <v>983.83024583999975</v>
      </c>
      <c r="G139" s="68" t="str">
        <f>A138</f>
        <v>7th, 9th, 11th, 13th, 15th, 17th, 19th, 21st, 23rd Floor</v>
      </c>
      <c r="H139" s="69"/>
      <c r="I139" s="34"/>
      <c r="L139" s="74"/>
      <c r="M139" s="74"/>
      <c r="N139" s="34"/>
    </row>
    <row r="140" spans="1:14" s="49" customFormat="1" x14ac:dyDescent="0.25">
      <c r="A140" s="66">
        <f t="shared" ref="A140:A146" si="9">A139+1</f>
        <v>2</v>
      </c>
      <c r="B140" s="67"/>
      <c r="C140" s="48" t="s">
        <v>194</v>
      </c>
      <c r="D140" s="57">
        <f>(47.87+3.08*1+2.16*1.3+1.39*0.54+1.56*0.3)*10.764</f>
        <v>591.76812239999981</v>
      </c>
      <c r="E140" s="57">
        <f>(2.48*0.8+3.23*0.5)*10.764</f>
        <v>38.739635999999997</v>
      </c>
      <c r="F140" s="48">
        <f t="shared" si="8"/>
        <v>985.56863183999974</v>
      </c>
      <c r="G140" s="70"/>
      <c r="H140" s="71"/>
      <c r="I140" s="34"/>
      <c r="L140" s="74"/>
      <c r="M140" s="74"/>
      <c r="N140" s="34"/>
    </row>
    <row r="141" spans="1:14" s="49" customFormat="1" x14ac:dyDescent="0.25">
      <c r="A141" s="66">
        <f t="shared" si="9"/>
        <v>3</v>
      </c>
      <c r="B141" s="67"/>
      <c r="C141" s="48" t="s">
        <v>194</v>
      </c>
      <c r="D141" s="57">
        <f>(47.61+3.08*1+2.16*1.39+1.56*0.6+1.29*0.54+1.86*0.6)*10.764</f>
        <v>607.53092400000003</v>
      </c>
      <c r="E141" s="57">
        <f>(2.48*0.8+3.23*0.5)*10.764</f>
        <v>38.739635999999997</v>
      </c>
      <c r="F141" s="48">
        <f t="shared" si="8"/>
        <v>1010.7891144000001</v>
      </c>
      <c r="G141" s="70"/>
      <c r="H141" s="71"/>
      <c r="I141" s="34"/>
      <c r="L141" s="74"/>
      <c r="M141" s="74"/>
      <c r="N141" s="34"/>
    </row>
    <row r="142" spans="1:14" s="49" customFormat="1" x14ac:dyDescent="0.25">
      <c r="A142" s="66">
        <f t="shared" si="9"/>
        <v>4</v>
      </c>
      <c r="B142" s="67"/>
      <c r="C142" s="48" t="s">
        <v>197</v>
      </c>
      <c r="D142" s="57">
        <f>(41.66+3.08*1+2.16*1.1+1.08*0.6+0.94*0.6+1.86*0.6)*10.764</f>
        <v>532.21521599999994</v>
      </c>
      <c r="E142" s="57">
        <f>(2.48*0.8+3.23*0.5)*10.764</f>
        <v>38.739635999999997</v>
      </c>
      <c r="F142" s="48">
        <f t="shared" si="8"/>
        <v>890.28398159999995</v>
      </c>
      <c r="G142" s="70"/>
      <c r="H142" s="71"/>
      <c r="I142" s="34"/>
      <c r="L142" s="74"/>
      <c r="M142" s="74"/>
      <c r="N142" s="34"/>
    </row>
    <row r="143" spans="1:14" s="49" customFormat="1" ht="15.75" customHeight="1" x14ac:dyDescent="0.25">
      <c r="A143" s="66">
        <f t="shared" si="9"/>
        <v>5</v>
      </c>
      <c r="B143" s="67"/>
      <c r="C143" s="48" t="s">
        <v>197</v>
      </c>
      <c r="D143" s="57">
        <f>(41.76+3.08*1+2.16*1.1+1.08*0.6+0.94*0.6+1.86*0.6)*10.764</f>
        <v>533.29161599999998</v>
      </c>
      <c r="E143" s="57">
        <f>(2.25*1.7)*10.764</f>
        <v>41.172299999999993</v>
      </c>
      <c r="F143" s="48">
        <f t="shared" si="8"/>
        <v>894.43888559999994</v>
      </c>
      <c r="G143" s="70"/>
      <c r="H143" s="71"/>
      <c r="I143" s="34"/>
      <c r="L143" s="74"/>
      <c r="M143" s="74"/>
      <c r="N143" s="34"/>
    </row>
    <row r="144" spans="1:14" s="49" customFormat="1" x14ac:dyDescent="0.25">
      <c r="A144" s="66">
        <f t="shared" si="9"/>
        <v>6</v>
      </c>
      <c r="B144" s="67"/>
      <c r="C144" s="48" t="s">
        <v>197</v>
      </c>
      <c r="D144" s="57">
        <f>(41.76+3.08*1+2.16*1.1+1.08*0.6+0.94*0.6+1.86*0.6)*10.764</f>
        <v>533.29161599999998</v>
      </c>
      <c r="E144" s="57">
        <f>(2.23*0.39+3.23*0.6)*10.764</f>
        <v>30.222082799999999</v>
      </c>
      <c r="F144" s="48">
        <f t="shared" si="8"/>
        <v>883.48866839999994</v>
      </c>
      <c r="G144" s="70"/>
      <c r="H144" s="71"/>
      <c r="I144" s="34"/>
      <c r="L144" s="74"/>
      <c r="M144" s="74"/>
      <c r="N144" s="34"/>
    </row>
    <row r="145" spans="1:14" s="49" customFormat="1" x14ac:dyDescent="0.25">
      <c r="A145" s="66">
        <f t="shared" si="9"/>
        <v>7</v>
      </c>
      <c r="B145" s="67"/>
      <c r="C145" s="48" t="s">
        <v>194</v>
      </c>
      <c r="D145" s="57">
        <f>(47.87+3.08*1+2.16*1.3+1.39*0.54+1.56*0.3)*10.764</f>
        <v>591.76812239999981</v>
      </c>
      <c r="E145" s="57">
        <f>(2.48*0.8+3.23*0.5)*10.764</f>
        <v>38.739635999999997</v>
      </c>
      <c r="F145" s="48">
        <f t="shared" si="8"/>
        <v>985.56863183999974</v>
      </c>
      <c r="G145" s="70"/>
      <c r="H145" s="71"/>
      <c r="I145" s="34"/>
      <c r="L145" s="74"/>
      <c r="M145" s="74"/>
      <c r="N145" s="34"/>
    </row>
    <row r="146" spans="1:14" s="49" customFormat="1" x14ac:dyDescent="0.25">
      <c r="A146" s="66">
        <f t="shared" si="9"/>
        <v>8</v>
      </c>
      <c r="B146" s="67"/>
      <c r="C146" s="48" t="s">
        <v>194</v>
      </c>
      <c r="D146" s="57">
        <f>(47.87+3.08*1+2.16*1.3+1.39*0.54+1.56*0.3)*10.764</f>
        <v>591.76812239999981</v>
      </c>
      <c r="E146" s="57">
        <f>(2.48*0.8+3.23*0.5)*10.764</f>
        <v>38.739635999999997</v>
      </c>
      <c r="F146" s="48">
        <f t="shared" si="8"/>
        <v>985.56863183999974</v>
      </c>
      <c r="G146" s="72"/>
      <c r="H146" s="73"/>
      <c r="I146" s="34"/>
      <c r="L146" s="74"/>
      <c r="M146" s="74"/>
      <c r="N146" s="34"/>
    </row>
    <row r="147" spans="1:14" s="49" customFormat="1" x14ac:dyDescent="0.25">
      <c r="A147" s="63" t="s">
        <v>204</v>
      </c>
      <c r="B147" s="64"/>
      <c r="C147" s="64"/>
      <c r="D147" s="64"/>
      <c r="E147" s="64"/>
      <c r="F147" s="64"/>
      <c r="G147" s="64"/>
      <c r="H147" s="65"/>
      <c r="J147" s="34"/>
    </row>
    <row r="148" spans="1:14" s="49" customFormat="1" ht="15.75" customHeight="1" x14ac:dyDescent="0.25">
      <c r="A148" s="66">
        <v>1</v>
      </c>
      <c r="B148" s="67"/>
      <c r="C148" s="48" t="s">
        <v>194</v>
      </c>
      <c r="D148" s="57">
        <f>(48.18+2.16*1.39+3.08*1.02+1.86*0.3+1.39*0.54+1.56*0.6)*10.764</f>
        <v>608.90441039999996</v>
      </c>
      <c r="E148" s="57">
        <f t="shared" ref="E148:E155" si="10">(2.5*1.7)*10.764</f>
        <v>45.747</v>
      </c>
      <c r="F148" s="48">
        <f t="shared" ref="F148:F155" si="11">D148*(($F$101)+1)+(IF(E148&lt;101,E148,IF(E148&lt;201,E148/2,IF(E148&lt;=301,E148/3,E148/4))))</f>
        <v>1019.9940566399999</v>
      </c>
      <c r="G148" s="68" t="str">
        <f>A147</f>
        <v>24th, 26th, 28th, 30th, 32nd, 34th, 36th, 38th, 40th, 42nd, 44th, 46th Floor</v>
      </c>
      <c r="H148" s="69"/>
      <c r="I148" s="34"/>
      <c r="L148" s="74"/>
      <c r="M148" s="74"/>
      <c r="N148" s="34"/>
    </row>
    <row r="149" spans="1:14" s="49" customFormat="1" x14ac:dyDescent="0.25">
      <c r="A149" s="66">
        <f t="shared" ref="A149:A155" si="12">A148+1</f>
        <v>2</v>
      </c>
      <c r="B149" s="67"/>
      <c r="C149" s="48" t="s">
        <v>194</v>
      </c>
      <c r="D149" s="57">
        <f>(48.18+2.16*1.39+3.08*1.02+1.86*0.3+1.39*0.54+1.56*0.6)*10.764</f>
        <v>608.90441039999996</v>
      </c>
      <c r="E149" s="57">
        <f t="shared" si="10"/>
        <v>45.747</v>
      </c>
      <c r="F149" s="48">
        <f t="shared" si="11"/>
        <v>1019.9940566399999</v>
      </c>
      <c r="G149" s="70"/>
      <c r="H149" s="71"/>
      <c r="I149" s="34"/>
      <c r="L149" s="74"/>
      <c r="M149" s="74"/>
      <c r="N149" s="34"/>
    </row>
    <row r="150" spans="1:14" s="49" customFormat="1" x14ac:dyDescent="0.25">
      <c r="A150" s="66">
        <f t="shared" si="12"/>
        <v>3</v>
      </c>
      <c r="B150" s="67"/>
      <c r="C150" s="48" t="s">
        <v>194</v>
      </c>
      <c r="D150" s="57">
        <f>(47.92+2.16*1.39+3.08*1.02+1.86*0.6+1.39*0.54+1.56*0.6)*10.764</f>
        <v>612.11208239999996</v>
      </c>
      <c r="E150" s="57">
        <f t="shared" si="10"/>
        <v>45.747</v>
      </c>
      <c r="F150" s="48">
        <f t="shared" si="11"/>
        <v>1025.1263318399999</v>
      </c>
      <c r="G150" s="70"/>
      <c r="H150" s="71"/>
      <c r="I150" s="34"/>
      <c r="L150" s="74"/>
      <c r="M150" s="74"/>
      <c r="N150" s="34"/>
    </row>
    <row r="151" spans="1:14" s="49" customFormat="1" x14ac:dyDescent="0.25">
      <c r="A151" s="66">
        <f t="shared" si="12"/>
        <v>4</v>
      </c>
      <c r="B151" s="67"/>
      <c r="C151" s="48" t="s">
        <v>197</v>
      </c>
      <c r="D151" s="57">
        <f>(42.01+2.16*1.1+3.08*1.02+1.86*0.6+1.08*0.6+0.94*0.6)*10.764</f>
        <v>536.64567839999995</v>
      </c>
      <c r="E151" s="57">
        <f t="shared" si="10"/>
        <v>45.747</v>
      </c>
      <c r="F151" s="48">
        <f t="shared" si="11"/>
        <v>904.3800854399999</v>
      </c>
      <c r="G151" s="70"/>
      <c r="H151" s="71"/>
      <c r="I151" s="34"/>
      <c r="L151" s="74"/>
      <c r="M151" s="74"/>
      <c r="N151" s="34"/>
    </row>
    <row r="152" spans="1:14" s="49" customFormat="1" ht="15.75" customHeight="1" x14ac:dyDescent="0.25">
      <c r="A152" s="66">
        <f t="shared" si="12"/>
        <v>5</v>
      </c>
      <c r="B152" s="67"/>
      <c r="C152" s="48" t="s">
        <v>197</v>
      </c>
      <c r="D152" s="57">
        <f>(42.09+2.16*1.1+3.08*1.02+1.86*0.6+1.08*0.6+0.94*0.6)*10.764</f>
        <v>537.50679839999998</v>
      </c>
      <c r="E152" s="57">
        <f t="shared" si="10"/>
        <v>45.747</v>
      </c>
      <c r="F152" s="48">
        <f t="shared" si="11"/>
        <v>905.75787744000002</v>
      </c>
      <c r="G152" s="70"/>
      <c r="H152" s="71"/>
      <c r="I152" s="34"/>
      <c r="L152" s="74"/>
      <c r="M152" s="74"/>
      <c r="N152" s="34"/>
    </row>
    <row r="153" spans="1:14" s="49" customFormat="1" x14ac:dyDescent="0.25">
      <c r="A153" s="66">
        <f t="shared" si="12"/>
        <v>6</v>
      </c>
      <c r="B153" s="67"/>
      <c r="C153" s="48" t="s">
        <v>197</v>
      </c>
      <c r="D153" s="57">
        <f>(42.09+2.16*1.1+3.08*1.02+1.86*0.6+1.08*0.6+0.94*0.6)*10.764</f>
        <v>537.50679839999998</v>
      </c>
      <c r="E153" s="57">
        <f t="shared" si="10"/>
        <v>45.747</v>
      </c>
      <c r="F153" s="48">
        <f t="shared" si="11"/>
        <v>905.75787744000002</v>
      </c>
      <c r="G153" s="70"/>
      <c r="H153" s="71"/>
      <c r="I153" s="34"/>
      <c r="L153" s="74"/>
      <c r="M153" s="74"/>
      <c r="N153" s="34"/>
    </row>
    <row r="154" spans="1:14" s="49" customFormat="1" x14ac:dyDescent="0.25">
      <c r="A154" s="66">
        <f t="shared" si="12"/>
        <v>7</v>
      </c>
      <c r="B154" s="67"/>
      <c r="C154" s="48" t="s">
        <v>194</v>
      </c>
      <c r="D154" s="57">
        <f>(48.18+2.16*1.39+3.08*1.02+1.86*0.3+1.39*0.54+1.56*0.6)*10.764</f>
        <v>608.90441039999996</v>
      </c>
      <c r="E154" s="57">
        <f t="shared" si="10"/>
        <v>45.747</v>
      </c>
      <c r="F154" s="48">
        <f t="shared" si="11"/>
        <v>1019.9940566399999</v>
      </c>
      <c r="G154" s="70"/>
      <c r="H154" s="71"/>
      <c r="I154" s="34"/>
      <c r="L154" s="74"/>
      <c r="M154" s="74"/>
      <c r="N154" s="34"/>
    </row>
    <row r="155" spans="1:14" s="49" customFormat="1" x14ac:dyDescent="0.25">
      <c r="A155" s="66">
        <f t="shared" si="12"/>
        <v>8</v>
      </c>
      <c r="B155" s="67"/>
      <c r="C155" s="48" t="s">
        <v>194</v>
      </c>
      <c r="D155" s="57">
        <f>(48.18+2.16*1.39+3.08*1.02+1.86*0.3+1.39*0.54+1.56*0.6)*10.764</f>
        <v>608.90441039999996</v>
      </c>
      <c r="E155" s="57">
        <f t="shared" si="10"/>
        <v>45.747</v>
      </c>
      <c r="F155" s="48">
        <f t="shared" si="11"/>
        <v>1019.9940566399999</v>
      </c>
      <c r="G155" s="72"/>
      <c r="H155" s="73"/>
      <c r="I155" s="34"/>
      <c r="L155" s="74"/>
      <c r="M155" s="74"/>
      <c r="N155" s="34"/>
    </row>
    <row r="156" spans="1:14" s="49" customFormat="1" x14ac:dyDescent="0.25">
      <c r="A156" s="63" t="s">
        <v>205</v>
      </c>
      <c r="B156" s="64"/>
      <c r="C156" s="64"/>
      <c r="D156" s="64"/>
      <c r="E156" s="64"/>
      <c r="F156" s="64"/>
      <c r="G156" s="64"/>
      <c r="H156" s="65"/>
      <c r="J156" s="34"/>
    </row>
    <row r="157" spans="1:14" s="49" customFormat="1" ht="15.75" customHeight="1" x14ac:dyDescent="0.25">
      <c r="A157" s="66">
        <v>1</v>
      </c>
      <c r="B157" s="67"/>
      <c r="C157" s="48" t="s">
        <v>194</v>
      </c>
      <c r="D157" s="57">
        <f>(47.87+3.08*1+2.16*1.3+1.39*0.54+1.56*0.3)*10.764</f>
        <v>591.76812239999981</v>
      </c>
      <c r="E157" s="57">
        <f>(2.3*1.25+0.5*0.9*1.25)*10.764</f>
        <v>37.001249999999999</v>
      </c>
      <c r="F157" s="48">
        <f t="shared" ref="F157:F164" si="13">D157*(($F$101)+1)+(IF(E157&lt;101,E157,IF(E157&lt;201,E157/2,IF(E157&lt;=301,E157/3,E157/4))))</f>
        <v>983.83024583999975</v>
      </c>
      <c r="G157" s="68" t="str">
        <f>A156</f>
        <v>25th, 27th, 29th, 31st, 33rd, 35th, 37th, 39th, 41st, 43rd, 45th, 47th Floor</v>
      </c>
      <c r="H157" s="69"/>
      <c r="I157" s="34"/>
      <c r="L157" s="74"/>
      <c r="M157" s="74"/>
      <c r="N157" s="34"/>
    </row>
    <row r="158" spans="1:14" s="49" customFormat="1" x14ac:dyDescent="0.25">
      <c r="A158" s="66">
        <f t="shared" ref="A158:A164" si="14">A157+1</f>
        <v>2</v>
      </c>
      <c r="B158" s="67"/>
      <c r="C158" s="48" t="s">
        <v>194</v>
      </c>
      <c r="D158" s="57">
        <f>(47.87+3.08*1+2.16*1.3+1.39*0.54+1.56*0.3)*10.764</f>
        <v>591.76812239999981</v>
      </c>
      <c r="E158" s="57">
        <f>(2.48*0.8+3.23*0.5)*10.764</f>
        <v>38.739635999999997</v>
      </c>
      <c r="F158" s="48">
        <f t="shared" si="13"/>
        <v>985.56863183999974</v>
      </c>
      <c r="G158" s="70"/>
      <c r="H158" s="71"/>
      <c r="I158" s="34"/>
      <c r="L158" s="74"/>
      <c r="M158" s="74"/>
      <c r="N158" s="34"/>
    </row>
    <row r="159" spans="1:14" s="49" customFormat="1" x14ac:dyDescent="0.25">
      <c r="A159" s="66">
        <f t="shared" si="14"/>
        <v>3</v>
      </c>
      <c r="B159" s="67"/>
      <c r="C159" s="48" t="s">
        <v>194</v>
      </c>
      <c r="D159" s="57">
        <f>(47.61+3.08*1+2.16*1.39+1.56*0.6+1.29*0.54+1.86*0.6)*10.764</f>
        <v>607.53092400000003</v>
      </c>
      <c r="E159" s="57">
        <f>(2.48*0.8+3.23*0.5)*10.764</f>
        <v>38.739635999999997</v>
      </c>
      <c r="F159" s="48">
        <f t="shared" si="13"/>
        <v>1010.7891144000001</v>
      </c>
      <c r="G159" s="70"/>
      <c r="H159" s="71"/>
      <c r="I159" s="34"/>
      <c r="L159" s="74"/>
      <c r="M159" s="74"/>
      <c r="N159" s="34"/>
    </row>
    <row r="160" spans="1:14" s="49" customFormat="1" x14ac:dyDescent="0.25">
      <c r="A160" s="66">
        <f t="shared" si="14"/>
        <v>4</v>
      </c>
      <c r="B160" s="67"/>
      <c r="C160" s="48" t="s">
        <v>197</v>
      </c>
      <c r="D160" s="57">
        <f>(41.66+3.08*1+2.16*1.1+1.08*0.6+0.94*0.6+1.86*0.6)*10.764</f>
        <v>532.21521599999994</v>
      </c>
      <c r="E160" s="57">
        <f>(2.48*0.8+3.23*0.5)*10.764</f>
        <v>38.739635999999997</v>
      </c>
      <c r="F160" s="48">
        <f t="shared" si="13"/>
        <v>890.28398159999995</v>
      </c>
      <c r="G160" s="70"/>
      <c r="H160" s="71"/>
      <c r="I160" s="34"/>
      <c r="L160" s="74"/>
      <c r="M160" s="74"/>
      <c r="N160" s="34"/>
    </row>
    <row r="161" spans="1:15" s="49" customFormat="1" ht="15.75" customHeight="1" x14ac:dyDescent="0.25">
      <c r="A161" s="66">
        <f t="shared" si="14"/>
        <v>5</v>
      </c>
      <c r="B161" s="67"/>
      <c r="C161" s="48" t="s">
        <v>197</v>
      </c>
      <c r="D161" s="57">
        <f>(41.76+3.08*1+2.16*1.1+1.08*0.6+0.94*0.6+1.86*0.6)*10.764</f>
        <v>533.29161599999998</v>
      </c>
      <c r="E161" s="57">
        <f>(2.25*1.7)*10.764</f>
        <v>41.172299999999993</v>
      </c>
      <c r="F161" s="48">
        <f t="shared" si="13"/>
        <v>894.43888559999994</v>
      </c>
      <c r="G161" s="70"/>
      <c r="H161" s="71"/>
      <c r="I161" s="34"/>
      <c r="L161" s="74"/>
      <c r="M161" s="74"/>
      <c r="N161" s="34"/>
    </row>
    <row r="162" spans="1:15" s="49" customFormat="1" x14ac:dyDescent="0.25">
      <c r="A162" s="66">
        <f t="shared" si="14"/>
        <v>6</v>
      </c>
      <c r="B162" s="67"/>
      <c r="C162" s="48" t="s">
        <v>197</v>
      </c>
      <c r="D162" s="57">
        <f>(41.76+3.08*1+2.16*1.1+1.08*0.6+0.94*0.6+1.86*0.6)*10.764</f>
        <v>533.29161599999998</v>
      </c>
      <c r="E162" s="57">
        <f>(2.23*0.39+3.23*0.6)*10.764</f>
        <v>30.222082799999999</v>
      </c>
      <c r="F162" s="48">
        <f t="shared" si="13"/>
        <v>883.48866839999994</v>
      </c>
      <c r="G162" s="70"/>
      <c r="H162" s="71"/>
      <c r="I162" s="34"/>
      <c r="L162" s="74"/>
      <c r="M162" s="74"/>
      <c r="N162" s="34"/>
    </row>
    <row r="163" spans="1:15" s="49" customFormat="1" x14ac:dyDescent="0.25">
      <c r="A163" s="66">
        <f t="shared" si="14"/>
        <v>7</v>
      </c>
      <c r="B163" s="67"/>
      <c r="C163" s="48" t="s">
        <v>194</v>
      </c>
      <c r="D163" s="57">
        <f>(47.87+3.08*1+2.16*1.3+1.39*0.54+1.56*0.3)*10.764</f>
        <v>591.76812239999981</v>
      </c>
      <c r="E163" s="57">
        <f>(2.48*0.8+3.23*0.5)*10.764</f>
        <v>38.739635999999997</v>
      </c>
      <c r="F163" s="48">
        <f t="shared" si="13"/>
        <v>985.56863183999974</v>
      </c>
      <c r="G163" s="70"/>
      <c r="H163" s="71"/>
      <c r="I163" s="34"/>
      <c r="L163" s="74"/>
      <c r="M163" s="74"/>
      <c r="N163" s="34"/>
    </row>
    <row r="164" spans="1:15" s="49" customFormat="1" x14ac:dyDescent="0.25">
      <c r="A164" s="66">
        <f t="shared" si="14"/>
        <v>8</v>
      </c>
      <c r="B164" s="67"/>
      <c r="C164" s="48" t="s">
        <v>194</v>
      </c>
      <c r="D164" s="57">
        <f>(47.87+3.08*1+2.16*1.3+1.39*0.54+1.56*0.3)*10.764</f>
        <v>591.76812239999981</v>
      </c>
      <c r="E164" s="57">
        <f>(2.48*0.8+3.23*0.5)*10.764</f>
        <v>38.739635999999997</v>
      </c>
      <c r="F164" s="48">
        <f t="shared" si="13"/>
        <v>985.56863183999974</v>
      </c>
      <c r="G164" s="72"/>
      <c r="H164" s="73"/>
      <c r="I164" s="34"/>
      <c r="L164" s="74"/>
      <c r="M164" s="74"/>
      <c r="N164" s="34"/>
    </row>
    <row r="165" spans="1:15" s="33" customFormat="1" x14ac:dyDescent="0.25">
      <c r="A165" s="90" t="s">
        <v>70</v>
      </c>
      <c r="B165" s="90"/>
      <c r="C165" s="90"/>
      <c r="D165" s="90"/>
      <c r="E165" s="90"/>
      <c r="F165" s="90"/>
      <c r="G165" s="90"/>
      <c r="H165" s="90"/>
    </row>
    <row r="166" spans="1:15" s="56" customFormat="1" x14ac:dyDescent="0.25">
      <c r="A166" s="55" t="s">
        <v>150</v>
      </c>
      <c r="B166" s="75" t="s">
        <v>225</v>
      </c>
      <c r="C166" s="76"/>
      <c r="D166" s="76"/>
      <c r="E166" s="76"/>
      <c r="F166" s="76"/>
      <c r="G166" s="76"/>
      <c r="H166" s="77"/>
    </row>
    <row r="167" spans="1:15" s="33" customFormat="1" x14ac:dyDescent="0.25">
      <c r="A167" s="43" t="s">
        <v>150</v>
      </c>
      <c r="B167" s="75" t="str">
        <f>(IF(F100="Saleable area Loading :","We have considered Saleable area of Flats as per our Calculation.","We considered Saleable area of Flat as per Builder area Sheet."))</f>
        <v>We have considered Saleable area of Flats as per our Calculation.</v>
      </c>
      <c r="C167" s="76"/>
      <c r="D167" s="76"/>
      <c r="E167" s="76"/>
      <c r="F167" s="76"/>
      <c r="G167" s="76"/>
      <c r="H167" s="77"/>
    </row>
    <row r="168" spans="1:15" s="33" customFormat="1" x14ac:dyDescent="0.25">
      <c r="A168" s="43" t="s">
        <v>150</v>
      </c>
      <c r="B168" s="60" t="s">
        <v>120</v>
      </c>
      <c r="C168" s="61"/>
      <c r="D168" s="61"/>
      <c r="E168" s="61"/>
      <c r="F168" s="61"/>
      <c r="G168" s="61"/>
      <c r="H168" s="62"/>
    </row>
    <row r="169" spans="1:15" s="33" customFormat="1" x14ac:dyDescent="0.25">
      <c r="A169" s="43" t="s">
        <v>150</v>
      </c>
      <c r="B169" s="75" t="s">
        <v>206</v>
      </c>
      <c r="C169" s="76"/>
      <c r="D169" s="76"/>
      <c r="E169" s="76"/>
      <c r="F169" s="76"/>
      <c r="G169" s="76"/>
      <c r="H169" s="77"/>
    </row>
    <row r="170" spans="1:15" s="33" customFormat="1" x14ac:dyDescent="0.25">
      <c r="A170" s="43" t="s">
        <v>150</v>
      </c>
      <c r="B170" s="60" t="s">
        <v>149</v>
      </c>
      <c r="C170" s="61"/>
      <c r="D170" s="61"/>
      <c r="E170" s="61"/>
      <c r="F170" s="61"/>
      <c r="G170" s="61"/>
      <c r="H170" s="62"/>
    </row>
    <row r="171" spans="1:15" s="33" customFormat="1" x14ac:dyDescent="0.25">
      <c r="A171" s="43" t="s">
        <v>150</v>
      </c>
      <c r="B171" s="60" t="s">
        <v>121</v>
      </c>
      <c r="C171" s="61"/>
      <c r="D171" s="61"/>
      <c r="E171" s="61"/>
      <c r="F171" s="61"/>
      <c r="G171" s="61"/>
      <c r="H171" s="62"/>
    </row>
    <row r="172" spans="1:15" s="33" customFormat="1" ht="34.5" customHeight="1" x14ac:dyDescent="0.25">
      <c r="A172" s="43" t="s">
        <v>150</v>
      </c>
      <c r="B172" s="60" t="s">
        <v>151</v>
      </c>
      <c r="C172" s="61"/>
      <c r="D172" s="61"/>
      <c r="E172" s="61"/>
      <c r="F172" s="61"/>
      <c r="G172" s="61"/>
      <c r="H172" s="62"/>
    </row>
    <row r="173" spans="1:15" s="33" customFormat="1" x14ac:dyDescent="0.25">
      <c r="A173" s="43" t="s">
        <v>150</v>
      </c>
      <c r="B173" s="60" t="s">
        <v>122</v>
      </c>
      <c r="C173" s="61"/>
      <c r="D173" s="61"/>
      <c r="E173" s="61"/>
      <c r="F173" s="61"/>
      <c r="G173" s="61"/>
      <c r="H173" s="62"/>
    </row>
    <row r="174" spans="1:15" s="33" customFormat="1" ht="32.25" customHeight="1" x14ac:dyDescent="0.25">
      <c r="A174" s="58" t="s">
        <v>150</v>
      </c>
      <c r="B174" s="60" t="s">
        <v>226</v>
      </c>
      <c r="C174" s="61"/>
      <c r="D174" s="61"/>
      <c r="E174" s="61"/>
      <c r="F174" s="61"/>
      <c r="G174" s="61"/>
      <c r="H174" s="62"/>
      <c r="I174" s="60" t="s">
        <v>223</v>
      </c>
      <c r="J174" s="61"/>
      <c r="K174" s="61"/>
      <c r="L174" s="61"/>
      <c r="M174" s="61"/>
      <c r="N174" s="61"/>
      <c r="O174" s="62"/>
    </row>
    <row r="175" spans="1:15" x14ac:dyDescent="0.25">
      <c r="A175" s="153" t="s">
        <v>63</v>
      </c>
      <c r="B175" s="153"/>
      <c r="C175" s="153"/>
      <c r="D175" s="153"/>
      <c r="E175" s="153"/>
      <c r="F175" s="153"/>
      <c r="G175" s="153"/>
      <c r="H175" s="153"/>
    </row>
    <row r="176" spans="1:15" x14ac:dyDescent="0.25">
      <c r="A176" s="87" t="s">
        <v>64</v>
      </c>
      <c r="B176" s="87"/>
      <c r="C176" s="87"/>
      <c r="D176" s="87"/>
      <c r="E176" s="87"/>
      <c r="F176" s="87"/>
      <c r="G176" s="87"/>
      <c r="H176" s="87"/>
    </row>
    <row r="177" spans="1:8" ht="15.75" customHeight="1" x14ac:dyDescent="0.25">
      <c r="A177" s="155" t="s">
        <v>65</v>
      </c>
      <c r="B177" s="155"/>
      <c r="C177" s="155"/>
      <c r="D177" s="155"/>
      <c r="E177" s="155"/>
      <c r="F177" s="155"/>
      <c r="G177" s="155"/>
      <c r="H177" s="155"/>
    </row>
    <row r="178" spans="1:8" x14ac:dyDescent="0.25">
      <c r="A178" s="87" t="s">
        <v>66</v>
      </c>
      <c r="B178" s="87"/>
      <c r="C178" s="87"/>
      <c r="D178" s="87"/>
      <c r="E178" s="87"/>
      <c r="F178" s="87"/>
      <c r="G178" s="87"/>
      <c r="H178" s="87"/>
    </row>
    <row r="179" spans="1:8" x14ac:dyDescent="0.25">
      <c r="A179" s="87" t="s">
        <v>67</v>
      </c>
      <c r="B179" s="87"/>
      <c r="C179" s="87"/>
      <c r="D179" s="87"/>
      <c r="E179" s="87"/>
      <c r="F179" s="87"/>
      <c r="G179" s="87"/>
      <c r="H179" s="87"/>
    </row>
    <row r="180" spans="1:8" x14ac:dyDescent="0.25">
      <c r="A180" s="87" t="s">
        <v>123</v>
      </c>
      <c r="B180" s="87"/>
      <c r="C180" s="87"/>
      <c r="D180" s="87"/>
      <c r="E180" s="87"/>
      <c r="F180" s="87"/>
      <c r="G180" s="87"/>
      <c r="H180" s="87"/>
    </row>
    <row r="181" spans="1:8" x14ac:dyDescent="0.25">
      <c r="A181" s="145" t="s">
        <v>124</v>
      </c>
      <c r="B181" s="145"/>
      <c r="C181" s="145"/>
      <c r="D181" s="145"/>
      <c r="E181" s="145"/>
      <c r="F181" s="145"/>
      <c r="G181" s="145"/>
      <c r="H181" s="145"/>
    </row>
    <row r="182" spans="1:8" x14ac:dyDescent="0.25">
      <c r="A182" s="151" t="s">
        <v>79</v>
      </c>
      <c r="B182" s="151"/>
      <c r="C182" s="151" t="s">
        <v>222</v>
      </c>
      <c r="D182" s="151"/>
      <c r="E182" s="151" t="s">
        <v>103</v>
      </c>
      <c r="F182" s="151"/>
      <c r="G182" s="151" t="s">
        <v>224</v>
      </c>
      <c r="H182" s="151"/>
    </row>
    <row r="183" spans="1:8" x14ac:dyDescent="0.25">
      <c r="A183" s="150" t="s">
        <v>81</v>
      </c>
      <c r="B183" s="150"/>
      <c r="C183" s="150"/>
      <c r="D183" s="150"/>
      <c r="E183" s="150"/>
      <c r="F183" s="150"/>
      <c r="G183" s="150"/>
      <c r="H183" s="150"/>
    </row>
    <row r="184" spans="1:8" x14ac:dyDescent="0.25">
      <c r="A184" s="150"/>
      <c r="B184" s="150"/>
      <c r="C184" s="150"/>
      <c r="D184" s="150"/>
      <c r="E184" s="150"/>
      <c r="F184" s="150"/>
      <c r="G184" s="150"/>
      <c r="H184" s="150"/>
    </row>
    <row r="185" spans="1:8" x14ac:dyDescent="0.25">
      <c r="A185" s="150"/>
      <c r="B185" s="150"/>
      <c r="C185" s="150"/>
      <c r="D185" s="150"/>
      <c r="E185" s="150"/>
      <c r="F185" s="150"/>
      <c r="G185" s="150"/>
      <c r="H185" s="150"/>
    </row>
    <row r="186" spans="1:8" x14ac:dyDescent="0.25">
      <c r="A186" s="150"/>
      <c r="B186" s="150"/>
      <c r="C186" s="150"/>
      <c r="D186" s="150"/>
      <c r="E186" s="150"/>
      <c r="F186" s="150"/>
      <c r="G186" s="150"/>
      <c r="H186" s="150"/>
    </row>
    <row r="187" spans="1:8" x14ac:dyDescent="0.25">
      <c r="A187" s="36" t="s">
        <v>68</v>
      </c>
      <c r="B187" s="37"/>
      <c r="C187" s="37"/>
      <c r="D187" s="36" t="str">
        <f>E8</f>
        <v>Adhiraj Samyama</v>
      </c>
      <c r="F187" s="37"/>
      <c r="G187" s="37"/>
      <c r="H187" s="37"/>
    </row>
    <row r="188" spans="1:8" x14ac:dyDescent="0.25">
      <c r="A188" s="37"/>
      <c r="B188" s="37"/>
      <c r="C188" s="37"/>
      <c r="D188" s="37"/>
      <c r="E188" s="37"/>
      <c r="F188" s="37"/>
      <c r="G188" s="37"/>
      <c r="H188" s="37"/>
    </row>
    <row r="189" spans="1:8" x14ac:dyDescent="0.25">
      <c r="A189" s="37"/>
      <c r="B189" s="37"/>
      <c r="C189" s="37"/>
      <c r="D189" s="37"/>
      <c r="E189" s="37"/>
      <c r="F189" s="37"/>
      <c r="G189" s="37"/>
      <c r="H189" s="37"/>
    </row>
    <row r="190" spans="1:8" ht="15" customHeight="1" x14ac:dyDescent="0.25"/>
    <row r="193" spans="2:2" x14ac:dyDescent="0.25">
      <c r="B193" s="59"/>
    </row>
    <row r="230" spans="1:1" x14ac:dyDescent="0.25">
      <c r="A230" s="39" t="s">
        <v>160</v>
      </c>
    </row>
    <row r="269" spans="1:1" x14ac:dyDescent="0.25">
      <c r="A269" s="39" t="s">
        <v>69</v>
      </c>
    </row>
  </sheetData>
  <mergeCells count="353">
    <mergeCell ref="D60:H60"/>
    <mergeCell ref="A66:B66"/>
    <mergeCell ref="I11:L11"/>
    <mergeCell ref="C49:E49"/>
    <mergeCell ref="G49:H49"/>
    <mergeCell ref="G51:H51"/>
    <mergeCell ref="D55:H55"/>
    <mergeCell ref="C51:E51"/>
    <mergeCell ref="A58:C58"/>
    <mergeCell ref="D58:H58"/>
    <mergeCell ref="C50:E50"/>
    <mergeCell ref="A53:B53"/>
    <mergeCell ref="C53:E53"/>
    <mergeCell ref="A50:B50"/>
    <mergeCell ref="A54:H54"/>
    <mergeCell ref="A55:C55"/>
    <mergeCell ref="A56:C56"/>
    <mergeCell ref="A63:C63"/>
    <mergeCell ref="D63:H63"/>
    <mergeCell ref="A64:C64"/>
    <mergeCell ref="D64:H64"/>
    <mergeCell ref="A22:D23"/>
    <mergeCell ref="E22:H23"/>
    <mergeCell ref="E14:H14"/>
    <mergeCell ref="A98:H98"/>
    <mergeCell ref="B166:H166"/>
    <mergeCell ref="A180:H180"/>
    <mergeCell ref="A177:H177"/>
    <mergeCell ref="A95:B95"/>
    <mergeCell ref="C66:H66"/>
    <mergeCell ref="A74:B74"/>
    <mergeCell ref="A61:C61"/>
    <mergeCell ref="D61:H61"/>
    <mergeCell ref="A118:H118"/>
    <mergeCell ref="A119:B119"/>
    <mergeCell ref="F80:H80"/>
    <mergeCell ref="F85:H85"/>
    <mergeCell ref="A100:A101"/>
    <mergeCell ref="A91:E91"/>
    <mergeCell ref="G97:H97"/>
    <mergeCell ref="C68:H68"/>
    <mergeCell ref="A71:B71"/>
    <mergeCell ref="A73:B73"/>
    <mergeCell ref="E69:F69"/>
    <mergeCell ref="A62:C62"/>
    <mergeCell ref="D62:H62"/>
    <mergeCell ref="A65:C65"/>
    <mergeCell ref="D65:H65"/>
    <mergeCell ref="A183:H186"/>
    <mergeCell ref="A182:B182"/>
    <mergeCell ref="E182:F182"/>
    <mergeCell ref="C182:D182"/>
    <mergeCell ref="G182:H182"/>
    <mergeCell ref="A92:E92"/>
    <mergeCell ref="F92:H92"/>
    <mergeCell ref="A93:E93"/>
    <mergeCell ref="F93:H93"/>
    <mergeCell ref="A96:B96"/>
    <mergeCell ref="A178:H178"/>
    <mergeCell ref="A94:H94"/>
    <mergeCell ref="A181:H181"/>
    <mergeCell ref="A179:H179"/>
    <mergeCell ref="A175:H175"/>
    <mergeCell ref="A176:H176"/>
    <mergeCell ref="E95:F95"/>
    <mergeCell ref="A116:B116"/>
    <mergeCell ref="G119:H122"/>
    <mergeCell ref="A128:H128"/>
    <mergeCell ref="A129:H129"/>
    <mergeCell ref="A130:B130"/>
    <mergeCell ref="A135:B135"/>
    <mergeCell ref="A140:B140"/>
    <mergeCell ref="A70:B70"/>
    <mergeCell ref="G69:H69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5:D5"/>
    <mergeCell ref="E5:H5"/>
    <mergeCell ref="A6:D6"/>
    <mergeCell ref="E6:H6"/>
    <mergeCell ref="A7:D7"/>
    <mergeCell ref="E7:H7"/>
    <mergeCell ref="E13:H13"/>
    <mergeCell ref="A14:D14"/>
    <mergeCell ref="A11:D11"/>
    <mergeCell ref="E11:H11"/>
    <mergeCell ref="A15:B15"/>
    <mergeCell ref="C15:H15"/>
    <mergeCell ref="C16:H16"/>
    <mergeCell ref="A17:B17"/>
    <mergeCell ref="C17:H17"/>
    <mergeCell ref="A12:D12"/>
    <mergeCell ref="E12:H12"/>
    <mergeCell ref="A16:B16"/>
    <mergeCell ref="A13:D13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A40:H40"/>
    <mergeCell ref="A59:C59"/>
    <mergeCell ref="D59:H59"/>
    <mergeCell ref="A43:D43"/>
    <mergeCell ref="E43:H43"/>
    <mergeCell ref="E44:H44"/>
    <mergeCell ref="E45:H45"/>
    <mergeCell ref="E46:H46"/>
    <mergeCell ref="A44:D44"/>
    <mergeCell ref="F36:H36"/>
    <mergeCell ref="A46:D46"/>
    <mergeCell ref="A47:H47"/>
    <mergeCell ref="D57:H57"/>
    <mergeCell ref="A57:C57"/>
    <mergeCell ref="G50:H50"/>
    <mergeCell ref="A51:B52"/>
    <mergeCell ref="A49:B49"/>
    <mergeCell ref="D56:H56"/>
    <mergeCell ref="G53:H53"/>
    <mergeCell ref="C52:H52"/>
    <mergeCell ref="E42:H42"/>
    <mergeCell ref="A42:D42"/>
    <mergeCell ref="A37:H37"/>
    <mergeCell ref="A36:B36"/>
    <mergeCell ref="C36:E36"/>
    <mergeCell ref="A41:D41"/>
    <mergeCell ref="E41:H41"/>
    <mergeCell ref="A90:E90"/>
    <mergeCell ref="C97:D97"/>
    <mergeCell ref="A104:H104"/>
    <mergeCell ref="F90:H90"/>
    <mergeCell ref="B100:B101"/>
    <mergeCell ref="A38:B38"/>
    <mergeCell ref="C38:H38"/>
    <mergeCell ref="A45:D45"/>
    <mergeCell ref="A77:B77"/>
    <mergeCell ref="C96:D96"/>
    <mergeCell ref="E96:F96"/>
    <mergeCell ref="G96:H96"/>
    <mergeCell ref="F87:H87"/>
    <mergeCell ref="A81:E81"/>
    <mergeCell ref="A60:C60"/>
    <mergeCell ref="E70:F79"/>
    <mergeCell ref="G70:H79"/>
    <mergeCell ref="A78:B78"/>
    <mergeCell ref="A79:B79"/>
    <mergeCell ref="A76:B76"/>
    <mergeCell ref="A69:B69"/>
    <mergeCell ref="A72:B72"/>
    <mergeCell ref="A68:B68"/>
    <mergeCell ref="A113:H113"/>
    <mergeCell ref="A114:B114"/>
    <mergeCell ref="L114:M114"/>
    <mergeCell ref="A115:B115"/>
    <mergeCell ref="L115:M115"/>
    <mergeCell ref="A85:E85"/>
    <mergeCell ref="A97:B97"/>
    <mergeCell ref="E97:F97"/>
    <mergeCell ref="C95:D95"/>
    <mergeCell ref="G95:H95"/>
    <mergeCell ref="F88:H88"/>
    <mergeCell ref="F91:H91"/>
    <mergeCell ref="F89:H89"/>
    <mergeCell ref="D100:D101"/>
    <mergeCell ref="E100:E101"/>
    <mergeCell ref="G100:H101"/>
    <mergeCell ref="A75:B75"/>
    <mergeCell ref="F81:H81"/>
    <mergeCell ref="A99:H99"/>
    <mergeCell ref="C100:C101"/>
    <mergeCell ref="L116:M116"/>
    <mergeCell ref="A117:B117"/>
    <mergeCell ref="L117:M117"/>
    <mergeCell ref="G114:H117"/>
    <mergeCell ref="A105:B105"/>
    <mergeCell ref="L105:M105"/>
    <mergeCell ref="A106:B106"/>
    <mergeCell ref="L106:M106"/>
    <mergeCell ref="A107:B107"/>
    <mergeCell ref="L107:M107"/>
    <mergeCell ref="A112:B112"/>
    <mergeCell ref="L112:M112"/>
    <mergeCell ref="A108:H108"/>
    <mergeCell ref="A109:B109"/>
    <mergeCell ref="L109:M109"/>
    <mergeCell ref="A110:B110"/>
    <mergeCell ref="L110:M110"/>
    <mergeCell ref="A111:B111"/>
    <mergeCell ref="L111:M111"/>
    <mergeCell ref="G109:H112"/>
    <mergeCell ref="A39:B39"/>
    <mergeCell ref="C39:H39"/>
    <mergeCell ref="B172:H172"/>
    <mergeCell ref="A48:B48"/>
    <mergeCell ref="C48:H48"/>
    <mergeCell ref="B170:H170"/>
    <mergeCell ref="F82:H82"/>
    <mergeCell ref="A82:E82"/>
    <mergeCell ref="A84:E84"/>
    <mergeCell ref="A86:E86"/>
    <mergeCell ref="F86:H86"/>
    <mergeCell ref="A87:E87"/>
    <mergeCell ref="A89:E89"/>
    <mergeCell ref="F83:H83"/>
    <mergeCell ref="A88:E88"/>
    <mergeCell ref="A83:E83"/>
    <mergeCell ref="A80:E80"/>
    <mergeCell ref="F84:H84"/>
    <mergeCell ref="B168:H168"/>
    <mergeCell ref="B169:H169"/>
    <mergeCell ref="A165:H165"/>
    <mergeCell ref="A103:H103"/>
    <mergeCell ref="A102:H102"/>
    <mergeCell ref="G105:H107"/>
    <mergeCell ref="A134:B134"/>
    <mergeCell ref="L134:M134"/>
    <mergeCell ref="L119:M119"/>
    <mergeCell ref="A120:B120"/>
    <mergeCell ref="L120:M120"/>
    <mergeCell ref="A121:B121"/>
    <mergeCell ref="L121:M121"/>
    <mergeCell ref="A122:B122"/>
    <mergeCell ref="L122:M122"/>
    <mergeCell ref="A123:H123"/>
    <mergeCell ref="A124:B124"/>
    <mergeCell ref="G124:H127"/>
    <mergeCell ref="L124:M124"/>
    <mergeCell ref="A125:B125"/>
    <mergeCell ref="L125:M125"/>
    <mergeCell ref="A126:B126"/>
    <mergeCell ref="L126:M126"/>
    <mergeCell ref="A127:B127"/>
    <mergeCell ref="L127:M127"/>
    <mergeCell ref="A141:B141"/>
    <mergeCell ref="L141:M141"/>
    <mergeCell ref="A142:B142"/>
    <mergeCell ref="L142:M142"/>
    <mergeCell ref="A143:B143"/>
    <mergeCell ref="L143:M143"/>
    <mergeCell ref="A144:B144"/>
    <mergeCell ref="L144:M144"/>
    <mergeCell ref="L135:M135"/>
    <mergeCell ref="A136:B136"/>
    <mergeCell ref="L136:M136"/>
    <mergeCell ref="A137:B137"/>
    <mergeCell ref="L137:M137"/>
    <mergeCell ref="G130:H137"/>
    <mergeCell ref="A138:H138"/>
    <mergeCell ref="A139:B139"/>
    <mergeCell ref="L139:M139"/>
    <mergeCell ref="L130:M130"/>
    <mergeCell ref="A131:B131"/>
    <mergeCell ref="L131:M131"/>
    <mergeCell ref="A132:B132"/>
    <mergeCell ref="L132:M132"/>
    <mergeCell ref="A133:B133"/>
    <mergeCell ref="L133:M133"/>
    <mergeCell ref="A145:B145"/>
    <mergeCell ref="L145:M145"/>
    <mergeCell ref="A146:B146"/>
    <mergeCell ref="L146:M146"/>
    <mergeCell ref="G139:H146"/>
    <mergeCell ref="A147:H147"/>
    <mergeCell ref="A148:B148"/>
    <mergeCell ref="G148:H155"/>
    <mergeCell ref="L148:M148"/>
    <mergeCell ref="A149:B149"/>
    <mergeCell ref="L149:M149"/>
    <mergeCell ref="A150:B150"/>
    <mergeCell ref="L150:M150"/>
    <mergeCell ref="A151:B151"/>
    <mergeCell ref="L151:M151"/>
    <mergeCell ref="A152:B152"/>
    <mergeCell ref="L152:M152"/>
    <mergeCell ref="A153:B153"/>
    <mergeCell ref="L153:M153"/>
    <mergeCell ref="A154:B154"/>
    <mergeCell ref="L154:M154"/>
    <mergeCell ref="A155:B155"/>
    <mergeCell ref="L155:M155"/>
    <mergeCell ref="L140:M140"/>
    <mergeCell ref="B174:H174"/>
    <mergeCell ref="A156:H156"/>
    <mergeCell ref="A157:B157"/>
    <mergeCell ref="G157:H164"/>
    <mergeCell ref="L157:M157"/>
    <mergeCell ref="A158:B158"/>
    <mergeCell ref="L158:M158"/>
    <mergeCell ref="A159:B159"/>
    <mergeCell ref="L159:M159"/>
    <mergeCell ref="A160:B160"/>
    <mergeCell ref="L160:M160"/>
    <mergeCell ref="A161:B161"/>
    <mergeCell ref="L161:M161"/>
    <mergeCell ref="A162:B162"/>
    <mergeCell ref="L162:M162"/>
    <mergeCell ref="A163:B163"/>
    <mergeCell ref="L163:M163"/>
    <mergeCell ref="A164:B164"/>
    <mergeCell ref="L164:M164"/>
    <mergeCell ref="B167:H167"/>
    <mergeCell ref="B173:H173"/>
    <mergeCell ref="B171:H171"/>
    <mergeCell ref="I174:O174"/>
  </mergeCell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7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5" max="16383" man="1"/>
    <brk id="155" max="7" man="1"/>
    <brk id="186" max="16383" man="1"/>
    <brk id="229" max="16383" man="1"/>
    <brk id="26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69" t="s">
        <v>104</v>
      </c>
      <c r="C3" s="169"/>
      <c r="D3" s="169"/>
      <c r="E3" s="169"/>
      <c r="F3" s="169"/>
      <c r="G3" s="169"/>
      <c r="H3" s="169"/>
    </row>
    <row r="4" spans="1:9" x14ac:dyDescent="0.25">
      <c r="A4" s="2"/>
      <c r="B4" s="3" t="s">
        <v>105</v>
      </c>
      <c r="C4" s="3" t="s">
        <v>106</v>
      </c>
      <c r="D4" s="3" t="s">
        <v>71</v>
      </c>
      <c r="E4" s="3" t="s">
        <v>107</v>
      </c>
      <c r="F4" s="3" t="s">
        <v>113</v>
      </c>
      <c r="G4" s="3" t="s">
        <v>114</v>
      </c>
      <c r="H4" s="3" t="s">
        <v>108</v>
      </c>
    </row>
    <row r="5" spans="1:9" ht="15" customHeight="1" x14ac:dyDescent="0.25">
      <c r="A5" s="2"/>
      <c r="B5" s="5" t="s">
        <v>109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109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109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109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109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110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110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111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112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2025-09-19T12:05:12Z</cp:lastPrinted>
  <dcterms:created xsi:type="dcterms:W3CDTF">2019-07-16T09:29:46Z</dcterms:created>
  <dcterms:modified xsi:type="dcterms:W3CDTF">2025-09-19T12:08:38Z</dcterms:modified>
</cp:coreProperties>
</file>