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C:\Users\VSJC-06\Downloads\APF Dump\"/>
    </mc:Choice>
  </mc:AlternateContent>
  <bookViews>
    <workbookView xWindow="0" yWindow="0" windowWidth="20490" windowHeight="7620"/>
  </bookViews>
  <sheets>
    <sheet name="Report" sheetId="1" r:id="rId1"/>
    <sheet name="Sheet1 (2)" sheetId="8" r:id="rId2"/>
    <sheet name="Sheet3" sheetId="9" r:id="rId3"/>
    <sheet name="C%" sheetId="6" r:id="rId4"/>
    <sheet name="Flat detail" sheetId="3" r:id="rId5"/>
    <sheet name="Note" sheetId="4" r:id="rId6"/>
    <sheet name="valuation" sheetId="5" r:id="rId7"/>
  </sheets>
  <definedNames>
    <definedName name="_xlnm._FilterDatabase" localSheetId="1" hidden="1">'Sheet1 (2)'!$D$2:$D$96</definedName>
    <definedName name="_xlnm.Print_Area" localSheetId="0">Report!$A$1:$H$370</definedName>
  </definedNames>
  <calcPr calcId="162913"/>
</workbook>
</file>

<file path=xl/calcChain.xml><?xml version="1.0" encoding="utf-8"?>
<calcChain xmlns="http://schemas.openxmlformats.org/spreadsheetml/2006/main">
  <c r="F11" i="5" l="1"/>
  <c r="G11" i="5" s="1"/>
  <c r="F10" i="5"/>
  <c r="G10" i="5" s="1"/>
  <c r="F9" i="5"/>
  <c r="G9" i="5" s="1"/>
  <c r="F8" i="5"/>
  <c r="G8" i="5" s="1"/>
  <c r="F7" i="5"/>
  <c r="G7" i="5" s="1"/>
  <c r="F6" i="5"/>
  <c r="G6" i="5" s="1"/>
  <c r="F5" i="5"/>
  <c r="G5" i="5" s="1"/>
  <c r="L33" i="3"/>
  <c r="I33" i="3"/>
  <c r="E33" i="3"/>
  <c r="L32" i="3"/>
  <c r="I32" i="3"/>
  <c r="E32" i="3"/>
  <c r="L31" i="3"/>
  <c r="I31" i="3"/>
  <c r="E31" i="3"/>
  <c r="L30" i="3"/>
  <c r="I30" i="3"/>
  <c r="E30" i="3"/>
  <c r="L29" i="3"/>
  <c r="I29" i="3"/>
  <c r="E29" i="3"/>
  <c r="L28" i="3"/>
  <c r="I28" i="3"/>
  <c r="E28" i="3"/>
  <c r="L27" i="3"/>
  <c r="I27" i="3"/>
  <c r="E27" i="3"/>
  <c r="L26" i="3"/>
  <c r="I26" i="3"/>
  <c r="E26" i="3"/>
  <c r="L25" i="3"/>
  <c r="I25" i="3"/>
  <c r="E25" i="3"/>
  <c r="L24" i="3"/>
  <c r="I24" i="3"/>
  <c r="E24" i="3"/>
  <c r="L23" i="3"/>
  <c r="I23" i="3"/>
  <c r="E23" i="3"/>
  <c r="L22" i="3"/>
  <c r="I22" i="3"/>
  <c r="E22" i="3"/>
  <c r="L21" i="3"/>
  <c r="I21" i="3"/>
  <c r="E21" i="3"/>
  <c r="L20" i="3"/>
  <c r="I20" i="3"/>
  <c r="E20" i="3"/>
  <c r="L19" i="3"/>
  <c r="I19" i="3"/>
  <c r="E19" i="3"/>
  <c r="L18" i="3"/>
  <c r="I18" i="3"/>
  <c r="E18" i="3"/>
  <c r="L17" i="3"/>
  <c r="I17" i="3"/>
  <c r="E17" i="3"/>
  <c r="L16" i="3"/>
  <c r="I16" i="3"/>
  <c r="E16" i="3"/>
  <c r="L15" i="3"/>
  <c r="I15" i="3"/>
  <c r="E15" i="3"/>
  <c r="L14" i="3"/>
  <c r="I14" i="3"/>
  <c r="E14" i="3"/>
  <c r="L13" i="3"/>
  <c r="I13" i="3"/>
  <c r="E13" i="3"/>
  <c r="L12" i="3"/>
  <c r="I12" i="3"/>
  <c r="E12" i="3"/>
  <c r="L11" i="3"/>
  <c r="I11" i="3"/>
  <c r="E11" i="3"/>
  <c r="L10" i="3"/>
  <c r="I10" i="3"/>
  <c r="E10" i="3"/>
  <c r="L9" i="3"/>
  <c r="I9" i="3"/>
  <c r="E9" i="3"/>
  <c r="L8" i="3"/>
  <c r="I8" i="3"/>
  <c r="E8" i="3"/>
  <c r="L7" i="3"/>
  <c r="I7" i="3"/>
  <c r="E7" i="3"/>
  <c r="L6" i="3"/>
  <c r="I6" i="3"/>
  <c r="E6" i="3"/>
  <c r="E34" i="3" s="1"/>
  <c r="D11" i="6"/>
  <c r="D10" i="6"/>
  <c r="D9" i="6"/>
  <c r="D8" i="6"/>
  <c r="D7" i="6"/>
  <c r="D6" i="6"/>
  <c r="G5" i="6"/>
  <c r="G13" i="6" s="1"/>
  <c r="D5" i="6"/>
  <c r="I1" i="6"/>
  <c r="C3" i="6" s="1"/>
  <c r="E5" i="6" s="1"/>
  <c r="E13" i="6" s="1"/>
  <c r="E99" i="9"/>
  <c r="D99" i="9"/>
  <c r="E98" i="9"/>
  <c r="D98" i="9"/>
  <c r="E97" i="9"/>
  <c r="D97" i="9"/>
  <c r="E96" i="9"/>
  <c r="D96" i="9"/>
  <c r="E95" i="9"/>
  <c r="D95" i="9"/>
  <c r="E94" i="9"/>
  <c r="D94" i="9"/>
  <c r="G93" i="9"/>
  <c r="E93" i="9"/>
  <c r="D93" i="9"/>
  <c r="E91" i="9"/>
  <c r="D91" i="9"/>
  <c r="E90" i="9"/>
  <c r="D90" i="9"/>
  <c r="E89" i="9"/>
  <c r="D89" i="9"/>
  <c r="E88" i="9"/>
  <c r="D88" i="9"/>
  <c r="E87" i="9"/>
  <c r="D87" i="9"/>
  <c r="E86" i="9"/>
  <c r="D86" i="9"/>
  <c r="G85" i="9"/>
  <c r="E85" i="9"/>
  <c r="D85" i="9"/>
  <c r="E80" i="9"/>
  <c r="D80" i="9"/>
  <c r="E79" i="9"/>
  <c r="D79" i="9"/>
  <c r="E78" i="9"/>
  <c r="D78" i="9"/>
  <c r="E77" i="9"/>
  <c r="D77" i="9"/>
  <c r="E76" i="9"/>
  <c r="D76" i="9"/>
  <c r="E75" i="9"/>
  <c r="D75" i="9"/>
  <c r="E74" i="9"/>
  <c r="D74" i="9"/>
  <c r="G73" i="9"/>
  <c r="E73" i="9"/>
  <c r="D73" i="9"/>
  <c r="E71" i="9"/>
  <c r="D71" i="9"/>
  <c r="E70" i="9"/>
  <c r="D70" i="9"/>
  <c r="E69" i="9"/>
  <c r="D69" i="9"/>
  <c r="E68" i="9"/>
  <c r="D68" i="9"/>
  <c r="E67" i="9"/>
  <c r="D67" i="9"/>
  <c r="E66" i="9"/>
  <c r="D66" i="9"/>
  <c r="E65" i="9"/>
  <c r="D65" i="9"/>
  <c r="G64" i="9"/>
  <c r="E64" i="9"/>
  <c r="D64" i="9"/>
  <c r="E59" i="9"/>
  <c r="D59" i="9"/>
  <c r="E58" i="9"/>
  <c r="D58" i="9"/>
  <c r="E57" i="9"/>
  <c r="D57" i="9"/>
  <c r="E56" i="9"/>
  <c r="D56" i="9"/>
  <c r="E55" i="9"/>
  <c r="D55" i="9"/>
  <c r="E54" i="9"/>
  <c r="D54" i="9"/>
  <c r="G53" i="9"/>
  <c r="E53" i="9"/>
  <c r="D53" i="9"/>
  <c r="E51" i="9"/>
  <c r="D51" i="9"/>
  <c r="E50" i="9"/>
  <c r="D50" i="9"/>
  <c r="E49" i="9"/>
  <c r="D49" i="9"/>
  <c r="E48" i="9"/>
  <c r="D48" i="9"/>
  <c r="E47" i="9"/>
  <c r="D47" i="9"/>
  <c r="E46" i="9"/>
  <c r="D46" i="9"/>
  <c r="G45" i="9"/>
  <c r="E45" i="9"/>
  <c r="D45" i="9"/>
  <c r="E40" i="9"/>
  <c r="D40" i="9"/>
  <c r="E39" i="9"/>
  <c r="D39" i="9"/>
  <c r="E38" i="9"/>
  <c r="D38" i="9"/>
  <c r="E37" i="9"/>
  <c r="D37" i="9"/>
  <c r="E36" i="9"/>
  <c r="D36" i="9"/>
  <c r="E35" i="9"/>
  <c r="D35" i="9"/>
  <c r="E34" i="9"/>
  <c r="D34" i="9"/>
  <c r="G33" i="9"/>
  <c r="E33" i="9"/>
  <c r="D33" i="9"/>
  <c r="E31" i="9"/>
  <c r="D31" i="9"/>
  <c r="E30" i="9"/>
  <c r="D30" i="9"/>
  <c r="E29" i="9"/>
  <c r="D29" i="9"/>
  <c r="E28" i="9"/>
  <c r="D28" i="9"/>
  <c r="E27" i="9"/>
  <c r="D27" i="9"/>
  <c r="E26" i="9"/>
  <c r="D26" i="9"/>
  <c r="E25" i="9"/>
  <c r="D25" i="9"/>
  <c r="G24" i="9"/>
  <c r="E24" i="9"/>
  <c r="D24" i="9"/>
  <c r="E19" i="9"/>
  <c r="D19" i="9"/>
  <c r="E18" i="9"/>
  <c r="D18" i="9"/>
  <c r="E17" i="9"/>
  <c r="D17" i="9"/>
  <c r="E16" i="9"/>
  <c r="D16" i="9"/>
  <c r="E15" i="9"/>
  <c r="D15" i="9"/>
  <c r="E14" i="9"/>
  <c r="D14" i="9"/>
  <c r="G13" i="9"/>
  <c r="E13" i="9"/>
  <c r="D13" i="9"/>
  <c r="E11" i="9"/>
  <c r="D11" i="9"/>
  <c r="E10" i="9"/>
  <c r="D10" i="9"/>
  <c r="E9" i="9"/>
  <c r="D9" i="9"/>
  <c r="E8" i="9"/>
  <c r="D8" i="9"/>
  <c r="E7" i="9"/>
  <c r="D7" i="9"/>
  <c r="E6" i="9"/>
  <c r="D6" i="9"/>
  <c r="G5" i="9"/>
  <c r="E5" i="9"/>
  <c r="D5" i="9"/>
  <c r="D286" i="1"/>
  <c r="K272" i="1"/>
  <c r="E271" i="1"/>
  <c r="D271" i="1"/>
  <c r="E270" i="1"/>
  <c r="K270" i="1" s="1"/>
  <c r="D270" i="1"/>
  <c r="K269" i="1"/>
  <c r="E269" i="1"/>
  <c r="D269" i="1"/>
  <c r="E268" i="1"/>
  <c r="D268" i="1"/>
  <c r="K267" i="1"/>
  <c r="E266" i="1"/>
  <c r="D266" i="1"/>
  <c r="K266" i="1" s="1"/>
  <c r="K265" i="1"/>
  <c r="G265" i="1"/>
  <c r="K264" i="1"/>
  <c r="E263" i="1"/>
  <c r="K263" i="1" s="1"/>
  <c r="D263" i="1"/>
  <c r="K262" i="1"/>
  <c r="E261" i="1"/>
  <c r="D261" i="1"/>
  <c r="E260" i="1"/>
  <c r="D260" i="1"/>
  <c r="E259" i="1"/>
  <c r="D259" i="1"/>
  <c r="E258" i="1"/>
  <c r="D258" i="1"/>
  <c r="G257" i="1"/>
  <c r="E257" i="1"/>
  <c r="K257" i="1" s="1"/>
  <c r="D257" i="1"/>
  <c r="K256" i="1"/>
  <c r="E255" i="1"/>
  <c r="D255" i="1"/>
  <c r="K255" i="1" s="1"/>
  <c r="K254" i="1"/>
  <c r="E253" i="1"/>
  <c r="D253" i="1"/>
  <c r="E252" i="1"/>
  <c r="K252" i="1" s="1"/>
  <c r="D252" i="1"/>
  <c r="E251" i="1"/>
  <c r="D251" i="1"/>
  <c r="E250" i="1"/>
  <c r="K250" i="1" s="1"/>
  <c r="D250" i="1"/>
  <c r="G249" i="1"/>
  <c r="E249" i="1"/>
  <c r="D249" i="1"/>
  <c r="K248" i="1"/>
  <c r="E247" i="1"/>
  <c r="D247" i="1"/>
  <c r="K247" i="1" s="1"/>
  <c r="E246" i="1"/>
  <c r="D246" i="1"/>
  <c r="E245" i="1"/>
  <c r="K245" i="1" s="1"/>
  <c r="D245" i="1"/>
  <c r="E244" i="1"/>
  <c r="D244" i="1"/>
  <c r="K244" i="1" s="1"/>
  <c r="E243" i="1"/>
  <c r="D243" i="1"/>
  <c r="K243" i="1" s="1"/>
  <c r="E242" i="1"/>
  <c r="D242" i="1"/>
  <c r="K241" i="1"/>
  <c r="G241" i="1"/>
  <c r="E241" i="1"/>
  <c r="D241" i="1"/>
  <c r="K240" i="1"/>
  <c r="E239" i="1"/>
  <c r="D239" i="1"/>
  <c r="E238" i="1"/>
  <c r="D238" i="1"/>
  <c r="E237" i="1"/>
  <c r="N237" i="1" s="1"/>
  <c r="D237" i="1"/>
  <c r="E236" i="1"/>
  <c r="D236" i="1"/>
  <c r="N236" i="1" s="1"/>
  <c r="E235" i="1"/>
  <c r="N235" i="1" s="1"/>
  <c r="D235" i="1"/>
  <c r="E234" i="1"/>
  <c r="D234" i="1"/>
  <c r="G233" i="1"/>
  <c r="E233" i="1"/>
  <c r="D233" i="1"/>
  <c r="K232" i="1"/>
  <c r="E228" i="1"/>
  <c r="D228" i="1"/>
  <c r="E227" i="1"/>
  <c r="D227" i="1"/>
  <c r="E226" i="1"/>
  <c r="D226" i="1"/>
  <c r="E225" i="1"/>
  <c r="D225" i="1"/>
  <c r="E224" i="1"/>
  <c r="D224" i="1"/>
  <c r="E223" i="1"/>
  <c r="D223" i="1"/>
  <c r="E222" i="1"/>
  <c r="D222" i="1"/>
  <c r="G221" i="1"/>
  <c r="E221" i="1"/>
  <c r="D221" i="1"/>
  <c r="E219" i="1"/>
  <c r="D219" i="1"/>
  <c r="E218" i="1"/>
  <c r="D218" i="1"/>
  <c r="E217" i="1"/>
  <c r="D217" i="1"/>
  <c r="E216" i="1"/>
  <c r="D216" i="1"/>
  <c r="E128" i="1" s="1"/>
  <c r="E215" i="1"/>
  <c r="D215" i="1"/>
  <c r="E214" i="1"/>
  <c r="D214" i="1"/>
  <c r="E213" i="1"/>
  <c r="D213" i="1"/>
  <c r="G212" i="1"/>
  <c r="E212" i="1"/>
  <c r="D212" i="1"/>
  <c r="E207" i="1"/>
  <c r="D207" i="1"/>
  <c r="E206" i="1"/>
  <c r="D206" i="1"/>
  <c r="E205" i="1"/>
  <c r="D205" i="1"/>
  <c r="E204" i="1"/>
  <c r="D204" i="1"/>
  <c r="E203" i="1"/>
  <c r="D203" i="1"/>
  <c r="E202" i="1"/>
  <c r="D202" i="1"/>
  <c r="G201" i="1"/>
  <c r="E201" i="1"/>
  <c r="D201" i="1"/>
  <c r="E199" i="1"/>
  <c r="D199" i="1"/>
  <c r="E198" i="1"/>
  <c r="D198" i="1"/>
  <c r="E197" i="1"/>
  <c r="D197" i="1"/>
  <c r="E196" i="1"/>
  <c r="D196" i="1"/>
  <c r="E195" i="1"/>
  <c r="D195" i="1"/>
  <c r="E194" i="1"/>
  <c r="D194" i="1"/>
  <c r="G193" i="1"/>
  <c r="E193" i="1"/>
  <c r="I193" i="1" s="1"/>
  <c r="D193" i="1"/>
  <c r="D190" i="1"/>
  <c r="F190" i="1" s="1"/>
  <c r="D189" i="1"/>
  <c r="F189" i="1" s="1"/>
  <c r="D188" i="1"/>
  <c r="F188" i="1" s="1"/>
  <c r="F187" i="1"/>
  <c r="D187" i="1"/>
  <c r="D186" i="1"/>
  <c r="F186" i="1" s="1"/>
  <c r="D185" i="1"/>
  <c r="F185" i="1" s="1"/>
  <c r="D184" i="1"/>
  <c r="F184" i="1" s="1"/>
  <c r="D183" i="1"/>
  <c r="F183" i="1" s="1"/>
  <c r="D182" i="1"/>
  <c r="F182" i="1" s="1"/>
  <c r="D181" i="1"/>
  <c r="F181" i="1" s="1"/>
  <c r="D180" i="1"/>
  <c r="A180" i="1"/>
  <c r="A181" i="1" s="1"/>
  <c r="A182" i="1" s="1"/>
  <c r="A183" i="1" s="1"/>
  <c r="A184" i="1" s="1"/>
  <c r="A185" i="1" s="1"/>
  <c r="A186" i="1" s="1"/>
  <c r="A187" i="1" s="1"/>
  <c r="A188" i="1" s="1"/>
  <c r="A189" i="1" s="1"/>
  <c r="A190" i="1" s="1"/>
  <c r="D179" i="1"/>
  <c r="F179" i="1" s="1"/>
  <c r="A179" i="1"/>
  <c r="G178" i="1"/>
  <c r="D178" i="1"/>
  <c r="F178" i="1" s="1"/>
  <c r="I178" i="1" s="1"/>
  <c r="E174" i="1"/>
  <c r="D174" i="1"/>
  <c r="E173" i="1"/>
  <c r="D173" i="1"/>
  <c r="C126" i="1" s="1"/>
  <c r="E172" i="1"/>
  <c r="D172" i="1"/>
  <c r="E171" i="1"/>
  <c r="D171" i="1"/>
  <c r="E170" i="1"/>
  <c r="D170" i="1"/>
  <c r="E169" i="1"/>
  <c r="D169" i="1"/>
  <c r="E168" i="1"/>
  <c r="D168" i="1"/>
  <c r="G167" i="1"/>
  <c r="E167" i="1"/>
  <c r="D167" i="1"/>
  <c r="E165" i="1"/>
  <c r="D165" i="1"/>
  <c r="E164" i="1"/>
  <c r="D164" i="1"/>
  <c r="E163" i="1"/>
  <c r="D163" i="1"/>
  <c r="E162" i="1"/>
  <c r="D162" i="1"/>
  <c r="E161" i="1"/>
  <c r="D161" i="1"/>
  <c r="E160" i="1"/>
  <c r="D160" i="1"/>
  <c r="E159" i="1"/>
  <c r="D159" i="1"/>
  <c r="G158" i="1"/>
  <c r="E158" i="1"/>
  <c r="D158" i="1"/>
  <c r="E153" i="1"/>
  <c r="D153" i="1"/>
  <c r="E152" i="1"/>
  <c r="D152" i="1"/>
  <c r="E151" i="1"/>
  <c r="D151" i="1"/>
  <c r="E150" i="1"/>
  <c r="D150" i="1"/>
  <c r="E149" i="1"/>
  <c r="D149" i="1"/>
  <c r="E148" i="1"/>
  <c r="D148" i="1"/>
  <c r="G147" i="1"/>
  <c r="E147" i="1"/>
  <c r="D147" i="1"/>
  <c r="K145" i="1"/>
  <c r="E145" i="1"/>
  <c r="D145" i="1"/>
  <c r="K144" i="1"/>
  <c r="E144" i="1"/>
  <c r="D144" i="1"/>
  <c r="K143" i="1"/>
  <c r="E143" i="1"/>
  <c r="D143" i="1"/>
  <c r="K142" i="1"/>
  <c r="E142" i="1"/>
  <c r="D142" i="1"/>
  <c r="K141" i="1"/>
  <c r="E141" i="1"/>
  <c r="D141" i="1"/>
  <c r="E125" i="1" s="1"/>
  <c r="K140" i="1"/>
  <c r="E140" i="1"/>
  <c r="D140" i="1"/>
  <c r="K139" i="1"/>
  <c r="G139" i="1"/>
  <c r="E139" i="1"/>
  <c r="D139" i="1"/>
  <c r="G129" i="1"/>
  <c r="G128" i="1"/>
  <c r="G127" i="1"/>
  <c r="G126" i="1"/>
  <c r="E126" i="1"/>
  <c r="G125" i="1"/>
  <c r="F119" i="1"/>
  <c r="J101" i="1"/>
  <c r="J100" i="1"/>
  <c r="J99" i="1"/>
  <c r="J98" i="1"/>
  <c r="C97" i="1"/>
  <c r="J87" i="1"/>
  <c r="J86" i="1"/>
  <c r="J85" i="1"/>
  <c r="J84" i="1"/>
  <c r="C83" i="1"/>
  <c r="D75" i="1"/>
  <c r="D74" i="1"/>
  <c r="J73" i="1"/>
  <c r="D73" i="1"/>
  <c r="J72" i="1"/>
  <c r="D72" i="1"/>
  <c r="J71" i="1"/>
  <c r="D71" i="1"/>
  <c r="J70" i="1"/>
  <c r="D70" i="1"/>
  <c r="D69" i="1"/>
  <c r="J68" i="1"/>
  <c r="J69" i="1" s="1"/>
  <c r="J74" i="1" s="1"/>
  <c r="J75" i="1" s="1"/>
  <c r="C67" i="1" s="1"/>
  <c r="D68" i="1"/>
  <c r="J67" i="1"/>
  <c r="C66" i="1" s="1"/>
  <c r="J66" i="1"/>
  <c r="J65" i="1"/>
  <c r="C63" i="1"/>
  <c r="D53" i="1"/>
  <c r="E41" i="1"/>
  <c r="E42" i="1" s="1"/>
  <c r="E25" i="1"/>
  <c r="E23" i="1"/>
  <c r="C14" i="1"/>
  <c r="E7" i="1"/>
  <c r="E3" i="1"/>
  <c r="H77" i="1"/>
  <c r="H91" i="1"/>
  <c r="E127" i="1" l="1"/>
  <c r="G12" i="5"/>
  <c r="I34" i="3"/>
  <c r="H34" i="3" s="1"/>
  <c r="N234" i="1"/>
  <c r="N238" i="1"/>
  <c r="E129" i="1"/>
  <c r="K251" i="1"/>
  <c r="K253" i="1"/>
  <c r="L34" i="3"/>
  <c r="K34" i="3" s="1"/>
  <c r="K249" i="1"/>
  <c r="K259" i="1"/>
  <c r="K261" i="1"/>
  <c r="K268" i="1"/>
  <c r="K271" i="1"/>
  <c r="G130" i="1"/>
  <c r="E122" i="1"/>
  <c r="E131" i="1" s="1"/>
  <c r="N233" i="1"/>
  <c r="N239" i="1"/>
  <c r="K246" i="1"/>
  <c r="K258" i="1"/>
  <c r="K260" i="1"/>
  <c r="D67" i="1"/>
  <c r="E66" i="1"/>
  <c r="E130" i="1"/>
  <c r="D34" i="3"/>
  <c r="D36" i="3" s="1"/>
  <c r="E36" i="3"/>
  <c r="G66" i="1"/>
  <c r="G64" i="1" s="1"/>
  <c r="D66" i="1"/>
  <c r="F180" i="1"/>
  <c r="G122" i="1" s="1"/>
  <c r="G131" i="1" s="1"/>
  <c r="K235" i="1"/>
  <c r="K238" i="1"/>
  <c r="C127" i="1"/>
  <c r="K242" i="1"/>
  <c r="C122" i="1"/>
  <c r="C128" i="1"/>
  <c r="K233" i="1"/>
  <c r="K236" i="1"/>
  <c r="K239" i="1"/>
  <c r="C125" i="1"/>
  <c r="C129" i="1"/>
  <c r="K234" i="1"/>
  <c r="K237" i="1"/>
  <c r="C99" i="1"/>
  <c r="D99" i="1" s="1"/>
  <c r="C98" i="1"/>
  <c r="D98" i="1" s="1"/>
  <c r="C85" i="1"/>
  <c r="D85" i="1" s="1"/>
  <c r="C84" i="1"/>
  <c r="D100" i="1"/>
  <c r="J96" i="1"/>
  <c r="J97" i="1" s="1"/>
  <c r="J102" i="1" s="1"/>
  <c r="J103" i="1" s="1"/>
  <c r="C95" i="1" s="1"/>
  <c r="D94" i="1"/>
  <c r="J94" i="1"/>
  <c r="D103" i="1"/>
  <c r="D96" i="1"/>
  <c r="J93" i="1"/>
  <c r="D97" i="1"/>
  <c r="J95" i="1"/>
  <c r="D102" i="1"/>
  <c r="D101" i="1"/>
  <c r="D89" i="1"/>
  <c r="J81" i="1"/>
  <c r="C80" i="1" s="1"/>
  <c r="D80" i="1" s="1"/>
  <c r="J79" i="1"/>
  <c r="D88" i="1"/>
  <c r="D84" i="1"/>
  <c r="J82" i="1"/>
  <c r="J83" i="1" s="1"/>
  <c r="J88" i="1" s="1"/>
  <c r="J89" i="1" s="1"/>
  <c r="C81" i="1" s="1"/>
  <c r="D81" i="1" s="1"/>
  <c r="D86" i="1"/>
  <c r="D87" i="1"/>
  <c r="J80" i="1"/>
  <c r="D83" i="1"/>
  <c r="D82" i="1"/>
  <c r="C130" i="1" l="1"/>
  <c r="C131" i="1"/>
  <c r="C64" i="1"/>
  <c r="F104" i="1"/>
  <c r="I61" i="1"/>
  <c r="G80" i="1"/>
  <c r="E80" i="1"/>
  <c r="I76" i="1" s="1"/>
  <c r="C78" i="1" s="1"/>
  <c r="E94" i="1"/>
  <c r="I90" i="1" s="1"/>
  <c r="C92" i="1" s="1"/>
  <c r="G94" i="1"/>
  <c r="D95" i="1"/>
</calcChain>
</file>

<file path=xl/sharedStrings.xml><?xml version="1.0" encoding="utf-8"?>
<sst xmlns="http://schemas.openxmlformats.org/spreadsheetml/2006/main" count="661" uniqueCount="285">
  <si>
    <t xml:space="preserve">Office No. 1031, Wing J, Akshar Business Park, Plot No. 03 Sector 25, Near APMC Market,
Vashi, Navi Mumbai, Maharashtra 400703 TEL: 022-46090378/79/80                                                                                                                        E mail : vsjcapf@gmail.com. Web site : www.vsjadon.com </t>
  </si>
  <si>
    <t xml:space="preserve">Valuation Report </t>
  </si>
  <si>
    <t>Date:</t>
  </si>
  <si>
    <t>CPC Name:</t>
  </si>
  <si>
    <t>Axis Sanpada</t>
  </si>
  <si>
    <t>Date Of Property Visit</t>
  </si>
  <si>
    <t>Name of the builder group</t>
  </si>
  <si>
    <t>M/s.Paradise Superstructures</t>
  </si>
  <si>
    <t>Name of the builder company</t>
  </si>
  <si>
    <t>Name of the Project</t>
  </si>
  <si>
    <t>Sai World Empire Phase I &amp; III</t>
  </si>
  <si>
    <t>Contact Details ( Name &amp; Contact No.)</t>
  </si>
  <si>
    <t xml:space="preserve">Site Person - Contact Details ( Name &amp; Contact No.)
</t>
  </si>
  <si>
    <t>Name / No of the Building</t>
  </si>
  <si>
    <t>Phase I - Tower No.1 - Ceaser
              Tower No.2 - Alexander
              Tower No.3 - Neoplean
Phase III - Tower No.4 - Cleopatra
                Tower No.5 - Charles</t>
  </si>
  <si>
    <t>Docouments Provided</t>
  </si>
  <si>
    <t>Approved Plans, CC, Sale Plans, Builder Saleable Area, Cost Sheet</t>
  </si>
  <si>
    <t>RERA No.</t>
  </si>
  <si>
    <t xml:space="preserve">Tower No.1, 2 &amp; 3 = P51700002446
Tower No.4 &amp; 5 = P52000029168
</t>
  </si>
  <si>
    <t xml:space="preserve">Project location details       </t>
  </si>
  <si>
    <t>Survey No</t>
  </si>
  <si>
    <t>93/3, 93/2&amp;4, 94/1, 94/2, 94/3A, 94/3B, 94/4, 102/1A, 102/1B, 102/3, 102/4, 102/5A2, 102/5B, 102/5K, 103/1A, 103/1B, 103/2A, 103/2B, 103/3</t>
  </si>
  <si>
    <t>Road</t>
  </si>
  <si>
    <t>Valley Shilp Road</t>
  </si>
  <si>
    <t>Locality/Village</t>
  </si>
  <si>
    <t>Rohinjan</t>
  </si>
  <si>
    <t>City</t>
  </si>
  <si>
    <t>Taloja</t>
  </si>
  <si>
    <t>District</t>
  </si>
  <si>
    <t>Raigad</t>
  </si>
  <si>
    <t>Taluka</t>
  </si>
  <si>
    <t>Panvel</t>
  </si>
  <si>
    <t>Pin Code</t>
  </si>
  <si>
    <t>Nearby Landmark</t>
  </si>
  <si>
    <t>Harmony School &amp; Jr. College</t>
  </si>
  <si>
    <t xml:space="preserve">Distance from city centre: </t>
  </si>
  <si>
    <t>3.5 KM from Taloja Panchanand Railway Station</t>
  </si>
  <si>
    <t>Accessibility to the Project from the City: (Proximity to civic amenities like school, hospital, market, etc.)</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</si>
  <si>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</si>
  <si>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</si>
  <si>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</si>
  <si>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</si>
  <si>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</si>
  <si>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</si>
  <si>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</si>
  <si>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</si>
  <si>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</si>
  <si>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Type of Structure</t>
  </si>
  <si>
    <t>RCC Frame Structure</t>
  </si>
  <si>
    <t xml:space="preserve">Approved usage of the Property:                                                                                                                                             </t>
  </si>
  <si>
    <t>Residential</t>
  </si>
  <si>
    <t>Restrictive Covenants in regard to Land Use</t>
  </si>
  <si>
    <t>No</t>
  </si>
  <si>
    <t>Boundries</t>
  </si>
  <si>
    <t>As per deed</t>
  </si>
  <si>
    <t>At site</t>
  </si>
  <si>
    <t>East</t>
  </si>
  <si>
    <t>NA</t>
  </si>
  <si>
    <t>Adhiraj Capital City 2</t>
  </si>
  <si>
    <t>West</t>
  </si>
  <si>
    <t>North</t>
  </si>
  <si>
    <t>Jagruteshwar shiv mandir</t>
  </si>
  <si>
    <t>South</t>
  </si>
  <si>
    <t>Swapnapurti Housing Society</t>
  </si>
  <si>
    <t>Does the boundaries at site match, as mentioned in the Docoumentation: NA</t>
  </si>
  <si>
    <t>Latitude, Longitude</t>
  </si>
  <si>
    <t>19.0819149,73.0730303</t>
  </si>
  <si>
    <t>Location Link</t>
  </si>
  <si>
    <t>https://goo.gl/maps/dq6pHjP35iGNcdUb6?coh=178572&amp;entry=tt</t>
  </si>
  <si>
    <t>Area Statement Details :</t>
  </si>
  <si>
    <t>Total land area of the project in Sq. Mt.</t>
  </si>
  <si>
    <t>Permissible FSI</t>
  </si>
  <si>
    <t>Permissible TDR/Paid FSI</t>
  </si>
  <si>
    <t>Total FSI availaible for the project</t>
  </si>
  <si>
    <t>Total Approved Builtup area of the project (Sq.Mt)</t>
  </si>
  <si>
    <t>Total number of Buildings</t>
  </si>
  <si>
    <t>05 Buildings</t>
  </si>
  <si>
    <t xml:space="preserve">Approval Detail : Plan approval </t>
  </si>
  <si>
    <t xml:space="preserve">Layout Approval No     </t>
  </si>
  <si>
    <t>PMP/NRV/16094/J.K/897/2023</t>
  </si>
  <si>
    <t>Dated</t>
  </si>
  <si>
    <t xml:space="preserve">Approved Floor plan No.
  </t>
  </si>
  <si>
    <t>PMP/NRV/BP/1089</t>
  </si>
  <si>
    <t>Approved Floor plan No.
Tower 3 - 1st Podium Floor &amp; Tower 5</t>
  </si>
  <si>
    <t>Commencement Certificate No.</t>
  </si>
  <si>
    <t>PMP/TP/Rohinjan/93/2+4 &amp; other/21-23/16094/897/2023</t>
  </si>
  <si>
    <t>Valid Up to:  
Tower No.1 - Ceaser = B + G + 1 to 3 Podium + 4th to 40th Floor
Tower No.2 - Alexander = B + G + 1 to 3 Podium + 4th to 40th Floor
Tower No.3 - Neoplean = B + G + 1 to 3 Podium + 4th to 40th Floor
Tower No.4 - Cleopatra = B + G + 1 to 3 Podium + 4th to 46th Floor
Tower No.5 - Charles = B + G + 1 to 3 Podium + 4th to 46th Floor</t>
  </si>
  <si>
    <t xml:space="preserve">O. Certificate No.: </t>
  </si>
  <si>
    <t>PMC/Rohinjan/93/2+4 &amp; other/21-23/16094/3451/2023
Approved upto :
Tower No.1 - Ceaser =  G + 1 to 3 Podium + 4th to 40th Floor
Tower No.2 - Alexander =  G + 1 to 3 Podium + 4th to 40th Floor
Tower No.3 - Neoplean =  G + 1 to 3 Podium + 4th to 40th Floor</t>
  </si>
  <si>
    <t xml:space="preserve">Date of approval: </t>
  </si>
  <si>
    <t>Building wise Construction details</t>
  </si>
  <si>
    <t>Approved area of building (Sq.Mt)</t>
  </si>
  <si>
    <t>Approved no of units</t>
  </si>
  <si>
    <t>Flats - 1299, Shops - 13</t>
  </si>
  <si>
    <t>Approved no of Floors</t>
  </si>
  <si>
    <t>Tower No.1 - Ceaser = B + G + 1 to 3 Podium + 4th to 40th Floor
Tower No.2 - Alexander = B + G + 1 to 3 Podium + 4th to 40th Floor
Tower No.3 - Neoplean = B + G + 1 to 3 Podium + 4th to 40th Floor
Tower No.4 - Cleopatra = B + G + 1 to 3 Podium + 4th to 28th Floor
Tower No.5 - Charles = B + G + 1 to 3 Podium + 4th to 46th Floor</t>
  </si>
  <si>
    <t>Proposed no of Floors</t>
  </si>
  <si>
    <t>Tower No.1 - Ceaser = B + G + 1 to 3 Podium + 4th to 40th Floor
Tower No.2 - Alexander = B + G + 1 to 3 Podium + 4th to 40th Floor
Tower No.3 - Neoplean = B + G + 1 to 3 Podium + 4th to 40th Floor
Tower No.4 - Cleopatra = B + G + 1 to 3 Podium + 4th to 46th Floor
Tower No.5 - Charles = B + G + 1 to 3 Podium + 4th to 46th Floor</t>
  </si>
  <si>
    <t>Expected Completion</t>
  </si>
  <si>
    <t>As per RERA = Phase I - Completed &amp; Phase III - 31/12/2027</t>
  </si>
  <si>
    <t>Projected life of the structure</t>
  </si>
  <si>
    <t>60 Years After Completion</t>
  </si>
  <si>
    <t xml:space="preserve">Quality of construction: </t>
  </si>
  <si>
    <t xml:space="preserve">Material laying at Site: </t>
  </si>
  <si>
    <t>Cement, Aggregate, Steel, etc</t>
  </si>
  <si>
    <t>Construction details:</t>
  </si>
  <si>
    <t>Tower No.1 - Ceaser = B + G + 1st to 3rd Podium + 4th to 40th Floor
Tower No.2 - Alexander = B + G + 1st to 3rd Podium + 4th to 40th Floor
Tower No.3 - Neoplean = B + G + 1st to 3rd Podium + 4th to 40th Floor</t>
  </si>
  <si>
    <t>Basement</t>
  </si>
  <si>
    <t>Ground</t>
  </si>
  <si>
    <t>Podium</t>
  </si>
  <si>
    <t>Floors</t>
  </si>
  <si>
    <t xml:space="preserve">Stage of construction: </t>
  </si>
  <si>
    <t>All work Completed. OC Received.</t>
  </si>
  <si>
    <t>Type of Work</t>
  </si>
  <si>
    <t>Slab/Floor</t>
  </si>
  <si>
    <t>Complition %</t>
  </si>
  <si>
    <t>Progress %</t>
  </si>
  <si>
    <t>Disbursement %</t>
  </si>
  <si>
    <t>Piling Work in process</t>
  </si>
  <si>
    <t>Excavation</t>
  </si>
  <si>
    <t>Excavation in process</t>
  </si>
  <si>
    <t>Plinth</t>
  </si>
  <si>
    <t>Excavation Completed</t>
  </si>
  <si>
    <t>RCC (Including podiums)</t>
  </si>
  <si>
    <t>Footing in Process</t>
  </si>
  <si>
    <t>Brickwork</t>
  </si>
  <si>
    <t>Brickwork &amp; Internal Plaster</t>
  </si>
  <si>
    <t>Footing Completed</t>
  </si>
  <si>
    <t>Internal Plaster</t>
  </si>
  <si>
    <t>Basement 1</t>
  </si>
  <si>
    <t>Ext. Plaster &amp; Plumbing</t>
  </si>
  <si>
    <t>External Plaster &amp; Plumbing</t>
  </si>
  <si>
    <t>Basement 2</t>
  </si>
  <si>
    <t>Flooring &amp; Fitting</t>
  </si>
  <si>
    <t>Basement 3</t>
  </si>
  <si>
    <t>Painting &amp; Wooden</t>
  </si>
  <si>
    <t>Basement 4</t>
  </si>
  <si>
    <t>Building Common Amenities</t>
  </si>
  <si>
    <t>Plinth in process</t>
  </si>
  <si>
    <t>Possession</t>
  </si>
  <si>
    <t>Plinth completed</t>
  </si>
  <si>
    <t xml:space="preserve">Tower No.4 - Cleopatra = B + G + 1st to 3rd Podium + 4th to 46th Floor
</t>
  </si>
  <si>
    <t>Tower No.5 - Charles = B + G + 1st to 3rd Podium + 4th to 46th Floor</t>
  </si>
  <si>
    <t xml:space="preserve">Wheather the construction is as per approved Building plan : </t>
  </si>
  <si>
    <t>Violations Observed if any : NA</t>
  </si>
  <si>
    <r>
      <rPr>
        <b/>
        <sz val="12"/>
        <rFont val="Times New Roman"/>
        <family val="1"/>
      </rPr>
      <t xml:space="preserve">Proposed Amenities :                                                                                                                                                                                                                      </t>
    </r>
    <r>
      <rPr>
        <sz val="12"/>
        <rFont val="Times New Roman"/>
        <family val="1"/>
      </rPr>
      <t xml:space="preserve">   </t>
    </r>
    <r>
      <rPr>
        <b/>
        <sz val="12"/>
        <rFont val="Times New Roman"/>
        <family val="1"/>
      </rPr>
      <t xml:space="preserve">                                               </t>
    </r>
  </si>
  <si>
    <r>
      <rPr>
        <sz val="12"/>
        <rFont val="Times New Roman"/>
        <family val="1"/>
      </rPr>
      <t>1.Vitrified tiles flooring 2. Granite Kitchen Platform  3. Decorative Enternace  etc.</t>
    </r>
    <r>
      <rPr>
        <b/>
        <sz val="12"/>
        <rFont val="Times New Roman"/>
        <family val="1"/>
      </rPr>
      <t xml:space="preserve">                                                                                                                                                                                                                                 </t>
    </r>
    <r>
      <rPr>
        <sz val="12"/>
        <rFont val="Times New Roman"/>
        <family val="1"/>
      </rPr>
      <t xml:space="preserve">   </t>
    </r>
    <r>
      <rPr>
        <b/>
        <sz val="12"/>
        <rFont val="Times New Roman"/>
        <family val="1"/>
      </rPr>
      <t xml:space="preserve">                                               </t>
    </r>
  </si>
  <si>
    <t>Recommended Rates of the Property :</t>
  </si>
  <si>
    <t>10250 to 10500 By Smit on 26/08/2023</t>
  </si>
  <si>
    <t>Recommended rate of the flat Per Sq. Ft. ( on Saleable area)</t>
  </si>
  <si>
    <t>10500 to 11250 By smit on 26/10/2023</t>
  </si>
  <si>
    <t>Recommended rate of the Shop Per Sq. Ft. ( on Saleable area)</t>
  </si>
  <si>
    <t>10500 to 11500 By smit on 31/10/2023</t>
  </si>
  <si>
    <t>Floor Rise Rate Per Sq.ft</t>
  </si>
  <si>
    <t>Rs. 70/- from 2nd floor</t>
  </si>
  <si>
    <t>Floor rise from 50 to 70 smit on 30/10/2023</t>
  </si>
  <si>
    <t>Development Charges</t>
  </si>
  <si>
    <t>7,00,000/-</t>
  </si>
  <si>
    <t>Club Membership</t>
  </si>
  <si>
    <t>6,00,000/-</t>
  </si>
  <si>
    <t>Legal Services Charges</t>
  </si>
  <si>
    <t>Gas Connection Charges</t>
  </si>
  <si>
    <t>Water, Electricity, Drainages, Sewerage Connection</t>
  </si>
  <si>
    <t>Society Formation Charges</t>
  </si>
  <si>
    <t>5,00,000/-</t>
  </si>
  <si>
    <t>Advance Maintenance Charges</t>
  </si>
  <si>
    <t xml:space="preserve">Recommended rate of Parking </t>
  </si>
  <si>
    <t>8,00,000/-</t>
  </si>
  <si>
    <t>Distressed valuation of the Property</t>
  </si>
  <si>
    <t>Commercial Area Details :</t>
  </si>
  <si>
    <t>Building &amp; Wing</t>
  </si>
  <si>
    <t>No. of Units</t>
  </si>
  <si>
    <t>Total Carpet Area</t>
  </si>
  <si>
    <t>Total Saleable Area</t>
  </si>
  <si>
    <t>Tower 3</t>
  </si>
  <si>
    <t>Residential Area Details :</t>
  </si>
  <si>
    <t>Tower 1</t>
  </si>
  <si>
    <t>Tower 2</t>
  </si>
  <si>
    <t>Tower 4</t>
  </si>
  <si>
    <t>Tower 5</t>
  </si>
  <si>
    <t>Total</t>
  </si>
  <si>
    <t>Grand Total</t>
  </si>
  <si>
    <t>Building details Floor Wise</t>
  </si>
  <si>
    <t xml:space="preserve">Details of Flats in Building   </t>
  </si>
  <si>
    <r>
      <rPr>
        <b/>
        <sz val="12"/>
        <rFont val="Times New Roman"/>
        <family val="1"/>
      </rPr>
      <t xml:space="preserve">Flat No.
</t>
    </r>
    <r>
      <rPr>
        <b/>
        <sz val="11"/>
        <rFont val="Times New Roman"/>
        <family val="1"/>
      </rPr>
      <t>(Approved Plan)</t>
    </r>
  </si>
  <si>
    <t>Flat No.
(Sale Plan)</t>
  </si>
  <si>
    <t>Description</t>
  </si>
  <si>
    <t>Gross Carpet area</t>
  </si>
  <si>
    <t>Attached Terrace area</t>
  </si>
  <si>
    <t>Builder Saleable area</t>
  </si>
  <si>
    <t>Floor</t>
  </si>
  <si>
    <t>Tower 1 - Ceaser</t>
  </si>
  <si>
    <t>Ground Floor, 1st Podium &amp; 2nd Podium Floor for Parking</t>
  </si>
  <si>
    <t>Garden level Podium Floor Amenities &amp; Parking</t>
  </si>
  <si>
    <t>4th, 6th, 8th, 10th, 12th, 14th, 16th, 18th, 20th, 22nd, 24th, 26th, 28th, 30th, 32nd, 34th, 36th, 38th &amp; 40th Floor</t>
  </si>
  <si>
    <t>3BHK</t>
  </si>
  <si>
    <t>4BHK</t>
  </si>
  <si>
    <t>2BHK</t>
  </si>
  <si>
    <t>5th, 7th, 9th, 11th, 13th, 15th, 17th, 19th, 21st, 23rd, 25th, 27th, 29th, 31st, 33rd, 35th, 37th, 39th Floor</t>
  </si>
  <si>
    <t>Tower 2 - Alexander</t>
  </si>
  <si>
    <t>(3rd Podium)Garden Podium Floor Amenities &amp; Parking</t>
  </si>
  <si>
    <t>Tower 3 - Napolean</t>
  </si>
  <si>
    <t>Ground Floor &amp; 2nd Podium Floor for Parking</t>
  </si>
  <si>
    <t>1st Podium for Parking &amp; Commercial</t>
  </si>
  <si>
    <t>Shop</t>
  </si>
  <si>
    <t>Tower 4 - Cleopatra</t>
  </si>
  <si>
    <t>4th, 6th, 8th, 10th, 12th, 14th, 16th, 18th, 20th, 22nd, 24th, 26th, 28th Floor</t>
  </si>
  <si>
    <t>5th, 7th, 9th, 11th, 13th, 15th, 17th, 19th, 21st, 23rd, 25th &amp; 27th Floor</t>
  </si>
  <si>
    <t>Tower 5 - Charles</t>
  </si>
  <si>
    <t>4th, 6th, 8th, 10th, 14th, 16th, 18th, 20th, 24th, 26th, 28th, 30th, 34th,
36th, 38th, 40th &amp; 44th Floor For Residential</t>
  </si>
  <si>
    <t xml:space="preserve">flat no 1 &amp; 3 +  5th flat in refuge floor.. builder sale not given </t>
  </si>
  <si>
    <t>5th, 9th, 11th, 13th, 15th, 19th, 21st, 23rd, 25th, 29th, 31st, 33rd, 35th, 39th, 41st, 43rd &amp; 45th Floor</t>
  </si>
  <si>
    <t>12th, 22nd &amp; 32nd Floor (Part Refuge Area)</t>
  </si>
  <si>
    <t>Refuge Area</t>
  </si>
  <si>
    <t>7th, 17th, 27th &amp; 37th Floor (Part Refuge Area)</t>
  </si>
  <si>
    <t>46th Floor (Part Terrace Area)</t>
  </si>
  <si>
    <t>Terrace Area</t>
  </si>
  <si>
    <t xml:space="preserve">Remarks:  </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</si>
  <si>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</si>
  <si>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</si>
  <si>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</si>
  <si>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</si>
  <si>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</si>
  <si>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5) Gross carpet area =  Net Carpet area + Fungible area.</t>
  </si>
  <si>
    <t>6) Fungible Area= Enclosed Balcony + Flower Bed + Covered Balcony + Service Slab + Duct + Chajja + Wheather Shed area.</t>
  </si>
  <si>
    <t>Inspected By :</t>
  </si>
  <si>
    <t>Report By :</t>
  </si>
  <si>
    <t>Authorized Signatory
Name &amp; Seal of the agency</t>
  </si>
  <si>
    <t xml:space="preserve">PHOTOGRAPHS OF PROPERTY : 
</t>
  </si>
  <si>
    <t>Google Map :</t>
  </si>
  <si>
    <t>Flat No.</t>
  </si>
  <si>
    <t>Saleable area</t>
  </si>
  <si>
    <t>2 BHK : 1275,1400 &amp; 1415 sq.ft
3 BHK : 1855,1875,1890,2025 &amp; 2215 sq.ft
4 BHK : 3295 sq.ft</t>
  </si>
  <si>
    <t>Grounf Floor, 1st Podium &amp; 2nd Podium Floor for Parking</t>
  </si>
  <si>
    <t>4th, 6th, 8th, 10th, 12th, 14th, 16th, 18th, 20th, 22nd, 24th, 26th Floor</t>
  </si>
  <si>
    <r>
      <rPr>
        <b/>
        <sz val="12"/>
        <color indexed="8"/>
        <rFont val="Times New Roman"/>
        <family val="1"/>
      </rPr>
      <t xml:space="preserve">Construction details: </t>
    </r>
    <r>
      <rPr>
        <b/>
        <sz val="12"/>
        <color rgb="FFFF0000"/>
        <rFont val="Times New Roman"/>
        <family val="1"/>
      </rPr>
      <t>Building No.  =</t>
    </r>
  </si>
  <si>
    <t>All work Completed. Wait For OC.</t>
  </si>
  <si>
    <t>All work Completed. Provide OC.</t>
  </si>
  <si>
    <t>Completed Slab/Floor</t>
  </si>
  <si>
    <t>RCC Slab</t>
  </si>
  <si>
    <t>Brick</t>
  </si>
  <si>
    <t>Plaster</t>
  </si>
  <si>
    <t>Flooring</t>
  </si>
  <si>
    <t>Painting &amp; Wooden Work</t>
  </si>
  <si>
    <t>Finishing</t>
  </si>
  <si>
    <t xml:space="preserve">Floor No </t>
  </si>
  <si>
    <t>Flat</t>
  </si>
  <si>
    <t>Discription</t>
  </si>
  <si>
    <t>Carpet</t>
  </si>
  <si>
    <t>Fungible</t>
  </si>
  <si>
    <t>Terrace</t>
  </si>
  <si>
    <t>L</t>
  </si>
  <si>
    <t>W</t>
  </si>
  <si>
    <t>A</t>
  </si>
  <si>
    <t>Hall</t>
  </si>
  <si>
    <t>CB</t>
  </si>
  <si>
    <t>FB</t>
  </si>
  <si>
    <t>kitch</t>
  </si>
  <si>
    <t>Bed1</t>
  </si>
  <si>
    <t>Bed2</t>
  </si>
  <si>
    <t>toilet1</t>
  </si>
  <si>
    <t>DB</t>
  </si>
  <si>
    <t>toilet2</t>
  </si>
  <si>
    <t>toilet3</t>
  </si>
  <si>
    <t>passage1</t>
  </si>
  <si>
    <t>passage2</t>
  </si>
  <si>
    <t>passage3</t>
  </si>
  <si>
    <t>passage4</t>
  </si>
  <si>
    <t>Market Research Data</t>
  </si>
  <si>
    <t>Source</t>
  </si>
  <si>
    <t>Distance from proposed property</t>
  </si>
  <si>
    <t>Net Carpet</t>
  </si>
  <si>
    <t>Saleable Area</t>
  </si>
  <si>
    <t>Rate on Saleable</t>
  </si>
  <si>
    <t>Market Value</t>
  </si>
  <si>
    <t>Magic Brick</t>
  </si>
  <si>
    <t>99 Acres</t>
  </si>
  <si>
    <t>Average</t>
  </si>
  <si>
    <t xml:space="preserve">Valuation Adopted </t>
  </si>
  <si>
    <t>Rate 12000 by Sanjay Verbal for Building no.5 Flat 1603   on 25/02/2025</t>
  </si>
  <si>
    <t>Mr. Sachin 02227849001</t>
  </si>
  <si>
    <t>Sunil Peravi</t>
  </si>
  <si>
    <t>09/09/2025</t>
  </si>
  <si>
    <t>Pranita Mhatre</t>
  </si>
  <si>
    <t>1. Tower No. 1, 2, 3 - All work Completed. OC Received.
    Tower No. 4 &amp; 5 - Construction work was in process at the time of visit. (Internal visit was not allowed.)
2. We considered Saleable area  as per Builder area sheet.
3. We considered Carpet area as per Approved Plan.
4. We considered Gross carpet area = Net carpet + Enclose balcony + D.B Area + F.B Area.
5. We have considered rate by verifying it from market inquire.
6. Car parking is subjected to authentic documentation.
7. Recommended rate should be considered as all inclusive rate if other charges are not mentioned. (Excluding GST &amp; other government Taxes)
8. We have updated revised plans of Tower 3 (1st Podium Floor) (on 12/07/2023).
9. We have updated approved floor plan for Tower 5 &amp; CC for Tower 1 to 5 (on 20/10/2023).
10. The 42nd floor is not mentioned in provided approved floor plan of Tower No.5.
11. Recommended Rates of the Property have been revised on 31/10/2023 &amp; 25/02/2025.
12. We have updated Part OC For Phase I Tower 1, 2 &amp; 3 from RERA (on 12/06/2024).
13. Please provide revised approved plans.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</si>
</sst>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_(* #,##0.00_);_(* \(#,##0.00\);_(* &quot;-&quot;??_);_(@_)"/>
    <numFmt numFmtId="165" formatCode="_(* #,##0_);_(* \(#,##0\);_(* &quot;-&quot;??_);_(@_)"/>
    <numFmt numFmtId="166" formatCode="dd\/mm\/yyyy"/>
    <numFmt numFmtId="167" formatCode="0.0"/>
  </numFmts>
  <fonts count="23">
    <font>
      <sz val="11"/>
      <color rgb="FF000000"/>
      <name val="Calibri"/>
      <charset val="134"/>
    </font>
    <font>
      <sz val="11"/>
      <color indexed="8"/>
      <name val="Calibri"/>
      <family val="2"/>
    </font>
    <font>
      <sz val="11"/>
      <color theme="1"/>
      <name val="Calibri"/>
      <family val="2"/>
      <scheme val="minor"/>
    </font>
    <font>
      <b/>
      <sz val="11"/>
      <color theme="1"/>
      <name val="Calibri"/>
      <family val="2"/>
      <scheme val="minor"/>
    </font>
    <font>
      <sz val="11"/>
      <color rgb="FFFF0000"/>
      <name val="Calibri"/>
      <family val="2"/>
      <scheme val="minor"/>
    </font>
    <font>
      <sz val="11"/>
      <color rgb="FFFF0000"/>
      <name val="Calibri"/>
      <family val="2"/>
    </font>
    <font>
      <b/>
      <sz val="12"/>
      <color indexed="8"/>
      <name val="Times New Roman"/>
      <family val="1"/>
    </font>
    <font>
      <sz val="12"/>
      <color indexed="8"/>
      <name val="Times New Roman"/>
      <family val="1"/>
    </font>
    <font>
      <sz val="12"/>
      <color rgb="FFFF0000"/>
      <name val="Times New Roman"/>
      <family val="1"/>
    </font>
    <font>
      <sz val="12"/>
      <name val="Times New Roman"/>
      <family val="1"/>
    </font>
    <font>
      <b/>
      <sz val="12"/>
      <name val="Times New Roman"/>
      <family val="1"/>
    </font>
    <font>
      <sz val="12"/>
      <color theme="1"/>
      <name val="Times New Roman"/>
      <family val="1"/>
    </font>
    <font>
      <sz val="11"/>
      <color rgb="FF000000"/>
      <name val="Times New Roman"/>
      <family val="1"/>
    </font>
    <font>
      <sz val="11"/>
      <color theme="1"/>
      <name val="Times New Roman"/>
      <family val="1"/>
    </font>
    <font>
      <sz val="11"/>
      <name val="Times New Roman"/>
      <family val="1"/>
    </font>
    <font>
      <b/>
      <sz val="11.5"/>
      <name val="Times New Roman"/>
      <family val="1"/>
    </font>
    <font>
      <b/>
      <sz val="11"/>
      <name val="Times New Roman"/>
      <family val="1"/>
    </font>
    <font>
      <sz val="11"/>
      <color rgb="FFFF0000"/>
      <name val="Times New Roman"/>
      <family val="1"/>
    </font>
    <font>
      <u/>
      <sz val="11"/>
      <color theme="10"/>
      <name val="Calibri"/>
      <family val="2"/>
    </font>
    <font>
      <sz val="10"/>
      <name val="Arial"/>
      <family val="2"/>
    </font>
    <font>
      <b/>
      <sz val="12"/>
      <color rgb="FFFF0000"/>
      <name val="Times New Roman"/>
      <family val="1"/>
    </font>
    <font>
      <u/>
      <sz val="11"/>
      <color rgb="FF0070C0"/>
      <name val="Calibri"/>
      <family val="2"/>
    </font>
    <font>
      <sz val="12"/>
      <color rgb="FF0070C0"/>
      <name val="Times New Roman"/>
      <family val="1"/>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47">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right style="medium">
        <color auto="1"/>
      </right>
      <top style="thin">
        <color auto="1"/>
      </top>
      <bottom/>
      <diagonal/>
    </border>
    <border>
      <left style="thin">
        <color auto="1"/>
      </left>
      <right/>
      <top/>
      <bottom/>
      <diagonal/>
    </border>
    <border>
      <left/>
      <right style="thin">
        <color auto="1"/>
      </right>
      <top/>
      <bottom/>
      <diagonal/>
    </border>
    <border>
      <left/>
      <right style="medium">
        <color auto="1"/>
      </right>
      <top/>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bottom style="medium">
        <color auto="1"/>
      </bottom>
      <diagonal/>
    </border>
    <border>
      <left/>
      <right style="thin">
        <color auto="1"/>
      </right>
      <top/>
      <bottom style="medium">
        <color auto="1"/>
      </bottom>
      <diagonal/>
    </border>
    <border>
      <left/>
      <right style="medium">
        <color auto="1"/>
      </right>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style="medium">
        <color auto="1"/>
      </left>
      <right/>
      <top/>
      <bottom style="medium">
        <color auto="1"/>
      </bottom>
      <diagonal/>
    </border>
    <border>
      <left/>
      <right/>
      <top/>
      <bottom style="medium">
        <color auto="1"/>
      </bottom>
      <diagonal/>
    </border>
    <border>
      <left/>
      <right/>
      <top style="thin">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medium">
        <color auto="1"/>
      </left>
      <right/>
      <top style="medium">
        <color auto="1"/>
      </top>
      <bottom style="thin">
        <color auto="1"/>
      </bottom>
      <diagonal/>
    </border>
    <border>
      <left/>
      <right style="thin">
        <color auto="1"/>
      </right>
      <top style="medium">
        <color auto="1"/>
      </top>
      <bottom style="thin">
        <color auto="1"/>
      </bottom>
      <diagonal/>
    </border>
    <border>
      <left style="thin">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style="medium">
        <color auto="1"/>
      </right>
      <top style="thin">
        <color auto="1"/>
      </top>
      <bottom style="medium">
        <color auto="1"/>
      </bottom>
      <diagonal/>
    </border>
    <border>
      <left style="medium">
        <color auto="1"/>
      </left>
      <right/>
      <top style="thin">
        <color auto="1"/>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medium">
        <color auto="1"/>
      </right>
      <top style="thin">
        <color auto="1"/>
      </top>
      <bottom style="medium">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style="thin">
        <color auto="1"/>
      </right>
      <top/>
      <bottom style="thin">
        <color auto="1"/>
      </bottom>
      <diagonal/>
    </border>
  </borders>
  <cellStyleXfs count="9">
    <xf numFmtId="0" fontId="0" fillId="0" borderId="0"/>
    <xf numFmtId="0" fontId="18" fillId="0" borderId="0" applyNumberFormat="0" applyFill="0" applyBorder="0" applyAlignment="0" applyProtection="0"/>
    <xf numFmtId="164" fontId="1" fillId="0" borderId="0" applyFont="0" applyFill="0" applyBorder="0" applyAlignment="0" applyProtection="0"/>
    <xf numFmtId="0" fontId="1" fillId="0" borderId="0"/>
    <xf numFmtId="0" fontId="1" fillId="0" borderId="0"/>
    <xf numFmtId="0" fontId="2" fillId="0" borderId="0"/>
    <xf numFmtId="0" fontId="2" fillId="0" borderId="0"/>
    <xf numFmtId="0" fontId="19" fillId="0" borderId="0"/>
    <xf numFmtId="0" fontId="2" fillId="0" borderId="0"/>
  </cellStyleXfs>
  <cellXfs count="271">
    <xf numFmtId="0" fontId="0" fillId="0" borderId="0" xfId="0"/>
    <xf numFmtId="0" fontId="1" fillId="0" borderId="0" xfId="4"/>
    <xf numFmtId="0" fontId="2" fillId="0" borderId="0" xfId="8"/>
    <xf numFmtId="0" fontId="3" fillId="0" borderId="1" xfId="8" applyFont="1" applyBorder="1" applyAlignment="1">
      <alignment horizontal="center" vertical="top" wrapText="1"/>
    </xf>
    <xf numFmtId="0" fontId="2" fillId="0" borderId="1" xfId="8" applyBorder="1" applyAlignment="1">
      <alignment horizontal="center" vertical="center"/>
    </xf>
    <xf numFmtId="0" fontId="2" fillId="0" borderId="1" xfId="8" applyBorder="1" applyAlignment="1">
      <alignment horizontal="left" vertical="center"/>
    </xf>
    <xf numFmtId="1" fontId="2" fillId="0" borderId="1" xfId="8" applyNumberFormat="1" applyBorder="1" applyAlignment="1">
      <alignment horizontal="center" vertical="center"/>
    </xf>
    <xf numFmtId="165" fontId="2" fillId="0" borderId="1" xfId="2" applyNumberFormat="1" applyFont="1" applyBorder="1" applyAlignment="1">
      <alignment horizontal="right" vertical="center"/>
    </xf>
    <xf numFmtId="0" fontId="2" fillId="0" borderId="1" xfId="8" applyBorder="1" applyAlignment="1">
      <alignment horizontal="left" vertical="center" wrapText="1"/>
    </xf>
    <xf numFmtId="0" fontId="3" fillId="0" borderId="1" xfId="8" applyFont="1" applyBorder="1" applyAlignment="1">
      <alignment horizontal="center" vertical="center"/>
    </xf>
    <xf numFmtId="1" fontId="4" fillId="0" borderId="1" xfId="8" applyNumberFormat="1" applyFont="1" applyBorder="1" applyAlignment="1">
      <alignment horizontal="center" vertical="center"/>
    </xf>
    <xf numFmtId="0" fontId="1" fillId="0" borderId="1" xfId="4" applyBorder="1" applyAlignment="1">
      <alignment horizontal="center" vertical="center"/>
    </xf>
    <xf numFmtId="0" fontId="5" fillId="0" borderId="0" xfId="4" applyFont="1"/>
    <xf numFmtId="0" fontId="0" fillId="2" borderId="1" xfId="0" applyFill="1" applyBorder="1"/>
    <xf numFmtId="0" fontId="0" fillId="0" borderId="2" xfId="0" applyBorder="1"/>
    <xf numFmtId="0" fontId="3" fillId="0" borderId="1" xfId="0" applyFont="1" applyBorder="1"/>
    <xf numFmtId="0" fontId="3" fillId="0" borderId="1" xfId="0" applyFont="1" applyBorder="1" applyAlignment="1">
      <alignment horizontal="center"/>
    </xf>
    <xf numFmtId="0" fontId="0" fillId="0" borderId="1" xfId="0" applyBorder="1"/>
    <xf numFmtId="0" fontId="9" fillId="0" borderId="1" xfId="6" applyFont="1" applyBorder="1" applyAlignment="1" applyProtection="1">
      <alignment horizontal="center" vertical="top"/>
      <protection locked="0"/>
    </xf>
    <xf numFmtId="0" fontId="8" fillId="0" borderId="1" xfId="6" applyFont="1" applyBorder="1" applyAlignment="1" applyProtection="1">
      <alignment horizontal="center" vertical="top"/>
      <protection locked="0"/>
    </xf>
    <xf numFmtId="0" fontId="7" fillId="0" borderId="1" xfId="6" applyFont="1" applyBorder="1" applyAlignment="1" applyProtection="1">
      <alignment horizontal="center" vertical="top"/>
      <protection locked="0"/>
    </xf>
    <xf numFmtId="0" fontId="8" fillId="0" borderId="8" xfId="6" applyFont="1" applyBorder="1" applyAlignment="1" applyProtection="1">
      <alignment horizontal="center" vertical="top"/>
      <protection locked="0"/>
    </xf>
    <xf numFmtId="0" fontId="11" fillId="0" borderId="1" xfId="6" applyFont="1" applyBorder="1" applyAlignment="1" applyProtection="1">
      <alignment horizontal="center" vertical="top" wrapText="1"/>
      <protection locked="0"/>
    </xf>
    <xf numFmtId="0" fontId="8" fillId="0" borderId="1" xfId="6" applyFont="1" applyBorder="1" applyAlignment="1" applyProtection="1">
      <alignment horizontal="center" wrapText="1"/>
      <protection locked="0"/>
    </xf>
    <xf numFmtId="9" fontId="11" fillId="3" borderId="1" xfId="6" applyNumberFormat="1" applyFont="1" applyFill="1" applyBorder="1" applyAlignment="1" applyProtection="1">
      <alignment horizontal="center" vertical="center" wrapText="1"/>
      <protection hidden="1"/>
    </xf>
    <xf numFmtId="1" fontId="8" fillId="0" borderId="1" xfId="6" applyNumberFormat="1" applyFont="1" applyBorder="1" applyAlignment="1" applyProtection="1">
      <alignment horizontal="center" wrapText="1"/>
      <protection locked="0"/>
    </xf>
    <xf numFmtId="0" fontId="8" fillId="0" borderId="17" xfId="6" applyFont="1" applyBorder="1" applyAlignment="1" applyProtection="1">
      <alignment horizontal="center" wrapText="1"/>
      <protection locked="0"/>
    </xf>
    <xf numFmtId="9" fontId="11" fillId="3" borderId="17" xfId="6" applyNumberFormat="1" applyFont="1" applyFill="1" applyBorder="1" applyAlignment="1" applyProtection="1">
      <alignment horizontal="center" vertical="center" wrapText="1"/>
      <protection hidden="1"/>
    </xf>
    <xf numFmtId="0" fontId="11" fillId="0" borderId="0" xfId="6" applyFont="1" applyAlignment="1" applyProtection="1">
      <alignment horizontal="center" vertical="top" wrapText="1"/>
      <protection locked="0"/>
    </xf>
    <xf numFmtId="0" fontId="8" fillId="0" borderId="0" xfId="6" applyFont="1" applyAlignment="1" applyProtection="1">
      <alignment horizontal="center" wrapText="1"/>
      <protection locked="0"/>
    </xf>
    <xf numFmtId="9" fontId="11" fillId="3" borderId="0" xfId="6" applyNumberFormat="1" applyFont="1" applyFill="1" applyAlignment="1" applyProtection="1">
      <alignment horizontal="center" vertical="center" wrapText="1"/>
      <protection hidden="1"/>
    </xf>
    <xf numFmtId="9" fontId="3" fillId="0" borderId="0" xfId="0" applyNumberFormat="1" applyFont="1" applyAlignment="1">
      <alignment horizontal="center"/>
    </xf>
    <xf numFmtId="9" fontId="0" fillId="0" borderId="0" xfId="0" applyNumberFormat="1"/>
    <xf numFmtId="0" fontId="11" fillId="0" borderId="21" xfId="6" applyFont="1" applyBorder="1" applyProtection="1">
      <protection hidden="1"/>
    </xf>
    <xf numFmtId="0" fontId="11" fillId="0" borderId="22" xfId="6" applyFont="1" applyBorder="1" applyProtection="1">
      <protection hidden="1"/>
    </xf>
    <xf numFmtId="0" fontId="11" fillId="0" borderId="23" xfId="6" applyFont="1" applyBorder="1" applyProtection="1">
      <protection hidden="1"/>
    </xf>
    <xf numFmtId="0" fontId="11" fillId="0" borderId="24" xfId="6" applyFont="1" applyBorder="1" applyProtection="1">
      <protection hidden="1"/>
    </xf>
    <xf numFmtId="0" fontId="11" fillId="0" borderId="0" xfId="6" applyFont="1" applyProtection="1">
      <protection hidden="1"/>
    </xf>
    <xf numFmtId="0" fontId="11" fillId="0" borderId="15" xfId="6" applyFont="1" applyBorder="1" applyProtection="1">
      <protection hidden="1"/>
    </xf>
    <xf numFmtId="0" fontId="11" fillId="0" borderId="0" xfId="6" applyFont="1"/>
    <xf numFmtId="0" fontId="11" fillId="0" borderId="15" xfId="6" applyFont="1" applyBorder="1"/>
    <xf numFmtId="0" fontId="11" fillId="0" borderId="24" xfId="6" applyFont="1" applyBorder="1"/>
    <xf numFmtId="0" fontId="12" fillId="0" borderId="24" xfId="0" applyFont="1" applyBorder="1" applyProtection="1">
      <protection hidden="1"/>
    </xf>
    <xf numFmtId="9" fontId="12" fillId="0" borderId="0" xfId="0" applyNumberFormat="1" applyFont="1" applyProtection="1">
      <protection hidden="1"/>
    </xf>
    <xf numFmtId="9" fontId="12" fillId="0" borderId="15" xfId="0" applyNumberFormat="1" applyFont="1" applyBorder="1" applyProtection="1">
      <protection hidden="1"/>
    </xf>
    <xf numFmtId="0" fontId="12" fillId="0" borderId="25" xfId="0" applyFont="1" applyBorder="1" applyProtection="1">
      <protection hidden="1"/>
    </xf>
    <xf numFmtId="9" fontId="12" fillId="0" borderId="26" xfId="0" applyNumberFormat="1" applyFont="1" applyBorder="1" applyProtection="1">
      <protection hidden="1"/>
    </xf>
    <xf numFmtId="9" fontId="12" fillId="0" borderId="20" xfId="0" applyNumberFormat="1" applyFont="1" applyBorder="1" applyProtection="1">
      <protection hidden="1"/>
    </xf>
    <xf numFmtId="0" fontId="12" fillId="0" borderId="0" xfId="0" applyFont="1" applyProtection="1">
      <protection hidden="1"/>
    </xf>
    <xf numFmtId="0" fontId="13" fillId="0" borderId="0" xfId="0" applyFont="1"/>
    <xf numFmtId="1" fontId="7" fillId="0" borderId="6" xfId="0" applyNumberFormat="1" applyFont="1" applyBorder="1" applyAlignment="1">
      <alignment horizontal="center" vertical="center" wrapText="1"/>
    </xf>
    <xf numFmtId="1" fontId="7" fillId="0" borderId="1" xfId="0" applyNumberFormat="1" applyFont="1" applyBorder="1" applyAlignment="1">
      <alignment horizontal="center" vertical="center" wrapText="1"/>
    </xf>
    <xf numFmtId="1" fontId="6" fillId="0" borderId="6" xfId="0" applyNumberFormat="1" applyFont="1" applyBorder="1" applyAlignment="1">
      <alignment vertical="top" wrapText="1"/>
    </xf>
    <xf numFmtId="1" fontId="6" fillId="0" borderId="7" xfId="0" applyNumberFormat="1" applyFont="1" applyBorder="1" applyAlignment="1">
      <alignment vertical="top" wrapText="1"/>
    </xf>
    <xf numFmtId="1" fontId="6" fillId="0" borderId="1" xfId="0" applyNumberFormat="1" applyFont="1" applyBorder="1" applyAlignment="1">
      <alignment horizontal="center" vertical="top" wrapText="1"/>
    </xf>
    <xf numFmtId="1" fontId="13" fillId="0" borderId="0" xfId="0" applyNumberFormat="1" applyFont="1"/>
    <xf numFmtId="1" fontId="7" fillId="0" borderId="6" xfId="0" applyNumberFormat="1" applyFont="1" applyBorder="1" applyAlignment="1">
      <alignment vertical="center" wrapText="1"/>
    </xf>
    <xf numFmtId="1" fontId="7" fillId="0" borderId="7" xfId="0" applyNumberFormat="1" applyFont="1" applyBorder="1" applyAlignment="1">
      <alignment vertical="center" wrapText="1"/>
    </xf>
    <xf numFmtId="0" fontId="14" fillId="0" borderId="0" xfId="6" applyFont="1"/>
    <xf numFmtId="0" fontId="9" fillId="0" borderId="0" xfId="3" applyFont="1"/>
    <xf numFmtId="0" fontId="9" fillId="0" borderId="0" xfId="0" applyFont="1" applyAlignment="1">
      <alignment horizontal="center" vertical="center"/>
    </xf>
    <xf numFmtId="0" fontId="14" fillId="0" borderId="0" xfId="0" applyFont="1"/>
    <xf numFmtId="0" fontId="9" fillId="0" borderId="0" xfId="0" applyFont="1"/>
    <xf numFmtId="0" fontId="9" fillId="0" borderId="0" xfId="6" applyFont="1" applyProtection="1">
      <protection locked="0"/>
    </xf>
    <xf numFmtId="0" fontId="9" fillId="0" borderId="0" xfId="6" applyFont="1"/>
    <xf numFmtId="0" fontId="9" fillId="3" borderId="1" xfId="6" applyFont="1" applyFill="1" applyBorder="1" applyAlignment="1" applyProtection="1">
      <alignment horizontal="left" vertical="top"/>
      <protection locked="0"/>
    </xf>
    <xf numFmtId="0" fontId="9" fillId="3" borderId="1" xfId="6" applyFont="1" applyFill="1" applyBorder="1" applyAlignment="1" applyProtection="1">
      <alignment vertical="top"/>
      <protection locked="0"/>
    </xf>
    <xf numFmtId="0" fontId="10" fillId="3" borderId="1" xfId="6" applyFont="1" applyFill="1" applyBorder="1" applyAlignment="1" applyProtection="1">
      <alignment horizontal="left" vertical="top"/>
      <protection locked="0"/>
    </xf>
    <xf numFmtId="0" fontId="9" fillId="0" borderId="9" xfId="6" applyFont="1" applyBorder="1" applyAlignment="1" applyProtection="1">
      <alignment horizontal="center" vertical="top"/>
      <protection locked="0"/>
    </xf>
    <xf numFmtId="0" fontId="9" fillId="0" borderId="8" xfId="6" applyFont="1" applyBorder="1" applyAlignment="1" applyProtection="1">
      <alignment horizontal="center" vertical="top"/>
      <protection locked="0"/>
    </xf>
    <xf numFmtId="0" fontId="9" fillId="0" borderId="1" xfId="6" applyFont="1" applyBorder="1" applyAlignment="1" applyProtection="1">
      <alignment horizontal="center" vertical="top" wrapText="1"/>
      <protection locked="0"/>
    </xf>
    <xf numFmtId="0" fontId="9" fillId="0" borderId="0" xfId="6" applyFont="1" applyProtection="1">
      <protection hidden="1"/>
    </xf>
    <xf numFmtId="0" fontId="9" fillId="0" borderId="1" xfId="6" applyFont="1" applyBorder="1" applyAlignment="1" applyProtection="1">
      <alignment horizontal="center" wrapText="1"/>
      <protection locked="0"/>
    </xf>
    <xf numFmtId="9" fontId="9" fillId="3" borderId="1" xfId="6" applyNumberFormat="1" applyFont="1" applyFill="1" applyBorder="1" applyAlignment="1" applyProtection="1">
      <alignment horizontal="center" vertical="center" wrapText="1"/>
      <protection hidden="1"/>
    </xf>
    <xf numFmtId="1" fontId="9" fillId="0" borderId="1" xfId="6" applyNumberFormat="1" applyFont="1" applyBorder="1" applyAlignment="1" applyProtection="1">
      <alignment horizontal="center" wrapText="1"/>
      <protection locked="0"/>
    </xf>
    <xf numFmtId="0" fontId="9" fillId="0" borderId="17" xfId="6" applyFont="1" applyBorder="1" applyAlignment="1" applyProtection="1">
      <alignment horizontal="center" wrapText="1"/>
      <protection locked="0"/>
    </xf>
    <xf numFmtId="9" fontId="9" fillId="3" borderId="17" xfId="6" applyNumberFormat="1" applyFont="1" applyFill="1" applyBorder="1" applyAlignment="1" applyProtection="1">
      <alignment horizontal="center" vertical="center" wrapText="1"/>
      <protection hidden="1"/>
    </xf>
    <xf numFmtId="0" fontId="12" fillId="0" borderId="15" xfId="0" applyFont="1" applyBorder="1" applyProtection="1">
      <protection hidden="1"/>
    </xf>
    <xf numFmtId="1" fontId="0" fillId="0" borderId="15" xfId="0" applyNumberFormat="1" applyBorder="1"/>
    <xf numFmtId="2" fontId="0" fillId="0" borderId="0" xfId="0" applyNumberFormat="1"/>
    <xf numFmtId="167" fontId="0" fillId="0" borderId="0" xfId="0" applyNumberFormat="1"/>
    <xf numFmtId="2" fontId="12" fillId="0" borderId="0" xfId="0" applyNumberFormat="1" applyFont="1" applyProtection="1">
      <protection hidden="1"/>
    </xf>
    <xf numFmtId="1" fontId="0" fillId="0" borderId="15" xfId="0" applyNumberFormat="1" applyBorder="1" applyAlignment="1">
      <alignment horizontal="right"/>
    </xf>
    <xf numFmtId="0" fontId="12" fillId="0" borderId="26" xfId="0" applyFont="1" applyBorder="1" applyProtection="1">
      <protection hidden="1"/>
    </xf>
    <xf numFmtId="1" fontId="0" fillId="0" borderId="20" xfId="0" applyNumberFormat="1" applyBorder="1"/>
    <xf numFmtId="1" fontId="10" fillId="0" borderId="10" xfId="6" applyNumberFormat="1" applyFont="1" applyBorder="1" applyAlignment="1" applyProtection="1">
      <alignment horizontal="center" vertical="top" wrapText="1"/>
      <protection locked="0"/>
    </xf>
    <xf numFmtId="1" fontId="10" fillId="0" borderId="30" xfId="6" applyNumberFormat="1" applyFont="1" applyBorder="1" applyAlignment="1" applyProtection="1">
      <alignment horizontal="center" vertical="top" wrapText="1"/>
      <protection locked="0"/>
    </xf>
    <xf numFmtId="1" fontId="16" fillId="0" borderId="30" xfId="6" applyNumberFormat="1" applyFont="1" applyBorder="1" applyAlignment="1" applyProtection="1">
      <alignment horizontal="center" vertical="top" wrapText="1"/>
      <protection locked="0"/>
    </xf>
    <xf numFmtId="1" fontId="9" fillId="0" borderId="6" xfId="0" applyNumberFormat="1" applyFont="1" applyBorder="1" applyAlignment="1">
      <alignment horizontal="center" vertical="center" wrapText="1"/>
    </xf>
    <xf numFmtId="1" fontId="9" fillId="0" borderId="1" xfId="0" applyNumberFormat="1" applyFont="1" applyBorder="1" applyAlignment="1">
      <alignment horizontal="center" vertical="center" wrapText="1"/>
    </xf>
    <xf numFmtId="1" fontId="9" fillId="0" borderId="0" xfId="6" applyNumberFormat="1" applyFont="1" applyAlignment="1">
      <alignment horizontal="center" vertical="center"/>
    </xf>
    <xf numFmtId="1" fontId="11" fillId="0" borderId="1" xfId="6" applyNumberFormat="1" applyFont="1" applyBorder="1" applyAlignment="1">
      <alignment horizontal="center" vertical="center"/>
    </xf>
    <xf numFmtId="1" fontId="9" fillId="3" borderId="1" xfId="0" applyNumberFormat="1" applyFont="1" applyFill="1" applyBorder="1" applyAlignment="1">
      <alignment horizontal="center" vertical="center" wrapText="1"/>
    </xf>
    <xf numFmtId="1" fontId="7" fillId="0" borderId="1" xfId="6" applyNumberFormat="1" applyFont="1" applyBorder="1" applyAlignment="1" applyProtection="1">
      <alignment horizontal="center" vertical="center" wrapText="1"/>
      <protection locked="0"/>
    </xf>
    <xf numFmtId="1" fontId="9" fillId="0" borderId="1" xfId="6" applyNumberFormat="1" applyFont="1" applyBorder="1" applyAlignment="1" applyProtection="1">
      <alignment horizontal="center" vertical="center" wrapText="1"/>
      <protection locked="0"/>
    </xf>
    <xf numFmtId="1" fontId="9" fillId="0" borderId="1" xfId="6" applyNumberFormat="1" applyFont="1" applyBorder="1" applyAlignment="1">
      <alignment horizontal="center" vertical="center"/>
    </xf>
    <xf numFmtId="0" fontId="10" fillId="0" borderId="0" xfId="6" applyFont="1" applyAlignment="1" applyProtection="1">
      <alignment vertical="top"/>
      <protection locked="0"/>
    </xf>
    <xf numFmtId="0" fontId="10" fillId="0" borderId="0" xfId="6" applyFont="1" applyAlignment="1" applyProtection="1">
      <alignment vertical="top" wrapText="1"/>
      <protection locked="0"/>
    </xf>
    <xf numFmtId="0" fontId="10" fillId="0" borderId="0" xfId="6" applyFont="1" applyProtection="1">
      <protection locked="0"/>
    </xf>
    <xf numFmtId="0" fontId="9" fillId="0" borderId="1" xfId="6" applyFont="1" applyBorder="1" applyAlignment="1" applyProtection="1">
      <alignment horizontal="center" vertical="top"/>
      <protection locked="0"/>
    </xf>
    <xf numFmtId="0" fontId="9" fillId="0" borderId="1" xfId="6" applyFont="1" applyBorder="1" applyAlignment="1" applyProtection="1">
      <alignment horizontal="center" vertical="top" wrapText="1"/>
      <protection locked="0"/>
    </xf>
    <xf numFmtId="9" fontId="9" fillId="3" borderId="1" xfId="6" applyNumberFormat="1" applyFont="1" applyFill="1" applyBorder="1" applyAlignment="1" applyProtection="1">
      <alignment horizontal="center" vertical="center" wrapText="1"/>
      <protection hidden="1"/>
    </xf>
    <xf numFmtId="0" fontId="15" fillId="0" borderId="1" xfId="6" applyFont="1" applyBorder="1" applyAlignment="1" applyProtection="1">
      <alignment horizontal="center" vertical="center" wrapText="1"/>
      <protection locked="0"/>
    </xf>
    <xf numFmtId="0" fontId="10" fillId="0" borderId="1" xfId="6" applyFont="1" applyBorder="1" applyAlignment="1" applyProtection="1">
      <alignment horizontal="center" vertical="top"/>
      <protection locked="0"/>
    </xf>
    <xf numFmtId="0" fontId="9" fillId="0" borderId="1" xfId="6" applyFont="1" applyBorder="1" applyAlignment="1" applyProtection="1">
      <alignment horizontal="left" vertical="top"/>
      <protection locked="0"/>
    </xf>
    <xf numFmtId="166" fontId="9" fillId="0" borderId="1" xfId="6" applyNumberFormat="1" applyFont="1" applyBorder="1" applyAlignment="1" applyProtection="1">
      <alignment horizontal="left" vertical="top"/>
      <protection locked="0"/>
    </xf>
    <xf numFmtId="0" fontId="9" fillId="0" borderId="1" xfId="6" applyFont="1" applyBorder="1" applyAlignment="1" applyProtection="1">
      <alignment horizontal="left" vertical="center" wrapText="1"/>
      <protection locked="0"/>
    </xf>
    <xf numFmtId="49" fontId="9" fillId="0" borderId="1" xfId="6" applyNumberFormat="1" applyFont="1" applyBorder="1" applyAlignment="1" applyProtection="1">
      <alignment horizontal="left" vertical="top"/>
      <protection locked="0"/>
    </xf>
    <xf numFmtId="0" fontId="9" fillId="0" borderId="1" xfId="6" applyFont="1" applyBorder="1" applyAlignment="1" applyProtection="1">
      <alignment horizontal="left" vertical="top" wrapText="1"/>
      <protection locked="0"/>
    </xf>
    <xf numFmtId="0" fontId="10" fillId="0" borderId="1" xfId="6" applyFont="1" applyBorder="1" applyAlignment="1" applyProtection="1">
      <alignment horizontal="left" vertical="top"/>
      <protection locked="0"/>
    </xf>
    <xf numFmtId="0" fontId="9" fillId="0" borderId="1" xfId="6" applyFont="1" applyBorder="1" applyAlignment="1" applyProtection="1">
      <alignment horizontal="left"/>
      <protection locked="0"/>
    </xf>
    <xf numFmtId="0" fontId="9" fillId="3" borderId="1" xfId="6" applyFont="1" applyFill="1" applyBorder="1" applyAlignment="1" applyProtection="1">
      <alignment horizontal="left" vertical="top" wrapText="1"/>
      <protection locked="0"/>
    </xf>
    <xf numFmtId="0" fontId="10" fillId="0" borderId="1" xfId="6" applyFont="1" applyBorder="1" applyAlignment="1" applyProtection="1">
      <alignment horizontal="center"/>
      <protection locked="0"/>
    </xf>
    <xf numFmtId="0" fontId="9" fillId="0" borderId="1" xfId="6" applyFont="1" applyBorder="1" applyAlignment="1" applyProtection="1">
      <alignment horizontal="center"/>
      <protection locked="0"/>
    </xf>
    <xf numFmtId="0" fontId="9" fillId="0" borderId="1" xfId="6" applyFont="1" applyBorder="1" applyAlignment="1" applyProtection="1">
      <alignment horizontal="center" vertical="top"/>
      <protection locked="0"/>
    </xf>
    <xf numFmtId="0" fontId="9" fillId="0" borderId="6" xfId="6" applyFont="1" applyBorder="1" applyAlignment="1" applyProtection="1">
      <alignment horizontal="left"/>
      <protection locked="0"/>
    </xf>
    <xf numFmtId="0" fontId="9" fillId="0" borderId="27" xfId="6" applyFont="1" applyBorder="1" applyAlignment="1" applyProtection="1">
      <alignment horizontal="left"/>
      <protection locked="0"/>
    </xf>
    <xf numFmtId="0" fontId="9" fillId="0" borderId="7" xfId="6" applyFont="1" applyBorder="1" applyAlignment="1" applyProtection="1">
      <alignment horizontal="left"/>
      <protection locked="0"/>
    </xf>
    <xf numFmtId="0" fontId="21" fillId="0" borderId="6" xfId="1" applyFont="1" applyBorder="1" applyAlignment="1" applyProtection="1">
      <alignment horizontal="left"/>
      <protection locked="0"/>
    </xf>
    <xf numFmtId="0" fontId="22" fillId="0" borderId="27" xfId="6" applyFont="1" applyBorder="1" applyAlignment="1" applyProtection="1">
      <alignment horizontal="left"/>
      <protection locked="0"/>
    </xf>
    <xf numFmtId="0" fontId="22" fillId="0" borderId="7" xfId="6" applyFont="1" applyBorder="1" applyAlignment="1" applyProtection="1">
      <alignment horizontal="left"/>
      <protection locked="0"/>
    </xf>
    <xf numFmtId="2" fontId="9" fillId="0" borderId="1" xfId="6" applyNumberFormat="1" applyFont="1" applyBorder="1" applyAlignment="1" applyProtection="1">
      <alignment horizontal="left" vertical="top" wrapText="1"/>
      <protection locked="0"/>
    </xf>
    <xf numFmtId="167" fontId="9" fillId="0" borderId="1" xfId="6" applyNumberFormat="1" applyFont="1" applyBorder="1" applyAlignment="1" applyProtection="1">
      <alignment horizontal="left" vertical="top"/>
      <protection locked="0"/>
    </xf>
    <xf numFmtId="2" fontId="9" fillId="0" borderId="1" xfId="6" applyNumberFormat="1" applyFont="1" applyBorder="1" applyAlignment="1" applyProtection="1">
      <alignment horizontal="left" vertical="top"/>
      <protection locked="0"/>
    </xf>
    <xf numFmtId="166" fontId="9" fillId="0" borderId="1" xfId="6" applyNumberFormat="1" applyFont="1" applyBorder="1" applyAlignment="1" applyProtection="1">
      <alignment horizontal="left" vertical="top" wrapText="1"/>
      <protection locked="0"/>
    </xf>
    <xf numFmtId="0" fontId="9" fillId="0" borderId="6" xfId="6" applyFont="1" applyBorder="1" applyAlignment="1" applyProtection="1">
      <alignment horizontal="left" vertical="top" wrapText="1"/>
      <protection locked="0"/>
    </xf>
    <xf numFmtId="0" fontId="9" fillId="0" borderId="7" xfId="6" applyFont="1" applyBorder="1" applyAlignment="1" applyProtection="1">
      <alignment horizontal="left" vertical="top"/>
      <protection locked="0"/>
    </xf>
    <xf numFmtId="0" fontId="9" fillId="3" borderId="1" xfId="6" applyFont="1" applyFill="1" applyBorder="1" applyAlignment="1" applyProtection="1">
      <alignment horizontal="left" vertical="top"/>
      <protection locked="0"/>
    </xf>
    <xf numFmtId="0" fontId="9" fillId="3" borderId="6" xfId="6" applyFont="1" applyFill="1" applyBorder="1" applyAlignment="1" applyProtection="1">
      <alignment horizontal="left" vertical="top" wrapText="1"/>
      <protection locked="0"/>
    </xf>
    <xf numFmtId="0" fontId="9" fillId="3" borderId="27" xfId="6" applyFont="1" applyFill="1" applyBorder="1" applyAlignment="1" applyProtection="1">
      <alignment horizontal="left" vertical="top" wrapText="1"/>
      <protection locked="0"/>
    </xf>
    <xf numFmtId="0" fontId="9" fillId="3" borderId="7" xfId="6" applyFont="1" applyFill="1" applyBorder="1" applyAlignment="1" applyProtection="1">
      <alignment horizontal="left" vertical="top" wrapText="1"/>
      <protection locked="0"/>
    </xf>
    <xf numFmtId="0" fontId="10" fillId="0" borderId="1" xfId="6" applyFont="1" applyBorder="1" applyAlignment="1" applyProtection="1">
      <alignment horizontal="left" vertical="top" wrapText="1"/>
      <protection locked="0"/>
    </xf>
    <xf numFmtId="0" fontId="10" fillId="3" borderId="1" xfId="6" applyFont="1" applyFill="1" applyBorder="1" applyAlignment="1" applyProtection="1">
      <alignment horizontal="left" vertical="top" wrapText="1"/>
      <protection locked="0"/>
    </xf>
    <xf numFmtId="0" fontId="10" fillId="3" borderId="1" xfId="6" applyFont="1" applyFill="1" applyBorder="1" applyAlignment="1" applyProtection="1">
      <alignment horizontal="left" vertical="top"/>
      <protection locked="0"/>
    </xf>
    <xf numFmtId="166" fontId="10" fillId="0" borderId="1" xfId="6" applyNumberFormat="1" applyFont="1" applyBorder="1" applyAlignment="1" applyProtection="1">
      <alignment horizontal="left" vertical="top" wrapText="1"/>
      <protection locked="0"/>
    </xf>
    <xf numFmtId="0" fontId="10" fillId="0" borderId="1" xfId="6" applyFont="1" applyBorder="1" applyAlignment="1" applyProtection="1">
      <alignment vertical="top"/>
      <protection locked="0"/>
    </xf>
    <xf numFmtId="0" fontId="9" fillId="0" borderId="30" xfId="6" applyFont="1" applyBorder="1" applyAlignment="1" applyProtection="1">
      <alignment horizontal="left" vertical="top"/>
      <protection locked="0"/>
    </xf>
    <xf numFmtId="0" fontId="9" fillId="0" borderId="30" xfId="6" applyFont="1" applyBorder="1" applyAlignment="1" applyProtection="1">
      <alignment horizontal="left" vertical="top" wrapText="1"/>
      <protection locked="0"/>
    </xf>
    <xf numFmtId="0" fontId="9" fillId="0" borderId="17" xfId="6" applyFont="1" applyBorder="1" applyAlignment="1" applyProtection="1">
      <alignment horizontal="left" vertical="top"/>
      <protection locked="0"/>
    </xf>
    <xf numFmtId="0" fontId="9" fillId="0" borderId="17" xfId="6" applyFont="1" applyBorder="1" applyAlignment="1" applyProtection="1">
      <alignment horizontal="left" vertical="top" wrapText="1"/>
      <protection locked="0"/>
    </xf>
    <xf numFmtId="0" fontId="10" fillId="0" borderId="31" xfId="6" applyFont="1" applyBorder="1" applyAlignment="1" applyProtection="1">
      <alignment horizontal="left" vertical="top" wrapText="1"/>
      <protection locked="0"/>
    </xf>
    <xf numFmtId="0" fontId="10" fillId="0" borderId="32" xfId="6" applyFont="1" applyBorder="1" applyAlignment="1" applyProtection="1">
      <alignment horizontal="left" vertical="top" wrapText="1"/>
      <protection locked="0"/>
    </xf>
    <xf numFmtId="0" fontId="10" fillId="0" borderId="33" xfId="6" applyFont="1" applyBorder="1" applyAlignment="1" applyProtection="1">
      <alignment horizontal="left" vertical="top" wrapText="1"/>
      <protection locked="0"/>
    </xf>
    <xf numFmtId="0" fontId="10" fillId="0" borderId="34" xfId="6" applyFont="1" applyBorder="1" applyAlignment="1" applyProtection="1">
      <alignment horizontal="left" vertical="top" wrapText="1"/>
      <protection locked="0"/>
    </xf>
    <xf numFmtId="0" fontId="10" fillId="0" borderId="35" xfId="6" applyFont="1" applyBorder="1" applyAlignment="1" applyProtection="1">
      <alignment horizontal="left" vertical="top" wrapText="1"/>
      <protection locked="0"/>
    </xf>
    <xf numFmtId="0" fontId="10" fillId="0" borderId="9" xfId="6" applyFont="1" applyBorder="1" applyAlignment="1" applyProtection="1">
      <alignment horizontal="left" vertical="top"/>
      <protection locked="0"/>
    </xf>
    <xf numFmtId="0" fontId="10" fillId="0" borderId="8" xfId="6" applyFont="1" applyBorder="1" applyAlignment="1" applyProtection="1">
      <alignment horizontal="left" vertical="top" wrapText="1"/>
      <protection locked="0"/>
    </xf>
    <xf numFmtId="0" fontId="9" fillId="0" borderId="9" xfId="6" applyFont="1" applyBorder="1" applyAlignment="1" applyProtection="1">
      <alignment horizontal="center" vertical="top" wrapText="1"/>
      <protection locked="0"/>
    </xf>
    <xf numFmtId="0" fontId="9" fillId="0" borderId="1" xfId="6" applyFont="1" applyBorder="1" applyAlignment="1" applyProtection="1">
      <alignment horizontal="center" vertical="top" wrapText="1"/>
      <protection locked="0"/>
    </xf>
    <xf numFmtId="0" fontId="9" fillId="0" borderId="8" xfId="6" applyFont="1" applyBorder="1" applyAlignment="1" applyProtection="1">
      <alignment horizontal="center" vertical="top" wrapText="1"/>
      <protection locked="0"/>
    </xf>
    <xf numFmtId="0" fontId="9" fillId="0" borderId="9" xfId="6" applyFont="1" applyBorder="1" applyAlignment="1" applyProtection="1">
      <alignment horizontal="center" vertical="top"/>
      <protection locked="0"/>
    </xf>
    <xf numFmtId="0" fontId="10" fillId="0" borderId="9" xfId="6" applyFont="1" applyBorder="1" applyAlignment="1" applyProtection="1">
      <alignment horizontal="center" vertical="center"/>
      <protection locked="0"/>
    </xf>
    <xf numFmtId="0" fontId="10" fillId="0" borderId="1" xfId="6" applyFont="1" applyBorder="1" applyAlignment="1" applyProtection="1">
      <alignment horizontal="center" vertical="center"/>
      <protection locked="0"/>
    </xf>
    <xf numFmtId="9" fontId="10" fillId="0" borderId="6" xfId="6" applyNumberFormat="1" applyFont="1" applyBorder="1" applyAlignment="1" applyProtection="1">
      <alignment horizontal="center" vertical="center" wrapText="1"/>
      <protection locked="0"/>
    </xf>
    <xf numFmtId="0" fontId="10" fillId="0" borderId="7" xfId="6" applyFont="1" applyBorder="1" applyAlignment="1" applyProtection="1">
      <alignment horizontal="center" vertical="center" wrapText="1"/>
      <protection locked="0"/>
    </xf>
    <xf numFmtId="0" fontId="10" fillId="0" borderId="6" xfId="6" applyFont="1" applyBorder="1" applyAlignment="1" applyProtection="1">
      <alignment horizontal="center" vertical="center" wrapText="1"/>
      <protection locked="0"/>
    </xf>
    <xf numFmtId="0" fontId="10" fillId="0" borderId="42" xfId="6" applyFont="1" applyBorder="1" applyAlignment="1" applyProtection="1">
      <alignment horizontal="center" vertical="center" wrapText="1"/>
      <protection locked="0"/>
    </xf>
    <xf numFmtId="0" fontId="9" fillId="0" borderId="16" xfId="6" applyFont="1" applyBorder="1" applyAlignment="1" applyProtection="1">
      <alignment horizontal="center" vertical="top"/>
      <protection locked="0"/>
    </xf>
    <xf numFmtId="0" fontId="9" fillId="0" borderId="17" xfId="6" applyFont="1" applyBorder="1" applyAlignment="1" applyProtection="1">
      <alignment horizontal="center" vertical="top"/>
      <protection locked="0"/>
    </xf>
    <xf numFmtId="9" fontId="9" fillId="3" borderId="1" xfId="6" applyNumberFormat="1" applyFont="1" applyFill="1" applyBorder="1" applyAlignment="1" applyProtection="1">
      <alignment horizontal="center" vertical="center" wrapText="1"/>
      <protection hidden="1"/>
    </xf>
    <xf numFmtId="9" fontId="9" fillId="3" borderId="17" xfId="6" applyNumberFormat="1" applyFont="1" applyFill="1" applyBorder="1" applyAlignment="1" applyProtection="1">
      <alignment horizontal="center" vertical="center" wrapText="1"/>
      <protection hidden="1"/>
    </xf>
    <xf numFmtId="9" fontId="9" fillId="3" borderId="8" xfId="6" applyNumberFormat="1" applyFont="1" applyFill="1" applyBorder="1" applyAlignment="1" applyProtection="1">
      <alignment horizontal="center" vertical="center" wrapText="1"/>
      <protection hidden="1"/>
    </xf>
    <xf numFmtId="9" fontId="9" fillId="3" borderId="36" xfId="6" applyNumberFormat="1" applyFont="1" applyFill="1" applyBorder="1" applyAlignment="1" applyProtection="1">
      <alignment horizontal="center" vertical="center" wrapText="1"/>
      <protection hidden="1"/>
    </xf>
    <xf numFmtId="0" fontId="9" fillId="0" borderId="33" xfId="6" applyFont="1" applyBorder="1" applyAlignment="1" applyProtection="1">
      <alignment horizontal="left" vertical="top"/>
      <protection locked="0"/>
    </xf>
    <xf numFmtId="0" fontId="9" fillId="0" borderId="34" xfId="6" applyFont="1" applyBorder="1" applyAlignment="1" applyProtection="1">
      <alignment horizontal="left" vertical="top"/>
      <protection locked="0"/>
    </xf>
    <xf numFmtId="0" fontId="9" fillId="0" borderId="32" xfId="6" applyFont="1" applyBorder="1" applyAlignment="1" applyProtection="1">
      <alignment horizontal="left" vertical="top"/>
      <protection locked="0"/>
    </xf>
    <xf numFmtId="0" fontId="9" fillId="0" borderId="0" xfId="6" applyFont="1" applyAlignment="1">
      <alignment horizontal="left" wrapText="1"/>
    </xf>
    <xf numFmtId="0" fontId="10" fillId="0" borderId="30" xfId="6" applyFont="1" applyBorder="1" applyAlignment="1" applyProtection="1">
      <alignment horizontal="left" vertical="top"/>
      <protection locked="0"/>
    </xf>
    <xf numFmtId="0" fontId="9" fillId="3" borderId="30" xfId="6" applyFont="1" applyFill="1" applyBorder="1" applyAlignment="1" applyProtection="1">
      <alignment horizontal="left" vertical="top"/>
      <protection locked="0"/>
    </xf>
    <xf numFmtId="1" fontId="10" fillId="0" borderId="3" xfId="0" applyNumberFormat="1" applyFont="1" applyBorder="1" applyAlignment="1" applyProtection="1">
      <alignment horizontal="center" vertical="center" wrapText="1"/>
      <protection locked="0"/>
    </xf>
    <xf numFmtId="1" fontId="10" fillId="0" borderId="4" xfId="0" applyNumberFormat="1" applyFont="1" applyBorder="1" applyAlignment="1" applyProtection="1">
      <alignment horizontal="center" vertical="center" wrapText="1"/>
      <protection locked="0"/>
    </xf>
    <xf numFmtId="1" fontId="10" fillId="0" borderId="5" xfId="0" applyNumberFormat="1" applyFont="1" applyBorder="1" applyAlignment="1" applyProtection="1">
      <alignment horizontal="center" vertical="center" wrapText="1"/>
      <protection locked="0"/>
    </xf>
    <xf numFmtId="1" fontId="10" fillId="0" borderId="9" xfId="0" applyNumberFormat="1" applyFont="1" applyBorder="1" applyAlignment="1" applyProtection="1">
      <alignment horizontal="center" vertical="top" wrapText="1"/>
      <protection locked="0"/>
    </xf>
    <xf numFmtId="1" fontId="10" fillId="0" borderId="1" xfId="0" applyNumberFormat="1" applyFont="1" applyBorder="1" applyAlignment="1" applyProtection="1">
      <alignment horizontal="center" vertical="top" wrapText="1"/>
      <protection locked="0"/>
    </xf>
    <xf numFmtId="0" fontId="10" fillId="0" borderId="1" xfId="0" applyFont="1" applyBorder="1" applyAlignment="1" applyProtection="1">
      <alignment horizontal="center" vertical="center"/>
      <protection locked="0"/>
    </xf>
    <xf numFmtId="0" fontId="10" fillId="0" borderId="1" xfId="0" applyFont="1" applyBorder="1" applyAlignment="1" applyProtection="1">
      <alignment horizontal="center" vertical="top" wrapText="1"/>
      <protection locked="0"/>
    </xf>
    <xf numFmtId="1" fontId="10" fillId="0" borderId="8" xfId="0" applyNumberFormat="1" applyFont="1" applyBorder="1" applyAlignment="1" applyProtection="1">
      <alignment horizontal="center" vertical="top" wrapText="1"/>
      <protection locked="0"/>
    </xf>
    <xf numFmtId="1" fontId="9" fillId="0" borderId="37" xfId="0" applyNumberFormat="1" applyFont="1" applyBorder="1" applyAlignment="1" applyProtection="1">
      <alignment horizontal="center" vertical="center" wrapText="1"/>
      <protection locked="0"/>
    </xf>
    <xf numFmtId="1" fontId="9" fillId="0" borderId="38" xfId="0" applyNumberFormat="1" applyFont="1" applyBorder="1" applyAlignment="1" applyProtection="1">
      <alignment horizontal="center" vertical="center" wrapText="1"/>
      <protection locked="0"/>
    </xf>
    <xf numFmtId="0" fontId="9" fillId="0" borderId="39" xfId="0" applyFont="1" applyBorder="1" applyAlignment="1" applyProtection="1">
      <alignment horizontal="center" vertical="center"/>
      <protection locked="0"/>
    </xf>
    <xf numFmtId="0" fontId="9" fillId="0" borderId="38" xfId="0" applyFont="1" applyBorder="1" applyAlignment="1" applyProtection="1">
      <alignment horizontal="center" vertical="center"/>
      <protection locked="0"/>
    </xf>
    <xf numFmtId="1" fontId="9" fillId="0" borderId="39" xfId="0" applyNumberFormat="1" applyFont="1" applyBorder="1" applyAlignment="1" applyProtection="1">
      <alignment horizontal="center" vertical="center"/>
      <protection locked="0"/>
    </xf>
    <xf numFmtId="1" fontId="9" fillId="0" borderId="38" xfId="0" applyNumberFormat="1" applyFont="1" applyBorder="1" applyAlignment="1" applyProtection="1">
      <alignment horizontal="center" vertical="center"/>
      <protection locked="0"/>
    </xf>
    <xf numFmtId="1" fontId="9" fillId="0" borderId="40" xfId="0" applyNumberFormat="1" applyFont="1" applyBorder="1" applyAlignment="1" applyProtection="1">
      <alignment horizontal="center" vertical="center"/>
      <protection locked="0"/>
    </xf>
    <xf numFmtId="1" fontId="9" fillId="0" borderId="41" xfId="0" applyNumberFormat="1" applyFont="1" applyBorder="1" applyAlignment="1" applyProtection="1">
      <alignment horizontal="center" vertical="center" wrapText="1"/>
      <protection locked="0"/>
    </xf>
    <xf numFmtId="1" fontId="9" fillId="0" borderId="7" xfId="0" applyNumberFormat="1" applyFont="1" applyBorder="1" applyAlignment="1" applyProtection="1">
      <alignment horizontal="center" vertical="center" wrapText="1"/>
      <protection locked="0"/>
    </xf>
    <xf numFmtId="0" fontId="9" fillId="0" borderId="6" xfId="0" applyFont="1" applyBorder="1" applyAlignment="1" applyProtection="1">
      <alignment horizontal="center" vertical="center"/>
      <protection locked="0"/>
    </xf>
    <xf numFmtId="0" fontId="9" fillId="0" borderId="7" xfId="0" applyFont="1" applyBorder="1" applyAlignment="1" applyProtection="1">
      <alignment horizontal="center" vertical="center"/>
      <protection locked="0"/>
    </xf>
    <xf numFmtId="1" fontId="9" fillId="0" borderId="6" xfId="0" applyNumberFormat="1" applyFont="1" applyBorder="1" applyAlignment="1" applyProtection="1">
      <alignment horizontal="center" vertical="center"/>
      <protection locked="0"/>
    </xf>
    <xf numFmtId="1" fontId="9" fillId="0" borderId="7" xfId="0" applyNumberFormat="1" applyFont="1" applyBorder="1" applyAlignment="1" applyProtection="1">
      <alignment horizontal="center" vertical="center"/>
      <protection locked="0"/>
    </xf>
    <xf numFmtId="1" fontId="9" fillId="0" borderId="42" xfId="0" applyNumberFormat="1" applyFont="1" applyBorder="1" applyAlignment="1" applyProtection="1">
      <alignment horizontal="center" vertical="center"/>
      <protection locked="0"/>
    </xf>
    <xf numFmtId="1" fontId="10" fillId="0" borderId="16" xfId="0" applyNumberFormat="1" applyFont="1" applyBorder="1" applyAlignment="1" applyProtection="1">
      <alignment horizontal="center" vertical="center" wrapText="1"/>
      <protection locked="0"/>
    </xf>
    <xf numFmtId="1" fontId="10" fillId="0" borderId="17" xfId="0" applyNumberFormat="1" applyFont="1" applyBorder="1" applyAlignment="1" applyProtection="1">
      <alignment horizontal="center" vertical="center" wrapText="1"/>
      <protection locked="0"/>
    </xf>
    <xf numFmtId="0" fontId="10" fillId="0" borderId="17" xfId="0" applyFont="1" applyBorder="1" applyAlignment="1" applyProtection="1">
      <alignment horizontal="center" vertical="center"/>
      <protection locked="0"/>
    </xf>
    <xf numFmtId="1" fontId="10" fillId="0" borderId="17" xfId="0" applyNumberFormat="1" applyFont="1" applyBorder="1" applyAlignment="1" applyProtection="1">
      <alignment horizontal="center" vertical="top" wrapText="1"/>
      <protection locked="0"/>
    </xf>
    <xf numFmtId="0" fontId="10" fillId="0" borderId="17" xfId="0" applyFont="1" applyBorder="1" applyAlignment="1" applyProtection="1">
      <alignment horizontal="center" vertical="top" wrapText="1"/>
      <protection locked="0"/>
    </xf>
    <xf numFmtId="1" fontId="10" fillId="0" borderId="36" xfId="0" applyNumberFormat="1" applyFont="1" applyBorder="1" applyAlignment="1" applyProtection="1">
      <alignment horizontal="center" vertical="top" wrapText="1"/>
      <protection locked="0"/>
    </xf>
    <xf numFmtId="1" fontId="10" fillId="0" borderId="43" xfId="0" applyNumberFormat="1" applyFont="1" applyBorder="1" applyAlignment="1" applyProtection="1">
      <alignment horizontal="center" vertical="center" wrapText="1"/>
      <protection locked="0"/>
    </xf>
    <xf numFmtId="1" fontId="10" fillId="0" borderId="44" xfId="0" applyNumberFormat="1" applyFont="1" applyBorder="1" applyAlignment="1" applyProtection="1">
      <alignment horizontal="center" vertical="center" wrapText="1"/>
      <protection locked="0"/>
    </xf>
    <xf numFmtId="0" fontId="10" fillId="0" borderId="44" xfId="0" applyFont="1" applyBorder="1" applyAlignment="1" applyProtection="1">
      <alignment horizontal="center" vertical="center"/>
      <protection locked="0"/>
    </xf>
    <xf numFmtId="1" fontId="10" fillId="0" borderId="44" xfId="0" applyNumberFormat="1" applyFont="1" applyBorder="1" applyAlignment="1" applyProtection="1">
      <alignment horizontal="center" vertical="top" wrapText="1"/>
      <protection locked="0"/>
    </xf>
    <xf numFmtId="0" fontId="10" fillId="0" borderId="44" xfId="0" applyFont="1" applyBorder="1" applyAlignment="1" applyProtection="1">
      <alignment horizontal="center" vertical="top" wrapText="1"/>
      <protection locked="0"/>
    </xf>
    <xf numFmtId="1" fontId="10" fillId="0" borderId="45" xfId="0" applyNumberFormat="1" applyFont="1" applyBorder="1" applyAlignment="1" applyProtection="1">
      <alignment horizontal="center" vertical="top" wrapText="1"/>
      <protection locked="0"/>
    </xf>
    <xf numFmtId="0" fontId="10" fillId="0" borderId="46" xfId="6" applyFont="1" applyBorder="1" applyAlignment="1" applyProtection="1">
      <alignment horizontal="center" vertical="center"/>
      <protection locked="0"/>
    </xf>
    <xf numFmtId="1" fontId="10" fillId="0" borderId="10" xfId="6" applyNumberFormat="1" applyFont="1" applyBorder="1" applyAlignment="1" applyProtection="1">
      <alignment horizontal="center" vertical="top" wrapText="1"/>
      <protection locked="0"/>
    </xf>
    <xf numFmtId="1" fontId="10" fillId="0" borderId="11" xfId="6" applyNumberFormat="1" applyFont="1" applyBorder="1" applyAlignment="1" applyProtection="1">
      <alignment horizontal="center" vertical="top" wrapText="1"/>
      <protection locked="0"/>
    </xf>
    <xf numFmtId="1" fontId="10" fillId="0" borderId="6" xfId="0" applyNumberFormat="1" applyFont="1" applyBorder="1" applyAlignment="1">
      <alignment horizontal="center" vertical="center" wrapText="1"/>
    </xf>
    <xf numFmtId="1" fontId="10" fillId="0" borderId="27" xfId="0" applyNumberFormat="1" applyFont="1" applyBorder="1" applyAlignment="1">
      <alignment horizontal="center" vertical="center" wrapText="1"/>
    </xf>
    <xf numFmtId="1" fontId="10" fillId="0" borderId="7" xfId="0" applyNumberFormat="1" applyFont="1" applyBorder="1" applyAlignment="1">
      <alignment horizontal="center" vertical="center" wrapText="1"/>
    </xf>
    <xf numFmtId="1" fontId="9" fillId="0" borderId="6" xfId="0" applyNumberFormat="1" applyFont="1" applyBorder="1" applyAlignment="1">
      <alignment horizontal="center" vertical="center" wrapText="1"/>
    </xf>
    <xf numFmtId="1" fontId="9" fillId="0" borderId="7" xfId="0" applyNumberFormat="1" applyFont="1" applyBorder="1" applyAlignment="1">
      <alignment horizontal="center" vertical="center" wrapText="1"/>
    </xf>
    <xf numFmtId="0" fontId="14" fillId="0" borderId="1" xfId="6" applyFont="1" applyBorder="1" applyAlignment="1" applyProtection="1">
      <alignment horizontal="center" vertical="top" wrapText="1"/>
      <protection locked="0"/>
    </xf>
    <xf numFmtId="0" fontId="17" fillId="0" borderId="0" xfId="0" applyFont="1" applyAlignment="1">
      <alignment horizontal="center" vertical="center" wrapText="1"/>
    </xf>
    <xf numFmtId="1" fontId="10" fillId="0" borderId="1" xfId="0" applyNumberFormat="1" applyFont="1" applyBorder="1" applyAlignment="1" applyProtection="1">
      <alignment horizontal="left" vertical="top" wrapText="1"/>
      <protection locked="0"/>
    </xf>
    <xf numFmtId="0" fontId="10" fillId="0" borderId="1" xfId="3" applyFont="1" applyBorder="1" applyAlignment="1" applyProtection="1">
      <alignment horizontal="left" vertical="top" wrapText="1"/>
      <protection locked="0"/>
    </xf>
    <xf numFmtId="0" fontId="9" fillId="0" borderId="1" xfId="6" applyFont="1" applyBorder="1" applyAlignment="1" applyProtection="1">
      <alignment vertical="top"/>
      <protection locked="0"/>
    </xf>
    <xf numFmtId="1" fontId="9" fillId="0" borderId="6" xfId="6" applyNumberFormat="1" applyFont="1" applyBorder="1" applyAlignment="1" applyProtection="1">
      <alignment horizontal="center" vertical="center" wrapText="1"/>
      <protection locked="0"/>
    </xf>
    <xf numFmtId="1" fontId="9" fillId="0" borderId="27" xfId="6" applyNumberFormat="1" applyFont="1" applyBorder="1" applyAlignment="1" applyProtection="1">
      <alignment horizontal="center" vertical="center" wrapText="1"/>
      <protection locked="0"/>
    </xf>
    <xf numFmtId="1" fontId="9" fillId="0" borderId="7" xfId="6" applyNumberFormat="1" applyFont="1" applyBorder="1" applyAlignment="1" applyProtection="1">
      <alignment horizontal="center" vertical="center" wrapText="1"/>
      <protection locked="0"/>
    </xf>
    <xf numFmtId="1" fontId="7" fillId="0" borderId="6" xfId="6" applyNumberFormat="1" applyFont="1" applyBorder="1" applyAlignment="1" applyProtection="1">
      <alignment horizontal="center" vertical="center" wrapText="1"/>
      <protection locked="0"/>
    </xf>
    <xf numFmtId="1" fontId="7" fillId="0" borderId="27" xfId="6" applyNumberFormat="1" applyFont="1" applyBorder="1" applyAlignment="1" applyProtection="1">
      <alignment horizontal="center" vertical="center" wrapText="1"/>
      <protection locked="0"/>
    </xf>
    <xf numFmtId="1" fontId="7" fillId="0" borderId="7" xfId="6" applyNumberFormat="1" applyFont="1" applyBorder="1" applyAlignment="1" applyProtection="1">
      <alignment horizontal="center" vertical="center" wrapText="1"/>
      <protection locked="0"/>
    </xf>
    <xf numFmtId="1" fontId="10" fillId="0" borderId="6" xfId="6" applyNumberFormat="1" applyFont="1" applyBorder="1" applyAlignment="1" applyProtection="1">
      <alignment horizontal="center" vertical="center" wrapText="1"/>
      <protection locked="0"/>
    </xf>
    <xf numFmtId="1" fontId="10" fillId="0" borderId="27" xfId="6" applyNumberFormat="1" applyFont="1" applyBorder="1" applyAlignment="1" applyProtection="1">
      <alignment horizontal="center" vertical="center" wrapText="1"/>
      <protection locked="0"/>
    </xf>
    <xf numFmtId="1" fontId="10" fillId="0" borderId="7" xfId="6" applyNumberFormat="1" applyFont="1" applyBorder="1" applyAlignment="1" applyProtection="1">
      <alignment horizontal="center" vertical="center" wrapText="1"/>
      <protection locked="0"/>
    </xf>
    <xf numFmtId="0" fontId="10" fillId="0" borderId="1" xfId="6" applyFont="1" applyBorder="1" applyAlignment="1" applyProtection="1">
      <alignment horizontal="center" vertical="top" wrapText="1"/>
      <protection locked="0"/>
    </xf>
    <xf numFmtId="1" fontId="9" fillId="0" borderId="10" xfId="0" applyNumberFormat="1" applyFont="1" applyBorder="1" applyAlignment="1">
      <alignment horizontal="center" vertical="center" wrapText="1"/>
    </xf>
    <xf numFmtId="1" fontId="9" fillId="0" borderId="11" xfId="0" applyNumberFormat="1" applyFont="1" applyBorder="1" applyAlignment="1">
      <alignment horizontal="center" vertical="center" wrapText="1"/>
    </xf>
    <xf numFmtId="1" fontId="9" fillId="0" borderId="13" xfId="0" applyNumberFormat="1" applyFont="1" applyBorder="1" applyAlignment="1">
      <alignment horizontal="center" vertical="center" wrapText="1"/>
    </xf>
    <xf numFmtId="1" fontId="9" fillId="0" borderId="14" xfId="0" applyNumberFormat="1" applyFont="1" applyBorder="1" applyAlignment="1">
      <alignment horizontal="center" vertical="center" wrapText="1"/>
    </xf>
    <xf numFmtId="1" fontId="9" fillId="0" borderId="28" xfId="0" applyNumberFormat="1" applyFont="1" applyBorder="1" applyAlignment="1">
      <alignment horizontal="center" vertical="center" wrapText="1"/>
    </xf>
    <xf numFmtId="1" fontId="9" fillId="0" borderId="29" xfId="0" applyNumberFormat="1" applyFont="1" applyBorder="1" applyAlignment="1">
      <alignment horizontal="center" vertical="center" wrapText="1"/>
    </xf>
    <xf numFmtId="0" fontId="14" fillId="0" borderId="1" xfId="6" applyFont="1" applyFill="1" applyBorder="1" applyAlignment="1" applyProtection="1">
      <alignment horizontal="center" vertical="top" wrapText="1"/>
      <protection locked="0"/>
    </xf>
    <xf numFmtId="0" fontId="13" fillId="0" borderId="0" xfId="0" applyFont="1" applyAlignment="1">
      <alignment horizontal="center" wrapText="1"/>
    </xf>
    <xf numFmtId="1" fontId="6" fillId="0" borderId="6" xfId="0" applyNumberFormat="1" applyFont="1" applyBorder="1" applyAlignment="1">
      <alignment horizontal="center" vertical="center" wrapText="1"/>
    </xf>
    <xf numFmtId="1" fontId="6" fillId="0" borderId="27" xfId="0" applyNumberFormat="1" applyFont="1" applyBorder="1" applyAlignment="1">
      <alignment horizontal="center" vertical="center" wrapText="1"/>
    </xf>
    <xf numFmtId="1" fontId="6" fillId="0" borderId="7" xfId="0" applyNumberFormat="1" applyFont="1" applyBorder="1" applyAlignment="1">
      <alignment horizontal="center" vertical="center" wrapText="1"/>
    </xf>
    <xf numFmtId="1" fontId="7" fillId="0" borderId="6" xfId="0" applyNumberFormat="1" applyFont="1" applyBorder="1" applyAlignment="1">
      <alignment horizontal="center" vertical="center" wrapText="1"/>
    </xf>
    <xf numFmtId="1" fontId="7" fillId="0" borderId="7" xfId="0" applyNumberFormat="1" applyFont="1" applyBorder="1" applyAlignment="1">
      <alignment horizontal="center" vertical="center" wrapText="1"/>
    </xf>
    <xf numFmtId="1" fontId="7" fillId="0" borderId="10" xfId="0" applyNumberFormat="1" applyFont="1" applyBorder="1" applyAlignment="1">
      <alignment horizontal="center" vertical="center" wrapText="1"/>
    </xf>
    <xf numFmtId="1" fontId="7" fillId="0" borderId="11" xfId="0" applyNumberFormat="1" applyFont="1" applyBorder="1" applyAlignment="1">
      <alignment horizontal="center" vertical="center" wrapText="1"/>
    </xf>
    <xf numFmtId="1" fontId="7" fillId="0" borderId="13" xfId="0" applyNumberFormat="1" applyFont="1" applyBorder="1" applyAlignment="1">
      <alignment horizontal="center" vertical="center" wrapText="1"/>
    </xf>
    <xf numFmtId="1" fontId="7" fillId="0" borderId="14" xfId="0" applyNumberFormat="1" applyFont="1" applyBorder="1" applyAlignment="1">
      <alignment horizontal="center" vertical="center" wrapText="1"/>
    </xf>
    <xf numFmtId="1" fontId="7" fillId="0" borderId="28" xfId="0" applyNumberFormat="1" applyFont="1" applyBorder="1" applyAlignment="1">
      <alignment horizontal="center" vertical="center" wrapText="1"/>
    </xf>
    <xf numFmtId="1" fontId="7" fillId="0" borderId="29" xfId="0" applyNumberFormat="1" applyFont="1" applyBorder="1" applyAlignment="1">
      <alignment horizontal="center" vertical="center" wrapText="1"/>
    </xf>
    <xf numFmtId="0" fontId="6" fillId="0" borderId="3" xfId="6" applyFont="1" applyBorder="1" applyAlignment="1" applyProtection="1">
      <alignment horizontal="left" vertical="top" wrapText="1"/>
      <protection locked="0"/>
    </xf>
    <xf numFmtId="0" fontId="6" fillId="0" borderId="4" xfId="6" applyFont="1" applyBorder="1" applyAlignment="1" applyProtection="1">
      <alignment horizontal="left" vertical="top" wrapText="1"/>
      <protection locked="0"/>
    </xf>
    <xf numFmtId="0" fontId="6" fillId="0" borderId="5" xfId="6" applyFont="1" applyBorder="1" applyAlignment="1" applyProtection="1">
      <alignment horizontal="left" vertical="top" wrapText="1"/>
      <protection locked="0"/>
    </xf>
    <xf numFmtId="0" fontId="7" fillId="0" borderId="6" xfId="6" applyFont="1" applyBorder="1" applyAlignment="1" applyProtection="1">
      <alignment horizontal="center" vertical="top"/>
      <protection locked="0"/>
    </xf>
    <xf numFmtId="0" fontId="7" fillId="0" borderId="7" xfId="6" applyFont="1" applyBorder="1" applyAlignment="1" applyProtection="1">
      <alignment horizontal="center" vertical="top"/>
      <protection locked="0"/>
    </xf>
    <xf numFmtId="0" fontId="8" fillId="0" borderId="6" xfId="6" applyFont="1" applyBorder="1" applyAlignment="1" applyProtection="1">
      <alignment horizontal="center" vertical="top"/>
      <protection locked="0"/>
    </xf>
    <xf numFmtId="0" fontId="8" fillId="0" borderId="7" xfId="6" applyFont="1" applyBorder="1" applyAlignment="1" applyProtection="1">
      <alignment horizontal="center" vertical="top"/>
      <protection locked="0"/>
    </xf>
    <xf numFmtId="0" fontId="10" fillId="0" borderId="9" xfId="6" applyFont="1" applyBorder="1" applyAlignment="1" applyProtection="1">
      <alignment horizontal="center" vertical="top"/>
      <protection locked="0"/>
    </xf>
    <xf numFmtId="0" fontId="11" fillId="0" borderId="9" xfId="6" applyFont="1" applyBorder="1" applyAlignment="1" applyProtection="1">
      <alignment horizontal="center" vertical="top" wrapText="1"/>
      <protection locked="0"/>
    </xf>
    <xf numFmtId="0" fontId="11" fillId="0" borderId="1" xfId="6" applyFont="1" applyBorder="1" applyAlignment="1" applyProtection="1">
      <alignment horizontal="center" vertical="top" wrapText="1"/>
      <protection locked="0"/>
    </xf>
    <xf numFmtId="0" fontId="11" fillId="0" borderId="1" xfId="6" applyFont="1" applyBorder="1" applyAlignment="1" applyProtection="1">
      <alignment horizontal="center" vertical="center" wrapText="1"/>
      <protection locked="0"/>
    </xf>
    <xf numFmtId="0" fontId="11" fillId="0" borderId="8" xfId="6" applyFont="1" applyBorder="1" applyAlignment="1" applyProtection="1">
      <alignment horizontal="center" vertical="center" wrapText="1"/>
      <protection locked="0"/>
    </xf>
    <xf numFmtId="9" fontId="11" fillId="3" borderId="10" xfId="6" applyNumberFormat="1" applyFont="1" applyFill="1" applyBorder="1" applyAlignment="1" applyProtection="1">
      <alignment horizontal="center" vertical="center" wrapText="1"/>
      <protection hidden="1"/>
    </xf>
    <xf numFmtId="9" fontId="11" fillId="3" borderId="11" xfId="6" applyNumberFormat="1" applyFont="1" applyFill="1" applyBorder="1" applyAlignment="1" applyProtection="1">
      <alignment horizontal="center" vertical="center" wrapText="1"/>
      <protection hidden="1"/>
    </xf>
    <xf numFmtId="9" fontId="11" fillId="3" borderId="13" xfId="6" applyNumberFormat="1" applyFont="1" applyFill="1" applyBorder="1" applyAlignment="1" applyProtection="1">
      <alignment horizontal="center" vertical="center" wrapText="1"/>
      <protection hidden="1"/>
    </xf>
    <xf numFmtId="9" fontId="11" fillId="3" borderId="14" xfId="6" applyNumberFormat="1" applyFont="1" applyFill="1" applyBorder="1" applyAlignment="1" applyProtection="1">
      <alignment horizontal="center" vertical="center" wrapText="1"/>
      <protection hidden="1"/>
    </xf>
    <xf numFmtId="9" fontId="11" fillId="3" borderId="18" xfId="6" applyNumberFormat="1" applyFont="1" applyFill="1" applyBorder="1" applyAlignment="1" applyProtection="1">
      <alignment horizontal="center" vertical="center" wrapText="1"/>
      <protection hidden="1"/>
    </xf>
    <xf numFmtId="9" fontId="11" fillId="3" borderId="19" xfId="6" applyNumberFormat="1" applyFont="1" applyFill="1" applyBorder="1" applyAlignment="1" applyProtection="1">
      <alignment horizontal="center" vertical="center" wrapText="1"/>
      <protection hidden="1"/>
    </xf>
    <xf numFmtId="9" fontId="11" fillId="3" borderId="12" xfId="6" applyNumberFormat="1" applyFont="1" applyFill="1" applyBorder="1" applyAlignment="1" applyProtection="1">
      <alignment horizontal="center" vertical="center" wrapText="1"/>
      <protection hidden="1"/>
    </xf>
    <xf numFmtId="9" fontId="11" fillId="3" borderId="15" xfId="6" applyNumberFormat="1" applyFont="1" applyFill="1" applyBorder="1" applyAlignment="1" applyProtection="1">
      <alignment horizontal="center" vertical="center" wrapText="1"/>
      <protection hidden="1"/>
    </xf>
    <xf numFmtId="9" fontId="11" fillId="3" borderId="20" xfId="6" applyNumberFormat="1" applyFont="1" applyFill="1" applyBorder="1" applyAlignment="1" applyProtection="1">
      <alignment horizontal="center" vertical="center" wrapText="1"/>
      <protection hidden="1"/>
    </xf>
    <xf numFmtId="0" fontId="11" fillId="0" borderId="16" xfId="6" applyFont="1" applyBorder="1" applyAlignment="1" applyProtection="1">
      <alignment horizontal="center" vertical="top" wrapText="1"/>
      <protection locked="0"/>
    </xf>
    <xf numFmtId="0" fontId="11" fillId="0" borderId="17" xfId="6" applyFont="1" applyBorder="1" applyAlignment="1" applyProtection="1">
      <alignment horizontal="center" vertical="top" wrapText="1"/>
      <protection locked="0"/>
    </xf>
    <xf numFmtId="0" fontId="0" fillId="2" borderId="1" xfId="0" applyFill="1" applyBorder="1" applyAlignment="1">
      <alignment horizontal="center" wrapText="1"/>
    </xf>
    <xf numFmtId="0" fontId="3" fillId="0" borderId="1" xfId="0" applyFont="1" applyBorder="1" applyAlignment="1">
      <alignment horizontal="center"/>
    </xf>
    <xf numFmtId="0" fontId="3" fillId="0" borderId="1" xfId="8" applyFont="1" applyBorder="1" applyAlignment="1">
      <alignment horizontal="left"/>
    </xf>
  </cellXfs>
  <cellStyles count="9">
    <cellStyle name="Comma 2" xfId="2"/>
    <cellStyle name="Excel Built-in Normal" xfId="3"/>
    <cellStyle name="Excel Built-in Normal 2" xfId="4"/>
    <cellStyle name="Hyperlink" xfId="1" builtinId="8"/>
    <cellStyle name="Normal" xfId="0" builtinId="0"/>
    <cellStyle name="Normal 2" xfId="5"/>
    <cellStyle name="Normal 3" xfId="6"/>
    <cellStyle name="Normal 3 3" xfId="7"/>
    <cellStyle name="Normal 4" xfId="8"/>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jpeg"/><Relationship Id="rId18" Type="http://schemas.openxmlformats.org/officeDocument/2006/relationships/image" Target="../media/image18.jpeg"/><Relationship Id="rId3" Type="http://schemas.openxmlformats.org/officeDocument/2006/relationships/image" Target="../media/image3.png"/><Relationship Id="rId7" Type="http://schemas.openxmlformats.org/officeDocument/2006/relationships/image" Target="../media/image7.jpeg"/><Relationship Id="rId12" Type="http://schemas.openxmlformats.org/officeDocument/2006/relationships/image" Target="../media/image12.jpeg"/><Relationship Id="rId17" Type="http://schemas.openxmlformats.org/officeDocument/2006/relationships/image" Target="../media/image17.jpeg"/><Relationship Id="rId2" Type="http://schemas.openxmlformats.org/officeDocument/2006/relationships/image" Target="../media/image2.png"/><Relationship Id="rId16" Type="http://schemas.openxmlformats.org/officeDocument/2006/relationships/image" Target="../media/image16.jpeg"/><Relationship Id="rId20" Type="http://schemas.openxmlformats.org/officeDocument/2006/relationships/image" Target="../media/image20.jpeg"/><Relationship Id="rId1" Type="http://schemas.openxmlformats.org/officeDocument/2006/relationships/image" Target="../media/image1.jpeg"/><Relationship Id="rId6" Type="http://schemas.openxmlformats.org/officeDocument/2006/relationships/image" Target="../media/image6.jpeg"/><Relationship Id="rId11" Type="http://schemas.openxmlformats.org/officeDocument/2006/relationships/image" Target="../media/image11.jpeg"/><Relationship Id="rId5" Type="http://schemas.openxmlformats.org/officeDocument/2006/relationships/image" Target="../media/image5.png"/><Relationship Id="rId15" Type="http://schemas.openxmlformats.org/officeDocument/2006/relationships/image" Target="../media/image15.jpeg"/><Relationship Id="rId10" Type="http://schemas.openxmlformats.org/officeDocument/2006/relationships/image" Target="../media/image10.jpeg"/><Relationship Id="rId19" Type="http://schemas.openxmlformats.org/officeDocument/2006/relationships/image" Target="../media/image19.jpeg"/><Relationship Id="rId4" Type="http://schemas.openxmlformats.org/officeDocument/2006/relationships/image" Target="../media/image4.png"/><Relationship Id="rId9" Type="http://schemas.openxmlformats.org/officeDocument/2006/relationships/image" Target="../media/image9.jpeg"/><Relationship Id="rId14" Type="http://schemas.openxmlformats.org/officeDocument/2006/relationships/image" Target="../media/image14.jpeg"/></Relationships>
</file>

<file path=xl/drawings/_rels/vmlDrawing1.vml.rels><?xml version="1.0" encoding="UTF-8" standalone="yes"?>
<Relationships xmlns="http://schemas.openxmlformats.org/package/2006/relationships"><Relationship Id="rId2" Type="http://schemas.openxmlformats.org/officeDocument/2006/relationships/image" Target="../media/image22.png"/><Relationship Id="rId1" Type="http://schemas.openxmlformats.org/officeDocument/2006/relationships/image" Target="../media/image21.png"/></Relationships>
</file>

<file path=xl/drawings/drawing1.xml><?xml version="1.0" encoding="utf-8"?>
<xdr:wsDr xmlns:xdr="http://schemas.openxmlformats.org/drawingml/2006/spreadsheetDrawing" xmlns:a="http://schemas.openxmlformats.org/drawingml/2006/main">
  <xdr:twoCellAnchor editAs="oneCell">
    <xdr:from>
      <xdr:col>0</xdr:col>
      <xdr:colOff>179294</xdr:colOff>
      <xdr:row>349</xdr:row>
      <xdr:rowOff>158564</xdr:rowOff>
    </xdr:from>
    <xdr:to>
      <xdr:col>7</xdr:col>
      <xdr:colOff>616883</xdr:colOff>
      <xdr:row>368</xdr:row>
      <xdr:rowOff>145677</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rcRect/>
        <a:stretch>
          <a:fillRect/>
        </a:stretch>
      </xdr:blipFill>
      <xdr:spPr>
        <a:xfrm>
          <a:off x="179070" y="82874485"/>
          <a:ext cx="6054090" cy="37877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179294</xdr:colOff>
      <xdr:row>330</xdr:row>
      <xdr:rowOff>0</xdr:rowOff>
    </xdr:from>
    <xdr:to>
      <xdr:col>7</xdr:col>
      <xdr:colOff>616883</xdr:colOff>
      <xdr:row>349</xdr:row>
      <xdr:rowOff>4111</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a:srcRect/>
        <a:stretch>
          <a:fillRect/>
        </a:stretch>
      </xdr:blipFill>
      <xdr:spPr>
        <a:xfrm>
          <a:off x="179070" y="78915895"/>
          <a:ext cx="6054090" cy="380428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390525</xdr:colOff>
      <xdr:row>109</xdr:row>
      <xdr:rowOff>19050</xdr:rowOff>
    </xdr:from>
    <xdr:to>
      <xdr:col>29</xdr:col>
      <xdr:colOff>303973</xdr:colOff>
      <xdr:row>125</xdr:row>
      <xdr:rowOff>180677</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3"/>
        <a:stretch>
          <a:fillRect/>
        </a:stretch>
      </xdr:blipFill>
      <xdr:spPr>
        <a:xfrm>
          <a:off x="10784205" y="30860365"/>
          <a:ext cx="6674485" cy="2380615"/>
        </a:xfrm>
        <a:prstGeom prst="rect">
          <a:avLst/>
        </a:prstGeom>
      </xdr:spPr>
    </xdr:pic>
    <xdr:clientData/>
  </xdr:twoCellAnchor>
  <xdr:twoCellAnchor editAs="oneCell">
    <xdr:from>
      <xdr:col>10</xdr:col>
      <xdr:colOff>0</xdr:colOff>
      <xdr:row>119</xdr:row>
      <xdr:rowOff>0</xdr:rowOff>
    </xdr:from>
    <xdr:to>
      <xdr:col>24</xdr:col>
      <xdr:colOff>180255</xdr:colOff>
      <xdr:row>137</xdr:row>
      <xdr:rowOff>351877</xdr:rowOff>
    </xdr:to>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4"/>
        <a:stretch>
          <a:fillRect/>
        </a:stretch>
      </xdr:blipFill>
      <xdr:spPr>
        <a:xfrm>
          <a:off x="8460740" y="31850965"/>
          <a:ext cx="5800725" cy="4380865"/>
        </a:xfrm>
        <a:prstGeom prst="rect">
          <a:avLst/>
        </a:prstGeom>
      </xdr:spPr>
    </xdr:pic>
    <xdr:clientData/>
  </xdr:twoCellAnchor>
  <xdr:twoCellAnchor>
    <xdr:from>
      <xdr:col>9</xdr:col>
      <xdr:colOff>0</xdr:colOff>
      <xdr:row>299</xdr:row>
      <xdr:rowOff>111416</xdr:rowOff>
    </xdr:from>
    <xdr:to>
      <xdr:col>11</xdr:col>
      <xdr:colOff>458149</xdr:colOff>
      <xdr:row>301</xdr:row>
      <xdr:rowOff>111476</xdr:rowOff>
    </xdr:to>
    <xdr:sp macro="" textlink="">
      <xdr:nvSpPr>
        <xdr:cNvPr id="31" name="Rectangle 30">
          <a:extLst>
            <a:ext uri="{FF2B5EF4-FFF2-40B4-BE49-F238E27FC236}">
              <a16:creationId xmlns:a16="http://schemas.microsoft.com/office/drawing/2014/main" id="{00000000-0008-0000-0000-00001F000000}"/>
            </a:ext>
          </a:extLst>
        </xdr:cNvPr>
        <xdr:cNvSpPr/>
      </xdr:nvSpPr>
      <xdr:spPr>
        <a:xfrm>
          <a:off x="7808595" y="72826245"/>
          <a:ext cx="1813560" cy="400050"/>
        </a:xfrm>
        <a:prstGeom prst="rect">
          <a:avLst/>
        </a:prstGeom>
        <a:noFill/>
        <a:ln>
          <a:noFill/>
        </a:ln>
      </xdr:spPr>
      <xdr:txBody>
        <a:bodyPr wrap="square">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sz="2000" b="0" cap="none" spc="0">
              <a:ln w="0"/>
              <a:solidFill>
                <a:srgbClr val="FF0000"/>
              </a:solidFill>
              <a:effectLst>
                <a:outerShdw blurRad="38100" dist="19050" dir="2700000" algn="tl" rotWithShape="0">
                  <a:schemeClr val="dk1">
                    <a:alpha val="40000"/>
                  </a:schemeClr>
                </a:outerShdw>
              </a:effectLst>
            </a:rPr>
            <a:t>Cleopatra</a:t>
          </a:r>
        </a:p>
      </xdr:txBody>
    </xdr:sp>
    <xdr:clientData/>
  </xdr:twoCellAnchor>
  <xdr:twoCellAnchor>
    <xdr:from>
      <xdr:col>15</xdr:col>
      <xdr:colOff>600069</xdr:colOff>
      <xdr:row>300</xdr:row>
      <xdr:rowOff>5959</xdr:rowOff>
    </xdr:from>
    <xdr:to>
      <xdr:col>23</xdr:col>
      <xdr:colOff>125370</xdr:colOff>
      <xdr:row>302</xdr:row>
      <xdr:rowOff>6019</xdr:rowOff>
    </xdr:to>
    <xdr:sp macro="" textlink="">
      <xdr:nvSpPr>
        <xdr:cNvPr id="32" name="Rectangle 31">
          <a:extLst>
            <a:ext uri="{FF2B5EF4-FFF2-40B4-BE49-F238E27FC236}">
              <a16:creationId xmlns:a16="http://schemas.microsoft.com/office/drawing/2014/main" id="{00000000-0008-0000-0000-000020000000}"/>
            </a:ext>
          </a:extLst>
        </xdr:cNvPr>
        <xdr:cNvSpPr/>
      </xdr:nvSpPr>
      <xdr:spPr>
        <a:xfrm>
          <a:off x="12222480" y="72920860"/>
          <a:ext cx="1369695" cy="400050"/>
        </a:xfrm>
        <a:prstGeom prst="rect">
          <a:avLst/>
        </a:prstGeom>
        <a:noFill/>
        <a:ln>
          <a:noFill/>
        </a:ln>
      </xdr:spPr>
      <xdr:txBody>
        <a:bodyPr wrap="square">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sz="2000" b="0" cap="none" spc="0">
              <a:ln w="0"/>
              <a:solidFill>
                <a:srgbClr val="FF0000"/>
              </a:solidFill>
              <a:effectLst>
                <a:outerShdw blurRad="38100" dist="19050" dir="2700000" algn="tl" rotWithShape="0">
                  <a:schemeClr val="dk1">
                    <a:alpha val="40000"/>
                  </a:schemeClr>
                </a:outerShdw>
              </a:effectLst>
            </a:rPr>
            <a:t>Charles</a:t>
          </a:r>
        </a:p>
      </xdr:txBody>
    </xdr:sp>
    <xdr:clientData/>
  </xdr:twoCellAnchor>
  <xdr:twoCellAnchor editAs="oneCell">
    <xdr:from>
      <xdr:col>8</xdr:col>
      <xdr:colOff>685800</xdr:colOff>
      <xdr:row>47</xdr:row>
      <xdr:rowOff>441960</xdr:rowOff>
    </xdr:from>
    <xdr:to>
      <xdr:col>17</xdr:col>
      <xdr:colOff>267235</xdr:colOff>
      <xdr:row>54</xdr:row>
      <xdr:rowOff>160401</xdr:rowOff>
    </xdr:to>
    <xdr:pic>
      <xdr:nvPicPr>
        <xdr:cNvPr id="6" name="Picture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5"/>
        <a:stretch>
          <a:fillRect/>
        </a:stretch>
      </xdr:blipFill>
      <xdr:spPr>
        <a:xfrm>
          <a:off x="7131685" y="12833985"/>
          <a:ext cx="5987415" cy="4413885"/>
        </a:xfrm>
        <a:prstGeom prst="rect">
          <a:avLst/>
        </a:prstGeom>
      </xdr:spPr>
    </xdr:pic>
    <xdr:clientData/>
  </xdr:twoCellAnchor>
  <xdr:twoCellAnchor>
    <xdr:from>
      <xdr:col>8</xdr:col>
      <xdr:colOff>797672</xdr:colOff>
      <xdr:row>294</xdr:row>
      <xdr:rowOff>155811</xdr:rowOff>
    </xdr:from>
    <xdr:to>
      <xdr:col>9</xdr:col>
      <xdr:colOff>304460</xdr:colOff>
      <xdr:row>296</xdr:row>
      <xdr:rowOff>22858</xdr:rowOff>
    </xdr:to>
    <xdr:sp macro="" textlink="">
      <xdr:nvSpPr>
        <xdr:cNvPr id="50" name="TextBox 49">
          <a:extLst>
            <a:ext uri="{FF2B5EF4-FFF2-40B4-BE49-F238E27FC236}">
              <a16:creationId xmlns:a16="http://schemas.microsoft.com/office/drawing/2014/main" id="{9AAD78C2-9384-4C72-8B39-D2849935231D}"/>
            </a:ext>
          </a:extLst>
        </xdr:cNvPr>
        <xdr:cNvSpPr txBox="1"/>
      </xdr:nvSpPr>
      <xdr:spPr>
        <a:xfrm>
          <a:off x="7308290" y="70920958"/>
          <a:ext cx="873905" cy="27045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IN" sz="1100">
              <a:solidFill>
                <a:srgbClr val="FFFF00"/>
              </a:solidFill>
            </a:rPr>
            <a:t>Garden level</a:t>
          </a:r>
        </a:p>
      </xdr:txBody>
    </xdr:sp>
    <xdr:clientData/>
  </xdr:twoCellAnchor>
  <xdr:twoCellAnchor>
    <xdr:from>
      <xdr:col>8</xdr:col>
      <xdr:colOff>797672</xdr:colOff>
      <xdr:row>293</xdr:row>
      <xdr:rowOff>162299</xdr:rowOff>
    </xdr:from>
    <xdr:to>
      <xdr:col>8</xdr:col>
      <xdr:colOff>1310668</xdr:colOff>
      <xdr:row>295</xdr:row>
      <xdr:rowOff>29346</xdr:rowOff>
    </xdr:to>
    <xdr:sp macro="" textlink="">
      <xdr:nvSpPr>
        <xdr:cNvPr id="51" name="TextBox 50">
          <a:extLst>
            <a:ext uri="{FF2B5EF4-FFF2-40B4-BE49-F238E27FC236}">
              <a16:creationId xmlns:a16="http://schemas.microsoft.com/office/drawing/2014/main" id="{B8FB39D2-F9E9-41E0-889A-8E500D03E408}"/>
            </a:ext>
          </a:extLst>
        </xdr:cNvPr>
        <xdr:cNvSpPr txBox="1"/>
      </xdr:nvSpPr>
      <xdr:spPr>
        <a:xfrm>
          <a:off x="7308290" y="70725740"/>
          <a:ext cx="512996" cy="27045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IN" sz="1100">
              <a:solidFill>
                <a:srgbClr val="FFFF00"/>
              </a:solidFill>
            </a:rPr>
            <a:t>4th flr</a:t>
          </a:r>
        </a:p>
      </xdr:txBody>
    </xdr:sp>
    <xdr:clientData/>
  </xdr:twoCellAnchor>
  <xdr:twoCellAnchor>
    <xdr:from>
      <xdr:col>9</xdr:col>
      <xdr:colOff>350744</xdr:colOff>
      <xdr:row>285</xdr:row>
      <xdr:rowOff>32497</xdr:rowOff>
    </xdr:from>
    <xdr:to>
      <xdr:col>23</xdr:col>
      <xdr:colOff>558945</xdr:colOff>
      <xdr:row>326</xdr:row>
      <xdr:rowOff>56654</xdr:rowOff>
    </xdr:to>
    <xdr:grpSp>
      <xdr:nvGrpSpPr>
        <xdr:cNvPr id="7" name="Group 6"/>
        <xdr:cNvGrpSpPr/>
      </xdr:nvGrpSpPr>
      <xdr:grpSpPr>
        <a:xfrm>
          <a:off x="8189819" y="68983972"/>
          <a:ext cx="5837476" cy="8215657"/>
          <a:chOff x="369794" y="70581371"/>
          <a:chExt cx="5870533" cy="8282892"/>
        </a:xfrm>
      </xdr:grpSpPr>
      <xdr:pic>
        <xdr:nvPicPr>
          <xdr:cNvPr id="52" name="Picture 51" descr="https://vsjcllp.vsjadon.com/upload/insp-236402-1525.jpg"/>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a:ext>
            </a:extLst>
          </a:blip>
          <a:srcRect/>
          <a:stretch>
            <a:fillRect/>
          </a:stretch>
        </xdr:blipFill>
        <xdr:spPr bwMode="auto">
          <a:xfrm>
            <a:off x="4159063" y="76704263"/>
            <a:ext cx="1627838"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53" name="Picture 52" descr="https://vsjcllp.vsjadon.com/upload/insp-236402-845.jpg"/>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a:ext>
            </a:extLst>
          </a:blip>
          <a:srcRect/>
          <a:stretch>
            <a:fillRect/>
          </a:stretch>
        </xdr:blipFill>
        <xdr:spPr bwMode="auto">
          <a:xfrm>
            <a:off x="2438400" y="74447399"/>
            <a:ext cx="1618313"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54" name="Picture 53" descr="https://vsjcllp.vsjadon.com/upload/insp-236402-843.jpg"/>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a:ext>
            </a:extLst>
          </a:blip>
          <a:srcRect/>
          <a:stretch>
            <a:fillRect/>
          </a:stretch>
        </xdr:blipFill>
        <xdr:spPr bwMode="auto">
          <a:xfrm>
            <a:off x="708212" y="74454122"/>
            <a:ext cx="1618313"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65" name="Picture 64" descr="https://vsjcllp.vsjadon.com/upload/insp-236402-844.jpg"/>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a:ext>
            </a:extLst>
          </a:blip>
          <a:srcRect/>
          <a:stretch>
            <a:fillRect/>
          </a:stretch>
        </xdr:blipFill>
        <xdr:spPr bwMode="auto">
          <a:xfrm>
            <a:off x="4143935" y="74449638"/>
            <a:ext cx="1618313"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66" name="Picture 65" descr="https://vsjcllp.vsjadon.com/upload/insp-236402-871.jpg"/>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a:ext>
            </a:extLst>
          </a:blip>
          <a:srcRect/>
          <a:stretch>
            <a:fillRect/>
          </a:stretch>
        </xdr:blipFill>
        <xdr:spPr bwMode="auto">
          <a:xfrm>
            <a:off x="710454" y="76697542"/>
            <a:ext cx="1618313"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67" name="Picture 66" descr="https://vsjcllp.vsjadon.com/upload/insp-236402-874.jpg"/>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a:ext>
            </a:extLst>
          </a:blip>
          <a:srcRect/>
          <a:stretch>
            <a:fillRect/>
          </a:stretch>
        </xdr:blipFill>
        <xdr:spPr bwMode="auto">
          <a:xfrm>
            <a:off x="369794" y="70585854"/>
            <a:ext cx="2841091" cy="379207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68" name="Picture 67" descr="https://vsjcllp.vsjadon.com/upload/insp-236402-883.jpg"/>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a:ext>
            </a:extLst>
          </a:blip>
          <a:srcRect/>
          <a:stretch>
            <a:fillRect/>
          </a:stretch>
        </xdr:blipFill>
        <xdr:spPr bwMode="auto">
          <a:xfrm>
            <a:off x="3312458" y="70581371"/>
            <a:ext cx="2841091" cy="379207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69" name="Picture 68" descr="https://vsjcllp.vsjadon.com/upload/insp-236402-931.jpg"/>
          <xdr:cNvPicPr>
            <a:picLocks noChangeAspect="1" noChangeArrowheads="1"/>
          </xdr:cNvPicPr>
        </xdr:nvPicPr>
        <xdr:blipFill>
          <a:blip xmlns:r="http://schemas.openxmlformats.org/officeDocument/2006/relationships" r:embed="rId13" cstate="print">
            <a:extLst>
              <a:ext uri="{28A0092B-C50C-407E-A947-70E740481C1C}">
                <a14:useLocalDpi xmlns:a14="http://schemas.microsoft.com/office/drawing/2010/main"/>
              </a:ext>
            </a:extLst>
          </a:blip>
          <a:srcRect/>
          <a:stretch>
            <a:fillRect/>
          </a:stretch>
        </xdr:blipFill>
        <xdr:spPr bwMode="auto">
          <a:xfrm>
            <a:off x="2445123" y="76695299"/>
            <a:ext cx="1618313"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sp macro="" textlink="">
        <xdr:nvSpPr>
          <xdr:cNvPr id="70" name="Rectangle 69">
            <a:extLst>
              <a:ext uri="{FF2B5EF4-FFF2-40B4-BE49-F238E27FC236}">
                <a16:creationId xmlns:a16="http://schemas.microsoft.com/office/drawing/2014/main" id="{00000000-0008-0000-0000-00003A000000}"/>
              </a:ext>
            </a:extLst>
          </xdr:cNvPr>
          <xdr:cNvSpPr/>
        </xdr:nvSpPr>
        <xdr:spPr>
          <a:xfrm>
            <a:off x="369794" y="70585854"/>
            <a:ext cx="933222" cy="319091"/>
          </a:xfrm>
          <a:prstGeom prst="rect">
            <a:avLst/>
          </a:prstGeom>
          <a:noFill/>
          <a:ln>
            <a:noFill/>
          </a:ln>
        </xdr:spPr>
        <xdr:txBody>
          <a:bodyPr wrap="square">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sz="1400" b="1" kern="1200" cap="none" spc="0">
                <a:ln w="0"/>
                <a:solidFill>
                  <a:schemeClr val="tx1"/>
                </a:solidFill>
                <a:effectLst>
                  <a:outerShdw blurRad="38100" dist="19050" dir="2700000" algn="tl" rotWithShape="0">
                    <a:schemeClr val="dk1">
                      <a:alpha val="40000"/>
                    </a:schemeClr>
                  </a:outerShdw>
                </a:effectLst>
                <a:latin typeface="+mn-lt"/>
                <a:ea typeface="+mn-ea"/>
                <a:cs typeface="+mn-cs"/>
              </a:rPr>
              <a:t>Cleopatra</a:t>
            </a:r>
          </a:p>
        </xdr:txBody>
      </xdr:sp>
      <xdr:sp macro="" textlink="">
        <xdr:nvSpPr>
          <xdr:cNvPr id="71" name="Rectangle 70">
            <a:extLst>
              <a:ext uri="{FF2B5EF4-FFF2-40B4-BE49-F238E27FC236}">
                <a16:creationId xmlns:a16="http://schemas.microsoft.com/office/drawing/2014/main" id="{00000000-0008-0000-0000-00003B000000}"/>
              </a:ext>
            </a:extLst>
          </xdr:cNvPr>
          <xdr:cNvSpPr/>
        </xdr:nvSpPr>
        <xdr:spPr>
          <a:xfrm>
            <a:off x="5307105" y="70614989"/>
            <a:ext cx="933222" cy="319091"/>
          </a:xfrm>
          <a:prstGeom prst="rect">
            <a:avLst/>
          </a:prstGeom>
          <a:noFill/>
          <a:ln>
            <a:noFill/>
          </a:ln>
        </xdr:spPr>
        <xdr:txBody>
          <a:bodyPr wrap="square">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sz="1400" b="1" kern="1200" cap="none" spc="0">
                <a:ln w="0"/>
                <a:solidFill>
                  <a:schemeClr val="tx1"/>
                </a:solidFill>
                <a:effectLst>
                  <a:outerShdw blurRad="38100" dist="19050" dir="2700000" algn="tl" rotWithShape="0">
                    <a:schemeClr val="dk1">
                      <a:alpha val="40000"/>
                    </a:schemeClr>
                  </a:outerShdw>
                </a:effectLst>
                <a:latin typeface="+mn-lt"/>
                <a:ea typeface="+mn-ea"/>
                <a:cs typeface="+mn-cs"/>
              </a:rPr>
              <a:t>Charles</a:t>
            </a:r>
          </a:p>
        </xdr:txBody>
      </xdr:sp>
    </xdr:grpSp>
    <xdr:clientData/>
  </xdr:twoCellAnchor>
  <xdr:twoCellAnchor>
    <xdr:from>
      <xdr:col>0</xdr:col>
      <xdr:colOff>123825</xdr:colOff>
      <xdr:row>286</xdr:row>
      <xdr:rowOff>76201</xdr:rowOff>
    </xdr:from>
    <xdr:to>
      <xdr:col>7</xdr:col>
      <xdr:colOff>266700</xdr:colOff>
      <xdr:row>326</xdr:row>
      <xdr:rowOff>142876</xdr:rowOff>
    </xdr:to>
    <xdr:grpSp>
      <xdr:nvGrpSpPr>
        <xdr:cNvPr id="8" name="Group 7"/>
        <xdr:cNvGrpSpPr/>
      </xdr:nvGrpSpPr>
      <xdr:grpSpPr>
        <a:xfrm>
          <a:off x="123825" y="69227701"/>
          <a:ext cx="5791200" cy="8058150"/>
          <a:chOff x="123825" y="69389625"/>
          <a:chExt cx="5981700" cy="8494499"/>
        </a:xfrm>
      </xdr:grpSpPr>
      <xdr:grpSp>
        <xdr:nvGrpSpPr>
          <xdr:cNvPr id="22" name="Group 21"/>
          <xdr:cNvGrpSpPr/>
        </xdr:nvGrpSpPr>
        <xdr:grpSpPr>
          <a:xfrm>
            <a:off x="333128" y="69399150"/>
            <a:ext cx="5772397" cy="8484974"/>
            <a:chOff x="391766" y="297076"/>
            <a:chExt cx="6113023" cy="8580224"/>
          </a:xfrm>
        </xdr:grpSpPr>
        <xdr:pic>
          <xdr:nvPicPr>
            <xdr:cNvPr id="23" name="Picture 22" descr="https://vsjcllp.vsjadon.com/upload/insp-246867-1525.jpg"/>
            <xdr:cNvPicPr>
              <a:picLocks noChangeAspect="1" noChangeArrowheads="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bwMode="auto">
            <a:xfrm>
              <a:off x="3471246" y="7186622"/>
              <a:ext cx="1266688" cy="1690678"/>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24" name="Picture 23" descr="https://vsjcllp.vsjadon.com/upload/insp-246867-843.jpg"/>
            <xdr:cNvPicPr>
              <a:picLocks noChangeAspect="1" noChangeArrowheads="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bwMode="auto">
            <a:xfrm>
              <a:off x="4476069" y="4496310"/>
              <a:ext cx="1914112" cy="255481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25" name="Picture 24" descr="https://vsjcllp.vsjadon.com/upload/insp-246867-845.jpg"/>
            <xdr:cNvPicPr>
              <a:picLocks noChangeAspect="1" noChangeArrowheads="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a:fillRect/>
            </a:stretch>
          </xdr:blipFill>
          <xdr:spPr bwMode="auto">
            <a:xfrm>
              <a:off x="391766" y="4496310"/>
              <a:ext cx="1914112" cy="255481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26" name="Picture 25" descr="https://vsjcllp.vsjadon.com/upload/insp-246867-844.jpg"/>
            <xdr:cNvPicPr>
              <a:picLocks noChangeAspect="1" noChangeArrowheads="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bwMode="auto">
            <a:xfrm>
              <a:off x="2434183" y="4496310"/>
              <a:ext cx="1914112" cy="255481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28" name="Picture 27" descr="https://vsjcllp.vsjadon.com/upload/insp-246867-871.jpg"/>
            <xdr:cNvPicPr>
              <a:picLocks noChangeAspect="1" noChangeArrowheads="1"/>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a:stretch>
              <a:fillRect/>
            </a:stretch>
          </xdr:blipFill>
          <xdr:spPr bwMode="auto">
            <a:xfrm>
              <a:off x="3460164" y="297076"/>
              <a:ext cx="3044625" cy="4063732"/>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29" name="Picture 28" descr="https://vsjcllp.vsjadon.com/upload/insp-246867-931.jpg"/>
            <xdr:cNvPicPr>
              <a:picLocks noChangeAspect="1" noChangeArrowheads="1"/>
            </xdr:cNvPicPr>
          </xdr:nvPicPr>
          <xdr:blipFill>
            <a:blip xmlns:r="http://schemas.openxmlformats.org/officeDocument/2006/relationships" r:embed="rId19" cstate="print">
              <a:extLst>
                <a:ext uri="{28A0092B-C50C-407E-A947-70E740481C1C}">
                  <a14:useLocalDpi xmlns:a14="http://schemas.microsoft.com/office/drawing/2010/main" val="0"/>
                </a:ext>
              </a:extLst>
            </a:blip>
            <a:srcRect/>
            <a:stretch>
              <a:fillRect/>
            </a:stretch>
          </xdr:blipFill>
          <xdr:spPr bwMode="auto">
            <a:xfrm>
              <a:off x="2062737" y="7186622"/>
              <a:ext cx="1266688" cy="1690678"/>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grpSp>
      <xdr:pic>
        <xdr:nvPicPr>
          <xdr:cNvPr id="30" name="Picture 29" descr="https://vsjcllp.vsjadon.com/upload/insp-246867-883.jpg"/>
          <xdr:cNvPicPr>
            <a:picLocks noChangeAspect="1" noChangeArrowheads="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a:stretch>
            <a:fillRect/>
          </a:stretch>
        </xdr:blipFill>
        <xdr:spPr bwMode="auto">
          <a:xfrm>
            <a:off x="123825" y="69389625"/>
            <a:ext cx="3019425" cy="4030098"/>
          </a:xfrm>
          <a:prstGeom prst="rect">
            <a:avLst/>
          </a:prstGeom>
          <a:noFill/>
          <a:ln>
            <a:solidFill>
              <a:sysClr val="windowText" lastClr="000000"/>
            </a:solidFill>
          </a:ln>
          <a:extLst>
            <a:ext uri="{909E8E84-426E-40DD-AFC4-6F175D3DCCD1}">
              <a14:hiddenFill xmlns:a14="http://schemas.microsoft.com/office/drawing/2010/main">
                <a:solidFill>
                  <a:srgbClr val="FFFFFF"/>
                </a:solidFill>
              </a14:hiddenFill>
            </a:ext>
          </a:extLst>
        </xdr:spPr>
      </xdr:pic>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goo.gl/maps/dq6pHjP35iGNcdUb6?coh=178572&amp;entry=tt" TargetMode="Externa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W329"/>
  <sheetViews>
    <sheetView tabSelected="1" view="pageBreakPreview" topLeftCell="A268" zoomScaleNormal="100" zoomScaleSheetLayoutView="100" zoomScalePageLayoutView="85" workbookViewId="0">
      <selection activeCell="J273" sqref="J273"/>
    </sheetView>
  </sheetViews>
  <sheetFormatPr defaultColWidth="9.140625" defaultRowHeight="15.75"/>
  <cols>
    <col min="1" max="1" width="12.5703125" style="63" customWidth="1"/>
    <col min="2" max="2" width="11.85546875" style="63" customWidth="1"/>
    <col min="3" max="4" width="12.85546875" style="63" customWidth="1"/>
    <col min="5" max="6" width="11.85546875" style="63" customWidth="1"/>
    <col min="7" max="7" width="10.85546875" style="63" customWidth="1"/>
    <col min="8" max="8" width="12.42578125" style="63" customWidth="1"/>
    <col min="9" max="9" width="20.42578125" style="64" customWidth="1"/>
    <col min="10" max="10" width="9.85546875" style="64" customWidth="1"/>
    <col min="11" max="11" width="10.5703125" style="64" customWidth="1"/>
    <col min="12" max="18" width="9.140625" style="64"/>
    <col min="19" max="19" width="11.140625" style="64" hidden="1" customWidth="1"/>
    <col min="20" max="21" width="9.140625" style="64" hidden="1" customWidth="1"/>
    <col min="22" max="22" width="10.85546875" style="64" hidden="1" customWidth="1"/>
    <col min="23" max="23" width="13.42578125" style="64" hidden="1" customWidth="1"/>
    <col min="24" max="254" width="9.140625" style="64"/>
    <col min="255" max="255" width="8.85546875" style="64" customWidth="1"/>
    <col min="256" max="256" width="9.85546875" style="64" customWidth="1"/>
    <col min="257" max="257" width="14.42578125" style="64" customWidth="1"/>
    <col min="258" max="258" width="7.140625" style="64" customWidth="1"/>
    <col min="259" max="259" width="5.5703125" style="64" customWidth="1"/>
    <col min="260" max="260" width="9" style="64" customWidth="1"/>
    <col min="261" max="262" width="9.85546875" style="64" customWidth="1"/>
    <col min="263" max="263" width="11.140625" style="64" customWidth="1"/>
    <col min="264" max="264" width="2.85546875" style="64" customWidth="1"/>
    <col min="265" max="265" width="3.5703125" style="64" customWidth="1"/>
    <col min="266" max="510" width="9.140625" style="64"/>
    <col min="511" max="511" width="8.85546875" style="64" customWidth="1"/>
    <col min="512" max="512" width="9.85546875" style="64" customWidth="1"/>
    <col min="513" max="513" width="14.42578125" style="64" customWidth="1"/>
    <col min="514" max="514" width="7.140625" style="64" customWidth="1"/>
    <col min="515" max="515" width="5.5703125" style="64" customWidth="1"/>
    <col min="516" max="516" width="9" style="64" customWidth="1"/>
    <col min="517" max="518" width="9.85546875" style="64" customWidth="1"/>
    <col min="519" max="519" width="11.140625" style="64" customWidth="1"/>
    <col min="520" max="520" width="2.85546875" style="64" customWidth="1"/>
    <col min="521" max="521" width="3.5703125" style="64" customWidth="1"/>
    <col min="522" max="766" width="9.140625" style="64"/>
    <col min="767" max="767" width="8.85546875" style="64" customWidth="1"/>
    <col min="768" max="768" width="9.85546875" style="64" customWidth="1"/>
    <col min="769" max="769" width="14.42578125" style="64" customWidth="1"/>
    <col min="770" max="770" width="7.140625" style="64" customWidth="1"/>
    <col min="771" max="771" width="5.5703125" style="64" customWidth="1"/>
    <col min="772" max="772" width="9" style="64" customWidth="1"/>
    <col min="773" max="774" width="9.85546875" style="64" customWidth="1"/>
    <col min="775" max="775" width="11.140625" style="64" customWidth="1"/>
    <col min="776" max="776" width="2.85546875" style="64" customWidth="1"/>
    <col min="777" max="777" width="3.5703125" style="64" customWidth="1"/>
    <col min="778" max="1022" width="9.140625" style="64"/>
    <col min="1023" max="1023" width="8.85546875" style="64" customWidth="1"/>
    <col min="1024" max="1024" width="9.85546875" style="64" customWidth="1"/>
    <col min="1025" max="1025" width="14.42578125" style="64" customWidth="1"/>
    <col min="1026" max="1026" width="7.140625" style="64" customWidth="1"/>
    <col min="1027" max="1027" width="5.5703125" style="64" customWidth="1"/>
    <col min="1028" max="1028" width="9" style="64" customWidth="1"/>
    <col min="1029" max="1030" width="9.85546875" style="64" customWidth="1"/>
    <col min="1031" max="1031" width="11.140625" style="64" customWidth="1"/>
    <col min="1032" max="1032" width="2.85546875" style="64" customWidth="1"/>
    <col min="1033" max="1033" width="3.5703125" style="64" customWidth="1"/>
    <col min="1034" max="1278" width="9.140625" style="64"/>
    <col min="1279" max="1279" width="8.85546875" style="64" customWidth="1"/>
    <col min="1280" max="1280" width="9.85546875" style="64" customWidth="1"/>
    <col min="1281" max="1281" width="14.42578125" style="64" customWidth="1"/>
    <col min="1282" max="1282" width="7.140625" style="64" customWidth="1"/>
    <col min="1283" max="1283" width="5.5703125" style="64" customWidth="1"/>
    <col min="1284" max="1284" width="9" style="64" customWidth="1"/>
    <col min="1285" max="1286" width="9.85546875" style="64" customWidth="1"/>
    <col min="1287" max="1287" width="11.140625" style="64" customWidth="1"/>
    <col min="1288" max="1288" width="2.85546875" style="64" customWidth="1"/>
    <col min="1289" max="1289" width="3.5703125" style="64" customWidth="1"/>
    <col min="1290" max="1534" width="9.140625" style="64"/>
    <col min="1535" max="1535" width="8.85546875" style="64" customWidth="1"/>
    <col min="1536" max="1536" width="9.85546875" style="64" customWidth="1"/>
    <col min="1537" max="1537" width="14.42578125" style="64" customWidth="1"/>
    <col min="1538" max="1538" width="7.140625" style="64" customWidth="1"/>
    <col min="1539" max="1539" width="5.5703125" style="64" customWidth="1"/>
    <col min="1540" max="1540" width="9" style="64" customWidth="1"/>
    <col min="1541" max="1542" width="9.85546875" style="64" customWidth="1"/>
    <col min="1543" max="1543" width="11.140625" style="64" customWidth="1"/>
    <col min="1544" max="1544" width="2.85546875" style="64" customWidth="1"/>
    <col min="1545" max="1545" width="3.5703125" style="64" customWidth="1"/>
    <col min="1546" max="1790" width="9.140625" style="64"/>
    <col min="1791" max="1791" width="8.85546875" style="64" customWidth="1"/>
    <col min="1792" max="1792" width="9.85546875" style="64" customWidth="1"/>
    <col min="1793" max="1793" width="14.42578125" style="64" customWidth="1"/>
    <col min="1794" max="1794" width="7.140625" style="64" customWidth="1"/>
    <col min="1795" max="1795" width="5.5703125" style="64" customWidth="1"/>
    <col min="1796" max="1796" width="9" style="64" customWidth="1"/>
    <col min="1797" max="1798" width="9.85546875" style="64" customWidth="1"/>
    <col min="1799" max="1799" width="11.140625" style="64" customWidth="1"/>
    <col min="1800" max="1800" width="2.85546875" style="64" customWidth="1"/>
    <col min="1801" max="1801" width="3.5703125" style="64" customWidth="1"/>
    <col min="1802" max="2046" width="9.140625" style="64"/>
    <col min="2047" max="2047" width="8.85546875" style="64" customWidth="1"/>
    <col min="2048" max="2048" width="9.85546875" style="64" customWidth="1"/>
    <col min="2049" max="2049" width="14.42578125" style="64" customWidth="1"/>
    <col min="2050" max="2050" width="7.140625" style="64" customWidth="1"/>
    <col min="2051" max="2051" width="5.5703125" style="64" customWidth="1"/>
    <col min="2052" max="2052" width="9" style="64" customWidth="1"/>
    <col min="2053" max="2054" width="9.85546875" style="64" customWidth="1"/>
    <col min="2055" max="2055" width="11.140625" style="64" customWidth="1"/>
    <col min="2056" max="2056" width="2.85546875" style="64" customWidth="1"/>
    <col min="2057" max="2057" width="3.5703125" style="64" customWidth="1"/>
    <col min="2058" max="2302" width="9.140625" style="64"/>
    <col min="2303" max="2303" width="8.85546875" style="64" customWidth="1"/>
    <col min="2304" max="2304" width="9.85546875" style="64" customWidth="1"/>
    <col min="2305" max="2305" width="14.42578125" style="64" customWidth="1"/>
    <col min="2306" max="2306" width="7.140625" style="64" customWidth="1"/>
    <col min="2307" max="2307" width="5.5703125" style="64" customWidth="1"/>
    <col min="2308" max="2308" width="9" style="64" customWidth="1"/>
    <col min="2309" max="2310" width="9.85546875" style="64" customWidth="1"/>
    <col min="2311" max="2311" width="11.140625" style="64" customWidth="1"/>
    <col min="2312" max="2312" width="2.85546875" style="64" customWidth="1"/>
    <col min="2313" max="2313" width="3.5703125" style="64" customWidth="1"/>
    <col min="2314" max="2558" width="9.140625" style="64"/>
    <col min="2559" max="2559" width="8.85546875" style="64" customWidth="1"/>
    <col min="2560" max="2560" width="9.85546875" style="64" customWidth="1"/>
    <col min="2561" max="2561" width="14.42578125" style="64" customWidth="1"/>
    <col min="2562" max="2562" width="7.140625" style="64" customWidth="1"/>
    <col min="2563" max="2563" width="5.5703125" style="64" customWidth="1"/>
    <col min="2564" max="2564" width="9" style="64" customWidth="1"/>
    <col min="2565" max="2566" width="9.85546875" style="64" customWidth="1"/>
    <col min="2567" max="2567" width="11.140625" style="64" customWidth="1"/>
    <col min="2568" max="2568" width="2.85546875" style="64" customWidth="1"/>
    <col min="2569" max="2569" width="3.5703125" style="64" customWidth="1"/>
    <col min="2570" max="2814" width="9.140625" style="64"/>
    <col min="2815" max="2815" width="8.85546875" style="64" customWidth="1"/>
    <col min="2816" max="2816" width="9.85546875" style="64" customWidth="1"/>
    <col min="2817" max="2817" width="14.42578125" style="64" customWidth="1"/>
    <col min="2818" max="2818" width="7.140625" style="64" customWidth="1"/>
    <col min="2819" max="2819" width="5.5703125" style="64" customWidth="1"/>
    <col min="2820" max="2820" width="9" style="64" customWidth="1"/>
    <col min="2821" max="2822" width="9.85546875" style="64" customWidth="1"/>
    <col min="2823" max="2823" width="11.140625" style="64" customWidth="1"/>
    <col min="2824" max="2824" width="2.85546875" style="64" customWidth="1"/>
    <col min="2825" max="2825" width="3.5703125" style="64" customWidth="1"/>
    <col min="2826" max="3070" width="9.140625" style="64"/>
    <col min="3071" max="3071" width="8.85546875" style="64" customWidth="1"/>
    <col min="3072" max="3072" width="9.85546875" style="64" customWidth="1"/>
    <col min="3073" max="3073" width="14.42578125" style="64" customWidth="1"/>
    <col min="3074" max="3074" width="7.140625" style="64" customWidth="1"/>
    <col min="3075" max="3075" width="5.5703125" style="64" customWidth="1"/>
    <col min="3076" max="3076" width="9" style="64" customWidth="1"/>
    <col min="3077" max="3078" width="9.85546875" style="64" customWidth="1"/>
    <col min="3079" max="3079" width="11.140625" style="64" customWidth="1"/>
    <col min="3080" max="3080" width="2.85546875" style="64" customWidth="1"/>
    <col min="3081" max="3081" width="3.5703125" style="64" customWidth="1"/>
    <col min="3082" max="3326" width="9.140625" style="64"/>
    <col min="3327" max="3327" width="8.85546875" style="64" customWidth="1"/>
    <col min="3328" max="3328" width="9.85546875" style="64" customWidth="1"/>
    <col min="3329" max="3329" width="14.42578125" style="64" customWidth="1"/>
    <col min="3330" max="3330" width="7.140625" style="64" customWidth="1"/>
    <col min="3331" max="3331" width="5.5703125" style="64" customWidth="1"/>
    <col min="3332" max="3332" width="9" style="64" customWidth="1"/>
    <col min="3333" max="3334" width="9.85546875" style="64" customWidth="1"/>
    <col min="3335" max="3335" width="11.140625" style="64" customWidth="1"/>
    <col min="3336" max="3336" width="2.85546875" style="64" customWidth="1"/>
    <col min="3337" max="3337" width="3.5703125" style="64" customWidth="1"/>
    <col min="3338" max="3582" width="9.140625" style="64"/>
    <col min="3583" max="3583" width="8.85546875" style="64" customWidth="1"/>
    <col min="3584" max="3584" width="9.85546875" style="64" customWidth="1"/>
    <col min="3585" max="3585" width="14.42578125" style="64" customWidth="1"/>
    <col min="3586" max="3586" width="7.140625" style="64" customWidth="1"/>
    <col min="3587" max="3587" width="5.5703125" style="64" customWidth="1"/>
    <col min="3588" max="3588" width="9" style="64" customWidth="1"/>
    <col min="3589" max="3590" width="9.85546875" style="64" customWidth="1"/>
    <col min="3591" max="3591" width="11.140625" style="64" customWidth="1"/>
    <col min="3592" max="3592" width="2.85546875" style="64" customWidth="1"/>
    <col min="3593" max="3593" width="3.5703125" style="64" customWidth="1"/>
    <col min="3594" max="3838" width="9.140625" style="64"/>
    <col min="3839" max="3839" width="8.85546875" style="64" customWidth="1"/>
    <col min="3840" max="3840" width="9.85546875" style="64" customWidth="1"/>
    <col min="3841" max="3841" width="14.42578125" style="64" customWidth="1"/>
    <col min="3842" max="3842" width="7.140625" style="64" customWidth="1"/>
    <col min="3843" max="3843" width="5.5703125" style="64" customWidth="1"/>
    <col min="3844" max="3844" width="9" style="64" customWidth="1"/>
    <col min="3845" max="3846" width="9.85546875" style="64" customWidth="1"/>
    <col min="3847" max="3847" width="11.140625" style="64" customWidth="1"/>
    <col min="3848" max="3848" width="2.85546875" style="64" customWidth="1"/>
    <col min="3849" max="3849" width="3.5703125" style="64" customWidth="1"/>
    <col min="3850" max="4094" width="9.140625" style="64"/>
    <col min="4095" max="4095" width="8.85546875" style="64" customWidth="1"/>
    <col min="4096" max="4096" width="9.85546875" style="64" customWidth="1"/>
    <col min="4097" max="4097" width="14.42578125" style="64" customWidth="1"/>
    <col min="4098" max="4098" width="7.140625" style="64" customWidth="1"/>
    <col min="4099" max="4099" width="5.5703125" style="64" customWidth="1"/>
    <col min="4100" max="4100" width="9" style="64" customWidth="1"/>
    <col min="4101" max="4102" width="9.85546875" style="64" customWidth="1"/>
    <col min="4103" max="4103" width="11.140625" style="64" customWidth="1"/>
    <col min="4104" max="4104" width="2.85546875" style="64" customWidth="1"/>
    <col min="4105" max="4105" width="3.5703125" style="64" customWidth="1"/>
    <col min="4106" max="4350" width="9.140625" style="64"/>
    <col min="4351" max="4351" width="8.85546875" style="64" customWidth="1"/>
    <col min="4352" max="4352" width="9.85546875" style="64" customWidth="1"/>
    <col min="4353" max="4353" width="14.42578125" style="64" customWidth="1"/>
    <col min="4354" max="4354" width="7.140625" style="64" customWidth="1"/>
    <col min="4355" max="4355" width="5.5703125" style="64" customWidth="1"/>
    <col min="4356" max="4356" width="9" style="64" customWidth="1"/>
    <col min="4357" max="4358" width="9.85546875" style="64" customWidth="1"/>
    <col min="4359" max="4359" width="11.140625" style="64" customWidth="1"/>
    <col min="4360" max="4360" width="2.85546875" style="64" customWidth="1"/>
    <col min="4361" max="4361" width="3.5703125" style="64" customWidth="1"/>
    <col min="4362" max="4606" width="9.140625" style="64"/>
    <col min="4607" max="4607" width="8.85546875" style="64" customWidth="1"/>
    <col min="4608" max="4608" width="9.85546875" style="64" customWidth="1"/>
    <col min="4609" max="4609" width="14.42578125" style="64" customWidth="1"/>
    <col min="4610" max="4610" width="7.140625" style="64" customWidth="1"/>
    <col min="4611" max="4611" width="5.5703125" style="64" customWidth="1"/>
    <col min="4612" max="4612" width="9" style="64" customWidth="1"/>
    <col min="4613" max="4614" width="9.85546875" style="64" customWidth="1"/>
    <col min="4615" max="4615" width="11.140625" style="64" customWidth="1"/>
    <col min="4616" max="4616" width="2.85546875" style="64" customWidth="1"/>
    <col min="4617" max="4617" width="3.5703125" style="64" customWidth="1"/>
    <col min="4618" max="4862" width="9.140625" style="64"/>
    <col min="4863" max="4863" width="8.85546875" style="64" customWidth="1"/>
    <col min="4864" max="4864" width="9.85546875" style="64" customWidth="1"/>
    <col min="4865" max="4865" width="14.42578125" style="64" customWidth="1"/>
    <col min="4866" max="4866" width="7.140625" style="64" customWidth="1"/>
    <col min="4867" max="4867" width="5.5703125" style="64" customWidth="1"/>
    <col min="4868" max="4868" width="9" style="64" customWidth="1"/>
    <col min="4869" max="4870" width="9.85546875" style="64" customWidth="1"/>
    <col min="4871" max="4871" width="11.140625" style="64" customWidth="1"/>
    <col min="4872" max="4872" width="2.85546875" style="64" customWidth="1"/>
    <col min="4873" max="4873" width="3.5703125" style="64" customWidth="1"/>
    <col min="4874" max="5118" width="9.140625" style="64"/>
    <col min="5119" max="5119" width="8.85546875" style="64" customWidth="1"/>
    <col min="5120" max="5120" width="9.85546875" style="64" customWidth="1"/>
    <col min="5121" max="5121" width="14.42578125" style="64" customWidth="1"/>
    <col min="5122" max="5122" width="7.140625" style="64" customWidth="1"/>
    <col min="5123" max="5123" width="5.5703125" style="64" customWidth="1"/>
    <col min="5124" max="5124" width="9" style="64" customWidth="1"/>
    <col min="5125" max="5126" width="9.85546875" style="64" customWidth="1"/>
    <col min="5127" max="5127" width="11.140625" style="64" customWidth="1"/>
    <col min="5128" max="5128" width="2.85546875" style="64" customWidth="1"/>
    <col min="5129" max="5129" width="3.5703125" style="64" customWidth="1"/>
    <col min="5130" max="5374" width="9.140625" style="64"/>
    <col min="5375" max="5375" width="8.85546875" style="64" customWidth="1"/>
    <col min="5376" max="5376" width="9.85546875" style="64" customWidth="1"/>
    <col min="5377" max="5377" width="14.42578125" style="64" customWidth="1"/>
    <col min="5378" max="5378" width="7.140625" style="64" customWidth="1"/>
    <col min="5379" max="5379" width="5.5703125" style="64" customWidth="1"/>
    <col min="5380" max="5380" width="9" style="64" customWidth="1"/>
    <col min="5381" max="5382" width="9.85546875" style="64" customWidth="1"/>
    <col min="5383" max="5383" width="11.140625" style="64" customWidth="1"/>
    <col min="5384" max="5384" width="2.85546875" style="64" customWidth="1"/>
    <col min="5385" max="5385" width="3.5703125" style="64" customWidth="1"/>
    <col min="5386" max="5630" width="9.140625" style="64"/>
    <col min="5631" max="5631" width="8.85546875" style="64" customWidth="1"/>
    <col min="5632" max="5632" width="9.85546875" style="64" customWidth="1"/>
    <col min="5633" max="5633" width="14.42578125" style="64" customWidth="1"/>
    <col min="5634" max="5634" width="7.140625" style="64" customWidth="1"/>
    <col min="5635" max="5635" width="5.5703125" style="64" customWidth="1"/>
    <col min="5636" max="5636" width="9" style="64" customWidth="1"/>
    <col min="5637" max="5638" width="9.85546875" style="64" customWidth="1"/>
    <col min="5639" max="5639" width="11.140625" style="64" customWidth="1"/>
    <col min="5640" max="5640" width="2.85546875" style="64" customWidth="1"/>
    <col min="5641" max="5641" width="3.5703125" style="64" customWidth="1"/>
    <col min="5642" max="5886" width="9.140625" style="64"/>
    <col min="5887" max="5887" width="8.85546875" style="64" customWidth="1"/>
    <col min="5888" max="5888" width="9.85546875" style="64" customWidth="1"/>
    <col min="5889" max="5889" width="14.42578125" style="64" customWidth="1"/>
    <col min="5890" max="5890" width="7.140625" style="64" customWidth="1"/>
    <col min="5891" max="5891" width="5.5703125" style="64" customWidth="1"/>
    <col min="5892" max="5892" width="9" style="64" customWidth="1"/>
    <col min="5893" max="5894" width="9.85546875" style="64" customWidth="1"/>
    <col min="5895" max="5895" width="11.140625" style="64" customWidth="1"/>
    <col min="5896" max="5896" width="2.85546875" style="64" customWidth="1"/>
    <col min="5897" max="5897" width="3.5703125" style="64" customWidth="1"/>
    <col min="5898" max="6142" width="9.140625" style="64"/>
    <col min="6143" max="6143" width="8.85546875" style="64" customWidth="1"/>
    <col min="6144" max="6144" width="9.85546875" style="64" customWidth="1"/>
    <col min="6145" max="6145" width="14.42578125" style="64" customWidth="1"/>
    <col min="6146" max="6146" width="7.140625" style="64" customWidth="1"/>
    <col min="6147" max="6147" width="5.5703125" style="64" customWidth="1"/>
    <col min="6148" max="6148" width="9" style="64" customWidth="1"/>
    <col min="6149" max="6150" width="9.85546875" style="64" customWidth="1"/>
    <col min="6151" max="6151" width="11.140625" style="64" customWidth="1"/>
    <col min="6152" max="6152" width="2.85546875" style="64" customWidth="1"/>
    <col min="6153" max="6153" width="3.5703125" style="64" customWidth="1"/>
    <col min="6154" max="6398" width="9.140625" style="64"/>
    <col min="6399" max="6399" width="8.85546875" style="64" customWidth="1"/>
    <col min="6400" max="6400" width="9.85546875" style="64" customWidth="1"/>
    <col min="6401" max="6401" width="14.42578125" style="64" customWidth="1"/>
    <col min="6402" max="6402" width="7.140625" style="64" customWidth="1"/>
    <col min="6403" max="6403" width="5.5703125" style="64" customWidth="1"/>
    <col min="6404" max="6404" width="9" style="64" customWidth="1"/>
    <col min="6405" max="6406" width="9.85546875" style="64" customWidth="1"/>
    <col min="6407" max="6407" width="11.140625" style="64" customWidth="1"/>
    <col min="6408" max="6408" width="2.85546875" style="64" customWidth="1"/>
    <col min="6409" max="6409" width="3.5703125" style="64" customWidth="1"/>
    <col min="6410" max="6654" width="9.140625" style="64"/>
    <col min="6655" max="6655" width="8.85546875" style="64" customWidth="1"/>
    <col min="6656" max="6656" width="9.85546875" style="64" customWidth="1"/>
    <col min="6657" max="6657" width="14.42578125" style="64" customWidth="1"/>
    <col min="6658" max="6658" width="7.140625" style="64" customWidth="1"/>
    <col min="6659" max="6659" width="5.5703125" style="64" customWidth="1"/>
    <col min="6660" max="6660" width="9" style="64" customWidth="1"/>
    <col min="6661" max="6662" width="9.85546875" style="64" customWidth="1"/>
    <col min="6663" max="6663" width="11.140625" style="64" customWidth="1"/>
    <col min="6664" max="6664" width="2.85546875" style="64" customWidth="1"/>
    <col min="6665" max="6665" width="3.5703125" style="64" customWidth="1"/>
    <col min="6666" max="6910" width="9.140625" style="64"/>
    <col min="6911" max="6911" width="8.85546875" style="64" customWidth="1"/>
    <col min="6912" max="6912" width="9.85546875" style="64" customWidth="1"/>
    <col min="6913" max="6913" width="14.42578125" style="64" customWidth="1"/>
    <col min="6914" max="6914" width="7.140625" style="64" customWidth="1"/>
    <col min="6915" max="6915" width="5.5703125" style="64" customWidth="1"/>
    <col min="6916" max="6916" width="9" style="64" customWidth="1"/>
    <col min="6917" max="6918" width="9.85546875" style="64" customWidth="1"/>
    <col min="6919" max="6919" width="11.140625" style="64" customWidth="1"/>
    <col min="6920" max="6920" width="2.85546875" style="64" customWidth="1"/>
    <col min="6921" max="6921" width="3.5703125" style="64" customWidth="1"/>
    <col min="6922" max="7166" width="9.140625" style="64"/>
    <col min="7167" max="7167" width="8.85546875" style="64" customWidth="1"/>
    <col min="7168" max="7168" width="9.85546875" style="64" customWidth="1"/>
    <col min="7169" max="7169" width="14.42578125" style="64" customWidth="1"/>
    <col min="7170" max="7170" width="7.140625" style="64" customWidth="1"/>
    <col min="7171" max="7171" width="5.5703125" style="64" customWidth="1"/>
    <col min="7172" max="7172" width="9" style="64" customWidth="1"/>
    <col min="7173" max="7174" width="9.85546875" style="64" customWidth="1"/>
    <col min="7175" max="7175" width="11.140625" style="64" customWidth="1"/>
    <col min="7176" max="7176" width="2.85546875" style="64" customWidth="1"/>
    <col min="7177" max="7177" width="3.5703125" style="64" customWidth="1"/>
    <col min="7178" max="7422" width="9.140625" style="64"/>
    <col min="7423" max="7423" width="8.85546875" style="64" customWidth="1"/>
    <col min="7424" max="7424" width="9.85546875" style="64" customWidth="1"/>
    <col min="7425" max="7425" width="14.42578125" style="64" customWidth="1"/>
    <col min="7426" max="7426" width="7.140625" style="64" customWidth="1"/>
    <col min="7427" max="7427" width="5.5703125" style="64" customWidth="1"/>
    <col min="7428" max="7428" width="9" style="64" customWidth="1"/>
    <col min="7429" max="7430" width="9.85546875" style="64" customWidth="1"/>
    <col min="7431" max="7431" width="11.140625" style="64" customWidth="1"/>
    <col min="7432" max="7432" width="2.85546875" style="64" customWidth="1"/>
    <col min="7433" max="7433" width="3.5703125" style="64" customWidth="1"/>
    <col min="7434" max="7678" width="9.140625" style="64"/>
    <col min="7679" max="7679" width="8.85546875" style="64" customWidth="1"/>
    <col min="7680" max="7680" width="9.85546875" style="64" customWidth="1"/>
    <col min="7681" max="7681" width="14.42578125" style="64" customWidth="1"/>
    <col min="7682" max="7682" width="7.140625" style="64" customWidth="1"/>
    <col min="7683" max="7683" width="5.5703125" style="64" customWidth="1"/>
    <col min="7684" max="7684" width="9" style="64" customWidth="1"/>
    <col min="7685" max="7686" width="9.85546875" style="64" customWidth="1"/>
    <col min="7687" max="7687" width="11.140625" style="64" customWidth="1"/>
    <col min="7688" max="7688" width="2.85546875" style="64" customWidth="1"/>
    <col min="7689" max="7689" width="3.5703125" style="64" customWidth="1"/>
    <col min="7690" max="7934" width="9.140625" style="64"/>
    <col min="7935" max="7935" width="8.85546875" style="64" customWidth="1"/>
    <col min="7936" max="7936" width="9.85546875" style="64" customWidth="1"/>
    <col min="7937" max="7937" width="14.42578125" style="64" customWidth="1"/>
    <col min="7938" max="7938" width="7.140625" style="64" customWidth="1"/>
    <col min="7939" max="7939" width="5.5703125" style="64" customWidth="1"/>
    <col min="7940" max="7940" width="9" style="64" customWidth="1"/>
    <col min="7941" max="7942" width="9.85546875" style="64" customWidth="1"/>
    <col min="7943" max="7943" width="11.140625" style="64" customWidth="1"/>
    <col min="7944" max="7944" width="2.85546875" style="64" customWidth="1"/>
    <col min="7945" max="7945" width="3.5703125" style="64" customWidth="1"/>
    <col min="7946" max="8190" width="9.140625" style="64"/>
    <col min="8191" max="8191" width="8.85546875" style="64" customWidth="1"/>
    <col min="8192" max="8192" width="9.85546875" style="64" customWidth="1"/>
    <col min="8193" max="8193" width="14.42578125" style="64" customWidth="1"/>
    <col min="8194" max="8194" width="7.140625" style="64" customWidth="1"/>
    <col min="8195" max="8195" width="5.5703125" style="64" customWidth="1"/>
    <col min="8196" max="8196" width="9" style="64" customWidth="1"/>
    <col min="8197" max="8198" width="9.85546875" style="64" customWidth="1"/>
    <col min="8199" max="8199" width="11.140625" style="64" customWidth="1"/>
    <col min="8200" max="8200" width="2.85546875" style="64" customWidth="1"/>
    <col min="8201" max="8201" width="3.5703125" style="64" customWidth="1"/>
    <col min="8202" max="8446" width="9.140625" style="64"/>
    <col min="8447" max="8447" width="8.85546875" style="64" customWidth="1"/>
    <col min="8448" max="8448" width="9.85546875" style="64" customWidth="1"/>
    <col min="8449" max="8449" width="14.42578125" style="64" customWidth="1"/>
    <col min="8450" max="8450" width="7.140625" style="64" customWidth="1"/>
    <col min="8451" max="8451" width="5.5703125" style="64" customWidth="1"/>
    <col min="8452" max="8452" width="9" style="64" customWidth="1"/>
    <col min="8453" max="8454" width="9.85546875" style="64" customWidth="1"/>
    <col min="8455" max="8455" width="11.140625" style="64" customWidth="1"/>
    <col min="8456" max="8456" width="2.85546875" style="64" customWidth="1"/>
    <col min="8457" max="8457" width="3.5703125" style="64" customWidth="1"/>
    <col min="8458" max="8702" width="9.140625" style="64"/>
    <col min="8703" max="8703" width="8.85546875" style="64" customWidth="1"/>
    <col min="8704" max="8704" width="9.85546875" style="64" customWidth="1"/>
    <col min="8705" max="8705" width="14.42578125" style="64" customWidth="1"/>
    <col min="8706" max="8706" width="7.140625" style="64" customWidth="1"/>
    <col min="8707" max="8707" width="5.5703125" style="64" customWidth="1"/>
    <col min="8708" max="8708" width="9" style="64" customWidth="1"/>
    <col min="8709" max="8710" width="9.85546875" style="64" customWidth="1"/>
    <col min="8711" max="8711" width="11.140625" style="64" customWidth="1"/>
    <col min="8712" max="8712" width="2.85546875" style="64" customWidth="1"/>
    <col min="8713" max="8713" width="3.5703125" style="64" customWidth="1"/>
    <col min="8714" max="8958" width="9.140625" style="64"/>
    <col min="8959" max="8959" width="8.85546875" style="64" customWidth="1"/>
    <col min="8960" max="8960" width="9.85546875" style="64" customWidth="1"/>
    <col min="8961" max="8961" width="14.42578125" style="64" customWidth="1"/>
    <col min="8962" max="8962" width="7.140625" style="64" customWidth="1"/>
    <col min="8963" max="8963" width="5.5703125" style="64" customWidth="1"/>
    <col min="8964" max="8964" width="9" style="64" customWidth="1"/>
    <col min="8965" max="8966" width="9.85546875" style="64" customWidth="1"/>
    <col min="8967" max="8967" width="11.140625" style="64" customWidth="1"/>
    <col min="8968" max="8968" width="2.85546875" style="64" customWidth="1"/>
    <col min="8969" max="8969" width="3.5703125" style="64" customWidth="1"/>
    <col min="8970" max="9214" width="9.140625" style="64"/>
    <col min="9215" max="9215" width="8.85546875" style="64" customWidth="1"/>
    <col min="9216" max="9216" width="9.85546875" style="64" customWidth="1"/>
    <col min="9217" max="9217" width="14.42578125" style="64" customWidth="1"/>
    <col min="9218" max="9218" width="7.140625" style="64" customWidth="1"/>
    <col min="9219" max="9219" width="5.5703125" style="64" customWidth="1"/>
    <col min="9220" max="9220" width="9" style="64" customWidth="1"/>
    <col min="9221" max="9222" width="9.85546875" style="64" customWidth="1"/>
    <col min="9223" max="9223" width="11.140625" style="64" customWidth="1"/>
    <col min="9224" max="9224" width="2.85546875" style="64" customWidth="1"/>
    <col min="9225" max="9225" width="3.5703125" style="64" customWidth="1"/>
    <col min="9226" max="9470" width="9.140625" style="64"/>
    <col min="9471" max="9471" width="8.85546875" style="64" customWidth="1"/>
    <col min="9472" max="9472" width="9.85546875" style="64" customWidth="1"/>
    <col min="9473" max="9473" width="14.42578125" style="64" customWidth="1"/>
    <col min="9474" max="9474" width="7.140625" style="64" customWidth="1"/>
    <col min="9475" max="9475" width="5.5703125" style="64" customWidth="1"/>
    <col min="9476" max="9476" width="9" style="64" customWidth="1"/>
    <col min="9477" max="9478" width="9.85546875" style="64" customWidth="1"/>
    <col min="9479" max="9479" width="11.140625" style="64" customWidth="1"/>
    <col min="9480" max="9480" width="2.85546875" style="64" customWidth="1"/>
    <col min="9481" max="9481" width="3.5703125" style="64" customWidth="1"/>
    <col min="9482" max="9726" width="9.140625" style="64"/>
    <col min="9727" max="9727" width="8.85546875" style="64" customWidth="1"/>
    <col min="9728" max="9728" width="9.85546875" style="64" customWidth="1"/>
    <col min="9729" max="9729" width="14.42578125" style="64" customWidth="1"/>
    <col min="9730" max="9730" width="7.140625" style="64" customWidth="1"/>
    <col min="9731" max="9731" width="5.5703125" style="64" customWidth="1"/>
    <col min="9732" max="9732" width="9" style="64" customWidth="1"/>
    <col min="9733" max="9734" width="9.85546875" style="64" customWidth="1"/>
    <col min="9735" max="9735" width="11.140625" style="64" customWidth="1"/>
    <col min="9736" max="9736" width="2.85546875" style="64" customWidth="1"/>
    <col min="9737" max="9737" width="3.5703125" style="64" customWidth="1"/>
    <col min="9738" max="9982" width="9.140625" style="64"/>
    <col min="9983" max="9983" width="8.85546875" style="64" customWidth="1"/>
    <col min="9984" max="9984" width="9.85546875" style="64" customWidth="1"/>
    <col min="9985" max="9985" width="14.42578125" style="64" customWidth="1"/>
    <col min="9986" max="9986" width="7.140625" style="64" customWidth="1"/>
    <col min="9987" max="9987" width="5.5703125" style="64" customWidth="1"/>
    <col min="9988" max="9988" width="9" style="64" customWidth="1"/>
    <col min="9989" max="9990" width="9.85546875" style="64" customWidth="1"/>
    <col min="9991" max="9991" width="11.140625" style="64" customWidth="1"/>
    <col min="9992" max="9992" width="2.85546875" style="64" customWidth="1"/>
    <col min="9993" max="9993" width="3.5703125" style="64" customWidth="1"/>
    <col min="9994" max="10238" width="9.140625" style="64"/>
    <col min="10239" max="10239" width="8.85546875" style="64" customWidth="1"/>
    <col min="10240" max="10240" width="9.85546875" style="64" customWidth="1"/>
    <col min="10241" max="10241" width="14.42578125" style="64" customWidth="1"/>
    <col min="10242" max="10242" width="7.140625" style="64" customWidth="1"/>
    <col min="10243" max="10243" width="5.5703125" style="64" customWidth="1"/>
    <col min="10244" max="10244" width="9" style="64" customWidth="1"/>
    <col min="10245" max="10246" width="9.85546875" style="64" customWidth="1"/>
    <col min="10247" max="10247" width="11.140625" style="64" customWidth="1"/>
    <col min="10248" max="10248" width="2.85546875" style="64" customWidth="1"/>
    <col min="10249" max="10249" width="3.5703125" style="64" customWidth="1"/>
    <col min="10250" max="10494" width="9.140625" style="64"/>
    <col min="10495" max="10495" width="8.85546875" style="64" customWidth="1"/>
    <col min="10496" max="10496" width="9.85546875" style="64" customWidth="1"/>
    <col min="10497" max="10497" width="14.42578125" style="64" customWidth="1"/>
    <col min="10498" max="10498" width="7.140625" style="64" customWidth="1"/>
    <col min="10499" max="10499" width="5.5703125" style="64" customWidth="1"/>
    <col min="10500" max="10500" width="9" style="64" customWidth="1"/>
    <col min="10501" max="10502" width="9.85546875" style="64" customWidth="1"/>
    <col min="10503" max="10503" width="11.140625" style="64" customWidth="1"/>
    <col min="10504" max="10504" width="2.85546875" style="64" customWidth="1"/>
    <col min="10505" max="10505" width="3.5703125" style="64" customWidth="1"/>
    <col min="10506" max="10750" width="9.140625" style="64"/>
    <col min="10751" max="10751" width="8.85546875" style="64" customWidth="1"/>
    <col min="10752" max="10752" width="9.85546875" style="64" customWidth="1"/>
    <col min="10753" max="10753" width="14.42578125" style="64" customWidth="1"/>
    <col min="10754" max="10754" width="7.140625" style="64" customWidth="1"/>
    <col min="10755" max="10755" width="5.5703125" style="64" customWidth="1"/>
    <col min="10756" max="10756" width="9" style="64" customWidth="1"/>
    <col min="10757" max="10758" width="9.85546875" style="64" customWidth="1"/>
    <col min="10759" max="10759" width="11.140625" style="64" customWidth="1"/>
    <col min="10760" max="10760" width="2.85546875" style="64" customWidth="1"/>
    <col min="10761" max="10761" width="3.5703125" style="64" customWidth="1"/>
    <col min="10762" max="11006" width="9.140625" style="64"/>
    <col min="11007" max="11007" width="8.85546875" style="64" customWidth="1"/>
    <col min="11008" max="11008" width="9.85546875" style="64" customWidth="1"/>
    <col min="11009" max="11009" width="14.42578125" style="64" customWidth="1"/>
    <col min="11010" max="11010" width="7.140625" style="64" customWidth="1"/>
    <col min="11011" max="11011" width="5.5703125" style="64" customWidth="1"/>
    <col min="11012" max="11012" width="9" style="64" customWidth="1"/>
    <col min="11013" max="11014" width="9.85546875" style="64" customWidth="1"/>
    <col min="11015" max="11015" width="11.140625" style="64" customWidth="1"/>
    <col min="11016" max="11016" width="2.85546875" style="64" customWidth="1"/>
    <col min="11017" max="11017" width="3.5703125" style="64" customWidth="1"/>
    <col min="11018" max="11262" width="9.140625" style="64"/>
    <col min="11263" max="11263" width="8.85546875" style="64" customWidth="1"/>
    <col min="11264" max="11264" width="9.85546875" style="64" customWidth="1"/>
    <col min="11265" max="11265" width="14.42578125" style="64" customWidth="1"/>
    <col min="11266" max="11266" width="7.140625" style="64" customWidth="1"/>
    <col min="11267" max="11267" width="5.5703125" style="64" customWidth="1"/>
    <col min="11268" max="11268" width="9" style="64" customWidth="1"/>
    <col min="11269" max="11270" width="9.85546875" style="64" customWidth="1"/>
    <col min="11271" max="11271" width="11.140625" style="64" customWidth="1"/>
    <col min="11272" max="11272" width="2.85546875" style="64" customWidth="1"/>
    <col min="11273" max="11273" width="3.5703125" style="64" customWidth="1"/>
    <col min="11274" max="11518" width="9.140625" style="64"/>
    <col min="11519" max="11519" width="8.85546875" style="64" customWidth="1"/>
    <col min="11520" max="11520" width="9.85546875" style="64" customWidth="1"/>
    <col min="11521" max="11521" width="14.42578125" style="64" customWidth="1"/>
    <col min="11522" max="11522" width="7.140625" style="64" customWidth="1"/>
    <col min="11523" max="11523" width="5.5703125" style="64" customWidth="1"/>
    <col min="11524" max="11524" width="9" style="64" customWidth="1"/>
    <col min="11525" max="11526" width="9.85546875" style="64" customWidth="1"/>
    <col min="11527" max="11527" width="11.140625" style="64" customWidth="1"/>
    <col min="11528" max="11528" width="2.85546875" style="64" customWidth="1"/>
    <col min="11529" max="11529" width="3.5703125" style="64" customWidth="1"/>
    <col min="11530" max="11774" width="9.140625" style="64"/>
    <col min="11775" max="11775" width="8.85546875" style="64" customWidth="1"/>
    <col min="11776" max="11776" width="9.85546875" style="64" customWidth="1"/>
    <col min="11777" max="11777" width="14.42578125" style="64" customWidth="1"/>
    <col min="11778" max="11778" width="7.140625" style="64" customWidth="1"/>
    <col min="11779" max="11779" width="5.5703125" style="64" customWidth="1"/>
    <col min="11780" max="11780" width="9" style="64" customWidth="1"/>
    <col min="11781" max="11782" width="9.85546875" style="64" customWidth="1"/>
    <col min="11783" max="11783" width="11.140625" style="64" customWidth="1"/>
    <col min="11784" max="11784" width="2.85546875" style="64" customWidth="1"/>
    <col min="11785" max="11785" width="3.5703125" style="64" customWidth="1"/>
    <col min="11786" max="12030" width="9.140625" style="64"/>
    <col min="12031" max="12031" width="8.85546875" style="64" customWidth="1"/>
    <col min="12032" max="12032" width="9.85546875" style="64" customWidth="1"/>
    <col min="12033" max="12033" width="14.42578125" style="64" customWidth="1"/>
    <col min="12034" max="12034" width="7.140625" style="64" customWidth="1"/>
    <col min="12035" max="12035" width="5.5703125" style="64" customWidth="1"/>
    <col min="12036" max="12036" width="9" style="64" customWidth="1"/>
    <col min="12037" max="12038" width="9.85546875" style="64" customWidth="1"/>
    <col min="12039" max="12039" width="11.140625" style="64" customWidth="1"/>
    <col min="12040" max="12040" width="2.85546875" style="64" customWidth="1"/>
    <col min="12041" max="12041" width="3.5703125" style="64" customWidth="1"/>
    <col min="12042" max="12286" width="9.140625" style="64"/>
    <col min="12287" max="12287" width="8.85546875" style="64" customWidth="1"/>
    <col min="12288" max="12288" width="9.85546875" style="64" customWidth="1"/>
    <col min="12289" max="12289" width="14.42578125" style="64" customWidth="1"/>
    <col min="12290" max="12290" width="7.140625" style="64" customWidth="1"/>
    <col min="12291" max="12291" width="5.5703125" style="64" customWidth="1"/>
    <col min="12292" max="12292" width="9" style="64" customWidth="1"/>
    <col min="12293" max="12294" width="9.85546875" style="64" customWidth="1"/>
    <col min="12295" max="12295" width="11.140625" style="64" customWidth="1"/>
    <col min="12296" max="12296" width="2.85546875" style="64" customWidth="1"/>
    <col min="12297" max="12297" width="3.5703125" style="64" customWidth="1"/>
    <col min="12298" max="12542" width="9.140625" style="64"/>
    <col min="12543" max="12543" width="8.85546875" style="64" customWidth="1"/>
    <col min="12544" max="12544" width="9.85546875" style="64" customWidth="1"/>
    <col min="12545" max="12545" width="14.42578125" style="64" customWidth="1"/>
    <col min="12546" max="12546" width="7.140625" style="64" customWidth="1"/>
    <col min="12547" max="12547" width="5.5703125" style="64" customWidth="1"/>
    <col min="12548" max="12548" width="9" style="64" customWidth="1"/>
    <col min="12549" max="12550" width="9.85546875" style="64" customWidth="1"/>
    <col min="12551" max="12551" width="11.140625" style="64" customWidth="1"/>
    <col min="12552" max="12552" width="2.85546875" style="64" customWidth="1"/>
    <col min="12553" max="12553" width="3.5703125" style="64" customWidth="1"/>
    <col min="12554" max="12798" width="9.140625" style="64"/>
    <col min="12799" max="12799" width="8.85546875" style="64" customWidth="1"/>
    <col min="12800" max="12800" width="9.85546875" style="64" customWidth="1"/>
    <col min="12801" max="12801" width="14.42578125" style="64" customWidth="1"/>
    <col min="12802" max="12802" width="7.140625" style="64" customWidth="1"/>
    <col min="12803" max="12803" width="5.5703125" style="64" customWidth="1"/>
    <col min="12804" max="12804" width="9" style="64" customWidth="1"/>
    <col min="12805" max="12806" width="9.85546875" style="64" customWidth="1"/>
    <col min="12807" max="12807" width="11.140625" style="64" customWidth="1"/>
    <col min="12808" max="12808" width="2.85546875" style="64" customWidth="1"/>
    <col min="12809" max="12809" width="3.5703125" style="64" customWidth="1"/>
    <col min="12810" max="13054" width="9.140625" style="64"/>
    <col min="13055" max="13055" width="8.85546875" style="64" customWidth="1"/>
    <col min="13056" max="13056" width="9.85546875" style="64" customWidth="1"/>
    <col min="13057" max="13057" width="14.42578125" style="64" customWidth="1"/>
    <col min="13058" max="13058" width="7.140625" style="64" customWidth="1"/>
    <col min="13059" max="13059" width="5.5703125" style="64" customWidth="1"/>
    <col min="13060" max="13060" width="9" style="64" customWidth="1"/>
    <col min="13061" max="13062" width="9.85546875" style="64" customWidth="1"/>
    <col min="13063" max="13063" width="11.140625" style="64" customWidth="1"/>
    <col min="13064" max="13064" width="2.85546875" style="64" customWidth="1"/>
    <col min="13065" max="13065" width="3.5703125" style="64" customWidth="1"/>
    <col min="13066" max="13310" width="9.140625" style="64"/>
    <col min="13311" max="13311" width="8.85546875" style="64" customWidth="1"/>
    <col min="13312" max="13312" width="9.85546875" style="64" customWidth="1"/>
    <col min="13313" max="13313" width="14.42578125" style="64" customWidth="1"/>
    <col min="13314" max="13314" width="7.140625" style="64" customWidth="1"/>
    <col min="13315" max="13315" width="5.5703125" style="64" customWidth="1"/>
    <col min="13316" max="13316" width="9" style="64" customWidth="1"/>
    <col min="13317" max="13318" width="9.85546875" style="64" customWidth="1"/>
    <col min="13319" max="13319" width="11.140625" style="64" customWidth="1"/>
    <col min="13320" max="13320" width="2.85546875" style="64" customWidth="1"/>
    <col min="13321" max="13321" width="3.5703125" style="64" customWidth="1"/>
    <col min="13322" max="13566" width="9.140625" style="64"/>
    <col min="13567" max="13567" width="8.85546875" style="64" customWidth="1"/>
    <col min="13568" max="13568" width="9.85546875" style="64" customWidth="1"/>
    <col min="13569" max="13569" width="14.42578125" style="64" customWidth="1"/>
    <col min="13570" max="13570" width="7.140625" style="64" customWidth="1"/>
    <col min="13571" max="13571" width="5.5703125" style="64" customWidth="1"/>
    <col min="13572" max="13572" width="9" style="64" customWidth="1"/>
    <col min="13573" max="13574" width="9.85546875" style="64" customWidth="1"/>
    <col min="13575" max="13575" width="11.140625" style="64" customWidth="1"/>
    <col min="13576" max="13576" width="2.85546875" style="64" customWidth="1"/>
    <col min="13577" max="13577" width="3.5703125" style="64" customWidth="1"/>
    <col min="13578" max="13822" width="9.140625" style="64"/>
    <col min="13823" max="13823" width="8.85546875" style="64" customWidth="1"/>
    <col min="13824" max="13824" width="9.85546875" style="64" customWidth="1"/>
    <col min="13825" max="13825" width="14.42578125" style="64" customWidth="1"/>
    <col min="13826" max="13826" width="7.140625" style="64" customWidth="1"/>
    <col min="13827" max="13827" width="5.5703125" style="64" customWidth="1"/>
    <col min="13828" max="13828" width="9" style="64" customWidth="1"/>
    <col min="13829" max="13830" width="9.85546875" style="64" customWidth="1"/>
    <col min="13831" max="13831" width="11.140625" style="64" customWidth="1"/>
    <col min="13832" max="13832" width="2.85546875" style="64" customWidth="1"/>
    <col min="13833" max="13833" width="3.5703125" style="64" customWidth="1"/>
    <col min="13834" max="14078" width="9.140625" style="64"/>
    <col min="14079" max="14079" width="8.85546875" style="64" customWidth="1"/>
    <col min="14080" max="14080" width="9.85546875" style="64" customWidth="1"/>
    <col min="14081" max="14081" width="14.42578125" style="64" customWidth="1"/>
    <col min="14082" max="14082" width="7.140625" style="64" customWidth="1"/>
    <col min="14083" max="14083" width="5.5703125" style="64" customWidth="1"/>
    <col min="14084" max="14084" width="9" style="64" customWidth="1"/>
    <col min="14085" max="14086" width="9.85546875" style="64" customWidth="1"/>
    <col min="14087" max="14087" width="11.140625" style="64" customWidth="1"/>
    <col min="14088" max="14088" width="2.85546875" style="64" customWidth="1"/>
    <col min="14089" max="14089" width="3.5703125" style="64" customWidth="1"/>
    <col min="14090" max="14334" width="9.140625" style="64"/>
    <col min="14335" max="14335" width="8.85546875" style="64" customWidth="1"/>
    <col min="14336" max="14336" width="9.85546875" style="64" customWidth="1"/>
    <col min="14337" max="14337" width="14.42578125" style="64" customWidth="1"/>
    <col min="14338" max="14338" width="7.140625" style="64" customWidth="1"/>
    <col min="14339" max="14339" width="5.5703125" style="64" customWidth="1"/>
    <col min="14340" max="14340" width="9" style="64" customWidth="1"/>
    <col min="14341" max="14342" width="9.85546875" style="64" customWidth="1"/>
    <col min="14343" max="14343" width="11.140625" style="64" customWidth="1"/>
    <col min="14344" max="14344" width="2.85546875" style="64" customWidth="1"/>
    <col min="14345" max="14345" width="3.5703125" style="64" customWidth="1"/>
    <col min="14346" max="14590" width="9.140625" style="64"/>
    <col min="14591" max="14591" width="8.85546875" style="64" customWidth="1"/>
    <col min="14592" max="14592" width="9.85546875" style="64" customWidth="1"/>
    <col min="14593" max="14593" width="14.42578125" style="64" customWidth="1"/>
    <col min="14594" max="14594" width="7.140625" style="64" customWidth="1"/>
    <col min="14595" max="14595" width="5.5703125" style="64" customWidth="1"/>
    <col min="14596" max="14596" width="9" style="64" customWidth="1"/>
    <col min="14597" max="14598" width="9.85546875" style="64" customWidth="1"/>
    <col min="14599" max="14599" width="11.140625" style="64" customWidth="1"/>
    <col min="14600" max="14600" width="2.85546875" style="64" customWidth="1"/>
    <col min="14601" max="14601" width="3.5703125" style="64" customWidth="1"/>
    <col min="14602" max="14846" width="9.140625" style="64"/>
    <col min="14847" max="14847" width="8.85546875" style="64" customWidth="1"/>
    <col min="14848" max="14848" width="9.85546875" style="64" customWidth="1"/>
    <col min="14849" max="14849" width="14.42578125" style="64" customWidth="1"/>
    <col min="14850" max="14850" width="7.140625" style="64" customWidth="1"/>
    <col min="14851" max="14851" width="5.5703125" style="64" customWidth="1"/>
    <col min="14852" max="14852" width="9" style="64" customWidth="1"/>
    <col min="14853" max="14854" width="9.85546875" style="64" customWidth="1"/>
    <col min="14855" max="14855" width="11.140625" style="64" customWidth="1"/>
    <col min="14856" max="14856" width="2.85546875" style="64" customWidth="1"/>
    <col min="14857" max="14857" width="3.5703125" style="64" customWidth="1"/>
    <col min="14858" max="15102" width="9.140625" style="64"/>
    <col min="15103" max="15103" width="8.85546875" style="64" customWidth="1"/>
    <col min="15104" max="15104" width="9.85546875" style="64" customWidth="1"/>
    <col min="15105" max="15105" width="14.42578125" style="64" customWidth="1"/>
    <col min="15106" max="15106" width="7.140625" style="64" customWidth="1"/>
    <col min="15107" max="15107" width="5.5703125" style="64" customWidth="1"/>
    <col min="15108" max="15108" width="9" style="64" customWidth="1"/>
    <col min="15109" max="15110" width="9.85546875" style="64" customWidth="1"/>
    <col min="15111" max="15111" width="11.140625" style="64" customWidth="1"/>
    <col min="15112" max="15112" width="2.85546875" style="64" customWidth="1"/>
    <col min="15113" max="15113" width="3.5703125" style="64" customWidth="1"/>
    <col min="15114" max="15358" width="9.140625" style="64"/>
    <col min="15359" max="15359" width="8.85546875" style="64" customWidth="1"/>
    <col min="15360" max="15360" width="9.85546875" style="64" customWidth="1"/>
    <col min="15361" max="15361" width="14.42578125" style="64" customWidth="1"/>
    <col min="15362" max="15362" width="7.140625" style="64" customWidth="1"/>
    <col min="15363" max="15363" width="5.5703125" style="64" customWidth="1"/>
    <col min="15364" max="15364" width="9" style="64" customWidth="1"/>
    <col min="15365" max="15366" width="9.85546875" style="64" customWidth="1"/>
    <col min="15367" max="15367" width="11.140625" style="64" customWidth="1"/>
    <col min="15368" max="15368" width="2.85546875" style="64" customWidth="1"/>
    <col min="15369" max="15369" width="3.5703125" style="64" customWidth="1"/>
    <col min="15370" max="15614" width="9.140625" style="64"/>
    <col min="15615" max="15615" width="8.85546875" style="64" customWidth="1"/>
    <col min="15616" max="15616" width="9.85546875" style="64" customWidth="1"/>
    <col min="15617" max="15617" width="14.42578125" style="64" customWidth="1"/>
    <col min="15618" max="15618" width="7.140625" style="64" customWidth="1"/>
    <col min="15619" max="15619" width="5.5703125" style="64" customWidth="1"/>
    <col min="15620" max="15620" width="9" style="64" customWidth="1"/>
    <col min="15621" max="15622" width="9.85546875" style="64" customWidth="1"/>
    <col min="15623" max="15623" width="11.140625" style="64" customWidth="1"/>
    <col min="15624" max="15624" width="2.85546875" style="64" customWidth="1"/>
    <col min="15625" max="15625" width="3.5703125" style="64" customWidth="1"/>
    <col min="15626" max="15870" width="9.140625" style="64"/>
    <col min="15871" max="15871" width="8.85546875" style="64" customWidth="1"/>
    <col min="15872" max="15872" width="9.85546875" style="64" customWidth="1"/>
    <col min="15873" max="15873" width="14.42578125" style="64" customWidth="1"/>
    <col min="15874" max="15874" width="7.140625" style="64" customWidth="1"/>
    <col min="15875" max="15875" width="5.5703125" style="64" customWidth="1"/>
    <col min="15876" max="15876" width="9" style="64" customWidth="1"/>
    <col min="15877" max="15878" width="9.85546875" style="64" customWidth="1"/>
    <col min="15879" max="15879" width="11.140625" style="64" customWidth="1"/>
    <col min="15880" max="15880" width="2.85546875" style="64" customWidth="1"/>
    <col min="15881" max="15881" width="3.5703125" style="64" customWidth="1"/>
    <col min="15882" max="16126" width="9.140625" style="64"/>
    <col min="16127" max="16127" width="8.85546875" style="64" customWidth="1"/>
    <col min="16128" max="16128" width="9.85546875" style="64" customWidth="1"/>
    <col min="16129" max="16129" width="14.42578125" style="64" customWidth="1"/>
    <col min="16130" max="16130" width="7.140625" style="64" customWidth="1"/>
    <col min="16131" max="16131" width="5.5703125" style="64" customWidth="1"/>
    <col min="16132" max="16132" width="9" style="64" customWidth="1"/>
    <col min="16133" max="16134" width="9.85546875" style="64" customWidth="1"/>
    <col min="16135" max="16135" width="11.140625" style="64" customWidth="1"/>
    <col min="16136" max="16136" width="2.85546875" style="64" customWidth="1"/>
    <col min="16137" max="16137" width="3.5703125" style="64" customWidth="1"/>
    <col min="16138" max="16384" width="9.140625" style="64"/>
  </cols>
  <sheetData>
    <row r="1" spans="1:8" ht="46.5" customHeight="1">
      <c r="A1" s="102" t="s">
        <v>0</v>
      </c>
      <c r="B1" s="102"/>
      <c r="C1" s="102"/>
      <c r="D1" s="102"/>
      <c r="E1" s="102"/>
      <c r="F1" s="102"/>
      <c r="G1" s="102"/>
      <c r="H1" s="102"/>
    </row>
    <row r="2" spans="1:8" ht="16.5" customHeight="1">
      <c r="A2" s="103" t="s">
        <v>1</v>
      </c>
      <c r="B2" s="103"/>
      <c r="C2" s="103"/>
      <c r="D2" s="103"/>
      <c r="E2" s="103"/>
      <c r="F2" s="103"/>
      <c r="G2" s="103"/>
      <c r="H2" s="103"/>
    </row>
    <row r="3" spans="1:8">
      <c r="A3" s="104" t="s">
        <v>2</v>
      </c>
      <c r="B3" s="104"/>
      <c r="C3" s="104"/>
      <c r="D3" s="104"/>
      <c r="E3" s="105" t="str">
        <f ca="1">TEXT(TODAY(),"DD/MM/YYYY")</f>
        <v>19/09/2025</v>
      </c>
      <c r="F3" s="105"/>
      <c r="G3" s="105"/>
      <c r="H3" s="105"/>
    </row>
    <row r="4" spans="1:8" ht="15" customHeight="1">
      <c r="A4" s="104" t="s">
        <v>3</v>
      </c>
      <c r="B4" s="104"/>
      <c r="C4" s="104"/>
      <c r="D4" s="104"/>
      <c r="E4" s="106" t="s">
        <v>4</v>
      </c>
      <c r="F4" s="106"/>
      <c r="G4" s="106"/>
      <c r="H4" s="106"/>
    </row>
    <row r="5" spans="1:8">
      <c r="A5" s="104" t="s">
        <v>5</v>
      </c>
      <c r="B5" s="104"/>
      <c r="C5" s="104"/>
      <c r="D5" s="104"/>
      <c r="E5" s="107" t="s">
        <v>282</v>
      </c>
      <c r="F5" s="107"/>
      <c r="G5" s="107"/>
      <c r="H5" s="107"/>
    </row>
    <row r="6" spans="1:8" ht="16.5" customHeight="1">
      <c r="A6" s="104" t="s">
        <v>6</v>
      </c>
      <c r="B6" s="104"/>
      <c r="C6" s="104"/>
      <c r="D6" s="104"/>
      <c r="E6" s="108" t="s">
        <v>7</v>
      </c>
      <c r="F6" s="108"/>
      <c r="G6" s="108"/>
      <c r="H6" s="108"/>
    </row>
    <row r="7" spans="1:8" ht="15" customHeight="1">
      <c r="A7" s="104" t="s">
        <v>8</v>
      </c>
      <c r="B7" s="104"/>
      <c r="C7" s="104"/>
      <c r="D7" s="104"/>
      <c r="E7" s="108" t="str">
        <f>E6</f>
        <v>M/s.Paradise Superstructures</v>
      </c>
      <c r="F7" s="108"/>
      <c r="G7" s="108"/>
      <c r="H7" s="108"/>
    </row>
    <row r="8" spans="1:8">
      <c r="A8" s="104" t="s">
        <v>9</v>
      </c>
      <c r="B8" s="104"/>
      <c r="C8" s="104"/>
      <c r="D8" s="104"/>
      <c r="E8" s="109" t="s">
        <v>10</v>
      </c>
      <c r="F8" s="109"/>
      <c r="G8" s="109"/>
      <c r="H8" s="109"/>
    </row>
    <row r="9" spans="1:8">
      <c r="A9" s="104" t="s">
        <v>11</v>
      </c>
      <c r="B9" s="104"/>
      <c r="C9" s="104"/>
      <c r="D9" s="104"/>
      <c r="E9" s="104">
        <v>2227849000</v>
      </c>
      <c r="F9" s="104"/>
      <c r="G9" s="104"/>
      <c r="H9" s="104"/>
    </row>
    <row r="10" spans="1:8">
      <c r="A10" s="108" t="s">
        <v>12</v>
      </c>
      <c r="B10" s="104"/>
      <c r="C10" s="104"/>
      <c r="D10" s="104"/>
      <c r="E10" s="104" t="s">
        <v>280</v>
      </c>
      <c r="F10" s="104"/>
      <c r="G10" s="104"/>
      <c r="H10" s="104"/>
    </row>
    <row r="11" spans="1:8" ht="81.75" customHeight="1">
      <c r="A11" s="104" t="s">
        <v>13</v>
      </c>
      <c r="B11" s="104"/>
      <c r="C11" s="104"/>
      <c r="D11" s="104"/>
      <c r="E11" s="108" t="s">
        <v>14</v>
      </c>
      <c r="F11" s="104"/>
      <c r="G11" s="104"/>
      <c r="H11" s="104"/>
    </row>
    <row r="12" spans="1:8" ht="32.25" customHeight="1">
      <c r="A12" s="104" t="s">
        <v>15</v>
      </c>
      <c r="B12" s="104"/>
      <c r="C12" s="104"/>
      <c r="D12" s="104"/>
      <c r="E12" s="108" t="s">
        <v>16</v>
      </c>
      <c r="F12" s="108"/>
      <c r="G12" s="108"/>
      <c r="H12" s="108"/>
    </row>
    <row r="13" spans="1:8" ht="34.5" customHeight="1">
      <c r="A13" s="104" t="s">
        <v>17</v>
      </c>
      <c r="B13" s="104"/>
      <c r="C13" s="104"/>
      <c r="D13" s="104"/>
      <c r="E13" s="108" t="s">
        <v>18</v>
      </c>
      <c r="F13" s="104"/>
      <c r="G13" s="104"/>
      <c r="H13" s="104"/>
    </row>
    <row r="14" spans="1:8" ht="66.75" customHeight="1">
      <c r="A14" s="108" t="s">
        <v>19</v>
      </c>
      <c r="B14" s="108"/>
      <c r="C14" s="108" t="str">
        <f>CONCATENATE((IF(OR(E8="",E8="NA"),"",E8)),", ",(IF(OR(A15="",A15="NA"),"",A15)),".",(IF(OR(C15="",C15="NA"),"",C15)),", near ",(IF(OR(C19="",C19="NA"),"",C19)),", ",(IF(OR(C16="",C16="NA"),"",C16)),", ",(IF(OR(G16="",G16="NA"),"",G16)),", ",(IF(OR(C17="",C17="NA"),"",C17)),", ",(IF(OR(C18="",C18="NA"),"",C18)),", ",(IF(OR(G17="",G17="NA"),"",G17)),".")</f>
        <v>Sai World Empire Phase I &amp; III, Survey No.93/3, 93/2&amp;4, 94/1, 94/2, 94/3A, 94/3B, 94/4, 102/1A, 102/1B, 102/3, 102/4, 102/5A2, 102/5B, 102/5K, 103/1A, 103/1B, 103/2A, 103/2B, 103/3, near Harmony School &amp; Jr. College, Valley Shilp Road, Rohinjan, Taloja, Panvel, Raigad.</v>
      </c>
      <c r="D14" s="108"/>
      <c r="E14" s="108"/>
      <c r="F14" s="108"/>
      <c r="G14" s="108"/>
      <c r="H14" s="108"/>
    </row>
    <row r="15" spans="1:8" ht="35.25" customHeight="1">
      <c r="A15" s="108" t="s">
        <v>20</v>
      </c>
      <c r="B15" s="108"/>
      <c r="C15" s="108" t="s">
        <v>21</v>
      </c>
      <c r="D15" s="108"/>
      <c r="E15" s="108"/>
      <c r="F15" s="108"/>
      <c r="G15" s="108"/>
      <c r="H15" s="108"/>
    </row>
    <row r="16" spans="1:8" ht="15.75" customHeight="1">
      <c r="A16" s="108" t="s">
        <v>22</v>
      </c>
      <c r="B16" s="108"/>
      <c r="C16" s="104" t="s">
        <v>23</v>
      </c>
      <c r="D16" s="104"/>
      <c r="E16" s="108" t="s">
        <v>24</v>
      </c>
      <c r="F16" s="108"/>
      <c r="G16" s="108" t="s">
        <v>25</v>
      </c>
      <c r="H16" s="108"/>
    </row>
    <row r="17" spans="1:8">
      <c r="A17" s="104" t="s">
        <v>26</v>
      </c>
      <c r="B17" s="104"/>
      <c r="C17" s="108" t="s">
        <v>27</v>
      </c>
      <c r="D17" s="108"/>
      <c r="E17" s="108" t="s">
        <v>28</v>
      </c>
      <c r="F17" s="108"/>
      <c r="G17" s="110" t="s">
        <v>29</v>
      </c>
      <c r="H17" s="110"/>
    </row>
    <row r="18" spans="1:8">
      <c r="A18" s="104" t="s">
        <v>30</v>
      </c>
      <c r="B18" s="104"/>
      <c r="C18" s="108" t="s">
        <v>31</v>
      </c>
      <c r="D18" s="108"/>
      <c r="E18" s="108" t="s">
        <v>32</v>
      </c>
      <c r="F18" s="108"/>
      <c r="G18" s="108">
        <v>410206</v>
      </c>
      <c r="H18" s="108"/>
    </row>
    <row r="19" spans="1:8" ht="48.75" customHeight="1">
      <c r="A19" s="104" t="s">
        <v>33</v>
      </c>
      <c r="B19" s="104"/>
      <c r="C19" s="111" t="s">
        <v>34</v>
      </c>
      <c r="D19" s="111"/>
      <c r="E19" s="108" t="s">
        <v>35</v>
      </c>
      <c r="F19" s="108"/>
      <c r="G19" s="108" t="s">
        <v>36</v>
      </c>
      <c r="H19" s="108"/>
    </row>
    <row r="20" spans="1:8" ht="15" customHeight="1">
      <c r="A20" s="108" t="s">
        <v>37</v>
      </c>
      <c r="B20" s="108"/>
      <c r="C20" s="108"/>
      <c r="D20" s="108"/>
      <c r="E20" s="104" t="s">
        <v>38</v>
      </c>
      <c r="F20" s="104"/>
      <c r="G20" s="104"/>
      <c r="H20" s="104"/>
    </row>
    <row r="21" spans="1:8" ht="18.75" customHeight="1">
      <c r="A21" s="108"/>
      <c r="B21" s="108"/>
      <c r="C21" s="108"/>
      <c r="D21" s="108"/>
      <c r="E21" s="104"/>
      <c r="F21" s="104"/>
      <c r="G21" s="104"/>
      <c r="H21" s="104"/>
    </row>
    <row r="22" spans="1:8" ht="15" customHeight="1">
      <c r="A22" s="108" t="s">
        <v>39</v>
      </c>
      <c r="B22" s="108"/>
      <c r="C22" s="108"/>
      <c r="D22" s="108"/>
      <c r="E22" s="108" t="s">
        <v>40</v>
      </c>
      <c r="F22" s="108"/>
      <c r="G22" s="108"/>
      <c r="H22" s="108"/>
    </row>
    <row r="23" spans="1:8" ht="15" customHeight="1">
      <c r="A23" s="104" t="s">
        <v>41</v>
      </c>
      <c r="B23" s="104"/>
      <c r="C23" s="104"/>
      <c r="D23" s="104"/>
      <c r="E23" s="108" t="str">
        <f>IF(AND(G17="Mumbai"),"Upper Class","Middle Class")</f>
        <v>Middle Class</v>
      </c>
      <c r="F23" s="108"/>
      <c r="G23" s="108"/>
      <c r="H23" s="108"/>
    </row>
    <row r="24" spans="1:8">
      <c r="A24" s="104" t="s">
        <v>42</v>
      </c>
      <c r="B24" s="104"/>
      <c r="C24" s="104"/>
      <c r="D24" s="104"/>
      <c r="E24" s="108" t="s">
        <v>43</v>
      </c>
      <c r="F24" s="108"/>
      <c r="G24" s="108"/>
      <c r="H24" s="108"/>
    </row>
    <row r="25" spans="1:8" ht="15.75" customHeight="1">
      <c r="A25" s="104" t="s">
        <v>44</v>
      </c>
      <c r="B25" s="104"/>
      <c r="C25" s="104"/>
      <c r="D25" s="104"/>
      <c r="E25" s="108" t="str">
        <f>IF(AND(G17="Mumbai"),"Developed","Developing")</f>
        <v>Developing</v>
      </c>
      <c r="F25" s="108"/>
      <c r="G25" s="108"/>
      <c r="H25" s="108"/>
    </row>
    <row r="26" spans="1:8">
      <c r="A26" s="104" t="s">
        <v>45</v>
      </c>
      <c r="B26" s="104"/>
      <c r="C26" s="104"/>
      <c r="D26" s="104"/>
      <c r="E26" s="108" t="s">
        <v>46</v>
      </c>
      <c r="F26" s="108"/>
      <c r="G26" s="108"/>
      <c r="H26" s="108"/>
    </row>
    <row r="27" spans="1:8">
      <c r="A27" s="104" t="s">
        <v>47</v>
      </c>
      <c r="B27" s="104"/>
      <c r="C27" s="104"/>
      <c r="D27" s="104"/>
      <c r="E27" s="108" t="s">
        <v>48</v>
      </c>
      <c r="F27" s="108"/>
      <c r="G27" s="108"/>
      <c r="H27" s="108"/>
    </row>
    <row r="28" spans="1:8" ht="15" customHeight="1">
      <c r="A28" s="108" t="s">
        <v>49</v>
      </c>
      <c r="B28" s="108"/>
      <c r="C28" s="108"/>
      <c r="D28" s="108"/>
      <c r="E28" s="106" t="s">
        <v>50</v>
      </c>
      <c r="F28" s="106"/>
      <c r="G28" s="106"/>
      <c r="H28" s="106"/>
    </row>
    <row r="29" spans="1:8">
      <c r="A29" s="108" t="s">
        <v>51</v>
      </c>
      <c r="B29" s="108"/>
      <c r="C29" s="108"/>
      <c r="D29" s="108"/>
      <c r="E29" s="108" t="s">
        <v>52</v>
      </c>
      <c r="F29" s="108"/>
      <c r="G29" s="108"/>
      <c r="H29" s="108"/>
    </row>
    <row r="30" spans="1:8">
      <c r="A30" s="112" t="s">
        <v>53</v>
      </c>
      <c r="B30" s="112"/>
      <c r="C30" s="103" t="s">
        <v>54</v>
      </c>
      <c r="D30" s="103"/>
      <c r="E30" s="103"/>
      <c r="F30" s="103" t="s">
        <v>55</v>
      </c>
      <c r="G30" s="103"/>
      <c r="H30" s="103"/>
    </row>
    <row r="31" spans="1:8">
      <c r="A31" s="113" t="s">
        <v>56</v>
      </c>
      <c r="B31" s="113" t="s">
        <v>57</v>
      </c>
      <c r="C31" s="114" t="s">
        <v>57</v>
      </c>
      <c r="D31" s="114"/>
      <c r="E31" s="114"/>
      <c r="F31" s="114" t="s">
        <v>58</v>
      </c>
      <c r="G31" s="114"/>
      <c r="H31" s="114"/>
    </row>
    <row r="32" spans="1:8">
      <c r="A32" s="113" t="s">
        <v>59</v>
      </c>
      <c r="B32" s="113" t="s">
        <v>57</v>
      </c>
      <c r="C32" s="114" t="s">
        <v>57</v>
      </c>
      <c r="D32" s="114"/>
      <c r="E32" s="114"/>
      <c r="F32" s="114" t="s">
        <v>23</v>
      </c>
      <c r="G32" s="114"/>
      <c r="H32" s="114"/>
    </row>
    <row r="33" spans="1:8">
      <c r="A33" s="113" t="s">
        <v>60</v>
      </c>
      <c r="B33" s="113" t="s">
        <v>57</v>
      </c>
      <c r="C33" s="114" t="s">
        <v>57</v>
      </c>
      <c r="D33" s="114"/>
      <c r="E33" s="114"/>
      <c r="F33" s="114" t="s">
        <v>61</v>
      </c>
      <c r="G33" s="114"/>
      <c r="H33" s="114"/>
    </row>
    <row r="34" spans="1:8">
      <c r="A34" s="113" t="s">
        <v>62</v>
      </c>
      <c r="B34" s="113" t="s">
        <v>57</v>
      </c>
      <c r="C34" s="114" t="s">
        <v>57</v>
      </c>
      <c r="D34" s="114"/>
      <c r="E34" s="114"/>
      <c r="F34" s="114" t="s">
        <v>63</v>
      </c>
      <c r="G34" s="114"/>
      <c r="H34" s="114"/>
    </row>
    <row r="35" spans="1:8">
      <c r="A35" s="104" t="s">
        <v>64</v>
      </c>
      <c r="B35" s="104"/>
      <c r="C35" s="104"/>
      <c r="D35" s="104"/>
      <c r="E35" s="104"/>
      <c r="F35" s="104"/>
      <c r="G35" s="104"/>
      <c r="H35" s="104"/>
    </row>
    <row r="36" spans="1:8" ht="15.75" customHeight="1">
      <c r="A36" s="103" t="s">
        <v>65</v>
      </c>
      <c r="B36" s="103"/>
      <c r="C36" s="115" t="s">
        <v>66</v>
      </c>
      <c r="D36" s="116"/>
      <c r="E36" s="116"/>
      <c r="F36" s="116"/>
      <c r="G36" s="116"/>
      <c r="H36" s="117"/>
    </row>
    <row r="37" spans="1:8" ht="15.75" customHeight="1">
      <c r="A37" s="103" t="s">
        <v>67</v>
      </c>
      <c r="B37" s="103"/>
      <c r="C37" s="118" t="s">
        <v>68</v>
      </c>
      <c r="D37" s="119"/>
      <c r="E37" s="119"/>
      <c r="F37" s="119"/>
      <c r="G37" s="119"/>
      <c r="H37" s="120"/>
    </row>
    <row r="38" spans="1:8">
      <c r="A38" s="109" t="s">
        <v>69</v>
      </c>
      <c r="B38" s="109"/>
      <c r="C38" s="109"/>
      <c r="D38" s="109"/>
      <c r="E38" s="109"/>
      <c r="F38" s="109"/>
      <c r="G38" s="109"/>
      <c r="H38" s="109"/>
    </row>
    <row r="39" spans="1:8">
      <c r="A39" s="104" t="s">
        <v>70</v>
      </c>
      <c r="B39" s="104"/>
      <c r="C39" s="104"/>
      <c r="D39" s="104"/>
      <c r="E39" s="121">
        <v>33188.25</v>
      </c>
      <c r="F39" s="121"/>
      <c r="G39" s="121"/>
      <c r="H39" s="121"/>
    </row>
    <row r="40" spans="1:8">
      <c r="A40" s="104" t="s">
        <v>71</v>
      </c>
      <c r="B40" s="104"/>
      <c r="C40" s="104"/>
      <c r="D40" s="104"/>
      <c r="E40" s="122">
        <v>3</v>
      </c>
      <c r="F40" s="122"/>
      <c r="G40" s="122"/>
      <c r="H40" s="122"/>
    </row>
    <row r="41" spans="1:8">
      <c r="A41" s="104" t="s">
        <v>72</v>
      </c>
      <c r="B41" s="104"/>
      <c r="C41" s="104"/>
      <c r="D41" s="104"/>
      <c r="E41" s="122">
        <f>E43/E39-E40</f>
        <v>1.1632885132539377</v>
      </c>
      <c r="F41" s="122"/>
      <c r="G41" s="122"/>
      <c r="H41" s="122"/>
    </row>
    <row r="42" spans="1:8">
      <c r="A42" s="104" t="s">
        <v>73</v>
      </c>
      <c r="B42" s="104"/>
      <c r="C42" s="104"/>
      <c r="D42" s="104"/>
      <c r="E42" s="122">
        <f>E40+E41</f>
        <v>4.1632885132539377</v>
      </c>
      <c r="F42" s="122"/>
      <c r="G42" s="122"/>
      <c r="H42" s="122"/>
    </row>
    <row r="43" spans="1:8">
      <c r="A43" s="104" t="s">
        <v>74</v>
      </c>
      <c r="B43" s="104"/>
      <c r="C43" s="104"/>
      <c r="D43" s="104"/>
      <c r="E43" s="123">
        <v>138172.26</v>
      </c>
      <c r="F43" s="123"/>
      <c r="G43" s="123"/>
      <c r="H43" s="123"/>
    </row>
    <row r="44" spans="1:8">
      <c r="A44" s="104" t="s">
        <v>75</v>
      </c>
      <c r="B44" s="104"/>
      <c r="C44" s="104"/>
      <c r="D44" s="104"/>
      <c r="E44" s="104" t="s">
        <v>76</v>
      </c>
      <c r="F44" s="104"/>
      <c r="G44" s="104"/>
      <c r="H44" s="104"/>
    </row>
    <row r="45" spans="1:8">
      <c r="A45" s="109" t="s">
        <v>77</v>
      </c>
      <c r="B45" s="109"/>
      <c r="C45" s="109"/>
      <c r="D45" s="109"/>
      <c r="E45" s="109"/>
      <c r="F45" s="109"/>
      <c r="G45" s="109"/>
      <c r="H45" s="109"/>
    </row>
    <row r="46" spans="1:8">
      <c r="A46" s="108" t="s">
        <v>78</v>
      </c>
      <c r="B46" s="108"/>
      <c r="C46" s="111" t="s">
        <v>79</v>
      </c>
      <c r="D46" s="111"/>
      <c r="E46" s="111"/>
      <c r="F46" s="65" t="s">
        <v>80</v>
      </c>
      <c r="G46" s="124">
        <v>45016</v>
      </c>
      <c r="H46" s="124"/>
    </row>
    <row r="47" spans="1:8" ht="15.75" customHeight="1">
      <c r="A47" s="125" t="s">
        <v>81</v>
      </c>
      <c r="B47" s="126"/>
      <c r="C47" s="111" t="s">
        <v>82</v>
      </c>
      <c r="D47" s="111"/>
      <c r="E47" s="111"/>
      <c r="F47" s="65" t="s">
        <v>80</v>
      </c>
      <c r="G47" s="124">
        <v>44057</v>
      </c>
      <c r="H47" s="124"/>
    </row>
    <row r="48" spans="1:8" ht="49.5" customHeight="1">
      <c r="A48" s="125" t="s">
        <v>83</v>
      </c>
      <c r="B48" s="126"/>
      <c r="C48" s="111" t="s">
        <v>79</v>
      </c>
      <c r="D48" s="111"/>
      <c r="E48" s="111"/>
      <c r="F48" s="65" t="s">
        <v>80</v>
      </c>
      <c r="G48" s="124">
        <v>45016</v>
      </c>
      <c r="H48" s="124"/>
    </row>
    <row r="49" spans="1:11" ht="32.25" customHeight="1">
      <c r="A49" s="108" t="s">
        <v>84</v>
      </c>
      <c r="B49" s="108"/>
      <c r="C49" s="111" t="s">
        <v>85</v>
      </c>
      <c r="D49" s="127"/>
      <c r="E49" s="127"/>
      <c r="F49" s="66" t="s">
        <v>80</v>
      </c>
      <c r="G49" s="124">
        <v>45016</v>
      </c>
      <c r="H49" s="124"/>
    </row>
    <row r="50" spans="1:11" ht="96.75" customHeight="1">
      <c r="A50" s="108"/>
      <c r="B50" s="108"/>
      <c r="C50" s="128" t="s">
        <v>86</v>
      </c>
      <c r="D50" s="129"/>
      <c r="E50" s="129"/>
      <c r="F50" s="129"/>
      <c r="G50" s="129"/>
      <c r="H50" s="130"/>
    </row>
    <row r="51" spans="1:11" ht="144" customHeight="1">
      <c r="A51" s="131" t="s">
        <v>87</v>
      </c>
      <c r="B51" s="131"/>
      <c r="C51" s="132" t="s">
        <v>88</v>
      </c>
      <c r="D51" s="133"/>
      <c r="E51" s="133" t="s">
        <v>89</v>
      </c>
      <c r="F51" s="67" t="s">
        <v>80</v>
      </c>
      <c r="G51" s="134">
        <v>45272</v>
      </c>
      <c r="H51" s="134"/>
    </row>
    <row r="52" spans="1:11">
      <c r="A52" s="135" t="s">
        <v>90</v>
      </c>
      <c r="B52" s="135"/>
      <c r="C52" s="135"/>
      <c r="D52" s="135"/>
      <c r="E52" s="135"/>
      <c r="F52" s="135"/>
      <c r="G52" s="135"/>
      <c r="H52" s="135"/>
    </row>
    <row r="53" spans="1:11">
      <c r="A53" s="108" t="s">
        <v>91</v>
      </c>
      <c r="B53" s="108"/>
      <c r="C53" s="108"/>
      <c r="D53" s="104">
        <f>26832.05+25502.57+26832.05+29469.26+48309.05</f>
        <v>156944.97999999998</v>
      </c>
      <c r="E53" s="104"/>
      <c r="F53" s="104"/>
      <c r="G53" s="104"/>
      <c r="H53" s="104"/>
    </row>
    <row r="54" spans="1:11">
      <c r="A54" s="108" t="s">
        <v>92</v>
      </c>
      <c r="B54" s="104"/>
      <c r="C54" s="104"/>
      <c r="D54" s="104" t="s">
        <v>93</v>
      </c>
      <c r="E54" s="104"/>
      <c r="F54" s="104"/>
      <c r="G54" s="104"/>
      <c r="H54" s="104"/>
    </row>
    <row r="55" spans="1:11" ht="97.5" customHeight="1">
      <c r="A55" s="108" t="s">
        <v>94</v>
      </c>
      <c r="B55" s="104"/>
      <c r="C55" s="104"/>
      <c r="D55" s="108" t="s">
        <v>95</v>
      </c>
      <c r="E55" s="104"/>
      <c r="F55" s="104"/>
      <c r="G55" s="104"/>
      <c r="H55" s="104"/>
    </row>
    <row r="56" spans="1:11" ht="96.75" customHeight="1">
      <c r="A56" s="108" t="s">
        <v>96</v>
      </c>
      <c r="B56" s="104"/>
      <c r="C56" s="104"/>
      <c r="D56" s="108" t="s">
        <v>97</v>
      </c>
      <c r="E56" s="104"/>
      <c r="F56" s="104"/>
      <c r="G56" s="104"/>
      <c r="H56" s="104"/>
    </row>
    <row r="57" spans="1:11">
      <c r="A57" s="104" t="s">
        <v>98</v>
      </c>
      <c r="B57" s="104"/>
      <c r="C57" s="104"/>
      <c r="D57" s="108" t="s">
        <v>99</v>
      </c>
      <c r="E57" s="108"/>
      <c r="F57" s="108"/>
      <c r="G57" s="108"/>
      <c r="H57" s="108"/>
    </row>
    <row r="58" spans="1:11" ht="15.75" customHeight="1">
      <c r="A58" s="104" t="s">
        <v>100</v>
      </c>
      <c r="B58" s="104"/>
      <c r="C58" s="104"/>
      <c r="D58" s="108" t="s">
        <v>101</v>
      </c>
      <c r="E58" s="108"/>
      <c r="F58" s="108"/>
      <c r="G58" s="108"/>
      <c r="H58" s="108"/>
    </row>
    <row r="59" spans="1:11" ht="15.75" customHeight="1">
      <c r="A59" s="136" t="s">
        <v>102</v>
      </c>
      <c r="B59" s="136"/>
      <c r="C59" s="136"/>
      <c r="D59" s="137" t="s">
        <v>46</v>
      </c>
      <c r="E59" s="137"/>
      <c r="F59" s="137"/>
      <c r="G59" s="137"/>
      <c r="H59" s="137"/>
      <c r="J59" s="71"/>
      <c r="K59" s="71"/>
    </row>
    <row r="60" spans="1:11" ht="15.75" customHeight="1">
      <c r="A60" s="138" t="s">
        <v>103</v>
      </c>
      <c r="B60" s="138"/>
      <c r="C60" s="138"/>
      <c r="D60" s="139" t="s">
        <v>104</v>
      </c>
      <c r="E60" s="139"/>
      <c r="F60" s="139"/>
      <c r="G60" s="139"/>
      <c r="H60" s="139"/>
      <c r="J60" s="71"/>
      <c r="K60" s="71"/>
    </row>
    <row r="61" spans="1:11" customFormat="1" ht="49.5" customHeight="1">
      <c r="A61" s="140" t="s">
        <v>105</v>
      </c>
      <c r="B61" s="141"/>
      <c r="C61" s="142" t="s">
        <v>106</v>
      </c>
      <c r="D61" s="143"/>
      <c r="E61" s="143"/>
      <c r="F61" s="143"/>
      <c r="G61" s="143"/>
      <c r="H61" s="144"/>
      <c r="I61" s="34" t="str">
        <f>(IF(E66&gt;99%,"All work completed. Please provide OC.",IF(E66&gt;89.8%,"Plinth, RCC, Brick, Plaster, Flooring, Painting work Completed. Finishing work is in process.",IF(E66&lt;94%,(IF(C66=0,"Work not yet Started.",IF(D66=25%,"Piling work in process",IF(D66=50%,"Excavation work in process",IF(D66=100%,"Excavation work Completed. ","0")))&amp;(IF(C67=0%,"",IF(C67=J68,"Footing work is process",IF(C67=J69,"Footing work Completed",IF(C67=J70,"1st Basement Completed",IF(C67=J71,"1st &amp; 2nd Basement Completed",IF(C67=J72,"1st to 3rd Basement Completed",IF(C67=J73,"1st to 4th Basement Completed",IF(C67=J74,"Plinth work is process",IF(C67=J75,"Plinth work completed","0")))))))))))&amp;(IF(C68=(D62+F62+H62),", RCC Slab",IF(C68&gt;0,", RCC upto "&amp;C68&amp;" Slab",""))&amp;(IF(C69=H62,", Brickwork",IF(C69&gt;0,", Brickwork upto "&amp;C69&amp;" Floor",""))&amp;(IF(C70=H62,", Internal Plaster",IF(C70&gt;0,", Internal Plaster upto "&amp;C70&amp;" Floor",""))&amp;(IF(C71=H62,", External Plaster",IF(C71&gt;0,", External Plaster upto "&amp;C71&amp;" Floor",""))&amp;(IF(C72=H62,", Flooring",IF(C72&gt;0,", Flooring upto "&amp;C72&amp;" Floor",""))&amp;(IF(C73=H62,", Painting",IF(C73&gt;0,", Painting upto "&amp;C73&amp;" Floor",""))&amp;(IF(C74&gt;0,", Finishing upto "&amp;C74&amp;" Floor","")&amp;(IF(C68&gt;0.5," Completed",""))))))))))))))</f>
        <v>All work completed. Please provide OC.</v>
      </c>
      <c r="J61" s="35"/>
    </row>
    <row r="62" spans="1:11" customFormat="1">
      <c r="A62" s="68" t="s">
        <v>107</v>
      </c>
      <c r="B62" s="18">
        <v>1</v>
      </c>
      <c r="C62" s="18" t="s">
        <v>108</v>
      </c>
      <c r="D62" s="18">
        <v>1</v>
      </c>
      <c r="E62" s="18" t="s">
        <v>109</v>
      </c>
      <c r="F62" s="18">
        <v>0</v>
      </c>
      <c r="G62" s="18" t="s">
        <v>110</v>
      </c>
      <c r="H62" s="69">
        <v>40</v>
      </c>
      <c r="I62" s="37"/>
      <c r="J62" s="38"/>
    </row>
    <row r="63" spans="1:11" customFormat="1">
      <c r="A63" s="145" t="s">
        <v>111</v>
      </c>
      <c r="B63" s="109"/>
      <c r="C63" s="131" t="str">
        <f>I63</f>
        <v>All work Completed. OC Received.</v>
      </c>
      <c r="D63" s="131"/>
      <c r="E63" s="131"/>
      <c r="F63" s="131"/>
      <c r="G63" s="131"/>
      <c r="H63" s="146"/>
      <c r="I63" s="37" t="s">
        <v>112</v>
      </c>
      <c r="J63" s="38"/>
    </row>
    <row r="64" spans="1:11" customFormat="1" ht="32.450000000000003" customHeight="1">
      <c r="A64" s="151" t="s">
        <v>116</v>
      </c>
      <c r="B64" s="152"/>
      <c r="C64" s="153">
        <f>E66</f>
        <v>1</v>
      </c>
      <c r="D64" s="154"/>
      <c r="E64" s="155" t="s">
        <v>117</v>
      </c>
      <c r="F64" s="154"/>
      <c r="G64" s="153">
        <f>G66</f>
        <v>1</v>
      </c>
      <c r="H64" s="156"/>
      <c r="I64" s="37"/>
      <c r="J64" s="38"/>
    </row>
    <row r="65" spans="1:14" customFormat="1" ht="31.5" hidden="1">
      <c r="A65" s="147" t="s">
        <v>113</v>
      </c>
      <c r="B65" s="148"/>
      <c r="C65" s="70" t="s">
        <v>114</v>
      </c>
      <c r="D65" s="70" t="s">
        <v>115</v>
      </c>
      <c r="E65" s="148" t="s">
        <v>116</v>
      </c>
      <c r="F65" s="148"/>
      <c r="G65" s="148" t="s">
        <v>117</v>
      </c>
      <c r="H65" s="149"/>
      <c r="I65" s="48" t="s">
        <v>118</v>
      </c>
      <c r="J65" s="40">
        <f>H62*25%</f>
        <v>10</v>
      </c>
    </row>
    <row r="66" spans="1:14" customFormat="1" hidden="1">
      <c r="A66" s="150" t="s">
        <v>119</v>
      </c>
      <c r="B66" s="114"/>
      <c r="C66" s="72">
        <f>J67</f>
        <v>40</v>
      </c>
      <c r="D66" s="73">
        <f>((100/H62)*C66)/100</f>
        <v>1</v>
      </c>
      <c r="E66" s="159">
        <f>(((C67/H62*10)+(40/(D62+F62+H62)*C68)+(7.5/(H62)*C69)+(7.5/(H62)*C70)+(10/H62*C71)+(10/H62*C72)+(5/H62*C73)+(5/H62*C74)+(5/H62*C75))/100)</f>
        <v>1</v>
      </c>
      <c r="F66" s="159"/>
      <c r="G66" s="159">
        <f>((((C66/H62)*20)+((C67/H62)*25)+(30/(H62+F62+D62)*C68)+(5/H62*C69)+(5/H62*C70)+(5/H62*C71)+(5/H62*C72)+(0/H62*C73)+(0/H62*C74)+(5/H62*C75))/100)</f>
        <v>1</v>
      </c>
      <c r="H66" s="161"/>
      <c r="I66" s="48" t="s">
        <v>120</v>
      </c>
      <c r="J66" s="77">
        <f>H62*50%</f>
        <v>20</v>
      </c>
    </row>
    <row r="67" spans="1:14" customFormat="1" hidden="1">
      <c r="A67" s="150" t="s">
        <v>121</v>
      </c>
      <c r="B67" s="114"/>
      <c r="C67" s="74">
        <f>J75</f>
        <v>40</v>
      </c>
      <c r="D67" s="73">
        <f>((100/H62)*C67)/100</f>
        <v>1</v>
      </c>
      <c r="E67" s="159"/>
      <c r="F67" s="159"/>
      <c r="G67" s="159"/>
      <c r="H67" s="161"/>
      <c r="I67" s="48" t="s">
        <v>122</v>
      </c>
      <c r="J67" s="77">
        <f>H62</f>
        <v>40</v>
      </c>
    </row>
    <row r="68" spans="1:14" customFormat="1" ht="15.75" hidden="1" customHeight="1">
      <c r="A68" s="150" t="s">
        <v>123</v>
      </c>
      <c r="B68" s="114"/>
      <c r="C68" s="74">
        <v>41</v>
      </c>
      <c r="D68" s="73">
        <f>((100/(D62+F62+H62))*C68)/100</f>
        <v>1</v>
      </c>
      <c r="E68" s="159"/>
      <c r="F68" s="159"/>
      <c r="G68" s="159"/>
      <c r="H68" s="161"/>
      <c r="I68" s="48" t="s">
        <v>124</v>
      </c>
      <c r="J68" s="78">
        <f>(IF(B62&gt;1,(H62/(B62+2)),H62/4))</f>
        <v>10</v>
      </c>
      <c r="L68" s="79"/>
    </row>
    <row r="69" spans="1:14" customFormat="1" ht="15.75" hidden="1" customHeight="1">
      <c r="A69" s="150" t="s">
        <v>125</v>
      </c>
      <c r="B69" s="114" t="s">
        <v>126</v>
      </c>
      <c r="C69" s="72">
        <v>40</v>
      </c>
      <c r="D69" s="73">
        <f>((100/H62)*C69)/100</f>
        <v>1</v>
      </c>
      <c r="E69" s="159"/>
      <c r="F69" s="159"/>
      <c r="G69" s="159"/>
      <c r="H69" s="161"/>
      <c r="I69" s="48" t="s">
        <v>127</v>
      </c>
      <c r="J69" s="78">
        <f>(IF(B62&gt;1,(H62/(B62+2)+J68),H62/4+J68))</f>
        <v>20</v>
      </c>
      <c r="L69" s="79"/>
    </row>
    <row r="70" spans="1:14" customFormat="1" ht="15.75" hidden="1" customHeight="1">
      <c r="A70" s="150" t="s">
        <v>128</v>
      </c>
      <c r="B70" s="114" t="s">
        <v>126</v>
      </c>
      <c r="C70" s="72">
        <v>40</v>
      </c>
      <c r="D70" s="73">
        <f>((100/H62)*C70)/100</f>
        <v>1</v>
      </c>
      <c r="E70" s="159"/>
      <c r="F70" s="159"/>
      <c r="G70" s="159"/>
      <c r="H70" s="161"/>
      <c r="I70" s="48" t="s">
        <v>129</v>
      </c>
      <c r="J70" s="78">
        <f>(IF(B62&gt;1,(H62/(B62+2)+J69),0))</f>
        <v>0</v>
      </c>
      <c r="L70" s="80"/>
      <c r="N70" s="79"/>
    </row>
    <row r="71" spans="1:14" customFormat="1" ht="15.75" hidden="1" customHeight="1">
      <c r="A71" s="150" t="s">
        <v>130</v>
      </c>
      <c r="B71" s="114" t="s">
        <v>131</v>
      </c>
      <c r="C71" s="72">
        <v>40</v>
      </c>
      <c r="D71" s="73">
        <f>((100/(H62))*C71)/100</f>
        <v>1</v>
      </c>
      <c r="E71" s="159"/>
      <c r="F71" s="159"/>
      <c r="G71" s="159"/>
      <c r="H71" s="161"/>
      <c r="I71" s="48" t="s">
        <v>132</v>
      </c>
      <c r="J71" s="78">
        <f>(IF(B62&gt;2,(H62/(B62+2)+J70),0))</f>
        <v>0</v>
      </c>
      <c r="K71" s="81"/>
      <c r="L71" s="80"/>
    </row>
    <row r="72" spans="1:14" customFormat="1" ht="15.75" hidden="1" customHeight="1">
      <c r="A72" s="150" t="s">
        <v>133</v>
      </c>
      <c r="B72" s="114" t="s">
        <v>133</v>
      </c>
      <c r="C72" s="72">
        <v>40</v>
      </c>
      <c r="D72" s="73">
        <f>((100/H62)*C72)/100</f>
        <v>1</v>
      </c>
      <c r="E72" s="159"/>
      <c r="F72" s="159"/>
      <c r="G72" s="159"/>
      <c r="H72" s="161"/>
      <c r="I72" s="48" t="s">
        <v>134</v>
      </c>
      <c r="J72" s="82">
        <f>(IF(B62&gt;3,(H62/(B62+2)+J71),0))</f>
        <v>0</v>
      </c>
      <c r="K72" s="81"/>
      <c r="L72" s="80"/>
    </row>
    <row r="73" spans="1:14" customFormat="1" ht="15.75" hidden="1" customHeight="1">
      <c r="A73" s="150" t="s">
        <v>135</v>
      </c>
      <c r="B73" s="114"/>
      <c r="C73" s="72">
        <v>40</v>
      </c>
      <c r="D73" s="73">
        <f>((100/H62)*C73)/100</f>
        <v>1</v>
      </c>
      <c r="E73" s="159"/>
      <c r="F73" s="159"/>
      <c r="G73" s="159"/>
      <c r="H73" s="161"/>
      <c r="I73" s="48" t="s">
        <v>136</v>
      </c>
      <c r="J73" s="78">
        <f>(IF(B62&gt;4,(H62/(B62+2)+J72),0))</f>
        <v>0</v>
      </c>
      <c r="K73" s="79"/>
      <c r="L73" s="80"/>
    </row>
    <row r="74" spans="1:14" customFormat="1" ht="15.75" hidden="1" customHeight="1">
      <c r="A74" s="147" t="s">
        <v>137</v>
      </c>
      <c r="B74" s="148" t="s">
        <v>137</v>
      </c>
      <c r="C74" s="72">
        <v>40</v>
      </c>
      <c r="D74" s="73">
        <f>((100/(H62))*C74)/100</f>
        <v>1</v>
      </c>
      <c r="E74" s="159"/>
      <c r="F74" s="159"/>
      <c r="G74" s="159"/>
      <c r="H74" s="161"/>
      <c r="I74" s="48" t="s">
        <v>138</v>
      </c>
      <c r="J74" s="78">
        <f>(IF(B62=1,(H62/(B62+3)+J69),IF(B62=0,(H62/4+J69),IF(B62&gt;1,0))))</f>
        <v>30</v>
      </c>
      <c r="K74" s="81"/>
      <c r="L74" s="80"/>
    </row>
    <row r="75" spans="1:14" customFormat="1" hidden="1">
      <c r="A75" s="157" t="s">
        <v>139</v>
      </c>
      <c r="B75" s="158"/>
      <c r="C75" s="75">
        <v>40</v>
      </c>
      <c r="D75" s="76">
        <f>((100/(H62))*C75)/100</f>
        <v>1</v>
      </c>
      <c r="E75" s="160"/>
      <c r="F75" s="160"/>
      <c r="G75" s="160"/>
      <c r="H75" s="162"/>
      <c r="I75" s="83" t="s">
        <v>140</v>
      </c>
      <c r="J75" s="84">
        <f>(IF(B62&gt;1.5,(H62/(B62+2)+J69+MAX(0,J70-J69)+MAX(0,J71-J70)+MAX(0,J72-J71)+MAX(0,J73-J72)+MAX(0,J74-J73)),IF(B62=1,(H62/(B62+3)+J74),IF(B62=0,H62/4+J74))))</f>
        <v>40</v>
      </c>
      <c r="K75" s="81"/>
      <c r="L75" s="80"/>
    </row>
    <row r="76" spans="1:14" customFormat="1">
      <c r="A76" s="140" t="s">
        <v>105</v>
      </c>
      <c r="B76" s="141"/>
      <c r="C76" s="142" t="s">
        <v>141</v>
      </c>
      <c r="D76" s="143"/>
      <c r="E76" s="143"/>
      <c r="F76" s="143"/>
      <c r="G76" s="143"/>
      <c r="H76" s="144"/>
      <c r="I76" s="34" t="str">
        <f ca="1">(IF(E80&gt;99%,"All work completed. Please provide OC.",IF(E80&gt;89.8%,"Plinth, RCC, Brick, Plaster, Flooring, Painting work Completed. Finishing work is in process.",IF(E80&lt;94%,(IF(C80=0,"Work not yet Started.",IF(D80=25%,"Piling work in process",IF(D80=50%,"Excavation work in process",IF(D80=100%,"Excavation work Completed. ","0")))&amp;(IF(C81=0%,"",IF(C81=J82,"Footing work is process",IF(C81=J83,"Footing work Completed",IF(C81=J84,"1st Basement Completed",IF(C81=J85,"1st &amp; 2nd Basement Completed",IF(C81=J86,"1st to 3rd Basement Completed",IF(C81=J87,"1st to 4th Basement Completed",IF(C81=J88,"Plinth work is process",IF(C81=J89,"Plinth work completed","0")))))))))))&amp;(IF(C82=(D77+F77+H77),", RCC Slab",IF(C82&gt;0,", RCC upto "&amp;C82&amp;" Slab",""))&amp;(IF(C83=H77,", Brickwork",IF(C83&gt;0,", Brickwork upto "&amp;C83&amp;" Floor",""))&amp;(IF(C84=H77,", Internal Plaster",IF(C84&gt;0,", Internal Plaster upto "&amp;C84&amp;" Floor",""))&amp;(IF(C85=H77,", External Plaster",IF(C85&gt;0,", External Plaster upto "&amp;C85&amp;" Floor",""))&amp;(IF(C86=H77,", Flooring",IF(C86&gt;0,", Flooring upto "&amp;C86&amp;" Floor",""))&amp;(IF(C87=H77,", Painting",IF(C87&gt;0,", Painting upto "&amp;C87&amp;" Floor",""))&amp;(IF(C88&gt;0,", Finishing upto "&amp;C88&amp;" Floor","")&amp;(IF(C82&gt;0.5," Completed",""))))))))))))))</f>
        <v>Excavation work Completed. Plinth work completed, RCC upto 35 Slab, Brickwork upto 34 Floor, Internal Plaster upto 25.5 Floor, External Plaster upto 23.8 Floor Completed</v>
      </c>
      <c r="J76" s="35"/>
    </row>
    <row r="77" spans="1:14" customFormat="1">
      <c r="A77" s="68" t="s">
        <v>107</v>
      </c>
      <c r="B77" s="18">
        <v>1</v>
      </c>
      <c r="C77" s="18" t="s">
        <v>108</v>
      </c>
      <c r="D77" s="18">
        <v>1</v>
      </c>
      <c r="E77" s="18" t="s">
        <v>109</v>
      </c>
      <c r="F77" s="18">
        <v>0</v>
      </c>
      <c r="G77" s="18" t="s">
        <v>110</v>
      </c>
      <c r="H77" s="69">
        <f ca="1">--TRIM(RIGHT(SUBSTITUTE(LEFT(C76,_xlfn.AGGREGATE(16,6,FIND({0,1,2,3,4,5,6,7,8,9},C76,ROW(INDIRECT("1:"&amp;LEN(C76)))),1))," ",REPT(" ",LEN(C76))),LEN(C76)))</f>
        <v>46</v>
      </c>
      <c r="I77" s="37"/>
      <c r="J77" s="38"/>
    </row>
    <row r="78" spans="1:14" customFormat="1" ht="49.5" customHeight="1">
      <c r="A78" s="145" t="s">
        <v>111</v>
      </c>
      <c r="B78" s="109"/>
      <c r="C78" s="131" t="str">
        <f ca="1">I76</f>
        <v>Excavation work Completed. Plinth work completed, RCC upto 35 Slab, Brickwork upto 34 Floor, Internal Plaster upto 25.5 Floor, External Plaster upto 23.8 Floor Completed</v>
      </c>
      <c r="D78" s="131"/>
      <c r="E78" s="131"/>
      <c r="F78" s="131"/>
      <c r="G78" s="131"/>
      <c r="H78" s="146"/>
      <c r="I78" s="37" t="s">
        <v>112</v>
      </c>
      <c r="J78" s="38"/>
    </row>
    <row r="79" spans="1:14" customFormat="1">
      <c r="A79" s="150" t="s">
        <v>113</v>
      </c>
      <c r="B79" s="114"/>
      <c r="C79" s="70" t="s">
        <v>114</v>
      </c>
      <c r="D79" s="70" t="s">
        <v>115</v>
      </c>
      <c r="E79" s="148" t="s">
        <v>116</v>
      </c>
      <c r="F79" s="148"/>
      <c r="G79" s="148" t="s">
        <v>117</v>
      </c>
      <c r="H79" s="149"/>
      <c r="I79" s="48" t="s">
        <v>118</v>
      </c>
      <c r="J79" s="40">
        <f ca="1">H77*25%</f>
        <v>11.5</v>
      </c>
    </row>
    <row r="80" spans="1:14" customFormat="1">
      <c r="A80" s="114" t="s">
        <v>119</v>
      </c>
      <c r="B80" s="114"/>
      <c r="C80" s="72">
        <f ca="1">J81</f>
        <v>46</v>
      </c>
      <c r="D80" s="101">
        <f ca="1">((100/H77)*C80)/100</f>
        <v>1</v>
      </c>
      <c r="E80" s="159">
        <f ca="1">(((C81/H77*10)+(40/(D77+F77+H77)*C82)+(7.5/(H77)*C83)+(7.5/(H77)*C84)+(10/H77*C85)+(10/H77*C86)+(5/H77*C87)+(5/H77*C88)+(5/H77*C89))/100)</f>
        <v>0.54662234042553193</v>
      </c>
      <c r="F80" s="159"/>
      <c r="G80" s="159">
        <f ca="1">((((C80/H77)*20)+((C81/H77)*25)+(30/(H77+F77+D77)*C82)+(5/H77*C83)+(5/H77*C84)+(5/H77*C85)+(5/H77*C86)+(0/H77*C87)+(0/H77*C88)+(5/H77*C89))/100)</f>
        <v>0.76394773358001844</v>
      </c>
      <c r="H80" s="159"/>
      <c r="I80" s="48" t="s">
        <v>120</v>
      </c>
      <c r="J80" s="77">
        <f ca="1">H77*50%</f>
        <v>23</v>
      </c>
    </row>
    <row r="81" spans="1:14" customFormat="1">
      <c r="A81" s="114" t="s">
        <v>121</v>
      </c>
      <c r="B81" s="114"/>
      <c r="C81" s="74">
        <f ca="1">J89</f>
        <v>46</v>
      </c>
      <c r="D81" s="101">
        <f ca="1">((100/H77)*C81)/100</f>
        <v>1</v>
      </c>
      <c r="E81" s="159"/>
      <c r="F81" s="159"/>
      <c r="G81" s="159"/>
      <c r="H81" s="159"/>
      <c r="I81" s="48" t="s">
        <v>122</v>
      </c>
      <c r="J81" s="77">
        <f ca="1">H77</f>
        <v>46</v>
      </c>
    </row>
    <row r="82" spans="1:14" customFormat="1">
      <c r="A82" s="114" t="s">
        <v>123</v>
      </c>
      <c r="B82" s="114"/>
      <c r="C82" s="74">
        <v>35</v>
      </c>
      <c r="D82" s="101">
        <f ca="1">((100/(D77+F77+H77))*C82)/100</f>
        <v>0.74468085106382975</v>
      </c>
      <c r="E82" s="159"/>
      <c r="F82" s="159"/>
      <c r="G82" s="159"/>
      <c r="H82" s="159"/>
      <c r="I82" s="48" t="s">
        <v>124</v>
      </c>
      <c r="J82" s="78">
        <f ca="1">(IF(B77&gt;1,(H77/(B77+2)),H77/4))</f>
        <v>11.5</v>
      </c>
      <c r="L82" s="79"/>
    </row>
    <row r="83" spans="1:14" customFormat="1" ht="15.75" customHeight="1">
      <c r="A83" s="114" t="s">
        <v>125</v>
      </c>
      <c r="B83" s="114" t="s">
        <v>126</v>
      </c>
      <c r="C83" s="74">
        <f>C82-D77</f>
        <v>34</v>
      </c>
      <c r="D83" s="101">
        <f ca="1">((100/H77)*C83)/100</f>
        <v>0.73913043478260865</v>
      </c>
      <c r="E83" s="159"/>
      <c r="F83" s="159"/>
      <c r="G83" s="159"/>
      <c r="H83" s="159"/>
      <c r="I83" s="48" t="s">
        <v>127</v>
      </c>
      <c r="J83" s="78">
        <f ca="1">(IF(B77&gt;1,(H77/(B77+2)+J82),H77/4+J82))</f>
        <v>23</v>
      </c>
      <c r="L83" s="79"/>
    </row>
    <row r="84" spans="1:14" customFormat="1" ht="15.75" customHeight="1">
      <c r="A84" s="114" t="s">
        <v>128</v>
      </c>
      <c r="B84" s="114" t="s">
        <v>126</v>
      </c>
      <c r="C84" s="74">
        <f>C83*0.75</f>
        <v>25.5</v>
      </c>
      <c r="D84" s="101">
        <f ca="1">((100/H77)*C84)/100</f>
        <v>0.55434782608695654</v>
      </c>
      <c r="E84" s="159"/>
      <c r="F84" s="159"/>
      <c r="G84" s="159"/>
      <c r="H84" s="159"/>
      <c r="I84" s="48" t="s">
        <v>129</v>
      </c>
      <c r="J84" s="78">
        <f>(IF(B77&gt;1,(H77/(B77+2)+J83),0))</f>
        <v>0</v>
      </c>
      <c r="L84" s="80"/>
      <c r="N84" s="79"/>
    </row>
    <row r="85" spans="1:14" customFormat="1" ht="15.75" customHeight="1">
      <c r="A85" s="114" t="s">
        <v>130</v>
      </c>
      <c r="B85" s="114" t="s">
        <v>131</v>
      </c>
      <c r="C85" s="74">
        <f>C83*0.7</f>
        <v>23.799999999999997</v>
      </c>
      <c r="D85" s="101">
        <f ca="1">((100/(H77))*C85)/100</f>
        <v>0.51739130434782599</v>
      </c>
      <c r="E85" s="159"/>
      <c r="F85" s="159"/>
      <c r="G85" s="159"/>
      <c r="H85" s="159"/>
      <c r="I85" s="48" t="s">
        <v>132</v>
      </c>
      <c r="J85" s="78">
        <f>(IF(B77&gt;2,(H77/(B77+2)+J84),0))</f>
        <v>0</v>
      </c>
      <c r="K85" s="81"/>
      <c r="L85" s="80"/>
    </row>
    <row r="86" spans="1:14" customFormat="1" ht="15.75" customHeight="1">
      <c r="A86" s="114" t="s">
        <v>133</v>
      </c>
      <c r="B86" s="114" t="s">
        <v>133</v>
      </c>
      <c r="C86" s="72">
        <v>0</v>
      </c>
      <c r="D86" s="101">
        <f ca="1">((100/H77)*C86)/100</f>
        <v>0</v>
      </c>
      <c r="E86" s="159"/>
      <c r="F86" s="159"/>
      <c r="G86" s="159"/>
      <c r="H86" s="159"/>
      <c r="I86" s="48" t="s">
        <v>134</v>
      </c>
      <c r="J86" s="82">
        <f>(IF(B77&gt;3,(H77/(B77+2)+J85),0))</f>
        <v>0</v>
      </c>
      <c r="K86" s="81"/>
      <c r="L86" s="80"/>
    </row>
    <row r="87" spans="1:14" customFormat="1" ht="15.75" customHeight="1">
      <c r="A87" s="114" t="s">
        <v>135</v>
      </c>
      <c r="B87" s="114"/>
      <c r="C87" s="72">
        <v>0</v>
      </c>
      <c r="D87" s="101">
        <f ca="1">((100/H77)*C87)/100</f>
        <v>0</v>
      </c>
      <c r="E87" s="159"/>
      <c r="F87" s="159"/>
      <c r="G87" s="159"/>
      <c r="H87" s="159"/>
      <c r="I87" s="48" t="s">
        <v>136</v>
      </c>
      <c r="J87" s="78">
        <f>(IF(B77&gt;4,(H77/(B77+2)+J86),0))</f>
        <v>0</v>
      </c>
      <c r="K87" s="79"/>
      <c r="L87" s="80"/>
    </row>
    <row r="88" spans="1:14" customFormat="1" ht="15.75" customHeight="1">
      <c r="A88" s="114" t="s">
        <v>137</v>
      </c>
      <c r="B88" s="114" t="s">
        <v>137</v>
      </c>
      <c r="C88" s="72">
        <v>0</v>
      </c>
      <c r="D88" s="101">
        <f ca="1">((100/(H77))*C88)/100</f>
        <v>0</v>
      </c>
      <c r="E88" s="159"/>
      <c r="F88" s="159"/>
      <c r="G88" s="159"/>
      <c r="H88" s="159"/>
      <c r="I88" s="48" t="s">
        <v>138</v>
      </c>
      <c r="J88" s="78">
        <f ca="1">(IF(B77=1,(H77/(B77+3)+J83),IF(B77=0,(H77/4+J83),IF(B77&gt;1,0))))</f>
        <v>34.5</v>
      </c>
      <c r="K88" s="81"/>
      <c r="L88" s="80"/>
    </row>
    <row r="89" spans="1:14" customFormat="1">
      <c r="A89" s="114" t="s">
        <v>139</v>
      </c>
      <c r="B89" s="114"/>
      <c r="C89" s="72">
        <v>0</v>
      </c>
      <c r="D89" s="101">
        <f ca="1">((100/(H77))*C89)/100</f>
        <v>0</v>
      </c>
      <c r="E89" s="159"/>
      <c r="F89" s="159"/>
      <c r="G89" s="159"/>
      <c r="H89" s="159"/>
      <c r="I89" s="83" t="s">
        <v>140</v>
      </c>
      <c r="J89" s="84">
        <f ca="1">(IF(B77&gt;1.5,(H77/(B77+2)+J83+MAX(0,J84-J83)+MAX(0,J85-J84)+MAX(0,J86-J85)+MAX(0,J87-J86)+MAX(0,J88-J87)),IF(B77=1,(H77/(B77+3)+J88),IF(B77=0,H77/4+J88))))</f>
        <v>46</v>
      </c>
      <c r="K89" s="81"/>
      <c r="L89" s="80"/>
    </row>
    <row r="90" spans="1:14" customFormat="1">
      <c r="A90" s="131" t="s">
        <v>105</v>
      </c>
      <c r="B90" s="131"/>
      <c r="C90" s="131" t="s">
        <v>142</v>
      </c>
      <c r="D90" s="131"/>
      <c r="E90" s="131"/>
      <c r="F90" s="131"/>
      <c r="G90" s="131"/>
      <c r="H90" s="131"/>
      <c r="I90" s="34" t="str">
        <f ca="1">(IF(E94&gt;99%,"All work completed. Please provide OC.",IF(E94&gt;89.8%,"Plinth, RCC, Brick, Plaster, Flooring, Painting work Completed. Finishing work is in process.",IF(E94&lt;94%,(IF(C94=0,"Work not yet Started.",IF(D94=25%,"Piling work in process",IF(D94=50%,"Excavation work in process",IF(D94=100%,"Excavation work Completed. ","0")))&amp;(IF(C95=0%,"",IF(C95=J96,"Footing work is process",IF(C95=J97,"Footing work Completed",IF(C95=J98,"1st Basement Completed",IF(C95=J99,"1st &amp; 2nd Basement Completed",IF(C95=J100,"1st to 3rd Basement Completed",IF(C95=J101,"1st to 4th Basement Completed",IF(C95=J102,"Plinth work is process",IF(C95=J103,"Plinth work completed","0")))))))))))&amp;(IF(C96=(D91+F91+H91),", RCC Slab",IF(C96&gt;0,", RCC upto "&amp;C96&amp;" Slab",""))&amp;(IF(C97=H91,", Brickwork",IF(C97&gt;0,", Brickwork upto "&amp;C97&amp;" Floor",""))&amp;(IF(C98=H91,", Internal Plaster",IF(C98&gt;0,", Internal Plaster upto "&amp;C98&amp;" Floor",""))&amp;(IF(C99=H91,", External Plaster",IF(C99&gt;0,", External Plaster upto "&amp;C99&amp;" Floor",""))&amp;(IF(C100=H91,", Flooring",IF(C100&gt;0,", Flooring upto "&amp;C100&amp;" Floor",""))&amp;(IF(C101=H91,", Painting",IF(C101&gt;0,", Painting upto "&amp;C101&amp;" Floor",""))&amp;(IF(C102&gt;0,", Finishing upto "&amp;C102&amp;" Floor","")&amp;(IF(C96&gt;0.5," Completed",""))))))))))))))</f>
        <v>Excavation work Completed. Plinth work completed, RCC upto 35 Slab, Brickwork upto 34 Floor, Internal Plaster upto 25.5 Floor, External Plaster upto 23.8 Floor Completed</v>
      </c>
      <c r="J90" s="35"/>
    </row>
    <row r="91" spans="1:14" customFormat="1">
      <c r="A91" s="99" t="s">
        <v>107</v>
      </c>
      <c r="B91" s="99">
        <v>1</v>
      </c>
      <c r="C91" s="99" t="s">
        <v>108</v>
      </c>
      <c r="D91" s="99">
        <v>1</v>
      </c>
      <c r="E91" s="99" t="s">
        <v>109</v>
      </c>
      <c r="F91" s="99">
        <v>0</v>
      </c>
      <c r="G91" s="99" t="s">
        <v>110</v>
      </c>
      <c r="H91" s="99">
        <f ca="1">--TRIM(RIGHT(SUBSTITUTE(LEFT(C90,_xlfn.AGGREGATE(16,6,FIND({0,1,2,3,4,5,6,7,8,9},C90,ROW(INDIRECT("1:"&amp;LEN(C90)))),1))," ",REPT(" ",LEN(C90))),LEN(C90)))</f>
        <v>46</v>
      </c>
      <c r="I91" s="37"/>
      <c r="J91" s="38"/>
    </row>
    <row r="92" spans="1:14" customFormat="1" ht="50.1" customHeight="1">
      <c r="A92" s="109" t="s">
        <v>111</v>
      </c>
      <c r="B92" s="109"/>
      <c r="C92" s="131" t="str">
        <f ca="1">I90</f>
        <v>Excavation work Completed. Plinth work completed, RCC upto 35 Slab, Brickwork upto 34 Floor, Internal Plaster upto 25.5 Floor, External Plaster upto 23.8 Floor Completed</v>
      </c>
      <c r="D92" s="131"/>
      <c r="E92" s="131"/>
      <c r="F92" s="131"/>
      <c r="G92" s="131"/>
      <c r="H92" s="131"/>
      <c r="I92" s="37" t="s">
        <v>112</v>
      </c>
      <c r="J92" s="38"/>
    </row>
    <row r="93" spans="1:14" customFormat="1">
      <c r="A93" s="114" t="s">
        <v>113</v>
      </c>
      <c r="B93" s="114"/>
      <c r="C93" s="100" t="s">
        <v>114</v>
      </c>
      <c r="D93" s="100" t="s">
        <v>115</v>
      </c>
      <c r="E93" s="148" t="s">
        <v>116</v>
      </c>
      <c r="F93" s="148"/>
      <c r="G93" s="148" t="s">
        <v>117</v>
      </c>
      <c r="H93" s="148"/>
      <c r="I93" s="48" t="s">
        <v>118</v>
      </c>
      <c r="J93" s="40">
        <f ca="1">H91*25%</f>
        <v>11.5</v>
      </c>
    </row>
    <row r="94" spans="1:14" customFormat="1">
      <c r="A94" s="150" t="s">
        <v>119</v>
      </c>
      <c r="B94" s="114"/>
      <c r="C94" s="72">
        <v>46</v>
      </c>
      <c r="D94" s="73">
        <f ca="1">((100/H91)*C94)/100</f>
        <v>1</v>
      </c>
      <c r="E94" s="159">
        <f ca="1">(((C95/H91*10)+(40/(D91+F91+H91)*C96)+(7.5/(H91)*C97)+(7.5/(H91)*C98)+(10/H91*C99)+(10/H91*C100)+(5/H91*C101)+(5/H91*C102)+(5/H91*C103))/100)</f>
        <v>0.54662234042553193</v>
      </c>
      <c r="F94" s="159"/>
      <c r="G94" s="159">
        <f ca="1">((((C94/H91)*20)+((C95/H91)*25)+(30/(H91+F91+D91)*C96)+(5/H91*C97)+(5/H91*C98)+(5/H91*C99)+(5/H91*C100)+(0/H91*C101)+(0/H91*C102)+(5/H91*C103))/100)</f>
        <v>0.76394773358001844</v>
      </c>
      <c r="H94" s="161"/>
      <c r="I94" s="48" t="s">
        <v>120</v>
      </c>
      <c r="J94" s="77">
        <f ca="1">H91*50%</f>
        <v>23</v>
      </c>
    </row>
    <row r="95" spans="1:14" customFormat="1">
      <c r="A95" s="150" t="s">
        <v>121</v>
      </c>
      <c r="B95" s="114"/>
      <c r="C95" s="74">
        <f ca="1">J103</f>
        <v>46</v>
      </c>
      <c r="D95" s="73">
        <f ca="1">((100/H91)*C95)/100</f>
        <v>1</v>
      </c>
      <c r="E95" s="159"/>
      <c r="F95" s="159"/>
      <c r="G95" s="159"/>
      <c r="H95" s="161"/>
      <c r="I95" s="48" t="s">
        <v>122</v>
      </c>
      <c r="J95" s="77">
        <f ca="1">H91</f>
        <v>46</v>
      </c>
    </row>
    <row r="96" spans="1:14" customFormat="1">
      <c r="A96" s="150" t="s">
        <v>123</v>
      </c>
      <c r="B96" s="114"/>
      <c r="C96" s="74">
        <v>35</v>
      </c>
      <c r="D96" s="73">
        <f ca="1">((100/(D91+F91+H91))*C96)/100</f>
        <v>0.74468085106382975</v>
      </c>
      <c r="E96" s="159"/>
      <c r="F96" s="159"/>
      <c r="G96" s="159"/>
      <c r="H96" s="161"/>
      <c r="I96" s="48" t="s">
        <v>124</v>
      </c>
      <c r="J96" s="78">
        <f ca="1">(IF(B91&gt;1,(H91/(B91+2)),H91/4))</f>
        <v>11.5</v>
      </c>
      <c r="L96" s="79"/>
    </row>
    <row r="97" spans="1:15" customFormat="1" ht="15.75" customHeight="1">
      <c r="A97" s="150" t="s">
        <v>125</v>
      </c>
      <c r="B97" s="114" t="s">
        <v>126</v>
      </c>
      <c r="C97" s="74">
        <f>C96-D91</f>
        <v>34</v>
      </c>
      <c r="D97" s="73">
        <f ca="1">((100/H91)*C97)/100</f>
        <v>0.73913043478260865</v>
      </c>
      <c r="E97" s="159"/>
      <c r="F97" s="159"/>
      <c r="G97" s="159"/>
      <c r="H97" s="161"/>
      <c r="I97" s="48" t="s">
        <v>127</v>
      </c>
      <c r="J97" s="78">
        <f ca="1">(IF(B91&gt;1,(H91/(B91+2)+J96),H91/4+J96))</f>
        <v>23</v>
      </c>
      <c r="L97" s="79"/>
    </row>
    <row r="98" spans="1:15" customFormat="1" ht="15.75" customHeight="1">
      <c r="A98" s="150" t="s">
        <v>128</v>
      </c>
      <c r="B98" s="114" t="s">
        <v>126</v>
      </c>
      <c r="C98" s="74">
        <f>C97*0.75</f>
        <v>25.5</v>
      </c>
      <c r="D98" s="73">
        <f ca="1">((100/H91)*C98)/100</f>
        <v>0.55434782608695654</v>
      </c>
      <c r="E98" s="159"/>
      <c r="F98" s="159"/>
      <c r="G98" s="159"/>
      <c r="H98" s="161"/>
      <c r="I98" s="48" t="s">
        <v>129</v>
      </c>
      <c r="J98" s="78">
        <f>(IF(B91&gt;1,(H91/(B91+2)+J97),0))</f>
        <v>0</v>
      </c>
      <c r="L98" s="80"/>
      <c r="N98" s="79"/>
    </row>
    <row r="99" spans="1:15" customFormat="1" ht="15.75" customHeight="1">
      <c r="A99" s="150" t="s">
        <v>130</v>
      </c>
      <c r="B99" s="114" t="s">
        <v>131</v>
      </c>
      <c r="C99" s="74">
        <f>C97*0.7</f>
        <v>23.799999999999997</v>
      </c>
      <c r="D99" s="73">
        <f ca="1">((100/(H91))*C99)/100</f>
        <v>0.51739130434782599</v>
      </c>
      <c r="E99" s="159"/>
      <c r="F99" s="159"/>
      <c r="G99" s="159"/>
      <c r="H99" s="161"/>
      <c r="I99" s="48" t="s">
        <v>132</v>
      </c>
      <c r="J99" s="78">
        <f>(IF(B91&gt;2,(H91/(B91+2)+J98),0))</f>
        <v>0</v>
      </c>
      <c r="K99" s="81"/>
      <c r="L99" s="80"/>
    </row>
    <row r="100" spans="1:15" customFormat="1" ht="15.75" customHeight="1">
      <c r="A100" s="150" t="s">
        <v>133</v>
      </c>
      <c r="B100" s="114" t="s">
        <v>133</v>
      </c>
      <c r="C100" s="72">
        <v>0</v>
      </c>
      <c r="D100" s="73">
        <f ca="1">((100/H91)*C100)/100</f>
        <v>0</v>
      </c>
      <c r="E100" s="159"/>
      <c r="F100" s="159"/>
      <c r="G100" s="159"/>
      <c r="H100" s="161"/>
      <c r="I100" s="48" t="s">
        <v>134</v>
      </c>
      <c r="J100" s="82">
        <f>(IF(B91&gt;3,(H91/(B91+2)+J99),0))</f>
        <v>0</v>
      </c>
      <c r="K100" s="81"/>
      <c r="L100" s="80"/>
    </row>
    <row r="101" spans="1:15" customFormat="1" ht="15.75" customHeight="1">
      <c r="A101" s="150" t="s">
        <v>135</v>
      </c>
      <c r="B101" s="114"/>
      <c r="C101" s="72">
        <v>0</v>
      </c>
      <c r="D101" s="73">
        <f ca="1">((100/H91)*C101)/100</f>
        <v>0</v>
      </c>
      <c r="E101" s="159"/>
      <c r="F101" s="159"/>
      <c r="G101" s="159"/>
      <c r="H101" s="161"/>
      <c r="I101" s="48" t="s">
        <v>136</v>
      </c>
      <c r="J101" s="78">
        <f>(IF(B91&gt;4,(H91/(B91+2)+J100),0))</f>
        <v>0</v>
      </c>
      <c r="K101" s="79"/>
      <c r="L101" s="80"/>
    </row>
    <row r="102" spans="1:15" customFormat="1" ht="15.75" customHeight="1">
      <c r="A102" s="150" t="s">
        <v>137</v>
      </c>
      <c r="B102" s="114" t="s">
        <v>137</v>
      </c>
      <c r="C102" s="72">
        <v>0</v>
      </c>
      <c r="D102" s="73">
        <f ca="1">((100/(H91))*C102)/100</f>
        <v>0</v>
      </c>
      <c r="E102" s="159"/>
      <c r="F102" s="159"/>
      <c r="G102" s="159"/>
      <c r="H102" s="161"/>
      <c r="I102" s="48" t="s">
        <v>138</v>
      </c>
      <c r="J102" s="78">
        <f ca="1">(IF(B91=1,(H91/(B91+3)+J97),IF(B91=0,(H91/4+J97),IF(B91&gt;1,0))))</f>
        <v>34.5</v>
      </c>
      <c r="K102" s="81"/>
      <c r="L102" s="80"/>
    </row>
    <row r="103" spans="1:15" customFormat="1">
      <c r="A103" s="157" t="s">
        <v>139</v>
      </c>
      <c r="B103" s="158"/>
      <c r="C103" s="75">
        <v>0</v>
      </c>
      <c r="D103" s="76">
        <f ca="1">((100/(H91))*C103)/100</f>
        <v>0</v>
      </c>
      <c r="E103" s="160"/>
      <c r="F103" s="160"/>
      <c r="G103" s="160"/>
      <c r="H103" s="162"/>
      <c r="I103" s="83" t="s">
        <v>140</v>
      </c>
      <c r="J103" s="84">
        <f ca="1">(IF(B91&gt;1.5,(H91/(B91+2)+J97+MAX(0,J98-J97)+MAX(0,J99-J98)+MAX(0,J100-J99)+MAX(0,J101-J100)+MAX(0,J102-J101)),IF(B91=1,(H91/(B91+3)+J102),IF(B91=0,H91/4+J102))))</f>
        <v>46</v>
      </c>
      <c r="K103" s="81"/>
      <c r="L103" s="80"/>
    </row>
    <row r="104" spans="1:15" ht="15" customHeight="1">
      <c r="A104" s="163" t="s">
        <v>143</v>
      </c>
      <c r="B104" s="164"/>
      <c r="C104" s="164"/>
      <c r="D104" s="164"/>
      <c r="E104" s="165"/>
      <c r="F104" s="163" t="str">
        <f>(IF(E66="100%","Yes",IF(E66&gt;0%,"Under Construction",IF(E66=0%,"Work not yet Started"))))</f>
        <v>Under Construction</v>
      </c>
      <c r="G104" s="164"/>
      <c r="H104" s="165"/>
    </row>
    <row r="105" spans="1:15">
      <c r="A105" s="104" t="s">
        <v>144</v>
      </c>
      <c r="B105" s="104"/>
      <c r="C105" s="104"/>
      <c r="D105" s="104"/>
      <c r="E105" s="104"/>
      <c r="F105" s="104"/>
      <c r="G105" s="104"/>
      <c r="H105" s="104"/>
    </row>
    <row r="106" spans="1:15" ht="15" customHeight="1">
      <c r="A106" s="109" t="s">
        <v>145</v>
      </c>
      <c r="B106" s="109"/>
      <c r="C106" s="131" t="s">
        <v>146</v>
      </c>
      <c r="D106" s="131"/>
      <c r="E106" s="131"/>
      <c r="F106" s="131"/>
      <c r="G106" s="131"/>
      <c r="H106" s="131"/>
    </row>
    <row r="107" spans="1:15">
      <c r="A107" s="109" t="s">
        <v>147</v>
      </c>
      <c r="B107" s="109"/>
      <c r="C107" s="109"/>
      <c r="D107" s="109"/>
      <c r="E107" s="109"/>
      <c r="F107" s="109"/>
      <c r="G107" s="109"/>
      <c r="H107" s="109"/>
      <c r="J107" s="166" t="s">
        <v>148</v>
      </c>
      <c r="K107" s="166"/>
      <c r="L107" s="166"/>
      <c r="M107" s="166"/>
      <c r="N107" s="166"/>
      <c r="O107" s="166"/>
    </row>
    <row r="108" spans="1:15" ht="15.75" customHeight="1">
      <c r="A108" s="104" t="s">
        <v>149</v>
      </c>
      <c r="B108" s="104"/>
      <c r="C108" s="104"/>
      <c r="D108" s="104"/>
      <c r="E108" s="104"/>
      <c r="F108" s="127">
        <v>12000</v>
      </c>
      <c r="G108" s="127"/>
      <c r="H108" s="127"/>
      <c r="J108" s="166" t="s">
        <v>150</v>
      </c>
      <c r="K108" s="166"/>
      <c r="L108" s="166"/>
      <c r="M108" s="166"/>
      <c r="N108" s="166"/>
      <c r="O108" s="166"/>
    </row>
    <row r="109" spans="1:15">
      <c r="A109" s="104" t="s">
        <v>151</v>
      </c>
      <c r="B109" s="104"/>
      <c r="C109" s="104"/>
      <c r="D109" s="104"/>
      <c r="E109" s="104"/>
      <c r="F109" s="127">
        <v>15000</v>
      </c>
      <c r="G109" s="127"/>
      <c r="H109" s="127"/>
      <c r="J109" s="166" t="s">
        <v>152</v>
      </c>
      <c r="K109" s="166"/>
      <c r="L109" s="166"/>
      <c r="M109" s="166"/>
      <c r="N109" s="166"/>
      <c r="O109" s="166"/>
    </row>
    <row r="110" spans="1:15" s="58" customFormat="1">
      <c r="A110" s="104" t="s">
        <v>153</v>
      </c>
      <c r="B110" s="104"/>
      <c r="C110" s="104"/>
      <c r="D110" s="104"/>
      <c r="E110" s="104"/>
      <c r="F110" s="127" t="s">
        <v>154</v>
      </c>
      <c r="G110" s="127"/>
      <c r="H110" s="127"/>
      <c r="J110" s="58" t="s">
        <v>155</v>
      </c>
    </row>
    <row r="111" spans="1:15" s="58" customFormat="1">
      <c r="A111" s="104" t="s">
        <v>156</v>
      </c>
      <c r="B111" s="104"/>
      <c r="C111" s="104"/>
      <c r="D111" s="104"/>
      <c r="E111" s="104"/>
      <c r="F111" s="127" t="s">
        <v>157</v>
      </c>
      <c r="G111" s="127"/>
      <c r="H111" s="127"/>
      <c r="J111" s="58" t="s">
        <v>279</v>
      </c>
    </row>
    <row r="112" spans="1:15" s="58" customFormat="1">
      <c r="A112" s="104" t="s">
        <v>158</v>
      </c>
      <c r="B112" s="104"/>
      <c r="C112" s="104"/>
      <c r="D112" s="104"/>
      <c r="E112" s="104"/>
      <c r="F112" s="111" t="s">
        <v>159</v>
      </c>
      <c r="G112" s="127"/>
      <c r="H112" s="127"/>
    </row>
    <row r="113" spans="1:8" s="58" customFormat="1" hidden="1">
      <c r="A113" s="104" t="s">
        <v>160</v>
      </c>
      <c r="B113" s="104"/>
      <c r="C113" s="104"/>
      <c r="D113" s="104"/>
      <c r="E113" s="104"/>
      <c r="F113" s="127" t="s">
        <v>57</v>
      </c>
      <c r="G113" s="127"/>
      <c r="H113" s="127"/>
    </row>
    <row r="114" spans="1:8" s="58" customFormat="1" hidden="1">
      <c r="A114" s="104" t="s">
        <v>161</v>
      </c>
      <c r="B114" s="104"/>
      <c r="C114" s="104"/>
      <c r="D114" s="104"/>
      <c r="E114" s="104"/>
      <c r="F114" s="127" t="s">
        <v>57</v>
      </c>
      <c r="G114" s="127"/>
      <c r="H114" s="127"/>
    </row>
    <row r="115" spans="1:8" s="58" customFormat="1" hidden="1">
      <c r="A115" s="104" t="s">
        <v>162</v>
      </c>
      <c r="B115" s="104"/>
      <c r="C115" s="104"/>
      <c r="D115" s="104"/>
      <c r="E115" s="104"/>
      <c r="F115" s="127" t="s">
        <v>57</v>
      </c>
      <c r="G115" s="127"/>
      <c r="H115" s="127"/>
    </row>
    <row r="116" spans="1:8" s="58" customFormat="1" hidden="1">
      <c r="A116" s="104" t="s">
        <v>163</v>
      </c>
      <c r="B116" s="104"/>
      <c r="C116" s="104"/>
      <c r="D116" s="104"/>
      <c r="E116" s="104"/>
      <c r="F116" s="111" t="s">
        <v>164</v>
      </c>
      <c r="G116" s="127"/>
      <c r="H116" s="127"/>
    </row>
    <row r="117" spans="1:8" s="58" customFormat="1" hidden="1">
      <c r="A117" s="104" t="s">
        <v>165</v>
      </c>
      <c r="B117" s="104"/>
      <c r="C117" s="104"/>
      <c r="D117" s="104"/>
      <c r="E117" s="104"/>
      <c r="F117" s="127" t="s">
        <v>57</v>
      </c>
      <c r="G117" s="127"/>
      <c r="H117" s="127"/>
    </row>
    <row r="118" spans="1:8">
      <c r="A118" s="104" t="s">
        <v>166</v>
      </c>
      <c r="B118" s="104"/>
      <c r="C118" s="104"/>
      <c r="D118" s="104"/>
      <c r="E118" s="104"/>
      <c r="F118" s="111" t="s">
        <v>167</v>
      </c>
      <c r="G118" s="111"/>
      <c r="H118" s="111"/>
    </row>
    <row r="119" spans="1:8" s="59" customFormat="1">
      <c r="A119" s="167" t="s">
        <v>168</v>
      </c>
      <c r="B119" s="167"/>
      <c r="C119" s="167"/>
      <c r="D119" s="167"/>
      <c r="E119" s="167"/>
      <c r="F119" s="168">
        <f>F108*0.8</f>
        <v>9600</v>
      </c>
      <c r="G119" s="168"/>
      <c r="H119" s="168"/>
    </row>
    <row r="120" spans="1:8" s="60" customFormat="1">
      <c r="A120" s="169" t="s">
        <v>169</v>
      </c>
      <c r="B120" s="170"/>
      <c r="C120" s="170"/>
      <c r="D120" s="170"/>
      <c r="E120" s="170"/>
      <c r="F120" s="170"/>
      <c r="G120" s="170"/>
      <c r="H120" s="171"/>
    </row>
    <row r="121" spans="1:8" s="60" customFormat="1" ht="15.75" customHeight="1">
      <c r="A121" s="172" t="s">
        <v>170</v>
      </c>
      <c r="B121" s="173"/>
      <c r="C121" s="174" t="s">
        <v>171</v>
      </c>
      <c r="D121" s="174"/>
      <c r="E121" s="175" t="s">
        <v>172</v>
      </c>
      <c r="F121" s="175"/>
      <c r="G121" s="173" t="s">
        <v>173</v>
      </c>
      <c r="H121" s="176"/>
    </row>
    <row r="122" spans="1:8" s="60" customFormat="1">
      <c r="A122" s="177" t="s">
        <v>174</v>
      </c>
      <c r="B122" s="178"/>
      <c r="C122" s="179">
        <f>COUNT(D178:D190)</f>
        <v>13</v>
      </c>
      <c r="D122" s="180"/>
      <c r="E122" s="181">
        <f>SUM(D178:D190)</f>
        <v>5298.3637199999985</v>
      </c>
      <c r="F122" s="182"/>
      <c r="G122" s="181">
        <f>SUM(F178:F190)</f>
        <v>8477.3819519999997</v>
      </c>
      <c r="H122" s="183"/>
    </row>
    <row r="123" spans="1:8" s="60" customFormat="1">
      <c r="A123" s="169" t="s">
        <v>175</v>
      </c>
      <c r="B123" s="170"/>
      <c r="C123" s="170"/>
      <c r="D123" s="170"/>
      <c r="E123" s="170"/>
      <c r="F123" s="170"/>
      <c r="G123" s="170"/>
      <c r="H123" s="171"/>
    </row>
    <row r="124" spans="1:8" s="60" customFormat="1" ht="15.75" customHeight="1">
      <c r="A124" s="172" t="s">
        <v>170</v>
      </c>
      <c r="B124" s="173"/>
      <c r="C124" s="174" t="s">
        <v>171</v>
      </c>
      <c r="D124" s="174"/>
      <c r="E124" s="175" t="s">
        <v>172</v>
      </c>
      <c r="F124" s="175"/>
      <c r="G124" s="173" t="s">
        <v>173</v>
      </c>
      <c r="H124" s="176"/>
    </row>
    <row r="125" spans="1:8" s="60" customFormat="1">
      <c r="A125" s="184" t="s">
        <v>176</v>
      </c>
      <c r="B125" s="185"/>
      <c r="C125" s="186">
        <f>COUNT(D139:D145)*19+COUNT(D147:D153)*18</f>
        <v>259</v>
      </c>
      <c r="D125" s="187"/>
      <c r="E125" s="188">
        <f>SUM(D139:D145)*19+SUM(D147:D153)*18</f>
        <v>246085.63691399997</v>
      </c>
      <c r="F125" s="189"/>
      <c r="G125" s="188">
        <f>SUM(F139:F145)*19+SUM(F147:F153)*18</f>
        <v>525845</v>
      </c>
      <c r="H125" s="190"/>
    </row>
    <row r="126" spans="1:8" s="60" customFormat="1">
      <c r="A126" s="184" t="s">
        <v>177</v>
      </c>
      <c r="B126" s="185"/>
      <c r="C126" s="186">
        <f>COUNT(D158:D165)*19+COUNT(D167:D174)*18</f>
        <v>296</v>
      </c>
      <c r="D126" s="187"/>
      <c r="E126" s="188">
        <f>SUM(D158:D165)*19+SUM(D167:D174)*18</f>
        <v>271282.98225599999</v>
      </c>
      <c r="F126" s="189"/>
      <c r="G126" s="188">
        <f>SUM(F158:F165)*19+SUM(F167:F174)*18</f>
        <v>486330</v>
      </c>
      <c r="H126" s="190"/>
    </row>
    <row r="127" spans="1:8" s="60" customFormat="1">
      <c r="A127" s="184" t="s">
        <v>174</v>
      </c>
      <c r="B127" s="185"/>
      <c r="C127" s="186">
        <f>COUNT(D193:D199)*19+COUNT(D201:D207)*18</f>
        <v>259</v>
      </c>
      <c r="D127" s="187"/>
      <c r="E127" s="188">
        <f>SUM(D193:D199)*19+SUM(D201:D207)*18</f>
        <v>246085.63691399997</v>
      </c>
      <c r="F127" s="189"/>
      <c r="G127" s="188">
        <f>SUM(F193:F199)*19+SUM(F201:F207)*18</f>
        <v>529825</v>
      </c>
      <c r="H127" s="190"/>
    </row>
    <row r="128" spans="1:8" s="60" customFormat="1">
      <c r="A128" s="184" t="s">
        <v>178</v>
      </c>
      <c r="B128" s="185"/>
      <c r="C128" s="186">
        <f>COUNT(D212:D219)*13+COUNT(D221:D228)*12</f>
        <v>200</v>
      </c>
      <c r="D128" s="187"/>
      <c r="E128" s="188">
        <f>SUM(D212:D219)*13+SUM(D221:D228)*12</f>
        <v>183301.49073600001</v>
      </c>
      <c r="F128" s="189"/>
      <c r="G128" s="188">
        <f>SUM(F212:F219)*13+SUM(F221:F228)*12</f>
        <v>313666</v>
      </c>
      <c r="H128" s="190"/>
    </row>
    <row r="129" spans="1:11" s="60" customFormat="1">
      <c r="A129" s="184" t="s">
        <v>179</v>
      </c>
      <c r="B129" s="185"/>
      <c r="C129" s="186">
        <f>COUNT(D233:D239)*17+COUNT(D241:D247)*17+COUNT(D249:D253,D255)*3+COUNT(D257:D261,D263)*4+COUNT(D266,D268:D271)</f>
        <v>285</v>
      </c>
      <c r="D129" s="187"/>
      <c r="E129" s="188">
        <f>SUM(D233:D239)*17+SUM(D241:D247)*17+SUM(D249:D253,D255)*3+SUM(D257:D261,D263)*4+SUM(D266,D268:D271)</f>
        <v>317706.15736080002</v>
      </c>
      <c r="F129" s="189"/>
      <c r="G129" s="188">
        <f>SUM(F233:F239)*17+SUM(F241:F247)*17+SUM(F249:F253,F255)*3+SUM(F257:F261,F263)*4+SUM(F266,F268:F271)</f>
        <v>578200</v>
      </c>
      <c r="H129" s="189"/>
    </row>
    <row r="130" spans="1:11" s="60" customFormat="1">
      <c r="A130" s="191" t="s">
        <v>180</v>
      </c>
      <c r="B130" s="192"/>
      <c r="C130" s="193">
        <f>SUM(C125:C129)</f>
        <v>1299</v>
      </c>
      <c r="D130" s="193"/>
      <c r="E130" s="194">
        <f>SUM(E125:E129)</f>
        <v>1264461.9041808001</v>
      </c>
      <c r="F130" s="195"/>
      <c r="G130" s="194">
        <f>SUM(G125:G129)</f>
        <v>2433866</v>
      </c>
      <c r="H130" s="196"/>
    </row>
    <row r="131" spans="1:11" s="60" customFormat="1">
      <c r="A131" s="197" t="s">
        <v>181</v>
      </c>
      <c r="B131" s="198"/>
      <c r="C131" s="199">
        <f>C122+C130</f>
        <v>1312</v>
      </c>
      <c r="D131" s="199"/>
      <c r="E131" s="200">
        <f>E122+E130</f>
        <v>1269760.2679008001</v>
      </c>
      <c r="F131" s="201"/>
      <c r="G131" s="200">
        <f>G122+G130</f>
        <v>2442343.3819519999</v>
      </c>
      <c r="H131" s="202"/>
    </row>
    <row r="132" spans="1:11" s="59" customFormat="1">
      <c r="A132" s="203" t="s">
        <v>182</v>
      </c>
      <c r="B132" s="203"/>
      <c r="C132" s="203"/>
      <c r="D132" s="203"/>
      <c r="E132" s="203"/>
      <c r="F132" s="203"/>
      <c r="G132" s="203"/>
      <c r="H132" s="203"/>
    </row>
    <row r="133" spans="1:11">
      <c r="A133" s="152" t="s">
        <v>183</v>
      </c>
      <c r="B133" s="152"/>
      <c r="C133" s="152"/>
      <c r="D133" s="152"/>
      <c r="E133" s="152"/>
      <c r="F133" s="152"/>
      <c r="G133" s="152"/>
      <c r="H133" s="152"/>
    </row>
    <row r="134" spans="1:11" ht="47.25" customHeight="1">
      <c r="A134" s="85" t="s">
        <v>184</v>
      </c>
      <c r="B134" s="85" t="s">
        <v>185</v>
      </c>
      <c r="C134" s="86" t="s">
        <v>186</v>
      </c>
      <c r="D134" s="86" t="s">
        <v>187</v>
      </c>
      <c r="E134" s="87" t="s">
        <v>188</v>
      </c>
      <c r="F134" s="86" t="s">
        <v>189</v>
      </c>
      <c r="G134" s="204" t="s">
        <v>190</v>
      </c>
      <c r="H134" s="205"/>
      <c r="I134" s="90"/>
    </row>
    <row r="135" spans="1:11" s="61" customFormat="1" ht="15.75" customHeight="1">
      <c r="A135" s="206" t="s">
        <v>191</v>
      </c>
      <c r="B135" s="207"/>
      <c r="C135" s="207"/>
      <c r="D135" s="207"/>
      <c r="E135" s="207"/>
      <c r="F135" s="207"/>
      <c r="G135" s="207"/>
      <c r="H135" s="208"/>
    </row>
    <row r="136" spans="1:11" s="61" customFormat="1" ht="15.75" customHeight="1">
      <c r="A136" s="206" t="s">
        <v>192</v>
      </c>
      <c r="B136" s="207"/>
      <c r="C136" s="207"/>
      <c r="D136" s="207"/>
      <c r="E136" s="207"/>
      <c r="F136" s="207"/>
      <c r="G136" s="207"/>
      <c r="H136" s="208"/>
    </row>
    <row r="137" spans="1:11" s="61" customFormat="1" ht="15.75" customHeight="1">
      <c r="A137" s="206" t="s">
        <v>193</v>
      </c>
      <c r="B137" s="207"/>
      <c r="C137" s="207"/>
      <c r="D137" s="207"/>
      <c r="E137" s="207"/>
      <c r="F137" s="207"/>
      <c r="G137" s="207"/>
      <c r="H137" s="208"/>
    </row>
    <row r="138" spans="1:11" s="61" customFormat="1" ht="36" customHeight="1">
      <c r="A138" s="206" t="s">
        <v>194</v>
      </c>
      <c r="B138" s="207"/>
      <c r="C138" s="207"/>
      <c r="D138" s="207"/>
      <c r="E138" s="207"/>
      <c r="F138" s="207"/>
      <c r="G138" s="207"/>
      <c r="H138" s="208"/>
    </row>
    <row r="139" spans="1:11" s="61" customFormat="1" ht="15.75" customHeight="1">
      <c r="A139" s="209">
        <v>1</v>
      </c>
      <c r="B139" s="210"/>
      <c r="C139" s="89" t="s">
        <v>195</v>
      </c>
      <c r="D139" s="88">
        <f>((75.18)+(3.65*1.55+3.02*1.16)+(3.35+3.65)*0.6)*10.764</f>
        <v>953.05209479999996</v>
      </c>
      <c r="E139" s="89">
        <f>(3.13*1.36)*10.764</f>
        <v>45.820195200000001</v>
      </c>
      <c r="F139" s="89">
        <v>2215</v>
      </c>
      <c r="G139" s="226" t="str">
        <f>A138</f>
        <v>4th, 6th, 8th, 10th, 12th, 14th, 16th, 18th, 20th, 22nd, 24th, 26th, 28th, 30th, 32nd, 34th, 36th, 38th &amp; 40th Floor</v>
      </c>
      <c r="H139" s="227"/>
      <c r="K139" s="61">
        <f>400*F139</f>
        <v>886000</v>
      </c>
    </row>
    <row r="140" spans="1:11" s="61" customFormat="1">
      <c r="A140" s="209">
        <v>2</v>
      </c>
      <c r="B140" s="210"/>
      <c r="C140" s="89" t="s">
        <v>196</v>
      </c>
      <c r="D140" s="88">
        <f>((147.32)+(4.35*1.53+2.98*1.05+3.2*1.35+3.35*1.45+3.35*1.65)+(3.35*0.6))*10.764</f>
        <v>1870.9930979999997</v>
      </c>
      <c r="E140" s="89">
        <f>(3.2*1.38)*10.764</f>
        <v>47.533823999999989</v>
      </c>
      <c r="F140" s="89">
        <v>3295</v>
      </c>
      <c r="G140" s="228"/>
      <c r="H140" s="229"/>
      <c r="K140" s="61">
        <f t="shared" ref="K140:K145" si="0">400*F140</f>
        <v>1318000</v>
      </c>
    </row>
    <row r="141" spans="1:11" s="61" customFormat="1">
      <c r="A141" s="209">
        <v>3</v>
      </c>
      <c r="B141" s="210"/>
      <c r="C141" s="89" t="s">
        <v>195</v>
      </c>
      <c r="D141" s="88">
        <f>((75.18)+(3.65*1.55+3.02*1.16)+(3.35+3.65)*0.6)*10.764</f>
        <v>953.05209479999996</v>
      </c>
      <c r="E141" s="89">
        <f>(3.13*1.36)*10.764</f>
        <v>45.820195200000001</v>
      </c>
      <c r="F141" s="89">
        <v>2215</v>
      </c>
      <c r="G141" s="228"/>
      <c r="H141" s="229"/>
      <c r="K141" s="61">
        <f t="shared" si="0"/>
        <v>886000</v>
      </c>
    </row>
    <row r="142" spans="1:11" s="61" customFormat="1">
      <c r="A142" s="209">
        <v>4</v>
      </c>
      <c r="B142" s="210"/>
      <c r="C142" s="89" t="s">
        <v>195</v>
      </c>
      <c r="D142" s="88">
        <f>((65.81)+(3.3*2+2.76*1.2)+(3.35+3.05)*0.6)*10.764</f>
        <v>856.40536800000007</v>
      </c>
      <c r="E142" s="89">
        <f>(3.13*1.36)*10.764</f>
        <v>45.820195200000001</v>
      </c>
      <c r="F142" s="89">
        <v>1855</v>
      </c>
      <c r="G142" s="228"/>
      <c r="H142" s="229"/>
      <c r="K142" s="61">
        <f t="shared" si="0"/>
        <v>742000</v>
      </c>
    </row>
    <row r="143" spans="1:11" s="61" customFormat="1">
      <c r="A143" s="209">
        <v>5</v>
      </c>
      <c r="B143" s="210"/>
      <c r="C143" s="89" t="s">
        <v>197</v>
      </c>
      <c r="D143" s="88">
        <f>((45.95)+(3.3*1.7+3.3*1.7)+(3.3*0.6))*10.764</f>
        <v>636.6905999999999</v>
      </c>
      <c r="E143" s="89">
        <f>(3.76*1.37)*10.764</f>
        <v>55.447516800000002</v>
      </c>
      <c r="F143" s="89">
        <v>1415</v>
      </c>
      <c r="G143" s="228"/>
      <c r="H143" s="229"/>
      <c r="K143" s="61">
        <f t="shared" si="0"/>
        <v>566000</v>
      </c>
    </row>
    <row r="144" spans="1:11" s="61" customFormat="1">
      <c r="A144" s="209">
        <v>6</v>
      </c>
      <c r="B144" s="210"/>
      <c r="C144" s="89" t="s">
        <v>197</v>
      </c>
      <c r="D144" s="88">
        <f>((45.98)+(3.3*1.7+3.3*1.7)+(3.3*0.6))*10.764</f>
        <v>637.01351999999986</v>
      </c>
      <c r="E144" s="89">
        <f>(3.76*1.37)*10.764</f>
        <v>55.447516800000002</v>
      </c>
      <c r="F144" s="89">
        <v>1415</v>
      </c>
      <c r="G144" s="228"/>
      <c r="H144" s="229"/>
      <c r="K144" s="61">
        <f t="shared" si="0"/>
        <v>566000</v>
      </c>
    </row>
    <row r="145" spans="1:11" s="61" customFormat="1">
      <c r="A145" s="209">
        <v>7</v>
      </c>
      <c r="B145" s="210"/>
      <c r="C145" s="89" t="s">
        <v>195</v>
      </c>
      <c r="D145" s="88">
        <f>((65.81)+(3.3*2+2.76*1.2)+(3.05+3.35)*0.6)*10.764</f>
        <v>856.40536800000007</v>
      </c>
      <c r="E145" s="89">
        <f>(3.13*1.36)*10.764</f>
        <v>45.820195200000001</v>
      </c>
      <c r="F145" s="89">
        <v>1875</v>
      </c>
      <c r="G145" s="230"/>
      <c r="H145" s="231"/>
      <c r="K145" s="61">
        <f t="shared" si="0"/>
        <v>750000</v>
      </c>
    </row>
    <row r="146" spans="1:11" s="61" customFormat="1" ht="32.25" customHeight="1">
      <c r="A146" s="206" t="s">
        <v>198</v>
      </c>
      <c r="B146" s="207"/>
      <c r="C146" s="207"/>
      <c r="D146" s="207"/>
      <c r="E146" s="207"/>
      <c r="F146" s="207"/>
      <c r="G146" s="207"/>
      <c r="H146" s="208"/>
    </row>
    <row r="147" spans="1:11" s="61" customFormat="1" ht="15.75" customHeight="1">
      <c r="A147" s="209">
        <v>1</v>
      </c>
      <c r="B147" s="210"/>
      <c r="C147" s="89" t="s">
        <v>195</v>
      </c>
      <c r="D147" s="88">
        <f>((75.18)+(3.65*1.55+3.02*1.16))*10.764</f>
        <v>907.84329479999997</v>
      </c>
      <c r="E147" s="89">
        <f>(3.65*1.25)*10.764</f>
        <v>49.110749999999996</v>
      </c>
      <c r="F147" s="89">
        <v>2215</v>
      </c>
      <c r="G147" s="226" t="str">
        <f>A146</f>
        <v>5th, 7th, 9th, 11th, 13th, 15th, 17th, 19th, 21st, 23rd, 25th, 27th, 29th, 31st, 33rd, 35th, 37th, 39th Floor</v>
      </c>
      <c r="H147" s="227"/>
    </row>
    <row r="148" spans="1:11" s="61" customFormat="1">
      <c r="A148" s="209">
        <v>2</v>
      </c>
      <c r="B148" s="210"/>
      <c r="C148" s="89" t="s">
        <v>196</v>
      </c>
      <c r="D148" s="88">
        <f>((147.32)+(3.65*1.65+4.33*1.53+2.95*3.35+3.35*1.65))*10.764</f>
        <v>1887.7623335999999</v>
      </c>
      <c r="E148" s="89">
        <f>(3.35*1.05)*10.764</f>
        <v>37.862369999999999</v>
      </c>
      <c r="F148" s="89">
        <v>3295</v>
      </c>
      <c r="G148" s="228"/>
      <c r="H148" s="229"/>
    </row>
    <row r="149" spans="1:11" s="61" customFormat="1">
      <c r="A149" s="209">
        <v>3</v>
      </c>
      <c r="B149" s="210"/>
      <c r="C149" s="89" t="s">
        <v>195</v>
      </c>
      <c r="D149" s="88">
        <f>((75.18)+(3.65*1.55+3.02*1.16))*10.764</f>
        <v>907.84329479999997</v>
      </c>
      <c r="E149" s="89">
        <f>(3.65*1.25)*10.764</f>
        <v>49.110749999999996</v>
      </c>
      <c r="F149" s="89">
        <v>2215</v>
      </c>
      <c r="G149" s="228"/>
      <c r="H149" s="229"/>
    </row>
    <row r="150" spans="1:11" s="61" customFormat="1">
      <c r="A150" s="209">
        <v>4</v>
      </c>
      <c r="B150" s="210"/>
      <c r="C150" s="89" t="s">
        <v>195</v>
      </c>
      <c r="D150" s="88">
        <f>((65.81)+(3.3*2+2.76*1.2))*10.764</f>
        <v>815.07160800000008</v>
      </c>
      <c r="E150" s="89">
        <f>(3.35*1.85)*10.764</f>
        <v>66.709890000000001</v>
      </c>
      <c r="F150" s="89">
        <v>1690</v>
      </c>
      <c r="G150" s="228"/>
      <c r="H150" s="229"/>
    </row>
    <row r="151" spans="1:11" s="61" customFormat="1">
      <c r="A151" s="209">
        <v>5</v>
      </c>
      <c r="B151" s="210"/>
      <c r="C151" s="89" t="s">
        <v>197</v>
      </c>
      <c r="D151" s="88">
        <f>((45.98)+(3.3*1.7+2.4*1.7))*10.764</f>
        <v>599.23187999999993</v>
      </c>
      <c r="E151" s="89">
        <f>(3.3*1.35)*10.764</f>
        <v>47.953620000000001</v>
      </c>
      <c r="F151" s="89">
        <v>1415</v>
      </c>
      <c r="G151" s="228"/>
      <c r="H151" s="229"/>
    </row>
    <row r="152" spans="1:11" s="61" customFormat="1">
      <c r="A152" s="209">
        <v>6</v>
      </c>
      <c r="B152" s="210"/>
      <c r="C152" s="89" t="s">
        <v>197</v>
      </c>
      <c r="D152" s="88">
        <f>((45.98)+(3.3*1.7+2.4*1.7))*10.764</f>
        <v>599.23187999999993</v>
      </c>
      <c r="E152" s="89">
        <f>(3.3*1.35)*10.764</f>
        <v>47.953620000000001</v>
      </c>
      <c r="F152" s="89">
        <v>1415</v>
      </c>
      <c r="G152" s="228"/>
      <c r="H152" s="229"/>
    </row>
    <row r="153" spans="1:11" s="61" customFormat="1">
      <c r="A153" s="209">
        <v>7</v>
      </c>
      <c r="B153" s="210"/>
      <c r="C153" s="89" t="s">
        <v>195</v>
      </c>
      <c r="D153" s="88">
        <f>((65.81)+(3.3*2+2.76*1.2))*10.764</f>
        <v>815.07160800000008</v>
      </c>
      <c r="E153" s="89">
        <f>(3.35*1.85)*10.764</f>
        <v>66.709890000000001</v>
      </c>
      <c r="F153" s="89">
        <v>1890</v>
      </c>
      <c r="G153" s="230"/>
      <c r="H153" s="231"/>
    </row>
    <row r="154" spans="1:11" s="61" customFormat="1" ht="15.75" customHeight="1">
      <c r="A154" s="206" t="s">
        <v>199</v>
      </c>
      <c r="B154" s="207"/>
      <c r="C154" s="207"/>
      <c r="D154" s="207"/>
      <c r="E154" s="207"/>
      <c r="F154" s="207"/>
      <c r="G154" s="207"/>
      <c r="H154" s="208"/>
    </row>
    <row r="155" spans="1:11" s="61" customFormat="1" ht="15.75" customHeight="1">
      <c r="A155" s="206" t="s">
        <v>192</v>
      </c>
      <c r="B155" s="207"/>
      <c r="C155" s="207"/>
      <c r="D155" s="207"/>
      <c r="E155" s="207"/>
      <c r="F155" s="207"/>
      <c r="G155" s="207"/>
      <c r="H155" s="208"/>
    </row>
    <row r="156" spans="1:11" s="61" customFormat="1" ht="15.75" customHeight="1">
      <c r="A156" s="206" t="s">
        <v>200</v>
      </c>
      <c r="B156" s="207"/>
      <c r="C156" s="207"/>
      <c r="D156" s="207"/>
      <c r="E156" s="207"/>
      <c r="F156" s="207"/>
      <c r="G156" s="207"/>
      <c r="H156" s="208"/>
    </row>
    <row r="157" spans="1:11" s="61" customFormat="1" ht="35.25" customHeight="1">
      <c r="A157" s="206" t="s">
        <v>194</v>
      </c>
      <c r="B157" s="207"/>
      <c r="C157" s="207"/>
      <c r="D157" s="207"/>
      <c r="E157" s="207"/>
      <c r="F157" s="207"/>
      <c r="G157" s="207"/>
      <c r="H157" s="208"/>
    </row>
    <row r="158" spans="1:11" s="61" customFormat="1" ht="15.75" customHeight="1">
      <c r="A158" s="209">
        <v>1</v>
      </c>
      <c r="B158" s="210"/>
      <c r="C158" s="89" t="s">
        <v>195</v>
      </c>
      <c r="D158" s="88">
        <f>((92.28)+(3.65*1.8+3.06*1.2)+(3.65*0.6))*10.764</f>
        <v>1127.119968</v>
      </c>
      <c r="E158" s="89">
        <f>(3.13*1.34)*10.764</f>
        <v>45.146368800000005</v>
      </c>
      <c r="F158" s="89">
        <v>2025</v>
      </c>
      <c r="G158" s="226" t="str">
        <f>A157</f>
        <v>4th, 6th, 8th, 10th, 12th, 14th, 16th, 18th, 20th, 22nd, 24th, 26th, 28th, 30th, 32nd, 34th, 36th, 38th &amp; 40th Floor</v>
      </c>
      <c r="H158" s="227"/>
    </row>
    <row r="159" spans="1:11" s="61" customFormat="1">
      <c r="A159" s="209">
        <v>2</v>
      </c>
      <c r="B159" s="210"/>
      <c r="C159" s="89" t="s">
        <v>197</v>
      </c>
      <c r="D159" s="88">
        <f>((62.98)+(3.35*1.65+2.45*1.05)+(3.35*0.6))*10.764</f>
        <v>786.74076000000002</v>
      </c>
      <c r="E159" s="89">
        <f>(3.13*1.25)*10.764</f>
        <v>42.114149999999995</v>
      </c>
      <c r="F159" s="89">
        <v>1400</v>
      </c>
      <c r="G159" s="228"/>
      <c r="H159" s="229"/>
    </row>
    <row r="160" spans="1:11" s="61" customFormat="1">
      <c r="A160" s="209">
        <v>3</v>
      </c>
      <c r="B160" s="210"/>
      <c r="C160" s="89" t="s">
        <v>197</v>
      </c>
      <c r="D160" s="88">
        <f>((62.98)+(3.35*1.65+2.45*1.05)+(3.35*0.6))*10.764</f>
        <v>786.74076000000002</v>
      </c>
      <c r="E160" s="89">
        <f>(3.13*1.25)*10.764</f>
        <v>42.114149999999995</v>
      </c>
      <c r="F160" s="89">
        <v>1400</v>
      </c>
      <c r="G160" s="228"/>
      <c r="H160" s="229"/>
    </row>
    <row r="161" spans="1:8" s="61" customFormat="1">
      <c r="A161" s="209">
        <v>4</v>
      </c>
      <c r="B161" s="210"/>
      <c r="C161" s="89" t="s">
        <v>195</v>
      </c>
      <c r="D161" s="88">
        <f>((92.28)+(3.65*1.8+3.06*1.2)+(3.65*0.6))*10.764</f>
        <v>1127.119968</v>
      </c>
      <c r="E161" s="89">
        <f>(3.05*1.4)*10.764</f>
        <v>45.962279999999993</v>
      </c>
      <c r="F161" s="89">
        <v>2025</v>
      </c>
      <c r="G161" s="228"/>
      <c r="H161" s="229"/>
    </row>
    <row r="162" spans="1:8" s="61" customFormat="1">
      <c r="A162" s="209">
        <v>5</v>
      </c>
      <c r="B162" s="210"/>
      <c r="C162" s="89" t="s">
        <v>195</v>
      </c>
      <c r="D162" s="88">
        <f>((84.78)+(3.3*2+2.45*1.2)+(3.05+3.3)*0.6)*10.764</f>
        <v>1056.2713199999998</v>
      </c>
      <c r="E162" s="89">
        <f>(3*1.35)*10.764</f>
        <v>43.594200000000008</v>
      </c>
      <c r="F162" s="89">
        <v>1855</v>
      </c>
      <c r="G162" s="228"/>
      <c r="H162" s="229"/>
    </row>
    <row r="163" spans="1:8" s="61" customFormat="1">
      <c r="A163" s="209">
        <v>6</v>
      </c>
      <c r="B163" s="210"/>
      <c r="C163" s="89" t="s">
        <v>197</v>
      </c>
      <c r="D163" s="88">
        <f>((58.38)+(2.4*1.15)+(3.35+3)*0.6)*10.764</f>
        <v>699.12180000000001</v>
      </c>
      <c r="E163" s="89">
        <f>(3.4*1.35)*10.764</f>
        <v>49.406759999999998</v>
      </c>
      <c r="F163" s="89">
        <v>1275</v>
      </c>
      <c r="G163" s="228"/>
      <c r="H163" s="229"/>
    </row>
    <row r="164" spans="1:8" s="61" customFormat="1">
      <c r="A164" s="209">
        <v>7</v>
      </c>
      <c r="B164" s="210"/>
      <c r="C164" s="89" t="s">
        <v>197</v>
      </c>
      <c r="D164" s="88">
        <f>((58.38)+(2.4*1.15)+(3.35+3)*0.6)*10.764</f>
        <v>699.12180000000001</v>
      </c>
      <c r="E164" s="89">
        <f>(3.4*1.35)*10.764</f>
        <v>49.406759999999998</v>
      </c>
      <c r="F164" s="89">
        <v>1275</v>
      </c>
      <c r="G164" s="228"/>
      <c r="H164" s="229"/>
    </row>
    <row r="165" spans="1:8" s="61" customFormat="1">
      <c r="A165" s="209">
        <v>8</v>
      </c>
      <c r="B165" s="210"/>
      <c r="C165" s="89" t="s">
        <v>195</v>
      </c>
      <c r="D165" s="88">
        <f>((84.78)+(3.3*2+2.45*1.2)+(3.05+3.3)*0.6)*10.764</f>
        <v>1056.2713199999998</v>
      </c>
      <c r="E165" s="89">
        <f>(3*1.35)*10.764</f>
        <v>43.594200000000008</v>
      </c>
      <c r="F165" s="89">
        <v>1855</v>
      </c>
      <c r="G165" s="230"/>
      <c r="H165" s="231"/>
    </row>
    <row r="166" spans="1:8" s="61" customFormat="1" ht="31.5" customHeight="1">
      <c r="A166" s="206" t="s">
        <v>198</v>
      </c>
      <c r="B166" s="207"/>
      <c r="C166" s="207"/>
      <c r="D166" s="207"/>
      <c r="E166" s="207"/>
      <c r="F166" s="207"/>
      <c r="G166" s="207"/>
      <c r="H166" s="208"/>
    </row>
    <row r="167" spans="1:8" s="61" customFormat="1" ht="15.75" customHeight="1">
      <c r="A167" s="209">
        <v>1</v>
      </c>
      <c r="B167" s="210"/>
      <c r="C167" s="89" t="s">
        <v>195</v>
      </c>
      <c r="D167" s="88">
        <f>((92.28)+(3.65*1.8+3.06*1.2)+(3.13*0.6))*10.764</f>
        <v>1123.7616</v>
      </c>
      <c r="E167" s="89">
        <f>(3.65*1.25)*10.764</f>
        <v>49.110749999999996</v>
      </c>
      <c r="F167" s="89">
        <v>2025</v>
      </c>
      <c r="G167" s="226" t="str">
        <f>A166</f>
        <v>5th, 7th, 9th, 11th, 13th, 15th, 17th, 19th, 21st, 23rd, 25th, 27th, 29th, 31st, 33rd, 35th, 37th, 39th Floor</v>
      </c>
      <c r="H167" s="227"/>
    </row>
    <row r="168" spans="1:8" s="61" customFormat="1">
      <c r="A168" s="209">
        <v>2</v>
      </c>
      <c r="B168" s="210"/>
      <c r="C168" s="89" t="s">
        <v>197</v>
      </c>
      <c r="D168" s="88">
        <f>((62.98)+(3.35*1.65+2.45*1.05)+(3.13*0.6))*10.764</f>
        <v>785.31991199999993</v>
      </c>
      <c r="E168" s="89">
        <f>(3.35*1.25)*10.764</f>
        <v>45.074249999999999</v>
      </c>
      <c r="F168" s="89">
        <v>1400</v>
      </c>
      <c r="G168" s="228"/>
      <c r="H168" s="229"/>
    </row>
    <row r="169" spans="1:8" s="61" customFormat="1">
      <c r="A169" s="209">
        <v>3</v>
      </c>
      <c r="B169" s="210"/>
      <c r="C169" s="89" t="s">
        <v>197</v>
      </c>
      <c r="D169" s="88">
        <f>((62.98)+(3.35*1.65+2.45*1.05)+(3.13*0.6))*10.764</f>
        <v>785.31991199999993</v>
      </c>
      <c r="E169" s="89">
        <f>(3.35*1.25)*10.764</f>
        <v>45.074249999999999</v>
      </c>
      <c r="F169" s="89">
        <v>1400</v>
      </c>
      <c r="G169" s="228"/>
      <c r="H169" s="229"/>
    </row>
    <row r="170" spans="1:8" s="61" customFormat="1">
      <c r="A170" s="209">
        <v>4</v>
      </c>
      <c r="B170" s="210"/>
      <c r="C170" s="89" t="s">
        <v>195</v>
      </c>
      <c r="D170" s="88">
        <f>((92.28)+(3.65*1.8+3.06*1.2)+(3.13*0.6))*10.764</f>
        <v>1123.7616</v>
      </c>
      <c r="E170" s="89">
        <f>(3.65*1.25)*10.764</f>
        <v>49.110749999999996</v>
      </c>
      <c r="F170" s="89">
        <v>2025</v>
      </c>
      <c r="G170" s="228"/>
      <c r="H170" s="229"/>
    </row>
    <row r="171" spans="1:8" s="61" customFormat="1">
      <c r="A171" s="209">
        <v>5</v>
      </c>
      <c r="B171" s="210"/>
      <c r="C171" s="89" t="s">
        <v>195</v>
      </c>
      <c r="D171" s="88">
        <f>((84.78)+(3.3*2+2.45*1.2)+(3.05+3)*0.6)*10.764</f>
        <v>1054.3337999999999</v>
      </c>
      <c r="E171" s="89">
        <f>(3.3*1.8)*10.764</f>
        <v>63.938159999999989</v>
      </c>
      <c r="F171" s="89">
        <v>1890</v>
      </c>
      <c r="G171" s="228"/>
      <c r="H171" s="229"/>
    </row>
    <row r="172" spans="1:8" s="61" customFormat="1">
      <c r="A172" s="209">
        <v>6</v>
      </c>
      <c r="B172" s="210"/>
      <c r="C172" s="89" t="s">
        <v>197</v>
      </c>
      <c r="D172" s="88">
        <f>((58.38)+(2.4*1.15)+(3.35+3)*0.6)*10.764</f>
        <v>699.12180000000001</v>
      </c>
      <c r="E172" s="89">
        <f>(3.4*1.35)*10.764</f>
        <v>49.406759999999998</v>
      </c>
      <c r="F172" s="89">
        <v>1275</v>
      </c>
      <c r="G172" s="228"/>
      <c r="H172" s="229"/>
    </row>
    <row r="173" spans="1:8" s="61" customFormat="1">
      <c r="A173" s="209">
        <v>7</v>
      </c>
      <c r="B173" s="210"/>
      <c r="C173" s="89" t="s">
        <v>197</v>
      </c>
      <c r="D173" s="88">
        <f>((58.38)+(2.4*1.15)+(3.35+3)*0.6)*10.764</f>
        <v>699.12180000000001</v>
      </c>
      <c r="E173" s="89">
        <f>(3.4*1.35)*10.764</f>
        <v>49.406759999999998</v>
      </c>
      <c r="F173" s="89">
        <v>1275</v>
      </c>
      <c r="G173" s="228"/>
      <c r="H173" s="229"/>
    </row>
    <row r="174" spans="1:8" s="61" customFormat="1">
      <c r="A174" s="209">
        <v>8</v>
      </c>
      <c r="B174" s="210"/>
      <c r="C174" s="89" t="s">
        <v>195</v>
      </c>
      <c r="D174" s="88">
        <f>((84.78)+(3.3*2+2.45*1.2)+(3.05+3)*0.6)*10.764</f>
        <v>1054.3337999999999</v>
      </c>
      <c r="E174" s="89">
        <f>(3.3*1.8)*10.764</f>
        <v>63.938159999999989</v>
      </c>
      <c r="F174" s="89">
        <v>1890</v>
      </c>
      <c r="G174" s="230"/>
      <c r="H174" s="231"/>
    </row>
    <row r="175" spans="1:8" s="61" customFormat="1" ht="15.75" customHeight="1">
      <c r="A175" s="206" t="s">
        <v>201</v>
      </c>
      <c r="B175" s="207"/>
      <c r="C175" s="207"/>
      <c r="D175" s="207"/>
      <c r="E175" s="207"/>
      <c r="F175" s="207"/>
      <c r="G175" s="207"/>
      <c r="H175" s="208"/>
    </row>
    <row r="176" spans="1:8" s="61" customFormat="1" ht="15.75" customHeight="1">
      <c r="A176" s="206" t="s">
        <v>202</v>
      </c>
      <c r="B176" s="207"/>
      <c r="C176" s="207"/>
      <c r="D176" s="207"/>
      <c r="E176" s="207"/>
      <c r="F176" s="207"/>
      <c r="G176" s="207"/>
      <c r="H176" s="208"/>
    </row>
    <row r="177" spans="1:9" s="61" customFormat="1" ht="15.75" customHeight="1">
      <c r="A177" s="206" t="s">
        <v>203</v>
      </c>
      <c r="B177" s="207"/>
      <c r="C177" s="207"/>
      <c r="D177" s="207"/>
      <c r="E177" s="207"/>
      <c r="F177" s="207"/>
      <c r="G177" s="207"/>
      <c r="H177" s="208"/>
    </row>
    <row r="178" spans="1:9" s="61" customFormat="1" ht="15.75" customHeight="1">
      <c r="A178" s="209">
        <v>1</v>
      </c>
      <c r="B178" s="210"/>
      <c r="C178" s="89" t="s">
        <v>204</v>
      </c>
      <c r="D178" s="88">
        <f>34.05*10.764</f>
        <v>366.51419999999996</v>
      </c>
      <c r="E178" s="89">
        <v>0</v>
      </c>
      <c r="F178" s="89">
        <f>D178*1.6</f>
        <v>586.42271999999991</v>
      </c>
      <c r="G178" s="226" t="str">
        <f>A177</f>
        <v>1st Podium for Parking &amp; Commercial</v>
      </c>
      <c r="H178" s="227"/>
      <c r="I178" s="61">
        <f>(F178-E178)/D178</f>
        <v>1.5999999999999999</v>
      </c>
    </row>
    <row r="179" spans="1:9" s="61" customFormat="1">
      <c r="A179" s="209">
        <f>A178+1</f>
        <v>2</v>
      </c>
      <c r="B179" s="210"/>
      <c r="C179" s="89" t="s">
        <v>204</v>
      </c>
      <c r="D179" s="88">
        <f>37.03*10.764</f>
        <v>398.59091999999998</v>
      </c>
      <c r="E179" s="89">
        <v>0</v>
      </c>
      <c r="F179" s="89">
        <f t="shared" ref="F179:F190" si="1">D179*1.6</f>
        <v>637.74547200000006</v>
      </c>
      <c r="G179" s="228"/>
      <c r="H179" s="229"/>
    </row>
    <row r="180" spans="1:9" s="61" customFormat="1">
      <c r="A180" s="209">
        <f t="shared" ref="A180:A184" si="2">A179+1</f>
        <v>3</v>
      </c>
      <c r="B180" s="210"/>
      <c r="C180" s="89" t="s">
        <v>204</v>
      </c>
      <c r="D180" s="88">
        <f>32.85*10.764</f>
        <v>353.59739999999999</v>
      </c>
      <c r="E180" s="89">
        <v>0</v>
      </c>
      <c r="F180" s="89">
        <f t="shared" si="1"/>
        <v>565.75584000000003</v>
      </c>
      <c r="G180" s="228"/>
      <c r="H180" s="229"/>
    </row>
    <row r="181" spans="1:9" s="61" customFormat="1">
      <c r="A181" s="209">
        <f t="shared" si="2"/>
        <v>4</v>
      </c>
      <c r="B181" s="210"/>
      <c r="C181" s="89" t="s">
        <v>204</v>
      </c>
      <c r="D181" s="88">
        <f>33.75*10.764</f>
        <v>363.28499999999997</v>
      </c>
      <c r="E181" s="89">
        <v>0</v>
      </c>
      <c r="F181" s="89">
        <f t="shared" si="1"/>
        <v>581.25599999999997</v>
      </c>
      <c r="G181" s="228"/>
      <c r="H181" s="229"/>
    </row>
    <row r="182" spans="1:9" s="61" customFormat="1">
      <c r="A182" s="209">
        <f t="shared" si="2"/>
        <v>5</v>
      </c>
      <c r="B182" s="210"/>
      <c r="C182" s="89" t="s">
        <v>204</v>
      </c>
      <c r="D182" s="88">
        <f>35.83*10.764</f>
        <v>385.67411999999996</v>
      </c>
      <c r="E182" s="89">
        <v>0</v>
      </c>
      <c r="F182" s="89">
        <f t="shared" si="1"/>
        <v>617.07859199999996</v>
      </c>
      <c r="G182" s="228"/>
      <c r="H182" s="229"/>
    </row>
    <row r="183" spans="1:9" s="61" customFormat="1">
      <c r="A183" s="209">
        <f t="shared" si="2"/>
        <v>6</v>
      </c>
      <c r="B183" s="210"/>
      <c r="C183" s="89" t="s">
        <v>204</v>
      </c>
      <c r="D183" s="88">
        <f>49.28*10.764</f>
        <v>530.44992000000002</v>
      </c>
      <c r="E183" s="89">
        <v>0</v>
      </c>
      <c r="F183" s="89">
        <f t="shared" si="1"/>
        <v>848.71987200000012</v>
      </c>
      <c r="G183" s="228"/>
      <c r="H183" s="229"/>
    </row>
    <row r="184" spans="1:9" s="61" customFormat="1">
      <c r="A184" s="209">
        <f t="shared" si="2"/>
        <v>7</v>
      </c>
      <c r="B184" s="210"/>
      <c r="C184" s="89" t="s">
        <v>204</v>
      </c>
      <c r="D184" s="88">
        <f>42.72*10.764</f>
        <v>459.83807999999993</v>
      </c>
      <c r="E184" s="89">
        <v>0</v>
      </c>
      <c r="F184" s="89">
        <f t="shared" si="1"/>
        <v>735.74092799999994</v>
      </c>
      <c r="G184" s="228"/>
      <c r="H184" s="229"/>
    </row>
    <row r="185" spans="1:9" s="61" customFormat="1">
      <c r="A185" s="209">
        <f t="shared" ref="A185:A188" si="3">A184+1</f>
        <v>8</v>
      </c>
      <c r="B185" s="210"/>
      <c r="C185" s="89" t="s">
        <v>204</v>
      </c>
      <c r="D185" s="88">
        <f>55.7*10.764</f>
        <v>599.5548</v>
      </c>
      <c r="E185" s="89">
        <v>0</v>
      </c>
      <c r="F185" s="89">
        <f t="shared" si="1"/>
        <v>959.28768000000002</v>
      </c>
      <c r="G185" s="228"/>
      <c r="H185" s="229"/>
    </row>
    <row r="186" spans="1:9" s="61" customFormat="1">
      <c r="A186" s="209">
        <f t="shared" si="3"/>
        <v>9</v>
      </c>
      <c r="B186" s="210"/>
      <c r="C186" s="89" t="s">
        <v>204</v>
      </c>
      <c r="D186" s="88">
        <f>32.87*10.764</f>
        <v>353.81267999999994</v>
      </c>
      <c r="E186" s="89">
        <v>0</v>
      </c>
      <c r="F186" s="89">
        <f t="shared" si="1"/>
        <v>566.10028799999998</v>
      </c>
      <c r="G186" s="228"/>
      <c r="H186" s="229"/>
    </row>
    <row r="187" spans="1:9" s="61" customFormat="1">
      <c r="A187" s="209">
        <f t="shared" si="3"/>
        <v>10</v>
      </c>
      <c r="B187" s="210"/>
      <c r="C187" s="89" t="s">
        <v>204</v>
      </c>
      <c r="D187" s="88">
        <f>34.18*10.764</f>
        <v>367.91351999999995</v>
      </c>
      <c r="E187" s="89">
        <v>0</v>
      </c>
      <c r="F187" s="89">
        <f t="shared" si="1"/>
        <v>588.66163199999994</v>
      </c>
      <c r="G187" s="228"/>
      <c r="H187" s="229"/>
    </row>
    <row r="188" spans="1:9" s="61" customFormat="1">
      <c r="A188" s="209">
        <f t="shared" si="3"/>
        <v>11</v>
      </c>
      <c r="B188" s="210"/>
      <c r="C188" s="89" t="s">
        <v>204</v>
      </c>
      <c r="D188" s="88">
        <f>32.53*10.764</f>
        <v>350.15291999999999</v>
      </c>
      <c r="E188" s="89">
        <v>0</v>
      </c>
      <c r="F188" s="89">
        <f t="shared" si="1"/>
        <v>560.24467200000004</v>
      </c>
      <c r="G188" s="228"/>
      <c r="H188" s="229"/>
    </row>
    <row r="189" spans="1:9" s="61" customFormat="1">
      <c r="A189" s="209">
        <f t="shared" ref="A189:A190" si="4">A188+1</f>
        <v>12</v>
      </c>
      <c r="B189" s="210"/>
      <c r="C189" s="89" t="s">
        <v>204</v>
      </c>
      <c r="D189" s="88">
        <f>37.4*10.764</f>
        <v>402.57359999999994</v>
      </c>
      <c r="E189" s="89">
        <v>0</v>
      </c>
      <c r="F189" s="89">
        <f t="shared" si="1"/>
        <v>644.11775999999998</v>
      </c>
      <c r="G189" s="228"/>
      <c r="H189" s="229"/>
    </row>
    <row r="190" spans="1:9" s="61" customFormat="1">
      <c r="A190" s="209">
        <f t="shared" si="4"/>
        <v>13</v>
      </c>
      <c r="B190" s="210"/>
      <c r="C190" s="89" t="s">
        <v>204</v>
      </c>
      <c r="D190" s="88">
        <f>34.04*10.764</f>
        <v>366.40655999999996</v>
      </c>
      <c r="E190" s="89">
        <v>0</v>
      </c>
      <c r="F190" s="89">
        <f t="shared" si="1"/>
        <v>586.250496</v>
      </c>
      <c r="G190" s="230"/>
      <c r="H190" s="231"/>
    </row>
    <row r="191" spans="1:9" s="61" customFormat="1" ht="15.75" customHeight="1">
      <c r="A191" s="206" t="s">
        <v>200</v>
      </c>
      <c r="B191" s="207"/>
      <c r="C191" s="207"/>
      <c r="D191" s="207"/>
      <c r="E191" s="207"/>
      <c r="F191" s="207"/>
      <c r="G191" s="207"/>
      <c r="H191" s="208"/>
    </row>
    <row r="192" spans="1:9" s="61" customFormat="1" ht="35.25" customHeight="1">
      <c r="A192" s="206" t="s">
        <v>194</v>
      </c>
      <c r="B192" s="207"/>
      <c r="C192" s="207"/>
      <c r="D192" s="207"/>
      <c r="E192" s="207"/>
      <c r="F192" s="207"/>
      <c r="G192" s="207"/>
      <c r="H192" s="208"/>
    </row>
    <row r="193" spans="1:9" s="61" customFormat="1" ht="15.75" customHeight="1">
      <c r="A193" s="209">
        <v>1</v>
      </c>
      <c r="B193" s="210"/>
      <c r="C193" s="89" t="s">
        <v>195</v>
      </c>
      <c r="D193" s="88">
        <f>((75.18)+(3.65*1.55+3.02*1.16)+(3.35+3.65)*0.6)*10.764</f>
        <v>953.05209479999996</v>
      </c>
      <c r="E193" s="89">
        <f>(3.13*1.36)*10.764</f>
        <v>45.820195200000001</v>
      </c>
      <c r="F193" s="89">
        <v>2215</v>
      </c>
      <c r="G193" s="226" t="str">
        <f>A192</f>
        <v>4th, 6th, 8th, 10th, 12th, 14th, 16th, 18th, 20th, 22nd, 24th, 26th, 28th, 30th, 32nd, 34th, 36th, 38th &amp; 40th Floor</v>
      </c>
      <c r="H193" s="227"/>
      <c r="I193" s="61">
        <f>(F193-E193)/D193</f>
        <v>2.276034874311049</v>
      </c>
    </row>
    <row r="194" spans="1:9" s="61" customFormat="1">
      <c r="A194" s="209">
        <v>2</v>
      </c>
      <c r="B194" s="210"/>
      <c r="C194" s="89" t="s">
        <v>196</v>
      </c>
      <c r="D194" s="88">
        <f>((147.32)+(4.35*1.53+2.98*1.05+3.2*1.35+3.35*1.45+3.35*1.65)+(3.35*0.6))*10.764</f>
        <v>1870.9930979999997</v>
      </c>
      <c r="E194" s="89">
        <f>(3.2*1.38)*10.764</f>
        <v>47.533823999999989</v>
      </c>
      <c r="F194" s="89">
        <v>3295</v>
      </c>
      <c r="G194" s="228"/>
      <c r="H194" s="229"/>
    </row>
    <row r="195" spans="1:9" s="61" customFormat="1">
      <c r="A195" s="209">
        <v>3</v>
      </c>
      <c r="B195" s="210"/>
      <c r="C195" s="89" t="s">
        <v>195</v>
      </c>
      <c r="D195" s="88">
        <f>((75.18)+(3.65*1.55+3.02*1.16)+(3.35+3.65)*0.6)*10.764</f>
        <v>953.05209479999996</v>
      </c>
      <c r="E195" s="89">
        <f>(3.13*1.36)*10.764</f>
        <v>45.820195200000001</v>
      </c>
      <c r="F195" s="89">
        <v>2215</v>
      </c>
      <c r="G195" s="228"/>
      <c r="H195" s="229"/>
    </row>
    <row r="196" spans="1:9" s="61" customFormat="1">
      <c r="A196" s="209">
        <v>4</v>
      </c>
      <c r="B196" s="210"/>
      <c r="C196" s="89" t="s">
        <v>195</v>
      </c>
      <c r="D196" s="88">
        <f>((65.81)+(3.3*2+2.76*1.2)+(3.35+3.05)*0.6)*10.764</f>
        <v>856.40536800000007</v>
      </c>
      <c r="E196" s="89">
        <f>(3.13*1.36)*10.764</f>
        <v>45.820195200000001</v>
      </c>
      <c r="F196" s="89">
        <v>1875</v>
      </c>
      <c r="G196" s="228"/>
      <c r="H196" s="229"/>
    </row>
    <row r="197" spans="1:9" s="61" customFormat="1">
      <c r="A197" s="209">
        <v>5</v>
      </c>
      <c r="B197" s="210"/>
      <c r="C197" s="89" t="s">
        <v>197</v>
      </c>
      <c r="D197" s="88">
        <f>((45.95)+(3.3*1.7+3.3*1.7)+(3.3*0.6))*10.764</f>
        <v>636.6905999999999</v>
      </c>
      <c r="E197" s="89">
        <f>(3.76*1.37)*10.764</f>
        <v>55.447516800000002</v>
      </c>
      <c r="F197" s="89">
        <v>1415</v>
      </c>
      <c r="G197" s="228"/>
      <c r="H197" s="229"/>
    </row>
    <row r="198" spans="1:9" s="61" customFormat="1">
      <c r="A198" s="209">
        <v>6</v>
      </c>
      <c r="B198" s="210"/>
      <c r="C198" s="89" t="s">
        <v>197</v>
      </c>
      <c r="D198" s="88">
        <f>((45.98)+(3.3*1.7+3.3*1.7)+(3.3*0.6))*10.764</f>
        <v>637.01351999999986</v>
      </c>
      <c r="E198" s="89">
        <f>(3.76*1.37)*10.764</f>
        <v>55.447516800000002</v>
      </c>
      <c r="F198" s="89">
        <v>1415</v>
      </c>
      <c r="G198" s="228"/>
      <c r="H198" s="229"/>
    </row>
    <row r="199" spans="1:9" s="61" customFormat="1">
      <c r="A199" s="209">
        <v>7</v>
      </c>
      <c r="B199" s="210"/>
      <c r="C199" s="89" t="s">
        <v>195</v>
      </c>
      <c r="D199" s="88">
        <f>((65.81)+(3.3*2+2.76*1.2)+(3.05+3.35)*0.6)*10.764</f>
        <v>856.40536800000007</v>
      </c>
      <c r="E199" s="89">
        <f>(3.13*1.36)*10.764</f>
        <v>45.820195200000001</v>
      </c>
      <c r="F199" s="89">
        <v>1875</v>
      </c>
      <c r="G199" s="230"/>
      <c r="H199" s="231"/>
    </row>
    <row r="200" spans="1:9" s="61" customFormat="1" ht="31.5" customHeight="1">
      <c r="A200" s="206" t="s">
        <v>198</v>
      </c>
      <c r="B200" s="207"/>
      <c r="C200" s="207"/>
      <c r="D200" s="207"/>
      <c r="E200" s="207"/>
      <c r="F200" s="207"/>
      <c r="G200" s="207"/>
      <c r="H200" s="208"/>
    </row>
    <row r="201" spans="1:9" s="61" customFormat="1" ht="15.75" customHeight="1">
      <c r="A201" s="209">
        <v>1</v>
      </c>
      <c r="B201" s="210"/>
      <c r="C201" s="89" t="s">
        <v>195</v>
      </c>
      <c r="D201" s="88">
        <f>((75.18)+(3.65*1.55+3.02*1.16))*10.764</f>
        <v>907.84329479999997</v>
      </c>
      <c r="E201" s="89">
        <f>(3.65*1.25)*10.764</f>
        <v>49.110749999999996</v>
      </c>
      <c r="F201" s="89">
        <v>2215</v>
      </c>
      <c r="G201" s="226" t="str">
        <f>A200</f>
        <v>5th, 7th, 9th, 11th, 13th, 15th, 17th, 19th, 21st, 23rd, 25th, 27th, 29th, 31st, 33rd, 35th, 37th, 39th Floor</v>
      </c>
      <c r="H201" s="227"/>
    </row>
    <row r="202" spans="1:9" s="61" customFormat="1">
      <c r="A202" s="209">
        <v>2</v>
      </c>
      <c r="B202" s="210"/>
      <c r="C202" s="89" t="s">
        <v>196</v>
      </c>
      <c r="D202" s="88">
        <f>((147.32)+(3.65*1.65+4.33*1.53+2.95*3.35+3.35*1.65))*10.764</f>
        <v>1887.7623335999999</v>
      </c>
      <c r="E202" s="89">
        <f>(3.35*1.05)*10.764</f>
        <v>37.862369999999999</v>
      </c>
      <c r="F202" s="89">
        <v>3295</v>
      </c>
      <c r="G202" s="228"/>
      <c r="H202" s="229"/>
    </row>
    <row r="203" spans="1:9" s="61" customFormat="1">
      <c r="A203" s="209">
        <v>3</v>
      </c>
      <c r="B203" s="210"/>
      <c r="C203" s="89" t="s">
        <v>195</v>
      </c>
      <c r="D203" s="88">
        <f>((75.18)+(3.65*1.55+3.02*1.16))*10.764</f>
        <v>907.84329479999997</v>
      </c>
      <c r="E203" s="89">
        <f>(3.65*1.25)*10.764</f>
        <v>49.110749999999996</v>
      </c>
      <c r="F203" s="89">
        <v>2215</v>
      </c>
      <c r="G203" s="228"/>
      <c r="H203" s="229"/>
    </row>
    <row r="204" spans="1:9" s="61" customFormat="1">
      <c r="A204" s="209">
        <v>4</v>
      </c>
      <c r="B204" s="210"/>
      <c r="C204" s="89" t="s">
        <v>195</v>
      </c>
      <c r="D204" s="88">
        <f>((65.81)+(3.3*2+2.76*1.2))*10.764</f>
        <v>815.07160800000008</v>
      </c>
      <c r="E204" s="89">
        <f>(3.35*1.85)*10.764</f>
        <v>66.709890000000001</v>
      </c>
      <c r="F204" s="89">
        <v>1890</v>
      </c>
      <c r="G204" s="228"/>
      <c r="H204" s="229"/>
    </row>
    <row r="205" spans="1:9" s="61" customFormat="1">
      <c r="A205" s="209">
        <v>5</v>
      </c>
      <c r="B205" s="210"/>
      <c r="C205" s="89" t="s">
        <v>197</v>
      </c>
      <c r="D205" s="88">
        <f>((45.98)+(3.3*1.7+2.4*1.7))*10.764</f>
        <v>599.23187999999993</v>
      </c>
      <c r="E205" s="89">
        <f>(3.3*1.35)*10.764</f>
        <v>47.953620000000001</v>
      </c>
      <c r="F205" s="89">
        <v>1415</v>
      </c>
      <c r="G205" s="228"/>
      <c r="H205" s="229"/>
    </row>
    <row r="206" spans="1:9" s="61" customFormat="1">
      <c r="A206" s="209">
        <v>6</v>
      </c>
      <c r="B206" s="210"/>
      <c r="C206" s="89" t="s">
        <v>197</v>
      </c>
      <c r="D206" s="88">
        <f>((45.98)+(3.3*1.7+2.4*1.7))*10.764</f>
        <v>599.23187999999993</v>
      </c>
      <c r="E206" s="89">
        <f>(3.3*1.35)*10.764</f>
        <v>47.953620000000001</v>
      </c>
      <c r="F206" s="89">
        <v>1415</v>
      </c>
      <c r="G206" s="228"/>
      <c r="H206" s="229"/>
    </row>
    <row r="207" spans="1:9" s="61" customFormat="1">
      <c r="A207" s="209">
        <v>7</v>
      </c>
      <c r="B207" s="210"/>
      <c r="C207" s="89" t="s">
        <v>195</v>
      </c>
      <c r="D207" s="88">
        <f>((65.81)+(3.3*2+2.76*1.2))*10.764</f>
        <v>815.07160800000008</v>
      </c>
      <c r="E207" s="89">
        <f>(3.35*1.85)*10.764</f>
        <v>66.709890000000001</v>
      </c>
      <c r="F207" s="89">
        <v>1890</v>
      </c>
      <c r="G207" s="230"/>
      <c r="H207" s="231"/>
    </row>
    <row r="208" spans="1:9" s="61" customFormat="1" ht="15.75" customHeight="1">
      <c r="A208" s="206" t="s">
        <v>205</v>
      </c>
      <c r="B208" s="207"/>
      <c r="C208" s="207"/>
      <c r="D208" s="207"/>
      <c r="E208" s="207"/>
      <c r="F208" s="207"/>
      <c r="G208" s="207"/>
      <c r="H208" s="208"/>
    </row>
    <row r="209" spans="1:8" s="61" customFormat="1" ht="15.75" customHeight="1">
      <c r="A209" s="206" t="s">
        <v>192</v>
      </c>
      <c r="B209" s="207"/>
      <c r="C209" s="207"/>
      <c r="D209" s="207"/>
      <c r="E209" s="207"/>
      <c r="F209" s="207"/>
      <c r="G209" s="207"/>
      <c r="H209" s="208"/>
    </row>
    <row r="210" spans="1:8" s="61" customFormat="1" ht="15.75" customHeight="1">
      <c r="A210" s="206" t="s">
        <v>200</v>
      </c>
      <c r="B210" s="207"/>
      <c r="C210" s="207"/>
      <c r="D210" s="207"/>
      <c r="E210" s="207"/>
      <c r="F210" s="207"/>
      <c r="G210" s="207"/>
      <c r="H210" s="208"/>
    </row>
    <row r="211" spans="1:8" s="61" customFormat="1" ht="15.75" customHeight="1">
      <c r="A211" s="206" t="s">
        <v>206</v>
      </c>
      <c r="B211" s="207"/>
      <c r="C211" s="207"/>
      <c r="D211" s="207"/>
      <c r="E211" s="207"/>
      <c r="F211" s="207"/>
      <c r="G211" s="207"/>
      <c r="H211" s="208"/>
    </row>
    <row r="212" spans="1:8" s="61" customFormat="1" ht="15.75" customHeight="1">
      <c r="A212" s="209">
        <v>1</v>
      </c>
      <c r="B212" s="210"/>
      <c r="C212" s="89" t="s">
        <v>195</v>
      </c>
      <c r="D212" s="88">
        <f>((92.28)+(3.65*1.8+3.06*1.2)+(3.65*0.6))*10.764</f>
        <v>1127.119968</v>
      </c>
      <c r="E212" s="89">
        <f>(3.13*1.34)*10.764</f>
        <v>45.146368800000005</v>
      </c>
      <c r="F212" s="89">
        <v>2025</v>
      </c>
      <c r="G212" s="226" t="str">
        <f>A211</f>
        <v>4th, 6th, 8th, 10th, 12th, 14th, 16th, 18th, 20th, 22nd, 24th, 26th, 28th Floor</v>
      </c>
      <c r="H212" s="227"/>
    </row>
    <row r="213" spans="1:8" s="61" customFormat="1">
      <c r="A213" s="209">
        <v>2</v>
      </c>
      <c r="B213" s="210"/>
      <c r="C213" s="89" t="s">
        <v>197</v>
      </c>
      <c r="D213" s="88">
        <f>((62.98)+(3.35*1.65+2.45*1.05)+(3.35*0.6))*10.764</f>
        <v>786.74076000000002</v>
      </c>
      <c r="E213" s="89">
        <f>(3.13*1.25)*10.764</f>
        <v>42.114149999999995</v>
      </c>
      <c r="F213" s="89">
        <v>1400</v>
      </c>
      <c r="G213" s="228"/>
      <c r="H213" s="229"/>
    </row>
    <row r="214" spans="1:8" s="61" customFormat="1">
      <c r="A214" s="209">
        <v>3</v>
      </c>
      <c r="B214" s="210"/>
      <c r="C214" s="89" t="s">
        <v>197</v>
      </c>
      <c r="D214" s="88">
        <f>((62.98)+(3.35*1.65+2.45*1.05)+(3.35*0.6))*10.764</f>
        <v>786.74076000000002</v>
      </c>
      <c r="E214" s="89">
        <f>(3.13*1.25)*10.764</f>
        <v>42.114149999999995</v>
      </c>
      <c r="F214" s="89">
        <v>1400</v>
      </c>
      <c r="G214" s="228"/>
      <c r="H214" s="229"/>
    </row>
    <row r="215" spans="1:8" s="61" customFormat="1">
      <c r="A215" s="209">
        <v>4</v>
      </c>
      <c r="B215" s="210"/>
      <c r="C215" s="89" t="s">
        <v>195</v>
      </c>
      <c r="D215" s="88">
        <f>((92.28)+(3.65*1.8+3.06*1.2)+(3.65*0.6))*10.764</f>
        <v>1127.119968</v>
      </c>
      <c r="E215" s="89">
        <f>(3.05*1.4)*10.764</f>
        <v>45.962279999999993</v>
      </c>
      <c r="F215" s="89">
        <v>2025</v>
      </c>
      <c r="G215" s="228"/>
      <c r="H215" s="229"/>
    </row>
    <row r="216" spans="1:8" s="61" customFormat="1">
      <c r="A216" s="209">
        <v>5</v>
      </c>
      <c r="B216" s="210"/>
      <c r="C216" s="89" t="s">
        <v>195</v>
      </c>
      <c r="D216" s="88">
        <f>((84.78)+(3.3*2+2.45*1.2)+(3.05+3.3)*0.6)*10.764</f>
        <v>1056.2713199999998</v>
      </c>
      <c r="E216" s="89">
        <f>(3*1.35)*10.764</f>
        <v>43.594200000000008</v>
      </c>
      <c r="F216" s="89">
        <v>1855</v>
      </c>
      <c r="G216" s="228"/>
      <c r="H216" s="229"/>
    </row>
    <row r="217" spans="1:8" s="61" customFormat="1">
      <c r="A217" s="209">
        <v>6</v>
      </c>
      <c r="B217" s="210"/>
      <c r="C217" s="89" t="s">
        <v>197</v>
      </c>
      <c r="D217" s="88">
        <f>((58.38)+(2.4*1.15)+(3.35+3)*0.6)*10.764</f>
        <v>699.12180000000001</v>
      </c>
      <c r="E217" s="89">
        <f>(3.4*1.35)*10.764</f>
        <v>49.406759999999998</v>
      </c>
      <c r="F217" s="89">
        <v>1275</v>
      </c>
      <c r="G217" s="228"/>
      <c r="H217" s="229"/>
    </row>
    <row r="218" spans="1:8" s="61" customFormat="1">
      <c r="A218" s="209">
        <v>7</v>
      </c>
      <c r="B218" s="210"/>
      <c r="C218" s="89" t="s">
        <v>197</v>
      </c>
      <c r="D218" s="88">
        <f>((58.38)+(2.4*1.15)+(3.35+3)*0.6)*10.764</f>
        <v>699.12180000000001</v>
      </c>
      <c r="E218" s="89">
        <f>(3.4*1.35)*10.764</f>
        <v>49.406759999999998</v>
      </c>
      <c r="F218" s="89">
        <v>127</v>
      </c>
      <c r="G218" s="228"/>
      <c r="H218" s="229"/>
    </row>
    <row r="219" spans="1:8" s="61" customFormat="1">
      <c r="A219" s="209">
        <v>8</v>
      </c>
      <c r="B219" s="210"/>
      <c r="C219" s="89" t="s">
        <v>195</v>
      </c>
      <c r="D219" s="88">
        <f>((84.78)+(3.3*2+2.45*1.2)+(3.05+3.3)*0.6)*10.764</f>
        <v>1056.2713199999998</v>
      </c>
      <c r="E219" s="89">
        <f>(3*1.35)*10.764</f>
        <v>43.594200000000008</v>
      </c>
      <c r="F219" s="89">
        <v>1855</v>
      </c>
      <c r="G219" s="230"/>
      <c r="H219" s="231"/>
    </row>
    <row r="220" spans="1:8" s="61" customFormat="1" ht="15.75" customHeight="1">
      <c r="A220" s="206" t="s">
        <v>207</v>
      </c>
      <c r="B220" s="207"/>
      <c r="C220" s="207"/>
      <c r="D220" s="207"/>
      <c r="E220" s="207"/>
      <c r="F220" s="207"/>
      <c r="G220" s="207"/>
      <c r="H220" s="208"/>
    </row>
    <row r="221" spans="1:8" s="61" customFormat="1" ht="15.75" customHeight="1">
      <c r="A221" s="209">
        <v>1</v>
      </c>
      <c r="B221" s="210"/>
      <c r="C221" s="89" t="s">
        <v>195</v>
      </c>
      <c r="D221" s="88">
        <f>((92.28)+(3.65*1.8+3.06*1.2)+(3.13*0.6))*10.764</f>
        <v>1123.7616</v>
      </c>
      <c r="E221" s="89">
        <f>(3.65*1.25)*10.764</f>
        <v>49.110749999999996</v>
      </c>
      <c r="F221" s="89">
        <v>2025</v>
      </c>
      <c r="G221" s="226" t="str">
        <f>A220</f>
        <v>5th, 7th, 9th, 11th, 13th, 15th, 17th, 19th, 21st, 23rd, 25th &amp; 27th Floor</v>
      </c>
      <c r="H221" s="227"/>
    </row>
    <row r="222" spans="1:8" s="61" customFormat="1">
      <c r="A222" s="209">
        <v>2</v>
      </c>
      <c r="B222" s="210"/>
      <c r="C222" s="89" t="s">
        <v>197</v>
      </c>
      <c r="D222" s="88">
        <f>((62.98)+(3.35*1.65+2.45*1.05)+(3.13*0.6))*10.764</f>
        <v>785.31991199999993</v>
      </c>
      <c r="E222" s="89">
        <f>(3.35*1.25)*10.764</f>
        <v>45.074249999999999</v>
      </c>
      <c r="F222" s="89">
        <v>1400</v>
      </c>
      <c r="G222" s="228"/>
      <c r="H222" s="229"/>
    </row>
    <row r="223" spans="1:8" s="61" customFormat="1">
      <c r="A223" s="209">
        <v>3</v>
      </c>
      <c r="B223" s="210"/>
      <c r="C223" s="89" t="s">
        <v>197</v>
      </c>
      <c r="D223" s="88">
        <f>((62.98)+(3.35*1.65+2.45*1.05)+(3.13*0.6))*10.764</f>
        <v>785.31991199999993</v>
      </c>
      <c r="E223" s="89">
        <f>(3.35*1.25)*10.764</f>
        <v>45.074249999999999</v>
      </c>
      <c r="F223" s="89">
        <v>1400</v>
      </c>
      <c r="G223" s="228"/>
      <c r="H223" s="229"/>
    </row>
    <row r="224" spans="1:8" s="61" customFormat="1">
      <c r="A224" s="209">
        <v>4</v>
      </c>
      <c r="B224" s="210"/>
      <c r="C224" s="89" t="s">
        <v>195</v>
      </c>
      <c r="D224" s="88">
        <f>((92.28)+(3.65*1.8+3.06*1.2)+(3.13*0.6))*10.764</f>
        <v>1123.7616</v>
      </c>
      <c r="E224" s="89">
        <f>(3.65*1.25)*10.764</f>
        <v>49.110749999999996</v>
      </c>
      <c r="F224" s="89">
        <v>2025</v>
      </c>
      <c r="G224" s="228"/>
      <c r="H224" s="229"/>
    </row>
    <row r="225" spans="1:14" s="61" customFormat="1">
      <c r="A225" s="209">
        <v>5</v>
      </c>
      <c r="B225" s="210"/>
      <c r="C225" s="89" t="s">
        <v>195</v>
      </c>
      <c r="D225" s="88">
        <f>((84.78)+(3.3*2+2.45*1.2)+(3+3.05)*0.6)*10.764</f>
        <v>1054.3337999999999</v>
      </c>
      <c r="E225" s="89">
        <f>(3.3*1.8)*10.764</f>
        <v>63.938159999999989</v>
      </c>
      <c r="F225" s="89">
        <v>1890</v>
      </c>
      <c r="G225" s="228"/>
      <c r="H225" s="229"/>
    </row>
    <row r="226" spans="1:14" s="61" customFormat="1">
      <c r="A226" s="209">
        <v>6</v>
      </c>
      <c r="B226" s="210"/>
      <c r="C226" s="89" t="s">
        <v>197</v>
      </c>
      <c r="D226" s="88">
        <f>((58.38)+(2.4*1.15)+(3.35+3)*0.6)*10.764</f>
        <v>699.12180000000001</v>
      </c>
      <c r="E226" s="89">
        <f>(3.4*1.35)*10.764</f>
        <v>49.406759999999998</v>
      </c>
      <c r="F226" s="89">
        <v>1275</v>
      </c>
      <c r="G226" s="228"/>
      <c r="H226" s="229"/>
    </row>
    <row r="227" spans="1:14" s="61" customFormat="1">
      <c r="A227" s="209">
        <v>7</v>
      </c>
      <c r="B227" s="210"/>
      <c r="C227" s="89" t="s">
        <v>197</v>
      </c>
      <c r="D227" s="88">
        <f>((58.38)+(2.4*1.15)+(3.35+3)*0.6)*10.764</f>
        <v>699.12180000000001</v>
      </c>
      <c r="E227" s="89">
        <f>(3.4*1.35)*10.764</f>
        <v>49.406759999999998</v>
      </c>
      <c r="F227" s="89">
        <v>1275</v>
      </c>
      <c r="G227" s="228"/>
      <c r="H227" s="229"/>
    </row>
    <row r="228" spans="1:14" s="61" customFormat="1">
      <c r="A228" s="209">
        <v>8</v>
      </c>
      <c r="B228" s="210"/>
      <c r="C228" s="89" t="s">
        <v>195</v>
      </c>
      <c r="D228" s="88">
        <f>((84.78)+(3.3*2+2.45*1.2)+(3+3.05)*0.6)*10.764</f>
        <v>1054.3337999999999</v>
      </c>
      <c r="E228" s="89">
        <f>(3.3*1.8)*10.764</f>
        <v>63.938159999999989</v>
      </c>
      <c r="F228" s="89">
        <v>1890</v>
      </c>
      <c r="G228" s="230"/>
      <c r="H228" s="231"/>
    </row>
    <row r="229" spans="1:14" s="61" customFormat="1" ht="15.75" customHeight="1">
      <c r="A229" s="206" t="s">
        <v>208</v>
      </c>
      <c r="B229" s="207"/>
      <c r="C229" s="207"/>
      <c r="D229" s="207"/>
      <c r="E229" s="207"/>
      <c r="F229" s="207"/>
      <c r="G229" s="207"/>
      <c r="H229" s="208"/>
    </row>
    <row r="230" spans="1:14" s="61" customFormat="1" ht="15.75" customHeight="1">
      <c r="A230" s="206" t="s">
        <v>192</v>
      </c>
      <c r="B230" s="207"/>
      <c r="C230" s="207"/>
      <c r="D230" s="207"/>
      <c r="E230" s="207"/>
      <c r="F230" s="207"/>
      <c r="G230" s="207"/>
      <c r="H230" s="208"/>
    </row>
    <row r="231" spans="1:14" s="61" customFormat="1" ht="15.75" customHeight="1">
      <c r="A231" s="206" t="s">
        <v>200</v>
      </c>
      <c r="B231" s="207"/>
      <c r="C231" s="207"/>
      <c r="D231" s="207"/>
      <c r="E231" s="207"/>
      <c r="F231" s="207"/>
      <c r="G231" s="207"/>
      <c r="H231" s="208"/>
    </row>
    <row r="232" spans="1:14" s="61" customFormat="1" ht="33" customHeight="1">
      <c r="A232" s="206" t="s">
        <v>209</v>
      </c>
      <c r="B232" s="207"/>
      <c r="C232" s="207"/>
      <c r="D232" s="207"/>
      <c r="E232" s="207"/>
      <c r="F232" s="207"/>
      <c r="G232" s="207"/>
      <c r="H232" s="208"/>
      <c r="K232" s="61" t="e">
        <f t="shared" ref="K232:K241" si="5">(F232-E232)/D232</f>
        <v>#DIV/0!</v>
      </c>
    </row>
    <row r="233" spans="1:14" s="61" customFormat="1" ht="15.75" customHeight="1">
      <c r="A233" s="209">
        <v>1</v>
      </c>
      <c r="B233" s="210"/>
      <c r="C233" s="89" t="s">
        <v>195</v>
      </c>
      <c r="D233" s="91">
        <f>(92.84+3.65*1.55+3.02*1.16+0.6*(3.65+3.35))*(10.764)</f>
        <v>1143.1443347999998</v>
      </c>
      <c r="E233" s="91">
        <f>(3.42*1.37)*(10.764)</f>
        <v>50.433645599999998</v>
      </c>
      <c r="F233" s="92">
        <v>2075</v>
      </c>
      <c r="G233" s="226" t="str">
        <f>A232</f>
        <v>4th, 6th, 8th, 10th, 14th, 16th, 18th, 20th, 24th, 26th, 28th, 30th, 34th,
36th, 38th, 40th &amp; 44th Floor For Residential</v>
      </c>
      <c r="H233" s="227"/>
      <c r="K233" s="61">
        <f t="shared" si="5"/>
        <v>1.771050507593348</v>
      </c>
      <c r="M233" s="61">
        <v>2300</v>
      </c>
      <c r="N233" s="61">
        <f>(M233-E233)/D233</f>
        <v>1.967876046722985</v>
      </c>
    </row>
    <row r="234" spans="1:14" s="61" customFormat="1">
      <c r="A234" s="209">
        <v>2</v>
      </c>
      <c r="B234" s="210"/>
      <c r="C234" s="89" t="s">
        <v>196</v>
      </c>
      <c r="D234" s="91">
        <f>(145.14+4.33*1.53+3.65*1.65+2.95*1.05+3.35*1.65+3.35*0.6)*(10.764)</f>
        <v>1812.8987135999996</v>
      </c>
      <c r="E234" s="91">
        <f>(3.2*1.65)*(10.764)</f>
        <v>56.833919999999999</v>
      </c>
      <c r="F234" s="92">
        <v>3295</v>
      </c>
      <c r="G234" s="228"/>
      <c r="H234" s="229"/>
      <c r="K234" s="61">
        <f t="shared" si="5"/>
        <v>1.7861814649146877</v>
      </c>
      <c r="M234" s="61">
        <v>3530</v>
      </c>
      <c r="N234" s="61">
        <f t="shared" ref="N234:N239" si="6">(M234-E234)/D234</f>
        <v>1.9158081220671681</v>
      </c>
    </row>
    <row r="235" spans="1:14" s="61" customFormat="1">
      <c r="A235" s="209">
        <v>3</v>
      </c>
      <c r="B235" s="210"/>
      <c r="C235" s="89" t="s">
        <v>195</v>
      </c>
      <c r="D235" s="91">
        <f>(92.84+3.65*1.55+3.02*1.16+0.6*(3.65+3.35))*(10.764)</f>
        <v>1143.1443347999998</v>
      </c>
      <c r="E235" s="91">
        <f>(3.42*1.37)*(10.764)</f>
        <v>50.433645599999998</v>
      </c>
      <c r="F235" s="92">
        <v>2075</v>
      </c>
      <c r="G235" s="228"/>
      <c r="H235" s="229"/>
      <c r="K235" s="61">
        <f t="shared" si="5"/>
        <v>1.771050507593348</v>
      </c>
      <c r="M235" s="61">
        <v>2300</v>
      </c>
      <c r="N235" s="61">
        <f t="shared" si="6"/>
        <v>1.967876046722985</v>
      </c>
    </row>
    <row r="236" spans="1:14" s="61" customFormat="1">
      <c r="A236" s="209">
        <v>4</v>
      </c>
      <c r="B236" s="210"/>
      <c r="C236" s="89" t="s">
        <v>195</v>
      </c>
      <c r="D236" s="91">
        <f>(81.26+3.3*2+2.76*1.2+0.6*(3.05+3.35))*(10.764)</f>
        <v>1022.709168</v>
      </c>
      <c r="E236" s="91">
        <f>(3.37*1.44)*(10.764)</f>
        <v>52.235539199999998</v>
      </c>
      <c r="F236" s="92">
        <v>1875</v>
      </c>
      <c r="G236" s="228"/>
      <c r="H236" s="229"/>
      <c r="K236" s="61">
        <f t="shared" si="5"/>
        <v>1.7822901347062141</v>
      </c>
      <c r="M236" s="61">
        <v>1990</v>
      </c>
      <c r="N236" s="61">
        <f t="shared" si="6"/>
        <v>1.8947365697224297</v>
      </c>
    </row>
    <row r="237" spans="1:14" s="61" customFormat="1">
      <c r="A237" s="209">
        <v>5</v>
      </c>
      <c r="B237" s="210"/>
      <c r="C237" s="89" t="s">
        <v>197</v>
      </c>
      <c r="D237" s="91">
        <f>(63.63+3.3*1.7+2.4*1+0.6*3.3)*(10.764)</f>
        <v>792.44568000000015</v>
      </c>
      <c r="E237" s="91">
        <f>(3.37*1.33)*(10.764)</f>
        <v>48.245324399999994</v>
      </c>
      <c r="F237" s="92">
        <v>1415</v>
      </c>
      <c r="G237" s="228"/>
      <c r="H237" s="229"/>
      <c r="K237" s="61">
        <f t="shared" si="5"/>
        <v>1.7247297954857923</v>
      </c>
      <c r="M237" s="61">
        <v>1475</v>
      </c>
      <c r="N237" s="61">
        <f t="shared" si="6"/>
        <v>1.8004447643654258</v>
      </c>
    </row>
    <row r="238" spans="1:14" s="61" customFormat="1">
      <c r="A238" s="209">
        <v>6</v>
      </c>
      <c r="B238" s="210"/>
      <c r="C238" s="89" t="s">
        <v>197</v>
      </c>
      <c r="D238" s="91">
        <f>(63.63+3.3*1.7+2.4*1+0.6*3.3)*(10.764)</f>
        <v>792.44568000000015</v>
      </c>
      <c r="E238" s="91">
        <f>(3.37*1.33)*(10.764)</f>
        <v>48.245324399999994</v>
      </c>
      <c r="F238" s="92">
        <v>1415</v>
      </c>
      <c r="G238" s="228"/>
      <c r="H238" s="229"/>
      <c r="K238" s="61">
        <f t="shared" si="5"/>
        <v>1.7247297954857923</v>
      </c>
      <c r="L238" s="212" t="s">
        <v>210</v>
      </c>
      <c r="M238" s="61">
        <v>1475</v>
      </c>
      <c r="N238" s="61">
        <f t="shared" si="6"/>
        <v>1.8004447643654258</v>
      </c>
    </row>
    <row r="239" spans="1:14" s="61" customFormat="1">
      <c r="A239" s="209">
        <v>7</v>
      </c>
      <c r="B239" s="210"/>
      <c r="C239" s="89" t="s">
        <v>195</v>
      </c>
      <c r="D239" s="91">
        <f>(81.26+3.3*2+2.76*1.2+0.6*(3.05+3.35))*(10.764)</f>
        <v>1022.709168</v>
      </c>
      <c r="E239" s="91">
        <f>(3.37*1.44)*(10.764)</f>
        <v>52.235539199999998</v>
      </c>
      <c r="F239" s="92">
        <v>1875</v>
      </c>
      <c r="G239" s="230"/>
      <c r="H239" s="231"/>
      <c r="K239" s="61">
        <f t="shared" si="5"/>
        <v>1.7822901347062141</v>
      </c>
      <c r="L239" s="212"/>
      <c r="M239" s="61">
        <v>1990</v>
      </c>
      <c r="N239" s="61">
        <f t="shared" si="6"/>
        <v>1.8947365697224297</v>
      </c>
    </row>
    <row r="240" spans="1:14" s="61" customFormat="1" ht="15.75" customHeight="1">
      <c r="A240" s="206" t="s">
        <v>211</v>
      </c>
      <c r="B240" s="207"/>
      <c r="C240" s="207"/>
      <c r="D240" s="207"/>
      <c r="E240" s="207"/>
      <c r="F240" s="207"/>
      <c r="G240" s="207"/>
      <c r="H240" s="208"/>
      <c r="K240" s="61" t="e">
        <f t="shared" si="5"/>
        <v>#DIV/0!</v>
      </c>
      <c r="L240" s="212"/>
    </row>
    <row r="241" spans="1:12" s="61" customFormat="1" ht="15.75" customHeight="1">
      <c r="A241" s="209">
        <v>1</v>
      </c>
      <c r="B241" s="210"/>
      <c r="C241" s="93" t="s">
        <v>195</v>
      </c>
      <c r="D241" s="91">
        <f>(92.84+3.65*1.55+3.02*1.16+0.6*(3.13+3.35))*(10.764)</f>
        <v>1139.7859667999999</v>
      </c>
      <c r="E241" s="91">
        <f>(3.65*1.25)*(10.764)</f>
        <v>49.110749999999996</v>
      </c>
      <c r="F241" s="92">
        <v>2075</v>
      </c>
      <c r="G241" s="226" t="str">
        <f>A240</f>
        <v>5th, 9th, 11th, 13th, 15th, 19th, 21st, 23rd, 25th, 29th, 31st, 33rd, 35th, 39th, 41st, 43rd &amp; 45th Floor</v>
      </c>
      <c r="H241" s="227"/>
      <c r="K241" s="61">
        <f t="shared" si="5"/>
        <v>1.7774295429235496</v>
      </c>
      <c r="L241" s="212"/>
    </row>
    <row r="242" spans="1:12" s="61" customFormat="1">
      <c r="A242" s="209">
        <v>2</v>
      </c>
      <c r="B242" s="210"/>
      <c r="C242" s="93" t="s">
        <v>196</v>
      </c>
      <c r="D242" s="91">
        <f>(145.14+4.33*1.53+3.65*1.65+2.95*1.05+3.35*1.65+3.2*0.6)*(10.764)</f>
        <v>1811.9299535999996</v>
      </c>
      <c r="E242" s="91">
        <f>(3.35*1.05)*(10.764)</f>
        <v>37.862369999999999</v>
      </c>
      <c r="F242" s="89">
        <v>3295</v>
      </c>
      <c r="G242" s="228"/>
      <c r="H242" s="229"/>
      <c r="K242" s="61">
        <f t="shared" ref="K242:K255" si="7">(F242-E242)/D242</f>
        <v>1.7976068134028118</v>
      </c>
    </row>
    <row r="243" spans="1:12" s="61" customFormat="1">
      <c r="A243" s="209">
        <v>3</v>
      </c>
      <c r="B243" s="210"/>
      <c r="C243" s="93" t="s">
        <v>195</v>
      </c>
      <c r="D243" s="91">
        <f>(92.84+3.65*1.55+3.02*1.16+0.6*(3.13+3.35))*(10.764)</f>
        <v>1139.7859667999999</v>
      </c>
      <c r="E243" s="91">
        <f>(3.65*1.25)*(10.764)</f>
        <v>49.110749999999996</v>
      </c>
      <c r="F243" s="92">
        <v>2075</v>
      </c>
      <c r="G243" s="228"/>
      <c r="H243" s="229"/>
      <c r="K243" s="61">
        <f t="shared" si="7"/>
        <v>1.7774295429235496</v>
      </c>
    </row>
    <row r="244" spans="1:12" s="61" customFormat="1">
      <c r="A244" s="209">
        <v>4</v>
      </c>
      <c r="B244" s="210"/>
      <c r="C244" s="93" t="s">
        <v>195</v>
      </c>
      <c r="D244" s="91">
        <f>(81.26+3.3*2+2.76*1.2+0.6*(3.05+3))*(10.764)</f>
        <v>1020.4487279999998</v>
      </c>
      <c r="E244" s="91">
        <f>(3.35*1.85)*(10.764)</f>
        <v>66.709890000000001</v>
      </c>
      <c r="F244" s="89">
        <v>1890</v>
      </c>
      <c r="G244" s="228"/>
      <c r="H244" s="229"/>
      <c r="K244" s="61">
        <f t="shared" si="7"/>
        <v>1.78675327821076</v>
      </c>
    </row>
    <row r="245" spans="1:12" s="61" customFormat="1">
      <c r="A245" s="209">
        <v>5</v>
      </c>
      <c r="B245" s="210"/>
      <c r="C245" s="93" t="s">
        <v>197</v>
      </c>
      <c r="D245" s="91">
        <f>(63.63+3.3*1.7+2.4*1+0.6*3)*(10.764)</f>
        <v>790.50816000000009</v>
      </c>
      <c r="E245" s="91">
        <f>(3.3*1.35)*(10.764)</f>
        <v>47.953620000000001</v>
      </c>
      <c r="F245" s="89">
        <v>1415</v>
      </c>
      <c r="G245" s="228"/>
      <c r="H245" s="229"/>
      <c r="K245" s="61">
        <f t="shared" si="7"/>
        <v>1.7293260831108939</v>
      </c>
    </row>
    <row r="246" spans="1:12" s="61" customFormat="1">
      <c r="A246" s="209">
        <v>6</v>
      </c>
      <c r="B246" s="210"/>
      <c r="C246" s="93" t="s">
        <v>197</v>
      </c>
      <c r="D246" s="91">
        <f>(63.63+3.3*1.7+2.4*1+0.6*3)*(10.764)</f>
        <v>790.50816000000009</v>
      </c>
      <c r="E246" s="91">
        <f>(3.3*1.35)*(10.764)</f>
        <v>47.953620000000001</v>
      </c>
      <c r="F246" s="89">
        <v>1415</v>
      </c>
      <c r="G246" s="228"/>
      <c r="H246" s="229"/>
      <c r="K246" s="61">
        <f t="shared" si="7"/>
        <v>1.7293260831108939</v>
      </c>
    </row>
    <row r="247" spans="1:12" s="61" customFormat="1">
      <c r="A247" s="209">
        <v>7</v>
      </c>
      <c r="B247" s="210"/>
      <c r="C247" s="93" t="s">
        <v>195</v>
      </c>
      <c r="D247" s="91">
        <f>(81.26+3.3*2+2.76*1.2+0.6*(3.05+3))*(10.764)</f>
        <v>1020.4487279999998</v>
      </c>
      <c r="E247" s="91">
        <f>(3.35*1.66)*(10.764)</f>
        <v>59.858603999999993</v>
      </c>
      <c r="F247" s="89">
        <v>1890</v>
      </c>
      <c r="G247" s="230"/>
      <c r="H247" s="231"/>
      <c r="K247" s="61">
        <f t="shared" si="7"/>
        <v>1.7934672715864273</v>
      </c>
    </row>
    <row r="248" spans="1:12" s="61" customFormat="1">
      <c r="A248" s="206" t="s">
        <v>212</v>
      </c>
      <c r="B248" s="207"/>
      <c r="C248" s="207"/>
      <c r="D248" s="207"/>
      <c r="E248" s="207"/>
      <c r="F248" s="207"/>
      <c r="G248" s="207"/>
      <c r="H248" s="208"/>
      <c r="K248" s="61" t="e">
        <f t="shared" si="7"/>
        <v>#DIV/0!</v>
      </c>
    </row>
    <row r="249" spans="1:12" s="61" customFormat="1" ht="15.75" customHeight="1">
      <c r="A249" s="209">
        <v>1</v>
      </c>
      <c r="B249" s="210"/>
      <c r="C249" s="94" t="s">
        <v>195</v>
      </c>
      <c r="D249" s="95">
        <f>(92.84+3.65*1.55+3.02*1.16+0.6*(3.65+3.35))*(10.764)</f>
        <v>1143.1443347999998</v>
      </c>
      <c r="E249" s="95">
        <f>(3.42*1.37)*(10.764)</f>
        <v>50.433645599999998</v>
      </c>
      <c r="F249" s="92">
        <v>2075</v>
      </c>
      <c r="G249" s="226" t="str">
        <f>A248</f>
        <v>12th, 22nd &amp; 32nd Floor (Part Refuge Area)</v>
      </c>
      <c r="H249" s="227"/>
      <c r="K249" s="61">
        <f t="shared" si="7"/>
        <v>1.771050507593348</v>
      </c>
    </row>
    <row r="250" spans="1:12" s="61" customFormat="1">
      <c r="A250" s="209">
        <v>2</v>
      </c>
      <c r="B250" s="210"/>
      <c r="C250" s="94" t="s">
        <v>196</v>
      </c>
      <c r="D250" s="95">
        <f>(145.14+4.33*1.53+3.65*1.65+2.95*1.05+3.35*1.65+3.35*0.6)*(10.764)</f>
        <v>1812.8987135999996</v>
      </c>
      <c r="E250" s="95">
        <f>(3.2*1.65)*(10.764)</f>
        <v>56.833919999999999</v>
      </c>
      <c r="F250" s="92">
        <v>3295</v>
      </c>
      <c r="G250" s="228"/>
      <c r="H250" s="229"/>
      <c r="K250" s="61">
        <f t="shared" si="7"/>
        <v>1.7861814649146877</v>
      </c>
    </row>
    <row r="251" spans="1:12" s="61" customFormat="1">
      <c r="A251" s="209">
        <v>3</v>
      </c>
      <c r="B251" s="210"/>
      <c r="C251" s="94" t="s">
        <v>195</v>
      </c>
      <c r="D251" s="95">
        <f>(92.84+3.65*1.55+3.02*1.16+0.6*(3.65+3.35))*(10.764)</f>
        <v>1143.1443347999998</v>
      </c>
      <c r="E251" s="95">
        <f>(3.42*1.37)*(10.764)</f>
        <v>50.433645599999998</v>
      </c>
      <c r="F251" s="92">
        <v>2075</v>
      </c>
      <c r="G251" s="228"/>
      <c r="H251" s="229"/>
      <c r="K251" s="61">
        <f t="shared" si="7"/>
        <v>1.771050507593348</v>
      </c>
    </row>
    <row r="252" spans="1:12" s="61" customFormat="1">
      <c r="A252" s="209">
        <v>4</v>
      </c>
      <c r="B252" s="210"/>
      <c r="C252" s="94" t="s">
        <v>195</v>
      </c>
      <c r="D252" s="95">
        <f>(81.26+3.3*2+2.76*1.2+0.6*(3.05+3.35))*(10.764)</f>
        <v>1022.709168</v>
      </c>
      <c r="E252" s="95">
        <f>(3.37*1.44)*(10.764)</f>
        <v>52.235539199999998</v>
      </c>
      <c r="F252" s="92">
        <v>1875</v>
      </c>
      <c r="G252" s="228"/>
      <c r="H252" s="229"/>
      <c r="K252" s="61">
        <f t="shared" si="7"/>
        <v>1.7822901347062141</v>
      </c>
    </row>
    <row r="253" spans="1:12" s="61" customFormat="1">
      <c r="A253" s="209">
        <v>5</v>
      </c>
      <c r="B253" s="210"/>
      <c r="C253" s="94" t="s">
        <v>195</v>
      </c>
      <c r="D253" s="95">
        <f>(79.86+3.3*1.7+2.4*1+0.6*3.3)*(10.764)</f>
        <v>967.1454</v>
      </c>
      <c r="E253" s="95">
        <f>(3.3*1.35*2)*(10.764)</f>
        <v>95.907240000000002</v>
      </c>
      <c r="F253" s="92">
        <v>1800</v>
      </c>
      <c r="G253" s="228"/>
      <c r="H253" s="229"/>
      <c r="K253" s="61">
        <f t="shared" si="7"/>
        <v>1.7619819729277522</v>
      </c>
    </row>
    <row r="254" spans="1:12" s="61" customFormat="1">
      <c r="A254" s="209">
        <v>6</v>
      </c>
      <c r="B254" s="210"/>
      <c r="C254" s="216" t="s">
        <v>213</v>
      </c>
      <c r="D254" s="217"/>
      <c r="E254" s="217"/>
      <c r="F254" s="218"/>
      <c r="G254" s="228"/>
      <c r="H254" s="229"/>
      <c r="K254" s="61" t="e">
        <f t="shared" si="7"/>
        <v>#DIV/0!</v>
      </c>
    </row>
    <row r="255" spans="1:12" s="61" customFormat="1">
      <c r="A255" s="209">
        <v>7</v>
      </c>
      <c r="B255" s="210"/>
      <c r="C255" s="94" t="s">
        <v>195</v>
      </c>
      <c r="D255" s="95">
        <f>(81.26+3.3*2+2.76*1.2+0.6*(3.05+3.35))*(10.764)</f>
        <v>1022.709168</v>
      </c>
      <c r="E255" s="95">
        <f>(3.37*1.44)*(10.764)</f>
        <v>52.235539199999998</v>
      </c>
      <c r="F255" s="92">
        <v>1875</v>
      </c>
      <c r="G255" s="230"/>
      <c r="H255" s="231"/>
      <c r="K255" s="61">
        <f t="shared" si="7"/>
        <v>1.7822901347062141</v>
      </c>
    </row>
    <row r="256" spans="1:12" s="61" customFormat="1" ht="15.75" customHeight="1">
      <c r="A256" s="222" t="s">
        <v>214</v>
      </c>
      <c r="B256" s="223"/>
      <c r="C256" s="223"/>
      <c r="D256" s="223"/>
      <c r="E256" s="223"/>
      <c r="F256" s="223"/>
      <c r="G256" s="223"/>
      <c r="H256" s="224"/>
      <c r="K256" s="61" t="e">
        <f t="shared" ref="K256:K272" si="8">(F256-E256)/D256</f>
        <v>#DIV/0!</v>
      </c>
    </row>
    <row r="257" spans="1:11" s="61" customFormat="1" ht="15.75" customHeight="1">
      <c r="A257" s="209">
        <v>1</v>
      </c>
      <c r="B257" s="210"/>
      <c r="C257" s="94" t="s">
        <v>195</v>
      </c>
      <c r="D257" s="95">
        <f>(92.84+3.65*1.55+3.02*1.16+0.6*(3.13+3.35))*(10.764)</f>
        <v>1139.7859667999999</v>
      </c>
      <c r="E257" s="95">
        <f>(3.65*1.25)*(10.764)</f>
        <v>49.110749999999996</v>
      </c>
      <c r="F257" s="92">
        <v>2075</v>
      </c>
      <c r="G257" s="226" t="str">
        <f>A256</f>
        <v>7th, 17th, 27th &amp; 37th Floor (Part Refuge Area)</v>
      </c>
      <c r="H257" s="227"/>
      <c r="K257" s="61">
        <f t="shared" si="8"/>
        <v>1.7774295429235496</v>
      </c>
    </row>
    <row r="258" spans="1:11" s="61" customFormat="1">
      <c r="A258" s="209">
        <v>2</v>
      </c>
      <c r="B258" s="210"/>
      <c r="C258" s="94" t="s">
        <v>196</v>
      </c>
      <c r="D258" s="95">
        <f>(145.14+4.33*1.53+3.65*1.65+2.95*1.05+3.35*1.65+3.2*0.6)*(10.764)</f>
        <v>1811.9299535999996</v>
      </c>
      <c r="E258" s="95">
        <f>(3.35*1.05)*(10.764)</f>
        <v>37.862369999999999</v>
      </c>
      <c r="F258" s="92">
        <v>3295</v>
      </c>
      <c r="G258" s="228"/>
      <c r="H258" s="229"/>
      <c r="K258" s="61">
        <f t="shared" si="8"/>
        <v>1.7976068134028118</v>
      </c>
    </row>
    <row r="259" spans="1:11" s="61" customFormat="1">
      <c r="A259" s="209">
        <v>3</v>
      </c>
      <c r="B259" s="210"/>
      <c r="C259" s="94" t="s">
        <v>195</v>
      </c>
      <c r="D259" s="95">
        <f>(92.84+3.65*1.55+3.02*1.16+0.6*(3.13+3.35))*(10.764)</f>
        <v>1139.7859667999999</v>
      </c>
      <c r="E259" s="95">
        <f>(3.65*1.25)*(10.764)</f>
        <v>49.110749999999996</v>
      </c>
      <c r="F259" s="92">
        <v>2075</v>
      </c>
      <c r="G259" s="228"/>
      <c r="H259" s="229"/>
      <c r="K259" s="61">
        <f t="shared" si="8"/>
        <v>1.7774295429235496</v>
      </c>
    </row>
    <row r="260" spans="1:11" s="61" customFormat="1">
      <c r="A260" s="209">
        <v>4</v>
      </c>
      <c r="B260" s="210"/>
      <c r="C260" s="94" t="s">
        <v>195</v>
      </c>
      <c r="D260" s="95">
        <f>(81.26+3.3*2+2.76*1.2+0.6*(3.05+3))*(10.764)</f>
        <v>1020.4487279999998</v>
      </c>
      <c r="E260" s="95">
        <f>(3.35*1.85)*(10.764)</f>
        <v>66.709890000000001</v>
      </c>
      <c r="F260" s="92">
        <v>1875</v>
      </c>
      <c r="G260" s="228"/>
      <c r="H260" s="229"/>
      <c r="K260" s="61">
        <f t="shared" si="8"/>
        <v>1.7720538625630979</v>
      </c>
    </row>
    <row r="261" spans="1:11" s="61" customFormat="1">
      <c r="A261" s="209">
        <v>5</v>
      </c>
      <c r="B261" s="210"/>
      <c r="C261" s="94" t="s">
        <v>195</v>
      </c>
      <c r="D261" s="95">
        <f>(79.86+3.3*1.7+2.4*1+0.6*3.3)*(10.764)</f>
        <v>967.1454</v>
      </c>
      <c r="E261" s="95">
        <f>(3.3*1.35*2)*(10.764)</f>
        <v>95.907240000000002</v>
      </c>
      <c r="F261" s="92">
        <v>1800</v>
      </c>
      <c r="G261" s="228"/>
      <c r="H261" s="229"/>
      <c r="K261" s="61">
        <f t="shared" si="8"/>
        <v>1.7619819729277522</v>
      </c>
    </row>
    <row r="262" spans="1:11" s="61" customFormat="1">
      <c r="A262" s="209">
        <v>6</v>
      </c>
      <c r="B262" s="210"/>
      <c r="C262" s="216" t="s">
        <v>213</v>
      </c>
      <c r="D262" s="217"/>
      <c r="E262" s="217"/>
      <c r="F262" s="218"/>
      <c r="G262" s="228"/>
      <c r="H262" s="229"/>
      <c r="K262" s="61" t="e">
        <f t="shared" si="8"/>
        <v>#DIV/0!</v>
      </c>
    </row>
    <row r="263" spans="1:11" s="61" customFormat="1">
      <c r="A263" s="209">
        <v>7</v>
      </c>
      <c r="B263" s="210"/>
      <c r="C263" s="94" t="s">
        <v>195</v>
      </c>
      <c r="D263" s="95">
        <f>(81.26+3.3*2+2.76*1.2+0.6*(3.05+3))*(10.764)</f>
        <v>1020.4487279999998</v>
      </c>
      <c r="E263" s="95">
        <f>(3.35*1.66)*(10.764)</f>
        <v>59.858603999999993</v>
      </c>
      <c r="F263" s="92">
        <v>1875</v>
      </c>
      <c r="G263" s="230"/>
      <c r="H263" s="231"/>
      <c r="K263" s="61">
        <f t="shared" si="8"/>
        <v>1.7787678559387652</v>
      </c>
    </row>
    <row r="264" spans="1:11" s="61" customFormat="1">
      <c r="A264" s="206" t="s">
        <v>215</v>
      </c>
      <c r="B264" s="207"/>
      <c r="C264" s="207"/>
      <c r="D264" s="207"/>
      <c r="E264" s="207"/>
      <c r="F264" s="207"/>
      <c r="G264" s="207"/>
      <c r="H264" s="208"/>
      <c r="K264" s="61" t="e">
        <f t="shared" si="8"/>
        <v>#DIV/0!</v>
      </c>
    </row>
    <row r="265" spans="1:11" s="61" customFormat="1" ht="15.75" customHeight="1">
      <c r="A265" s="209">
        <v>1</v>
      </c>
      <c r="B265" s="210"/>
      <c r="C265" s="219" t="s">
        <v>216</v>
      </c>
      <c r="D265" s="220"/>
      <c r="E265" s="220"/>
      <c r="F265" s="221"/>
      <c r="G265" s="226" t="str">
        <f>A264</f>
        <v>46th Floor (Part Terrace Area)</v>
      </c>
      <c r="H265" s="227"/>
      <c r="K265" s="61" t="e">
        <f t="shared" si="8"/>
        <v>#DIV/0!</v>
      </c>
    </row>
    <row r="266" spans="1:11" s="61" customFormat="1">
      <c r="A266" s="209">
        <v>2</v>
      </c>
      <c r="B266" s="210"/>
      <c r="C266" s="89" t="s">
        <v>196</v>
      </c>
      <c r="D266" s="91">
        <f>(145.14+4.33*1.53+3.65*1.65+2.95*1.05+3.35*1.65+3.35*0.6)*(10.764)</f>
        <v>1812.8987135999996</v>
      </c>
      <c r="E266" s="91">
        <f>(3.2*1.65)*(10.764)</f>
        <v>56.833919999999999</v>
      </c>
      <c r="F266" s="92">
        <v>3295</v>
      </c>
      <c r="G266" s="228"/>
      <c r="H266" s="229"/>
      <c r="K266" s="61">
        <f t="shared" si="8"/>
        <v>1.7861814649146877</v>
      </c>
    </row>
    <row r="267" spans="1:11" s="61" customFormat="1">
      <c r="A267" s="209">
        <v>3</v>
      </c>
      <c r="B267" s="210"/>
      <c r="C267" s="219" t="s">
        <v>216</v>
      </c>
      <c r="D267" s="220"/>
      <c r="E267" s="220"/>
      <c r="F267" s="221"/>
      <c r="G267" s="228"/>
      <c r="H267" s="229"/>
      <c r="K267" s="61" t="e">
        <f t="shared" si="8"/>
        <v>#DIV/0!</v>
      </c>
    </row>
    <row r="268" spans="1:11" s="61" customFormat="1">
      <c r="A268" s="209">
        <v>4</v>
      </c>
      <c r="B268" s="210"/>
      <c r="C268" s="89" t="s">
        <v>195</v>
      </c>
      <c r="D268" s="91">
        <f>(81.26+3.3*2+2.76*1.2+0.6*(3.05+3.35))*(10.764)</f>
        <v>1022.709168</v>
      </c>
      <c r="E268" s="91">
        <f>(3.37*1.44)*(10.764)</f>
        <v>52.235539199999998</v>
      </c>
      <c r="F268" s="92">
        <v>1875</v>
      </c>
      <c r="G268" s="228"/>
      <c r="H268" s="229"/>
      <c r="K268" s="61">
        <f t="shared" si="8"/>
        <v>1.7822901347062141</v>
      </c>
    </row>
    <row r="269" spans="1:11" s="61" customFormat="1">
      <c r="A269" s="209">
        <v>5</v>
      </c>
      <c r="B269" s="210"/>
      <c r="C269" s="89" t="s">
        <v>197</v>
      </c>
      <c r="D269" s="91">
        <f>(63.63+3.3*1.7+2.4*1+0.6*3.3)*(10.764)</f>
        <v>792.44568000000015</v>
      </c>
      <c r="E269" s="91">
        <f>(3.37*1.33)*(10.764)</f>
        <v>48.245324399999994</v>
      </c>
      <c r="F269" s="92">
        <v>1415</v>
      </c>
      <c r="G269" s="228"/>
      <c r="H269" s="229"/>
      <c r="K269" s="61">
        <f t="shared" si="8"/>
        <v>1.7247297954857923</v>
      </c>
    </row>
    <row r="270" spans="1:11" s="61" customFormat="1">
      <c r="A270" s="209">
        <v>6</v>
      </c>
      <c r="B270" s="210"/>
      <c r="C270" s="89" t="s">
        <v>197</v>
      </c>
      <c r="D270" s="91">
        <f>(63.63+3.3*1.7+2.4*1+0.6*3.3)*(10.764)</f>
        <v>792.44568000000015</v>
      </c>
      <c r="E270" s="91">
        <f>(3.37*1.33)*(10.764)</f>
        <v>48.245324399999994</v>
      </c>
      <c r="F270" s="92">
        <v>1415</v>
      </c>
      <c r="G270" s="228"/>
      <c r="H270" s="229"/>
      <c r="K270" s="61">
        <f t="shared" si="8"/>
        <v>1.7247297954857923</v>
      </c>
    </row>
    <row r="271" spans="1:11" s="61" customFormat="1">
      <c r="A271" s="209">
        <v>7</v>
      </c>
      <c r="B271" s="210"/>
      <c r="C271" s="89" t="s">
        <v>195</v>
      </c>
      <c r="D271" s="91">
        <f>(81.26+3.3*2+2.76*1.2+0.6*(3.05+3.35))*(10.764)</f>
        <v>1022.709168</v>
      </c>
      <c r="E271" s="91">
        <f>(3.37*1.44)*(10.764)</f>
        <v>52.235539199999998</v>
      </c>
      <c r="F271" s="92">
        <v>1875</v>
      </c>
      <c r="G271" s="230"/>
      <c r="H271" s="231"/>
      <c r="K271" s="61">
        <f t="shared" si="8"/>
        <v>1.7822901347062141</v>
      </c>
    </row>
    <row r="272" spans="1:11" s="60" customFormat="1">
      <c r="A272" s="213" t="s">
        <v>217</v>
      </c>
      <c r="B272" s="213"/>
      <c r="C272" s="213"/>
      <c r="D272" s="213"/>
      <c r="E272" s="213"/>
      <c r="F272" s="213"/>
      <c r="G272" s="213"/>
      <c r="H272" s="213"/>
      <c r="K272" s="61" t="e">
        <f t="shared" si="8"/>
        <v>#DIV/0!</v>
      </c>
    </row>
    <row r="273" spans="1:10" s="62" customFormat="1" ht="258.75" customHeight="1">
      <c r="A273" s="214" t="s">
        <v>284</v>
      </c>
      <c r="B273" s="214"/>
      <c r="C273" s="214"/>
      <c r="D273" s="214"/>
      <c r="E273" s="214"/>
      <c r="F273" s="214"/>
      <c r="G273" s="214"/>
      <c r="H273" s="214"/>
      <c r="J273" s="60"/>
    </row>
    <row r="274" spans="1:10">
      <c r="A274" s="215" t="s">
        <v>218</v>
      </c>
      <c r="B274" s="215"/>
      <c r="C274" s="215"/>
      <c r="D274" s="215"/>
      <c r="E274" s="215"/>
      <c r="F274" s="215"/>
      <c r="G274" s="215"/>
      <c r="H274" s="215"/>
    </row>
    <row r="275" spans="1:10">
      <c r="A275" s="104" t="s">
        <v>219</v>
      </c>
      <c r="B275" s="104"/>
      <c r="C275" s="104"/>
      <c r="D275" s="104"/>
      <c r="E275" s="104"/>
      <c r="F275" s="104"/>
      <c r="G275" s="104"/>
      <c r="H275" s="104"/>
    </row>
    <row r="276" spans="1:10" ht="15.75" customHeight="1">
      <c r="A276" s="215" t="s">
        <v>220</v>
      </c>
      <c r="B276" s="215"/>
      <c r="C276" s="215"/>
      <c r="D276" s="215"/>
      <c r="E276" s="215"/>
      <c r="F276" s="215"/>
      <c r="G276" s="215"/>
      <c r="H276" s="215"/>
    </row>
    <row r="277" spans="1:10">
      <c r="A277" s="104" t="s">
        <v>221</v>
      </c>
      <c r="B277" s="104"/>
      <c r="C277" s="104"/>
      <c r="D277" s="104"/>
      <c r="E277" s="104"/>
      <c r="F277" s="104"/>
      <c r="G277" s="104"/>
      <c r="H277" s="104"/>
    </row>
    <row r="278" spans="1:10">
      <c r="A278" s="104" t="s">
        <v>222</v>
      </c>
      <c r="B278" s="104"/>
      <c r="C278" s="104"/>
      <c r="D278" s="104"/>
      <c r="E278" s="104"/>
      <c r="F278" s="104"/>
      <c r="G278" s="104"/>
      <c r="H278" s="104"/>
    </row>
    <row r="279" spans="1:10">
      <c r="A279" s="104" t="s">
        <v>223</v>
      </c>
      <c r="B279" s="104"/>
      <c r="C279" s="104"/>
      <c r="D279" s="104"/>
      <c r="E279" s="104"/>
      <c r="F279" s="104"/>
      <c r="G279" s="104"/>
      <c r="H279" s="104"/>
    </row>
    <row r="280" spans="1:10" ht="35.25" customHeight="1">
      <c r="A280" s="108" t="s">
        <v>224</v>
      </c>
      <c r="B280" s="108"/>
      <c r="C280" s="108"/>
      <c r="D280" s="108"/>
      <c r="E280" s="108"/>
      <c r="F280" s="108"/>
      <c r="G280" s="108"/>
      <c r="H280" s="108"/>
    </row>
    <row r="281" spans="1:10">
      <c r="A281" s="211" t="s">
        <v>225</v>
      </c>
      <c r="B281" s="211"/>
      <c r="C281" s="232" t="s">
        <v>281</v>
      </c>
      <c r="D281" s="232"/>
      <c r="E281" s="211" t="s">
        <v>226</v>
      </c>
      <c r="F281" s="211"/>
      <c r="G281" s="211" t="s">
        <v>283</v>
      </c>
      <c r="H281" s="211"/>
    </row>
    <row r="282" spans="1:10">
      <c r="A282" s="225" t="s">
        <v>227</v>
      </c>
      <c r="B282" s="225"/>
      <c r="C282" s="225"/>
      <c r="D282" s="225"/>
      <c r="E282" s="225"/>
      <c r="F282" s="225"/>
      <c r="G282" s="225"/>
      <c r="H282" s="225"/>
    </row>
    <row r="283" spans="1:10">
      <c r="A283" s="225"/>
      <c r="B283" s="225"/>
      <c r="C283" s="225"/>
      <c r="D283" s="225"/>
      <c r="E283" s="225"/>
      <c r="F283" s="225"/>
      <c r="G283" s="225"/>
      <c r="H283" s="225"/>
    </row>
    <row r="284" spans="1:10">
      <c r="A284" s="225"/>
      <c r="B284" s="225"/>
      <c r="C284" s="225"/>
      <c r="D284" s="225"/>
      <c r="E284" s="225"/>
      <c r="F284" s="225"/>
      <c r="G284" s="225"/>
      <c r="H284" s="225"/>
    </row>
    <row r="285" spans="1:10">
      <c r="A285" s="225"/>
      <c r="B285" s="225"/>
      <c r="C285" s="225"/>
      <c r="D285" s="225"/>
      <c r="E285" s="225"/>
      <c r="F285" s="225"/>
      <c r="G285" s="225"/>
      <c r="H285" s="225"/>
    </row>
    <row r="286" spans="1:10">
      <c r="A286" s="96" t="s">
        <v>228</v>
      </c>
      <c r="B286" s="97"/>
      <c r="C286" s="97"/>
      <c r="D286" s="96" t="str">
        <f>E8</f>
        <v>Sai World Empire Phase I &amp; III</v>
      </c>
      <c r="F286" s="97"/>
      <c r="G286" s="97"/>
      <c r="H286" s="97"/>
    </row>
    <row r="287" spans="1:10">
      <c r="A287" s="97"/>
      <c r="B287" s="97"/>
      <c r="C287" s="97"/>
      <c r="D287" s="97"/>
      <c r="E287" s="97"/>
      <c r="F287" s="97"/>
      <c r="G287" s="97"/>
      <c r="H287" s="97"/>
    </row>
    <row r="288" spans="1:10">
      <c r="A288" s="97"/>
      <c r="B288" s="97"/>
      <c r="C288" s="97"/>
      <c r="D288" s="97"/>
      <c r="E288" s="97"/>
      <c r="F288" s="97"/>
      <c r="G288" s="97"/>
      <c r="H288" s="97"/>
    </row>
    <row r="289" spans="9:9" ht="15" customHeight="1"/>
    <row r="300" spans="9:9">
      <c r="I300"/>
    </row>
    <row r="329" spans="1:1">
      <c r="A329" s="98" t="s">
        <v>229</v>
      </c>
    </row>
  </sheetData>
  <mergeCells count="438">
    <mergeCell ref="A282:H285"/>
    <mergeCell ref="A20:D21"/>
    <mergeCell ref="E20:H21"/>
    <mergeCell ref="G139:H145"/>
    <mergeCell ref="G212:H219"/>
    <mergeCell ref="G201:H207"/>
    <mergeCell ref="G158:H165"/>
    <mergeCell ref="G167:H174"/>
    <mergeCell ref="G193:H199"/>
    <mergeCell ref="G147:H153"/>
    <mergeCell ref="G233:H239"/>
    <mergeCell ref="G178:H190"/>
    <mergeCell ref="G241:H247"/>
    <mergeCell ref="G221:H228"/>
    <mergeCell ref="G265:H271"/>
    <mergeCell ref="G249:H255"/>
    <mergeCell ref="G257:H263"/>
    <mergeCell ref="A277:H277"/>
    <mergeCell ref="A278:H278"/>
    <mergeCell ref="A279:H279"/>
    <mergeCell ref="A280:H280"/>
    <mergeCell ref="A281:B281"/>
    <mergeCell ref="C281:D281"/>
    <mergeCell ref="E281:F281"/>
    <mergeCell ref="G281:H281"/>
    <mergeCell ref="L238:L241"/>
    <mergeCell ref="A268:B268"/>
    <mergeCell ref="A269:B269"/>
    <mergeCell ref="A270:B270"/>
    <mergeCell ref="A271:B271"/>
    <mergeCell ref="A272:H272"/>
    <mergeCell ref="A273:H273"/>
    <mergeCell ref="A274:H274"/>
    <mergeCell ref="A275:H275"/>
    <mergeCell ref="A276:H276"/>
    <mergeCell ref="A262:B262"/>
    <mergeCell ref="C262:F262"/>
    <mergeCell ref="A263:B263"/>
    <mergeCell ref="A264:H264"/>
    <mergeCell ref="A265:B265"/>
    <mergeCell ref="C265:F265"/>
    <mergeCell ref="A266:B266"/>
    <mergeCell ref="A267:B267"/>
    <mergeCell ref="C267:F267"/>
    <mergeCell ref="A254:B254"/>
    <mergeCell ref="C254:F254"/>
    <mergeCell ref="A255:B255"/>
    <mergeCell ref="A256:H256"/>
    <mergeCell ref="A257:B257"/>
    <mergeCell ref="A258:B258"/>
    <mergeCell ref="A259:B259"/>
    <mergeCell ref="A260:B260"/>
    <mergeCell ref="A261:B261"/>
    <mergeCell ref="A245:B245"/>
    <mergeCell ref="A246:B246"/>
    <mergeCell ref="A247:B247"/>
    <mergeCell ref="A248:H248"/>
    <mergeCell ref="A249:B249"/>
    <mergeCell ref="A250:B250"/>
    <mergeCell ref="A251:B251"/>
    <mergeCell ref="A252:B252"/>
    <mergeCell ref="A253:B253"/>
    <mergeCell ref="A236:B236"/>
    <mergeCell ref="A237:B237"/>
    <mergeCell ref="A238:B238"/>
    <mergeCell ref="A239:B239"/>
    <mergeCell ref="A240:H240"/>
    <mergeCell ref="A241:B241"/>
    <mergeCell ref="A242:B242"/>
    <mergeCell ref="A243:B243"/>
    <mergeCell ref="A244:B244"/>
    <mergeCell ref="A227:B227"/>
    <mergeCell ref="A228:B228"/>
    <mergeCell ref="A229:H229"/>
    <mergeCell ref="A230:H230"/>
    <mergeCell ref="A231:H231"/>
    <mergeCell ref="A232:H232"/>
    <mergeCell ref="A233:B233"/>
    <mergeCell ref="A234:B234"/>
    <mergeCell ref="A235:B235"/>
    <mergeCell ref="A218:B218"/>
    <mergeCell ref="A219:B219"/>
    <mergeCell ref="A220:H220"/>
    <mergeCell ref="A221:B221"/>
    <mergeCell ref="A222:B222"/>
    <mergeCell ref="A223:B223"/>
    <mergeCell ref="A224:B224"/>
    <mergeCell ref="A225:B225"/>
    <mergeCell ref="A226:B226"/>
    <mergeCell ref="A209:H209"/>
    <mergeCell ref="A210:H210"/>
    <mergeCell ref="A211:H211"/>
    <mergeCell ref="A212:B212"/>
    <mergeCell ref="A213:B213"/>
    <mergeCell ref="A214:B214"/>
    <mergeCell ref="A215:B215"/>
    <mergeCell ref="A216:B216"/>
    <mergeCell ref="A217:B217"/>
    <mergeCell ref="A200:H200"/>
    <mergeCell ref="A201:B201"/>
    <mergeCell ref="A202:B202"/>
    <mergeCell ref="A203:B203"/>
    <mergeCell ref="A204:B204"/>
    <mergeCell ref="A205:B205"/>
    <mergeCell ref="A206:B206"/>
    <mergeCell ref="A207:B207"/>
    <mergeCell ref="A208:H208"/>
    <mergeCell ref="A191:H191"/>
    <mergeCell ref="A192:H192"/>
    <mergeCell ref="A193:B193"/>
    <mergeCell ref="A194:B194"/>
    <mergeCell ref="A195:B195"/>
    <mergeCell ref="A196:B196"/>
    <mergeCell ref="A197:B197"/>
    <mergeCell ref="A198:B198"/>
    <mergeCell ref="A199:B199"/>
    <mergeCell ref="A182:B182"/>
    <mergeCell ref="A183:B183"/>
    <mergeCell ref="A184:B184"/>
    <mergeCell ref="A185:B185"/>
    <mergeCell ref="A186:B186"/>
    <mergeCell ref="A187:B187"/>
    <mergeCell ref="A188:B188"/>
    <mergeCell ref="A189:B189"/>
    <mergeCell ref="A190:B190"/>
    <mergeCell ref="A173:B173"/>
    <mergeCell ref="A174:B174"/>
    <mergeCell ref="A175:H175"/>
    <mergeCell ref="A176:H176"/>
    <mergeCell ref="A177:H177"/>
    <mergeCell ref="A178:B178"/>
    <mergeCell ref="A179:B179"/>
    <mergeCell ref="A180:B180"/>
    <mergeCell ref="A181:B181"/>
    <mergeCell ref="A164:B164"/>
    <mergeCell ref="A165:B165"/>
    <mergeCell ref="A166:H166"/>
    <mergeCell ref="A167:B167"/>
    <mergeCell ref="A168:B168"/>
    <mergeCell ref="A169:B169"/>
    <mergeCell ref="A170:B170"/>
    <mergeCell ref="A171:B171"/>
    <mergeCell ref="A172:B172"/>
    <mergeCell ref="A155:H155"/>
    <mergeCell ref="A156:H156"/>
    <mergeCell ref="A157:H157"/>
    <mergeCell ref="A158:B158"/>
    <mergeCell ref="A159:B159"/>
    <mergeCell ref="A160:B160"/>
    <mergeCell ref="A161:B161"/>
    <mergeCell ref="A162:B162"/>
    <mergeCell ref="A163:B163"/>
    <mergeCell ref="A146:H146"/>
    <mergeCell ref="A147:B147"/>
    <mergeCell ref="A148:B148"/>
    <mergeCell ref="A149:B149"/>
    <mergeCell ref="A150:B150"/>
    <mergeCell ref="A151:B151"/>
    <mergeCell ref="A152:B152"/>
    <mergeCell ref="A153:B153"/>
    <mergeCell ref="A154:H154"/>
    <mergeCell ref="A137:H137"/>
    <mergeCell ref="A138:H138"/>
    <mergeCell ref="A139:B139"/>
    <mergeCell ref="A140:B140"/>
    <mergeCell ref="A141:B141"/>
    <mergeCell ref="A142:B142"/>
    <mergeCell ref="A143:B143"/>
    <mergeCell ref="A144:B144"/>
    <mergeCell ref="A145:B145"/>
    <mergeCell ref="A131:B131"/>
    <mergeCell ref="C131:D131"/>
    <mergeCell ref="E131:F131"/>
    <mergeCell ref="G131:H131"/>
    <mergeCell ref="A132:H132"/>
    <mergeCell ref="A133:H133"/>
    <mergeCell ref="G134:H134"/>
    <mergeCell ref="A135:H135"/>
    <mergeCell ref="A136:H136"/>
    <mergeCell ref="A128:B128"/>
    <mergeCell ref="C128:D128"/>
    <mergeCell ref="E128:F128"/>
    <mergeCell ref="G128:H128"/>
    <mergeCell ref="A129:B129"/>
    <mergeCell ref="C129:D129"/>
    <mergeCell ref="E129:F129"/>
    <mergeCell ref="G129:H129"/>
    <mergeCell ref="A130:B130"/>
    <mergeCell ref="C130:D130"/>
    <mergeCell ref="E130:F130"/>
    <mergeCell ref="G130:H130"/>
    <mergeCell ref="A125:B125"/>
    <mergeCell ref="C125:D125"/>
    <mergeCell ref="E125:F125"/>
    <mergeCell ref="G125:H125"/>
    <mergeCell ref="A126:B126"/>
    <mergeCell ref="C126:D126"/>
    <mergeCell ref="E126:F126"/>
    <mergeCell ref="G126:H126"/>
    <mergeCell ref="A127:B127"/>
    <mergeCell ref="C127:D127"/>
    <mergeCell ref="E127:F127"/>
    <mergeCell ref="G127:H127"/>
    <mergeCell ref="A122:B122"/>
    <mergeCell ref="C122:D122"/>
    <mergeCell ref="E122:F122"/>
    <mergeCell ref="G122:H122"/>
    <mergeCell ref="A123:H123"/>
    <mergeCell ref="A124:B124"/>
    <mergeCell ref="C124:D124"/>
    <mergeCell ref="E124:F124"/>
    <mergeCell ref="G124:H124"/>
    <mergeCell ref="A118:E118"/>
    <mergeCell ref="F118:H118"/>
    <mergeCell ref="A119:E119"/>
    <mergeCell ref="F119:H119"/>
    <mergeCell ref="A120:H120"/>
    <mergeCell ref="A121:B121"/>
    <mergeCell ref="C121:D121"/>
    <mergeCell ref="E121:F121"/>
    <mergeCell ref="G121:H121"/>
    <mergeCell ref="A113:E113"/>
    <mergeCell ref="F113:H113"/>
    <mergeCell ref="A114:E114"/>
    <mergeCell ref="F114:H114"/>
    <mergeCell ref="A115:E115"/>
    <mergeCell ref="F115:H115"/>
    <mergeCell ref="A116:E116"/>
    <mergeCell ref="F116:H116"/>
    <mergeCell ref="A117:E117"/>
    <mergeCell ref="F117:H117"/>
    <mergeCell ref="A109:E109"/>
    <mergeCell ref="F109:H109"/>
    <mergeCell ref="J109:O109"/>
    <mergeCell ref="A110:E110"/>
    <mergeCell ref="F110:H110"/>
    <mergeCell ref="A111:E111"/>
    <mergeCell ref="F111:H111"/>
    <mergeCell ref="A112:E112"/>
    <mergeCell ref="F112:H112"/>
    <mergeCell ref="A103:B103"/>
    <mergeCell ref="A104:E104"/>
    <mergeCell ref="F104:H104"/>
    <mergeCell ref="A105:H105"/>
    <mergeCell ref="A106:B106"/>
    <mergeCell ref="C106:H106"/>
    <mergeCell ref="A107:H107"/>
    <mergeCell ref="J107:O107"/>
    <mergeCell ref="A108:E108"/>
    <mergeCell ref="F108:H108"/>
    <mergeCell ref="J108:O108"/>
    <mergeCell ref="E94:F103"/>
    <mergeCell ref="G94:H103"/>
    <mergeCell ref="A94:B94"/>
    <mergeCell ref="A95:B95"/>
    <mergeCell ref="A96:B96"/>
    <mergeCell ref="A97:B97"/>
    <mergeCell ref="A98:B98"/>
    <mergeCell ref="A99:B99"/>
    <mergeCell ref="A100:B100"/>
    <mergeCell ref="A101:B101"/>
    <mergeCell ref="A102:B102"/>
    <mergeCell ref="A86:B86"/>
    <mergeCell ref="A87:B87"/>
    <mergeCell ref="A88:B88"/>
    <mergeCell ref="A89:B89"/>
    <mergeCell ref="A90:B90"/>
    <mergeCell ref="C90:H90"/>
    <mergeCell ref="A92:B92"/>
    <mergeCell ref="C92:H92"/>
    <mergeCell ref="A93:B93"/>
    <mergeCell ref="E93:F93"/>
    <mergeCell ref="G93:H93"/>
    <mergeCell ref="E80:F89"/>
    <mergeCell ref="G80:H89"/>
    <mergeCell ref="A79:B79"/>
    <mergeCell ref="E79:F79"/>
    <mergeCell ref="G79:H79"/>
    <mergeCell ref="A80:B80"/>
    <mergeCell ref="A81:B81"/>
    <mergeCell ref="A82:B82"/>
    <mergeCell ref="A83:B83"/>
    <mergeCell ref="A84:B84"/>
    <mergeCell ref="A85:B85"/>
    <mergeCell ref="A70:B70"/>
    <mergeCell ref="A71:B71"/>
    <mergeCell ref="A72:B72"/>
    <mergeCell ref="A73:B73"/>
    <mergeCell ref="A74:B74"/>
    <mergeCell ref="A75:B75"/>
    <mergeCell ref="A76:B76"/>
    <mergeCell ref="C76:H76"/>
    <mergeCell ref="A78:B78"/>
    <mergeCell ref="C78:H78"/>
    <mergeCell ref="E66:F75"/>
    <mergeCell ref="G66:H75"/>
    <mergeCell ref="A63:B63"/>
    <mergeCell ref="C63:H63"/>
    <mergeCell ref="A65:B65"/>
    <mergeCell ref="E65:F65"/>
    <mergeCell ref="G65:H65"/>
    <mergeCell ref="A66:B66"/>
    <mergeCell ref="A67:B67"/>
    <mergeCell ref="A68:B68"/>
    <mergeCell ref="A69:B69"/>
    <mergeCell ref="A64:B64"/>
    <mergeCell ref="C64:D64"/>
    <mergeCell ref="E64:F64"/>
    <mergeCell ref="G64:H64"/>
    <mergeCell ref="A57:C57"/>
    <mergeCell ref="D57:H57"/>
    <mergeCell ref="A58:C58"/>
    <mergeCell ref="D58:H58"/>
    <mergeCell ref="A59:C59"/>
    <mergeCell ref="D59:H59"/>
    <mergeCell ref="A60:C60"/>
    <mergeCell ref="D60:H60"/>
    <mergeCell ref="A61:B61"/>
    <mergeCell ref="C61:H61"/>
    <mergeCell ref="A52:H52"/>
    <mergeCell ref="A53:C53"/>
    <mergeCell ref="D53:H53"/>
    <mergeCell ref="A54:C54"/>
    <mergeCell ref="D54:H54"/>
    <mergeCell ref="A55:C55"/>
    <mergeCell ref="D55:H55"/>
    <mergeCell ref="A56:C56"/>
    <mergeCell ref="D56:H56"/>
    <mergeCell ref="A48:B48"/>
    <mergeCell ref="C48:E48"/>
    <mergeCell ref="G48:H48"/>
    <mergeCell ref="C49:E49"/>
    <mergeCell ref="G49:H49"/>
    <mergeCell ref="C50:H50"/>
    <mergeCell ref="A51:B51"/>
    <mergeCell ref="C51:E51"/>
    <mergeCell ref="G51:H51"/>
    <mergeCell ref="A49:B50"/>
    <mergeCell ref="A44:D44"/>
    <mergeCell ref="E44:H44"/>
    <mergeCell ref="A45:H45"/>
    <mergeCell ref="A46:B46"/>
    <mergeCell ref="C46:E46"/>
    <mergeCell ref="G46:H46"/>
    <mergeCell ref="A47:B47"/>
    <mergeCell ref="C47:E47"/>
    <mergeCell ref="G47:H47"/>
    <mergeCell ref="A39:D39"/>
    <mergeCell ref="E39:H39"/>
    <mergeCell ref="A40:D40"/>
    <mergeCell ref="E40:H40"/>
    <mergeCell ref="A41:D41"/>
    <mergeCell ref="E41:H41"/>
    <mergeCell ref="A42:D42"/>
    <mergeCell ref="E42:H42"/>
    <mergeCell ref="A43:D43"/>
    <mergeCell ref="E43:H43"/>
    <mergeCell ref="A34:B34"/>
    <mergeCell ref="C34:E34"/>
    <mergeCell ref="F34:H34"/>
    <mergeCell ref="A35:H35"/>
    <mergeCell ref="A36:B36"/>
    <mergeCell ref="C36:H36"/>
    <mergeCell ref="A37:B37"/>
    <mergeCell ref="C37:H37"/>
    <mergeCell ref="A38:H38"/>
    <mergeCell ref="A31:B31"/>
    <mergeCell ref="C31:E31"/>
    <mergeCell ref="F31:H31"/>
    <mergeCell ref="A32:B32"/>
    <mergeCell ref="C32:E32"/>
    <mergeCell ref="F32:H32"/>
    <mergeCell ref="A33:B33"/>
    <mergeCell ref="C33:E33"/>
    <mergeCell ref="F33:H33"/>
    <mergeCell ref="A27:D27"/>
    <mergeCell ref="E27:H27"/>
    <mergeCell ref="A28:D28"/>
    <mergeCell ref="E28:H28"/>
    <mergeCell ref="A29:D29"/>
    <mergeCell ref="E29:H29"/>
    <mergeCell ref="A30:B30"/>
    <mergeCell ref="C30:E30"/>
    <mergeCell ref="F30:H30"/>
    <mergeCell ref="A22:D22"/>
    <mergeCell ref="E22:H22"/>
    <mergeCell ref="A23:D23"/>
    <mergeCell ref="E23:H23"/>
    <mergeCell ref="A24:D24"/>
    <mergeCell ref="E24:H24"/>
    <mergeCell ref="A25:D25"/>
    <mergeCell ref="E25:H25"/>
    <mergeCell ref="A26:D26"/>
    <mergeCell ref="E26:H26"/>
    <mergeCell ref="A17:B17"/>
    <mergeCell ref="C17:D17"/>
    <mergeCell ref="E17:F17"/>
    <mergeCell ref="G17:H17"/>
    <mergeCell ref="A18:B18"/>
    <mergeCell ref="C18:D18"/>
    <mergeCell ref="E18:F18"/>
    <mergeCell ref="G18:H18"/>
    <mergeCell ref="A19:B19"/>
    <mergeCell ref="C19:D19"/>
    <mergeCell ref="E19:F19"/>
    <mergeCell ref="G19:H19"/>
    <mergeCell ref="A12:D12"/>
    <mergeCell ref="E12:H12"/>
    <mergeCell ref="A13:D13"/>
    <mergeCell ref="E13:H13"/>
    <mergeCell ref="A14:B14"/>
    <mergeCell ref="C14:H14"/>
    <mergeCell ref="A15:B15"/>
    <mergeCell ref="C15:H15"/>
    <mergeCell ref="A16:B16"/>
    <mergeCell ref="C16:D16"/>
    <mergeCell ref="E16:F16"/>
    <mergeCell ref="G16:H16"/>
    <mergeCell ref="A7:D7"/>
    <mergeCell ref="E7:H7"/>
    <mergeCell ref="A8:D8"/>
    <mergeCell ref="E8:H8"/>
    <mergeCell ref="A9:D9"/>
    <mergeCell ref="E9:H9"/>
    <mergeCell ref="A10:D10"/>
    <mergeCell ref="E10:H10"/>
    <mergeCell ref="A11:D11"/>
    <mergeCell ref="E11:H11"/>
    <mergeCell ref="A1:H1"/>
    <mergeCell ref="A2:H2"/>
    <mergeCell ref="A3:D3"/>
    <mergeCell ref="E3:H3"/>
    <mergeCell ref="A4:D4"/>
    <mergeCell ref="E4:H4"/>
    <mergeCell ref="A5:D5"/>
    <mergeCell ref="E5:H5"/>
    <mergeCell ref="A6:D6"/>
    <mergeCell ref="E6:H6"/>
  </mergeCells>
  <hyperlinks>
    <hyperlink ref="C37" r:id="rId1"/>
  </hyperlinks>
  <printOptions horizontalCentered="1"/>
  <pageMargins left="0.39370078740157499" right="0.39370078740157499" top="0.78740157480314998" bottom="0.78740157480314998" header="0.196850393700787" footer="0.196850393700787"/>
  <pageSetup paperSize="9" scale="98" fitToHeight="0" orientation="portrait" r:id="rId2"/>
  <headerFooter>
    <oddHeader>&amp;C&amp;G</oddHeader>
    <oddFooter>&amp;L&amp;"Times New Roman,Bold"&amp;12Ref No: &amp;F&amp;C&amp;G&amp;R&amp;"Times New Roman,Bold"&amp;12                                                       &amp;P</oddFooter>
  </headerFooter>
  <rowBreaks count="4" manualBreakCount="4">
    <brk id="89" max="16383" man="1"/>
    <brk id="131" max="7" man="1"/>
    <brk id="285" max="16383" man="1"/>
    <brk id="328" max="16383" man="1"/>
  </rowBreaks>
  <drawing r:id="rId3"/>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06"/>
  <sheetViews>
    <sheetView zoomScale="85" zoomScaleNormal="85" workbookViewId="0">
      <selection activeCell="C22" sqref="C22"/>
    </sheetView>
  </sheetViews>
  <sheetFormatPr defaultColWidth="9" defaultRowHeight="15"/>
  <cols>
    <col min="3" max="4" width="12.140625" customWidth="1"/>
  </cols>
  <sheetData>
    <row r="1" spans="1:12" s="49" customFormat="1" ht="42.75" customHeight="1">
      <c r="A1" s="52" t="s">
        <v>230</v>
      </c>
      <c r="B1" s="53"/>
      <c r="C1" s="54" t="s">
        <v>231</v>
      </c>
      <c r="D1" s="54" t="s">
        <v>186</v>
      </c>
      <c r="G1" s="55"/>
    </row>
    <row r="2" spans="1:12" s="49" customFormat="1" ht="15.75" customHeight="1">
      <c r="A2" s="56">
        <v>1</v>
      </c>
      <c r="B2" s="57"/>
      <c r="C2" s="51">
        <v>1006.7246280000001</v>
      </c>
      <c r="D2" s="51" t="s">
        <v>197</v>
      </c>
      <c r="E2" s="49">
        <v>1275</v>
      </c>
      <c r="G2" s="55"/>
    </row>
    <row r="3" spans="1:12" s="49" customFormat="1" ht="15.75" customHeight="1">
      <c r="A3" s="56">
        <v>2</v>
      </c>
      <c r="B3" s="57"/>
      <c r="C3" s="51">
        <v>1033.0749000000001</v>
      </c>
      <c r="D3" s="51" t="s">
        <v>197</v>
      </c>
      <c r="E3" s="49">
        <v>1275</v>
      </c>
      <c r="G3" s="55"/>
    </row>
    <row r="4" spans="1:12" s="49" customFormat="1" ht="15.75" customHeight="1">
      <c r="A4" s="56">
        <v>3</v>
      </c>
      <c r="B4" s="57"/>
      <c r="C4" s="51">
        <v>1074.1524767999999</v>
      </c>
      <c r="D4" s="51" t="s">
        <v>197</v>
      </c>
      <c r="E4" s="49">
        <v>1275</v>
      </c>
      <c r="G4" s="55"/>
    </row>
    <row r="5" spans="1:12" s="49" customFormat="1" ht="15.75">
      <c r="A5" s="56">
        <v>4</v>
      </c>
      <c r="B5" s="57"/>
      <c r="C5" s="51">
        <v>1074.6691487999999</v>
      </c>
      <c r="D5" s="51" t="s">
        <v>197</v>
      </c>
      <c r="E5" s="49">
        <v>1275</v>
      </c>
      <c r="G5" s="55"/>
    </row>
    <row r="6" spans="1:12" s="49" customFormat="1" ht="15.75" customHeight="1">
      <c r="A6" s="56">
        <v>5</v>
      </c>
      <c r="B6" s="57"/>
      <c r="C6" s="51">
        <v>1168.00164</v>
      </c>
      <c r="D6" s="51" t="s">
        <v>197</v>
      </c>
      <c r="E6" s="49">
        <v>1400</v>
      </c>
      <c r="G6" s="55"/>
    </row>
    <row r="7" spans="1:12" s="49" customFormat="1" ht="15.75">
      <c r="A7" s="56">
        <v>6</v>
      </c>
      <c r="B7" s="57"/>
      <c r="C7" s="51">
        <v>1300.8993660000001</v>
      </c>
      <c r="D7" s="51" t="s">
        <v>197</v>
      </c>
      <c r="E7" s="49">
        <v>1415</v>
      </c>
      <c r="G7" s="55"/>
    </row>
    <row r="8" spans="1:12" s="49" customFormat="1" ht="15.75" customHeight="1">
      <c r="A8" s="56">
        <v>7</v>
      </c>
      <c r="B8" s="57"/>
      <c r="C8" s="51">
        <v>1301.5861092</v>
      </c>
      <c r="D8" s="51" t="s">
        <v>197</v>
      </c>
      <c r="E8" s="49">
        <v>1415</v>
      </c>
      <c r="G8" s="55"/>
      <c r="I8" s="233" t="s">
        <v>232</v>
      </c>
      <c r="J8" s="233"/>
      <c r="K8" s="233"/>
      <c r="L8" s="233"/>
    </row>
    <row r="9" spans="1:12" s="49" customFormat="1" ht="15.75">
      <c r="A9" s="56">
        <v>1</v>
      </c>
      <c r="B9" s="57"/>
      <c r="C9" s="51">
        <v>1370.8244628</v>
      </c>
      <c r="D9" s="51" t="s">
        <v>195</v>
      </c>
      <c r="E9" s="49">
        <v>1855</v>
      </c>
      <c r="G9" s="55"/>
      <c r="I9" s="233"/>
      <c r="J9" s="233"/>
      <c r="K9" s="233"/>
      <c r="L9" s="233"/>
    </row>
    <row r="10" spans="1:12" s="49" customFormat="1" ht="15.75">
      <c r="A10" s="56">
        <v>2</v>
      </c>
      <c r="B10" s="57"/>
      <c r="C10" s="51">
        <v>1416.0687840000001</v>
      </c>
      <c r="D10" s="51" t="s">
        <v>195</v>
      </c>
      <c r="E10" s="49">
        <v>1855</v>
      </c>
      <c r="G10" s="55"/>
      <c r="I10" s="233"/>
      <c r="J10" s="233"/>
      <c r="K10" s="233"/>
      <c r="L10" s="233"/>
    </row>
    <row r="11" spans="1:12" s="49" customFormat="1" ht="15.75">
      <c r="A11" s="56">
        <v>3</v>
      </c>
      <c r="B11" s="57"/>
      <c r="C11" s="51">
        <v>1501.66002168</v>
      </c>
      <c r="D11" s="51" t="s">
        <v>195</v>
      </c>
      <c r="E11" s="49">
        <v>1875</v>
      </c>
      <c r="G11" s="55"/>
      <c r="I11" s="233"/>
      <c r="J11" s="233"/>
      <c r="K11" s="233"/>
      <c r="L11" s="233"/>
    </row>
    <row r="12" spans="1:12" s="49" customFormat="1" ht="15.75">
      <c r="A12" s="56">
        <v>4</v>
      </c>
      <c r="B12" s="57"/>
      <c r="C12" s="51">
        <v>1570.70354688</v>
      </c>
      <c r="D12" s="51" t="s">
        <v>195</v>
      </c>
      <c r="E12" s="49">
        <v>1890</v>
      </c>
      <c r="G12" s="55"/>
    </row>
    <row r="13" spans="1:12" s="49" customFormat="1" ht="15.75">
      <c r="A13" s="56">
        <v>5</v>
      </c>
      <c r="B13" s="57"/>
      <c r="C13" s="51">
        <v>1571.7368908799999</v>
      </c>
      <c r="D13" s="51" t="s">
        <v>195</v>
      </c>
      <c r="E13" s="49">
        <v>1890</v>
      </c>
      <c r="G13" s="55"/>
    </row>
    <row r="14" spans="1:12" s="49" customFormat="1" ht="15.75" customHeight="1">
      <c r="A14" s="56">
        <v>6</v>
      </c>
      <c r="B14" s="57"/>
      <c r="C14" s="51">
        <v>1733.6283120000001</v>
      </c>
      <c r="D14" s="51" t="s">
        <v>195</v>
      </c>
      <c r="E14" s="49">
        <v>2025</v>
      </c>
      <c r="G14" s="55"/>
    </row>
    <row r="15" spans="1:12" s="49" customFormat="1" ht="15.75">
      <c r="A15" s="56">
        <v>7</v>
      </c>
      <c r="B15" s="57"/>
      <c r="C15" s="51">
        <v>1750.8722399999999</v>
      </c>
      <c r="D15" s="51" t="s">
        <v>195</v>
      </c>
      <c r="E15" s="49">
        <v>2025</v>
      </c>
      <c r="G15" s="55"/>
    </row>
    <row r="16" spans="1:12" s="49" customFormat="1" ht="15.75">
      <c r="A16" s="56">
        <v>1</v>
      </c>
      <c r="B16" s="57"/>
      <c r="C16" s="51">
        <v>1847.12931</v>
      </c>
      <c r="D16" s="51" t="s">
        <v>195</v>
      </c>
      <c r="E16" s="49">
        <v>2215</v>
      </c>
      <c r="G16" s="55"/>
    </row>
    <row r="17" spans="1:7" s="49" customFormat="1" ht="15.75">
      <c r="A17" s="56">
        <v>2</v>
      </c>
      <c r="B17" s="57"/>
      <c r="C17" s="51">
        <v>1848.5383176</v>
      </c>
      <c r="D17" s="51" t="s">
        <v>195</v>
      </c>
      <c r="E17" s="49">
        <v>2215</v>
      </c>
      <c r="G17" s="55"/>
    </row>
    <row r="18" spans="1:7" s="49" customFormat="1" ht="15" customHeight="1">
      <c r="A18" s="56">
        <v>3</v>
      </c>
      <c r="B18" s="57"/>
      <c r="C18" s="51">
        <v>1849.3542288000001</v>
      </c>
      <c r="D18" s="51" t="s">
        <v>195</v>
      </c>
      <c r="E18" s="49">
        <v>2215</v>
      </c>
      <c r="G18" s="55"/>
    </row>
    <row r="19" spans="1:7" s="49" customFormat="1" ht="15.75">
      <c r="A19" s="56">
        <v>4</v>
      </c>
      <c r="B19" s="57"/>
      <c r="C19" s="51">
        <v>2932.90303176</v>
      </c>
      <c r="D19" s="51" t="s">
        <v>196</v>
      </c>
      <c r="E19" s="49">
        <v>3295</v>
      </c>
      <c r="G19" s="55"/>
    </row>
    <row r="20" spans="1:7" s="49" customFormat="1" ht="15.75">
      <c r="A20" s="56">
        <v>5</v>
      </c>
      <c r="B20" s="57"/>
      <c r="C20" s="51">
        <v>3041.1227807999999</v>
      </c>
      <c r="D20" s="51" t="s">
        <v>196</v>
      </c>
      <c r="E20" s="49">
        <v>3295</v>
      </c>
      <c r="G20" s="55"/>
    </row>
    <row r="21" spans="1:7" s="49" customFormat="1" ht="15.75" customHeight="1">
      <c r="A21" s="56">
        <v>6</v>
      </c>
      <c r="B21" s="57"/>
      <c r="C21" s="51">
        <v>3058.2821037600002</v>
      </c>
      <c r="D21" s="51" t="s">
        <v>196</v>
      </c>
      <c r="E21" s="49">
        <v>3295</v>
      </c>
      <c r="G21" s="55"/>
    </row>
    <row r="22" spans="1:7" s="49" customFormat="1" ht="15.75" customHeight="1">
      <c r="A22" s="56">
        <v>7</v>
      </c>
      <c r="B22" s="57"/>
      <c r="C22" s="51">
        <v>3118.5443577599999</v>
      </c>
      <c r="D22" s="51" t="s">
        <v>196</v>
      </c>
      <c r="E22" s="49">
        <v>3295</v>
      </c>
      <c r="G22" s="55"/>
    </row>
    <row r="23" spans="1:7" s="49" customFormat="1" ht="15.75" customHeight="1">
      <c r="A23" s="56">
        <v>8</v>
      </c>
      <c r="B23" s="57"/>
      <c r="C23"/>
      <c r="D23"/>
    </row>
    <row r="24" spans="1:7" s="49" customFormat="1" ht="15.75">
      <c r="A24" s="56">
        <v>1</v>
      </c>
      <c r="B24" s="57"/>
      <c r="C24"/>
      <c r="D24"/>
    </row>
    <row r="25" spans="1:7" s="49" customFormat="1" ht="15.75" customHeight="1">
      <c r="A25" s="56">
        <v>2</v>
      </c>
      <c r="B25" s="57"/>
      <c r="C25"/>
      <c r="D25"/>
    </row>
    <row r="26" spans="1:7" s="49" customFormat="1" ht="15.75">
      <c r="A26" s="56">
        <v>3</v>
      </c>
      <c r="B26" s="57"/>
      <c r="C26"/>
      <c r="D26"/>
    </row>
    <row r="27" spans="1:7" s="49" customFormat="1" ht="15.75">
      <c r="A27" s="56">
        <v>4</v>
      </c>
      <c r="B27" s="57"/>
      <c r="C27"/>
      <c r="D27"/>
    </row>
    <row r="28" spans="1:7" s="49" customFormat="1" ht="15.75">
      <c r="A28" s="56">
        <v>5</v>
      </c>
      <c r="B28" s="57"/>
      <c r="C28"/>
      <c r="D28"/>
      <c r="E28"/>
    </row>
    <row r="29" spans="1:7" s="49" customFormat="1" ht="15.75">
      <c r="A29" s="56">
        <v>6</v>
      </c>
      <c r="B29" s="57"/>
      <c r="C29"/>
      <c r="D29"/>
      <c r="E29"/>
    </row>
    <row r="30" spans="1:7" s="49" customFormat="1" ht="15.75">
      <c r="A30" s="56">
        <v>7</v>
      </c>
      <c r="B30" s="57"/>
      <c r="C30"/>
      <c r="D30"/>
      <c r="E30"/>
    </row>
    <row r="31" spans="1:7" s="49" customFormat="1" ht="15.75">
      <c r="A31" s="56">
        <v>8</v>
      </c>
      <c r="B31" s="57"/>
      <c r="C31"/>
      <c r="D31"/>
      <c r="E31"/>
    </row>
    <row r="32" spans="1:7" s="49" customFormat="1" ht="15.75">
      <c r="A32" s="56">
        <v>1</v>
      </c>
      <c r="B32" s="57"/>
      <c r="C32"/>
      <c r="D32"/>
      <c r="E32"/>
    </row>
    <row r="33" spans="1:5" s="49" customFormat="1" ht="15.75">
      <c r="A33" s="56">
        <v>2</v>
      </c>
      <c r="B33" s="57"/>
      <c r="C33"/>
      <c r="D33"/>
      <c r="E33"/>
    </row>
    <row r="34" spans="1:5" s="49" customFormat="1" ht="15.75">
      <c r="A34" s="56">
        <v>3</v>
      </c>
      <c r="B34" s="57"/>
      <c r="C34"/>
      <c r="D34"/>
      <c r="E34"/>
    </row>
    <row r="35" spans="1:5" s="49" customFormat="1" ht="15.75">
      <c r="A35" s="56">
        <v>4</v>
      </c>
      <c r="B35" s="57"/>
      <c r="C35"/>
      <c r="D35"/>
      <c r="E35"/>
    </row>
    <row r="36" spans="1:5" s="49" customFormat="1" ht="15.75">
      <c r="A36" s="56">
        <v>5</v>
      </c>
      <c r="B36" s="57"/>
      <c r="C36"/>
      <c r="D36"/>
      <c r="E36"/>
    </row>
    <row r="37" spans="1:5" s="49" customFormat="1" ht="15.75">
      <c r="A37" s="56">
        <v>6</v>
      </c>
      <c r="B37" s="57"/>
      <c r="C37"/>
      <c r="D37"/>
      <c r="E37"/>
    </row>
    <row r="38" spans="1:5" s="49" customFormat="1" ht="15.75" customHeight="1">
      <c r="A38" s="56">
        <v>7</v>
      </c>
      <c r="B38" s="57"/>
      <c r="C38"/>
      <c r="D38"/>
      <c r="E38"/>
    </row>
    <row r="39" spans="1:5" s="49" customFormat="1" ht="15.75" customHeight="1">
      <c r="A39" s="56">
        <v>1</v>
      </c>
      <c r="B39" s="57"/>
      <c r="C39"/>
      <c r="D39"/>
      <c r="E39"/>
    </row>
    <row r="40" spans="1:5" s="49" customFormat="1" ht="15.75">
      <c r="A40" s="56">
        <v>2</v>
      </c>
      <c r="B40" s="57"/>
      <c r="C40"/>
      <c r="D40"/>
      <c r="E40"/>
    </row>
    <row r="41" spans="1:5" s="49" customFormat="1" ht="15.75" customHeight="1">
      <c r="A41" s="56">
        <v>3</v>
      </c>
      <c r="B41" s="57"/>
      <c r="C41"/>
      <c r="D41"/>
      <c r="E41"/>
    </row>
    <row r="42" spans="1:5" s="49" customFormat="1" ht="15.75">
      <c r="A42" s="56">
        <v>4</v>
      </c>
      <c r="B42" s="57"/>
      <c r="C42"/>
      <c r="D42"/>
      <c r="E42"/>
    </row>
    <row r="43" spans="1:5" s="49" customFormat="1" ht="15.75">
      <c r="A43" s="56">
        <v>5</v>
      </c>
      <c r="B43" s="57"/>
      <c r="C43"/>
      <c r="D43"/>
      <c r="E43"/>
    </row>
    <row r="44" spans="1:5" s="49" customFormat="1" ht="15.75">
      <c r="A44" s="56">
        <v>6</v>
      </c>
      <c r="B44" s="57"/>
      <c r="C44"/>
      <c r="D44"/>
      <c r="E44"/>
    </row>
    <row r="45" spans="1:5" s="49" customFormat="1" ht="15.75">
      <c r="A45" s="56">
        <v>7</v>
      </c>
      <c r="B45" s="57"/>
      <c r="C45"/>
      <c r="D45"/>
      <c r="E45"/>
    </row>
    <row r="46" spans="1:5" s="49" customFormat="1" ht="15.75">
      <c r="A46" s="56">
        <v>1</v>
      </c>
      <c r="B46" s="57"/>
      <c r="C46"/>
      <c r="D46"/>
      <c r="E46"/>
    </row>
    <row r="47" spans="1:5" s="49" customFormat="1" ht="15.75">
      <c r="A47" s="56">
        <v>2</v>
      </c>
      <c r="B47" s="57"/>
      <c r="C47"/>
      <c r="D47"/>
      <c r="E47"/>
    </row>
    <row r="48" spans="1:5" s="49" customFormat="1" ht="15.75">
      <c r="A48" s="56">
        <v>3</v>
      </c>
      <c r="B48" s="57"/>
      <c r="C48"/>
      <c r="D48"/>
      <c r="E48"/>
    </row>
    <row r="49" spans="1:5" s="49" customFormat="1" ht="15.75">
      <c r="A49" s="56">
        <v>4</v>
      </c>
      <c r="B49" s="57"/>
      <c r="C49"/>
      <c r="D49"/>
      <c r="E49"/>
    </row>
    <row r="50" spans="1:5" s="49" customFormat="1" ht="15.75">
      <c r="A50" s="56">
        <v>5</v>
      </c>
      <c r="B50" s="57"/>
      <c r="C50"/>
      <c r="D50"/>
      <c r="E50"/>
    </row>
    <row r="51" spans="1:5" s="49" customFormat="1" ht="15.75">
      <c r="A51" s="56">
        <v>6</v>
      </c>
      <c r="B51" s="57"/>
      <c r="C51"/>
      <c r="D51"/>
      <c r="E51"/>
    </row>
    <row r="52" spans="1:5" s="49" customFormat="1" ht="15.75" customHeight="1">
      <c r="A52" s="56">
        <v>7</v>
      </c>
      <c r="B52" s="57"/>
      <c r="C52"/>
      <c r="D52"/>
      <c r="E52"/>
    </row>
    <row r="53" spans="1:5" s="49" customFormat="1" ht="15.75" customHeight="1">
      <c r="A53" s="56">
        <v>8</v>
      </c>
      <c r="B53" s="57"/>
      <c r="C53"/>
      <c r="D53"/>
      <c r="E53"/>
    </row>
    <row r="54" spans="1:5" s="49" customFormat="1" ht="15.75" customHeight="1">
      <c r="A54" s="56">
        <v>1</v>
      </c>
      <c r="B54" s="57"/>
      <c r="C54"/>
      <c r="D54"/>
      <c r="E54"/>
    </row>
    <row r="55" spans="1:5" s="49" customFormat="1" ht="15.75" customHeight="1">
      <c r="A55" s="56">
        <v>2</v>
      </c>
      <c r="B55" s="57"/>
      <c r="C55"/>
      <c r="D55"/>
      <c r="E55"/>
    </row>
    <row r="56" spans="1:5" s="49" customFormat="1" ht="15.75">
      <c r="A56" s="56">
        <v>3</v>
      </c>
      <c r="B56" s="57"/>
      <c r="C56"/>
      <c r="D56"/>
      <c r="E56"/>
    </row>
    <row r="57" spans="1:5" s="49" customFormat="1" ht="15.75">
      <c r="A57" s="56">
        <v>4</v>
      </c>
      <c r="B57" s="57"/>
      <c r="C57"/>
      <c r="D57"/>
      <c r="E57"/>
    </row>
    <row r="58" spans="1:5" s="49" customFormat="1" ht="15.75">
      <c r="A58" s="56">
        <v>5</v>
      </c>
      <c r="B58" s="57"/>
      <c r="C58"/>
      <c r="D58"/>
      <c r="E58"/>
    </row>
    <row r="59" spans="1:5" s="49" customFormat="1" ht="15.75">
      <c r="A59" s="56">
        <v>6</v>
      </c>
      <c r="B59" s="57"/>
      <c r="C59"/>
      <c r="D59"/>
      <c r="E59"/>
    </row>
    <row r="60" spans="1:5" s="49" customFormat="1" ht="15.75">
      <c r="A60" s="56">
        <v>7</v>
      </c>
      <c r="B60" s="57"/>
      <c r="C60"/>
      <c r="D60"/>
      <c r="E60"/>
    </row>
    <row r="61" spans="1:5" s="49" customFormat="1" ht="15.75">
      <c r="A61" s="56">
        <v>8</v>
      </c>
      <c r="B61" s="57"/>
      <c r="C61"/>
      <c r="D61"/>
      <c r="E61"/>
    </row>
    <row r="62" spans="1:5" s="49" customFormat="1" ht="15.75">
      <c r="A62" s="56">
        <v>1</v>
      </c>
      <c r="B62" s="57"/>
      <c r="C62"/>
      <c r="D62"/>
      <c r="E62"/>
    </row>
    <row r="63" spans="1:5" s="49" customFormat="1" ht="15.75">
      <c r="A63" s="56">
        <v>2</v>
      </c>
      <c r="B63" s="57"/>
      <c r="C63"/>
      <c r="D63"/>
      <c r="E63"/>
    </row>
    <row r="64" spans="1:5" s="49" customFormat="1" ht="15.75">
      <c r="A64" s="56">
        <v>3</v>
      </c>
      <c r="B64" s="57"/>
      <c r="C64"/>
      <c r="D64"/>
      <c r="E64"/>
    </row>
    <row r="65" spans="1:5" s="49" customFormat="1" ht="15.75">
      <c r="A65" s="56">
        <v>4</v>
      </c>
      <c r="B65" s="57"/>
      <c r="C65"/>
      <c r="D65"/>
      <c r="E65"/>
    </row>
    <row r="66" spans="1:5" s="49" customFormat="1" ht="15.75">
      <c r="A66" s="56">
        <v>5</v>
      </c>
      <c r="B66" s="57"/>
      <c r="C66"/>
      <c r="D66"/>
      <c r="E66"/>
    </row>
    <row r="67" spans="1:5" s="49" customFormat="1" ht="15.75">
      <c r="A67" s="56">
        <v>6</v>
      </c>
      <c r="B67" s="57"/>
      <c r="C67"/>
      <c r="D67"/>
      <c r="E67"/>
    </row>
    <row r="68" spans="1:5" s="49" customFormat="1" ht="15.75" customHeight="1">
      <c r="A68" s="56">
        <v>7</v>
      </c>
      <c r="B68" s="57"/>
      <c r="C68"/>
      <c r="D68"/>
      <c r="E68"/>
    </row>
    <row r="69" spans="1:5" s="49" customFormat="1" ht="15.75" customHeight="1">
      <c r="A69" s="56">
        <v>1</v>
      </c>
      <c r="B69" s="57"/>
      <c r="C69"/>
      <c r="D69"/>
      <c r="E69"/>
    </row>
    <row r="70" spans="1:5" s="49" customFormat="1" ht="15.75" customHeight="1">
      <c r="A70" s="56">
        <v>2</v>
      </c>
      <c r="B70" s="57"/>
      <c r="C70"/>
      <c r="D70"/>
      <c r="E70"/>
    </row>
    <row r="71" spans="1:5" s="49" customFormat="1" ht="15.75" customHeight="1">
      <c r="A71" s="56">
        <v>3</v>
      </c>
      <c r="B71" s="57"/>
      <c r="C71"/>
      <c r="D71"/>
      <c r="E71"/>
    </row>
    <row r="72" spans="1:5" s="49" customFormat="1" ht="15.75">
      <c r="A72" s="56">
        <v>4</v>
      </c>
      <c r="B72" s="57"/>
      <c r="C72"/>
      <c r="D72"/>
      <c r="E72"/>
    </row>
    <row r="73" spans="1:5" s="49" customFormat="1" ht="15.75">
      <c r="A73" s="56">
        <v>5</v>
      </c>
      <c r="B73" s="57"/>
      <c r="C73"/>
      <c r="D73"/>
      <c r="E73"/>
    </row>
    <row r="74" spans="1:5" s="49" customFormat="1" ht="15.75">
      <c r="A74" s="56">
        <v>6</v>
      </c>
      <c r="B74" s="57"/>
      <c r="C74"/>
      <c r="D74"/>
      <c r="E74"/>
    </row>
    <row r="75" spans="1:5" s="49" customFormat="1" ht="15.75">
      <c r="A75" s="56">
        <v>7</v>
      </c>
      <c r="B75" s="57"/>
      <c r="C75"/>
      <c r="D75"/>
      <c r="E75"/>
    </row>
    <row r="76" spans="1:5" s="49" customFormat="1" ht="15.75">
      <c r="A76" s="56">
        <v>1</v>
      </c>
      <c r="B76" s="57"/>
      <c r="C76"/>
      <c r="D76"/>
      <c r="E76"/>
    </row>
    <row r="77" spans="1:5" s="49" customFormat="1" ht="15.75">
      <c r="A77" s="56">
        <v>2</v>
      </c>
      <c r="B77" s="57"/>
      <c r="C77"/>
      <c r="D77"/>
      <c r="E77"/>
    </row>
    <row r="78" spans="1:5" s="49" customFormat="1" ht="15.75">
      <c r="A78" s="56">
        <v>3</v>
      </c>
      <c r="B78" s="57"/>
      <c r="C78"/>
      <c r="D78"/>
      <c r="E78"/>
    </row>
    <row r="79" spans="1:5" s="49" customFormat="1" ht="15.75">
      <c r="A79" s="56">
        <v>4</v>
      </c>
      <c r="B79" s="57"/>
      <c r="C79"/>
      <c r="D79"/>
      <c r="E79"/>
    </row>
    <row r="80" spans="1:5" s="49" customFormat="1" ht="15.75">
      <c r="A80" s="56">
        <v>5</v>
      </c>
      <c r="B80" s="57"/>
      <c r="C80"/>
      <c r="D80"/>
      <c r="E80"/>
    </row>
    <row r="81" spans="1:5" s="49" customFormat="1" ht="15.75">
      <c r="A81" s="56">
        <v>6</v>
      </c>
      <c r="B81" s="57"/>
      <c r="C81"/>
      <c r="D81"/>
      <c r="E81"/>
    </row>
    <row r="82" spans="1:5" s="49" customFormat="1" ht="15.75" customHeight="1">
      <c r="A82" s="56">
        <v>7</v>
      </c>
      <c r="B82" s="57"/>
      <c r="C82"/>
      <c r="D82"/>
      <c r="E82"/>
    </row>
    <row r="83" spans="1:5" s="49" customFormat="1" ht="15.75" customHeight="1">
      <c r="A83" s="56">
        <v>8</v>
      </c>
      <c r="B83" s="57"/>
      <c r="C83"/>
      <c r="D83"/>
      <c r="E83"/>
    </row>
    <row r="84" spans="1:5" s="49" customFormat="1" ht="15.75" customHeight="1">
      <c r="A84" s="56">
        <v>1</v>
      </c>
      <c r="B84" s="57"/>
      <c r="C84"/>
      <c r="D84"/>
      <c r="E84"/>
    </row>
    <row r="85" spans="1:5" s="49" customFormat="1" ht="15.75" customHeight="1">
      <c r="A85" s="56">
        <v>2</v>
      </c>
      <c r="B85" s="57"/>
      <c r="C85"/>
      <c r="D85"/>
      <c r="E85"/>
    </row>
    <row r="86" spans="1:5" s="49" customFormat="1" ht="15.75">
      <c r="A86" s="56">
        <v>3</v>
      </c>
      <c r="B86" s="57"/>
      <c r="C86"/>
      <c r="D86"/>
      <c r="E86"/>
    </row>
    <row r="87" spans="1:5" s="49" customFormat="1" ht="15.75">
      <c r="A87" s="56">
        <v>4</v>
      </c>
      <c r="B87" s="57"/>
      <c r="C87"/>
      <c r="D87"/>
      <c r="E87"/>
    </row>
    <row r="88" spans="1:5" s="49" customFormat="1" ht="15.75">
      <c r="A88" s="56">
        <v>5</v>
      </c>
      <c r="B88" s="57"/>
      <c r="C88"/>
      <c r="D88"/>
      <c r="E88"/>
    </row>
    <row r="89" spans="1:5" s="49" customFormat="1" ht="15.75">
      <c r="A89" s="56">
        <v>6</v>
      </c>
      <c r="B89" s="57"/>
      <c r="C89"/>
      <c r="D89"/>
      <c r="E89"/>
    </row>
    <row r="90" spans="1:5" s="49" customFormat="1" ht="15.75">
      <c r="A90" s="56">
        <v>7</v>
      </c>
      <c r="B90" s="57"/>
      <c r="C90"/>
      <c r="D90"/>
      <c r="E90"/>
    </row>
    <row r="91" spans="1:5" s="49" customFormat="1" ht="15.75">
      <c r="A91" s="56">
        <v>8</v>
      </c>
      <c r="B91" s="57"/>
      <c r="C91"/>
      <c r="D91"/>
      <c r="E91"/>
    </row>
    <row r="92" spans="1:5" s="49" customFormat="1" ht="15.75" customHeight="1">
      <c r="A92" s="56">
        <v>1</v>
      </c>
      <c r="B92" s="57"/>
      <c r="C92"/>
      <c r="D92"/>
      <c r="E92"/>
    </row>
    <row r="93" spans="1:5" s="49" customFormat="1" ht="15.75" customHeight="1">
      <c r="A93" s="56">
        <v>2</v>
      </c>
      <c r="B93" s="57"/>
      <c r="C93"/>
      <c r="D93"/>
      <c r="E93"/>
    </row>
    <row r="94" spans="1:5" s="49" customFormat="1" ht="15.75">
      <c r="A94" s="56">
        <v>3</v>
      </c>
      <c r="B94" s="57"/>
      <c r="C94"/>
      <c r="D94"/>
      <c r="E94"/>
    </row>
    <row r="95" spans="1:5" s="49" customFormat="1" ht="15.75">
      <c r="A95" s="56">
        <v>4</v>
      </c>
      <c r="B95" s="57"/>
      <c r="C95"/>
      <c r="D95"/>
      <c r="E95"/>
    </row>
    <row r="96" spans="1:5" s="49" customFormat="1" ht="15.75">
      <c r="A96" s="56">
        <v>5</v>
      </c>
      <c r="B96" s="57"/>
      <c r="C96"/>
      <c r="D96"/>
      <c r="E96"/>
    </row>
    <row r="97" spans="1:5" s="49" customFormat="1">
      <c r="A97"/>
      <c r="B97"/>
      <c r="C97"/>
      <c r="D97"/>
      <c r="E97"/>
    </row>
    <row r="98" spans="1:5" s="49" customFormat="1" ht="15.75" customHeight="1">
      <c r="A98"/>
      <c r="B98"/>
      <c r="C98"/>
      <c r="D98"/>
      <c r="E98"/>
    </row>
    <row r="99" spans="1:5" s="49" customFormat="1" ht="15.75" customHeight="1">
      <c r="A99"/>
      <c r="B99"/>
      <c r="C99"/>
      <c r="D99"/>
      <c r="E99"/>
    </row>
    <row r="100" spans="1:5" s="49" customFormat="1">
      <c r="A100"/>
      <c r="B100"/>
      <c r="C100"/>
      <c r="D100"/>
      <c r="E100"/>
    </row>
    <row r="101" spans="1:5" s="49" customFormat="1">
      <c r="A101"/>
      <c r="B101"/>
      <c r="C101"/>
      <c r="D101"/>
      <c r="E101"/>
    </row>
    <row r="102" spans="1:5" s="49" customFormat="1">
      <c r="A102"/>
      <c r="B102"/>
      <c r="C102"/>
      <c r="D102"/>
      <c r="E102"/>
    </row>
    <row r="103" spans="1:5" s="49" customFormat="1" ht="15.75" customHeight="1">
      <c r="A103"/>
      <c r="B103"/>
      <c r="C103"/>
      <c r="D103"/>
      <c r="E103"/>
    </row>
    <row r="104" spans="1:5" s="49" customFormat="1" ht="15.75" customHeight="1">
      <c r="A104"/>
      <c r="B104"/>
      <c r="C104"/>
      <c r="D104"/>
    </row>
    <row r="105" spans="1:5" s="49" customFormat="1">
      <c r="A105"/>
      <c r="B105"/>
      <c r="C105"/>
      <c r="D105"/>
    </row>
    <row r="106" spans="1:5" s="49" customFormat="1">
      <c r="A106"/>
      <c r="B106"/>
      <c r="C106"/>
      <c r="D106"/>
    </row>
  </sheetData>
  <sortState ref="C2:D22">
    <sortCondition ref="C2:C22"/>
  </sortState>
  <mergeCells count="1">
    <mergeCell ref="I8:L11"/>
  </mergeCells>
  <conditionalFormatting sqref="G1:G22">
    <cfRule type="duplicateValues" dxfId="0" priority="1"/>
  </conditionalFormatting>
  <pageMargins left="0.7" right="0.7" top="0.75" bottom="0.75" header="0.3" footer="0.3"/>
  <pageSetup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99"/>
  <sheetViews>
    <sheetView zoomScale="115" zoomScaleNormal="115" workbookViewId="0">
      <selection activeCell="D9" sqref="D9"/>
    </sheetView>
  </sheetViews>
  <sheetFormatPr defaultColWidth="9" defaultRowHeight="15"/>
  <sheetData>
    <row r="1" spans="1:8" s="49" customFormat="1" ht="15.75">
      <c r="A1" s="234" t="s">
        <v>191</v>
      </c>
      <c r="B1" s="235"/>
      <c r="C1" s="235"/>
      <c r="D1" s="235"/>
      <c r="E1" s="235"/>
      <c r="F1" s="235"/>
      <c r="G1" s="235"/>
      <c r="H1" s="236"/>
    </row>
    <row r="2" spans="1:8" s="49" customFormat="1" ht="15.75">
      <c r="A2" s="234" t="s">
        <v>233</v>
      </c>
      <c r="B2" s="235"/>
      <c r="C2" s="235"/>
      <c r="D2" s="235"/>
      <c r="E2" s="235"/>
      <c r="F2" s="235"/>
      <c r="G2" s="235"/>
      <c r="H2" s="236"/>
    </row>
    <row r="3" spans="1:8" s="49" customFormat="1" ht="15.75">
      <c r="A3" s="234" t="s">
        <v>193</v>
      </c>
      <c r="B3" s="235"/>
      <c r="C3" s="235"/>
      <c r="D3" s="235"/>
      <c r="E3" s="235"/>
      <c r="F3" s="235"/>
      <c r="G3" s="235"/>
      <c r="H3" s="236"/>
    </row>
    <row r="4" spans="1:8" s="49" customFormat="1" ht="36" customHeight="1">
      <c r="A4" s="234" t="s">
        <v>194</v>
      </c>
      <c r="B4" s="235"/>
      <c r="C4" s="235"/>
      <c r="D4" s="235"/>
      <c r="E4" s="235"/>
      <c r="F4" s="235"/>
      <c r="G4" s="235"/>
      <c r="H4" s="236"/>
    </row>
    <row r="5" spans="1:8" s="49" customFormat="1" ht="15.75">
      <c r="A5" s="237">
        <v>1</v>
      </c>
      <c r="B5" s="238"/>
      <c r="C5" s="51" t="s">
        <v>195</v>
      </c>
      <c r="D5" s="50">
        <f>((75.18)+(3.65*1.55+3.02*1.16)+(3.35+3.65)*0.6)*10.764</f>
        <v>953.05209479999996</v>
      </c>
      <c r="E5" s="51">
        <f>(3.13*1.36)*10.764</f>
        <v>45.820195200000001</v>
      </c>
      <c r="F5" s="51">
        <v>1890</v>
      </c>
      <c r="G5" s="239" t="str">
        <f>A4</f>
        <v>4th, 6th, 8th, 10th, 12th, 14th, 16th, 18th, 20th, 22nd, 24th, 26th, 28th, 30th, 32nd, 34th, 36th, 38th &amp; 40th Floor</v>
      </c>
      <c r="H5" s="240"/>
    </row>
    <row r="6" spans="1:8" s="49" customFormat="1" ht="15.75">
      <c r="A6" s="237">
        <v>2</v>
      </c>
      <c r="B6" s="238"/>
      <c r="C6" s="51" t="s">
        <v>196</v>
      </c>
      <c r="D6" s="50">
        <f>((147.32)+(4.35*1.53+2.98*1.05+3.2*1.35+3.35*1.45+3.35*1.65)+(3.35*0.6))*10.764</f>
        <v>1870.9930979999997</v>
      </c>
      <c r="E6" s="51">
        <f>(3.2*1.38)*10.764</f>
        <v>47.533823999999989</v>
      </c>
      <c r="F6" s="51">
        <v>3295</v>
      </c>
      <c r="G6" s="241"/>
      <c r="H6" s="242"/>
    </row>
    <row r="7" spans="1:8" s="49" customFormat="1" ht="15.75">
      <c r="A7" s="237">
        <v>3</v>
      </c>
      <c r="B7" s="238"/>
      <c r="C7" s="51" t="s">
        <v>195</v>
      </c>
      <c r="D7" s="50">
        <f>((75.18)+(3.65*1.55+3.02*1.16)+(3.35+3.65)*0.6)*10.764</f>
        <v>953.05209479999996</v>
      </c>
      <c r="E7" s="51">
        <f>(3.13*1.36)*10.764</f>
        <v>45.820195200000001</v>
      </c>
      <c r="F7" s="51">
        <v>1890</v>
      </c>
      <c r="G7" s="241"/>
      <c r="H7" s="242"/>
    </row>
    <row r="8" spans="1:8" s="49" customFormat="1" ht="15.75">
      <c r="A8" s="237">
        <v>4</v>
      </c>
      <c r="B8" s="238"/>
      <c r="C8" s="51" t="s">
        <v>195</v>
      </c>
      <c r="D8" s="50">
        <f>((65.81)+(3.3*2+2.76*1.2)+(3.35+3.05)*0.6)*10.764</f>
        <v>856.40536800000007</v>
      </c>
      <c r="E8" s="51">
        <f>(3.13*1.36)*10.764</f>
        <v>45.820195200000001</v>
      </c>
      <c r="F8" s="51">
        <v>1855</v>
      </c>
      <c r="G8" s="241"/>
      <c r="H8" s="242"/>
    </row>
    <row r="9" spans="1:8" s="49" customFormat="1" ht="15.75">
      <c r="A9" s="237">
        <v>5</v>
      </c>
      <c r="B9" s="238"/>
      <c r="C9" s="51" t="s">
        <v>197</v>
      </c>
      <c r="D9" s="50">
        <f>((45.95)+(3.3*1.7+3.3*1.7)+(3.3*0.6))*10.764</f>
        <v>636.6905999999999</v>
      </c>
      <c r="E9" s="51">
        <f>(3.76*1.37)*10.764</f>
        <v>55.447516800000002</v>
      </c>
      <c r="F9" s="51">
        <v>1275</v>
      </c>
      <c r="G9" s="241"/>
      <c r="H9" s="242"/>
    </row>
    <row r="10" spans="1:8" s="49" customFormat="1" ht="15.75">
      <c r="A10" s="237">
        <v>6</v>
      </c>
      <c r="B10" s="238"/>
      <c r="C10" s="51" t="s">
        <v>197</v>
      </c>
      <c r="D10" s="50">
        <f>((45.98)+(3.3*1.7+3.3*1.7)+(3.3*0.6))*10.764</f>
        <v>637.01351999999986</v>
      </c>
      <c r="E10" s="51">
        <f>(3.76*1.37)*10.764</f>
        <v>55.447516800000002</v>
      </c>
      <c r="F10" s="51">
        <v>1275</v>
      </c>
      <c r="G10" s="241"/>
      <c r="H10" s="242"/>
    </row>
    <row r="11" spans="1:8" s="49" customFormat="1" ht="15.75">
      <c r="A11" s="237">
        <v>7</v>
      </c>
      <c r="B11" s="238"/>
      <c r="C11" s="51" t="s">
        <v>195</v>
      </c>
      <c r="D11" s="50">
        <f>((65.81)+(3.3*2+2.76*1.2)+(3.05+3.35)*0.6)*10.764</f>
        <v>856.40536800000007</v>
      </c>
      <c r="E11" s="51">
        <f>(3.13*1.36)*10.764</f>
        <v>45.820195200000001</v>
      </c>
      <c r="F11" s="51">
        <v>1855</v>
      </c>
      <c r="G11" s="243"/>
      <c r="H11" s="244"/>
    </row>
    <row r="12" spans="1:8" s="49" customFormat="1" ht="15.75">
      <c r="A12" s="234" t="s">
        <v>198</v>
      </c>
      <c r="B12" s="235"/>
      <c r="C12" s="235"/>
      <c r="D12" s="235"/>
      <c r="E12" s="235"/>
      <c r="F12" s="235"/>
      <c r="G12" s="235"/>
      <c r="H12" s="236"/>
    </row>
    <row r="13" spans="1:8" s="49" customFormat="1" ht="15.75">
      <c r="A13" s="237">
        <v>1</v>
      </c>
      <c r="B13" s="238"/>
      <c r="C13" s="51" t="s">
        <v>195</v>
      </c>
      <c r="D13" s="50">
        <f>((75.18)+(3.65*1.55+3.02*1.16))*10.764</f>
        <v>907.84329479999997</v>
      </c>
      <c r="E13" s="51">
        <f>(3.65*1.25)*10.764</f>
        <v>49.110749999999996</v>
      </c>
      <c r="F13" s="51">
        <v>1875</v>
      </c>
      <c r="G13" s="239" t="str">
        <f>A12</f>
        <v>5th, 7th, 9th, 11th, 13th, 15th, 17th, 19th, 21st, 23rd, 25th, 27th, 29th, 31st, 33rd, 35th, 37th, 39th Floor</v>
      </c>
      <c r="H13" s="240"/>
    </row>
    <row r="14" spans="1:8" s="49" customFormat="1" ht="15.75">
      <c r="A14" s="237">
        <v>2</v>
      </c>
      <c r="B14" s="238"/>
      <c r="C14" s="51" t="s">
        <v>196</v>
      </c>
      <c r="D14" s="50">
        <f>((147.32)+(3.65*1.65+4.33*1.53+2.95*3.35+3.35*1.65))*10.764</f>
        <v>1887.7623335999999</v>
      </c>
      <c r="E14" s="51">
        <f>(3.35*1.05)*10.764</f>
        <v>37.862369999999999</v>
      </c>
      <c r="F14" s="51">
        <v>3295</v>
      </c>
      <c r="G14" s="241"/>
      <c r="H14" s="242"/>
    </row>
    <row r="15" spans="1:8" s="49" customFormat="1" ht="15.75">
      <c r="A15" s="237">
        <v>3</v>
      </c>
      <c r="B15" s="238"/>
      <c r="C15" s="51" t="s">
        <v>195</v>
      </c>
      <c r="D15" s="50">
        <f>((75.18)+(3.65*1.55+3.02*1.16))*10.764</f>
        <v>907.84329479999997</v>
      </c>
      <c r="E15" s="51">
        <f>(3.65*1.25)*10.764</f>
        <v>49.110749999999996</v>
      </c>
      <c r="F15" s="51">
        <v>1875</v>
      </c>
      <c r="G15" s="241"/>
      <c r="H15" s="242"/>
    </row>
    <row r="16" spans="1:8" s="49" customFormat="1" ht="15.75">
      <c r="A16" s="237">
        <v>4</v>
      </c>
      <c r="B16" s="238"/>
      <c r="C16" s="51" t="s">
        <v>195</v>
      </c>
      <c r="D16" s="50">
        <f>((65.81)+(3.3*2+2.76*1.2))*10.764</f>
        <v>815.07160800000008</v>
      </c>
      <c r="E16" s="51">
        <f>(3.35*1.85)*10.764</f>
        <v>66.709890000000001</v>
      </c>
      <c r="F16" s="51">
        <v>1855</v>
      </c>
      <c r="G16" s="241"/>
      <c r="H16" s="242"/>
    </row>
    <row r="17" spans="1:8" s="49" customFormat="1" ht="15.75">
      <c r="A17" s="237">
        <v>5</v>
      </c>
      <c r="B17" s="238"/>
      <c r="C17" s="51" t="s">
        <v>197</v>
      </c>
      <c r="D17" s="50">
        <f>((45.98)+(3.3*1.7+2.4*1.7))*10.764</f>
        <v>599.23187999999993</v>
      </c>
      <c r="E17" s="51">
        <f>(3.3*1.35)*10.764</f>
        <v>47.953620000000001</v>
      </c>
      <c r="F17" s="51">
        <v>1275</v>
      </c>
      <c r="G17" s="241"/>
      <c r="H17" s="242"/>
    </row>
    <row r="18" spans="1:8" s="49" customFormat="1" ht="15.75">
      <c r="A18" s="237">
        <v>6</v>
      </c>
      <c r="B18" s="238"/>
      <c r="C18" s="51" t="s">
        <v>197</v>
      </c>
      <c r="D18" s="50">
        <f>((45.98)+(3.3*1.7+2.4*1.7))*10.764</f>
        <v>599.23187999999993</v>
      </c>
      <c r="E18" s="51">
        <f>(3.3*1.35)*10.764</f>
        <v>47.953620000000001</v>
      </c>
      <c r="F18" s="51">
        <v>1275</v>
      </c>
      <c r="G18" s="241"/>
      <c r="H18" s="242"/>
    </row>
    <row r="19" spans="1:8" s="49" customFormat="1" ht="15.75">
      <c r="A19" s="237">
        <v>7</v>
      </c>
      <c r="B19" s="238"/>
      <c r="C19" s="51" t="s">
        <v>195</v>
      </c>
      <c r="D19" s="50">
        <f>((65.81)+(3.3*2+2.76*1.2))*10.764</f>
        <v>815.07160800000008</v>
      </c>
      <c r="E19" s="51">
        <f>(3.35*1.85)*10.764</f>
        <v>66.709890000000001</v>
      </c>
      <c r="F19" s="51">
        <v>1855</v>
      </c>
      <c r="G19" s="243"/>
      <c r="H19" s="244"/>
    </row>
    <row r="20" spans="1:8" s="49" customFormat="1" ht="15.75" customHeight="1">
      <c r="A20" s="234" t="s">
        <v>199</v>
      </c>
      <c r="B20" s="235"/>
      <c r="C20" s="235"/>
      <c r="D20" s="235"/>
      <c r="E20" s="235"/>
      <c r="F20" s="235"/>
      <c r="G20" s="235"/>
      <c r="H20" s="236"/>
    </row>
    <row r="21" spans="1:8" s="49" customFormat="1" ht="15.75">
      <c r="A21" s="234" t="s">
        <v>233</v>
      </c>
      <c r="B21" s="235"/>
      <c r="C21" s="235"/>
      <c r="D21" s="235"/>
      <c r="E21" s="235"/>
      <c r="F21" s="235"/>
      <c r="G21" s="235"/>
      <c r="H21" s="236"/>
    </row>
    <row r="22" spans="1:8" s="49" customFormat="1" ht="15.75" customHeight="1">
      <c r="A22" s="234" t="s">
        <v>200</v>
      </c>
      <c r="B22" s="235"/>
      <c r="C22" s="235"/>
      <c r="D22" s="235"/>
      <c r="E22" s="235"/>
      <c r="F22" s="235"/>
      <c r="G22" s="235"/>
      <c r="H22" s="236"/>
    </row>
    <row r="23" spans="1:8" s="49" customFormat="1" ht="35.25" customHeight="1">
      <c r="A23" s="234" t="s">
        <v>194</v>
      </c>
      <c r="B23" s="235"/>
      <c r="C23" s="235"/>
      <c r="D23" s="235"/>
      <c r="E23" s="235"/>
      <c r="F23" s="235"/>
      <c r="G23" s="235"/>
      <c r="H23" s="236"/>
    </row>
    <row r="24" spans="1:8" s="49" customFormat="1" ht="15.75">
      <c r="A24" s="237">
        <v>1</v>
      </c>
      <c r="B24" s="238"/>
      <c r="C24" s="51" t="s">
        <v>195</v>
      </c>
      <c r="D24" s="50">
        <f>((92.28)+(3.65*1.8+3.06*1.2)+(3.65*0.6))*10.764</f>
        <v>1127.119968</v>
      </c>
      <c r="E24" s="51">
        <f>(3.13*1.34)*10.764</f>
        <v>45.146368800000005</v>
      </c>
      <c r="F24" s="51">
        <v>2215</v>
      </c>
      <c r="G24" s="239" t="str">
        <f>A23</f>
        <v>4th, 6th, 8th, 10th, 12th, 14th, 16th, 18th, 20th, 22nd, 24th, 26th, 28th, 30th, 32nd, 34th, 36th, 38th &amp; 40th Floor</v>
      </c>
      <c r="H24" s="240"/>
    </row>
    <row r="25" spans="1:8" s="49" customFormat="1" ht="15.75">
      <c r="A25" s="237">
        <v>2</v>
      </c>
      <c r="B25" s="238"/>
      <c r="C25" s="51" t="s">
        <v>197</v>
      </c>
      <c r="D25" s="50">
        <f>((62.98)+(3.35*1.65+2.45*1.05)+(3.35*0.6))*10.764</f>
        <v>786.74076000000002</v>
      </c>
      <c r="E25" s="51">
        <f>(3.13*1.25)*10.764</f>
        <v>42.114149999999995</v>
      </c>
      <c r="F25" s="51">
        <v>1415</v>
      </c>
      <c r="G25" s="241"/>
      <c r="H25" s="242"/>
    </row>
    <row r="26" spans="1:8" s="49" customFormat="1" ht="15.75">
      <c r="A26" s="237">
        <v>3</v>
      </c>
      <c r="B26" s="238"/>
      <c r="C26" s="51" t="s">
        <v>197</v>
      </c>
      <c r="D26" s="50">
        <f>((62.98)+(3.35*1.65+2.45*1.05)+(3.35*0.6))*10.764</f>
        <v>786.74076000000002</v>
      </c>
      <c r="E26" s="51">
        <f>(3.13*1.25)*10.764</f>
        <v>42.114149999999995</v>
      </c>
      <c r="F26" s="51">
        <v>1415</v>
      </c>
      <c r="G26" s="241"/>
      <c r="H26" s="242"/>
    </row>
    <row r="27" spans="1:8" s="49" customFormat="1" ht="15.75">
      <c r="A27" s="237">
        <v>4</v>
      </c>
      <c r="B27" s="238"/>
      <c r="C27" s="51" t="s">
        <v>195</v>
      </c>
      <c r="D27" s="50">
        <f>((92.28)+(3.65*1.8+3.06*1.2)+(3.65*0.6))*10.764</f>
        <v>1127.119968</v>
      </c>
      <c r="E27" s="51">
        <f>(3.05*1.4)*10.764</f>
        <v>45.962279999999993</v>
      </c>
      <c r="F27" s="51">
        <v>2215</v>
      </c>
      <c r="G27" s="241"/>
      <c r="H27" s="242"/>
    </row>
    <row r="28" spans="1:8" s="49" customFormat="1" ht="15.75">
      <c r="A28" s="237">
        <v>5</v>
      </c>
      <c r="B28" s="238"/>
      <c r="C28" s="51" t="s">
        <v>195</v>
      </c>
      <c r="D28" s="50">
        <f>((84.78)+(3.3*2+2.45*1.2)+(3.05+3.3)*0.6)*10.764</f>
        <v>1056.2713199999998</v>
      </c>
      <c r="E28" s="51">
        <f>(3*1.35)*10.764</f>
        <v>43.594200000000008</v>
      </c>
      <c r="F28" s="51">
        <v>2025</v>
      </c>
      <c r="G28" s="241"/>
      <c r="H28" s="242"/>
    </row>
    <row r="29" spans="1:8" s="49" customFormat="1" ht="15.75">
      <c r="A29" s="237">
        <v>6</v>
      </c>
      <c r="B29" s="238"/>
      <c r="C29" s="51" t="s">
        <v>197</v>
      </c>
      <c r="D29" s="50">
        <f>((58.38)+(2.4*1.15)+(3.35+3)*0.6)*10.764</f>
        <v>699.12180000000001</v>
      </c>
      <c r="E29" s="51">
        <f>(3.4*1.35)*10.764</f>
        <v>49.406759999999998</v>
      </c>
      <c r="F29" s="51">
        <v>1400</v>
      </c>
      <c r="G29" s="241"/>
      <c r="H29" s="242"/>
    </row>
    <row r="30" spans="1:8" s="49" customFormat="1" ht="15.75">
      <c r="A30" s="237">
        <v>7</v>
      </c>
      <c r="B30" s="238"/>
      <c r="C30" s="51" t="s">
        <v>197</v>
      </c>
      <c r="D30" s="50">
        <f>((58.38)+(2.4*1.15)+(3.35+3)*0.6)*10.764</f>
        <v>699.12180000000001</v>
      </c>
      <c r="E30" s="51">
        <f>(3.4*1.35)*10.764</f>
        <v>49.406759999999998</v>
      </c>
      <c r="F30" s="51">
        <v>1400</v>
      </c>
      <c r="G30" s="241"/>
      <c r="H30" s="242"/>
    </row>
    <row r="31" spans="1:8" s="49" customFormat="1" ht="15.75">
      <c r="A31" s="237">
        <v>8</v>
      </c>
      <c r="B31" s="238"/>
      <c r="C31" s="51" t="s">
        <v>195</v>
      </c>
      <c r="D31" s="50">
        <f>((84.78)+(3.3*2+2.45*1.2)+(3.05+3.3)*0.6)*10.764</f>
        <v>1056.2713199999998</v>
      </c>
      <c r="E31" s="51">
        <f>(3*1.35)*10.764</f>
        <v>43.594200000000008</v>
      </c>
      <c r="F31" s="51">
        <v>2025</v>
      </c>
      <c r="G31" s="243"/>
      <c r="H31" s="244"/>
    </row>
    <row r="32" spans="1:8" s="49" customFormat="1" ht="15.75" customHeight="1">
      <c r="A32" s="234" t="s">
        <v>198</v>
      </c>
      <c r="B32" s="235"/>
      <c r="C32" s="235"/>
      <c r="D32" s="235"/>
      <c r="E32" s="235"/>
      <c r="F32" s="235"/>
      <c r="G32" s="235"/>
      <c r="H32" s="236"/>
    </row>
    <row r="33" spans="1:8" s="49" customFormat="1" ht="15.75">
      <c r="A33" s="237">
        <v>1</v>
      </c>
      <c r="B33" s="238"/>
      <c r="C33" s="51" t="s">
        <v>195</v>
      </c>
      <c r="D33" s="50">
        <f>((92.28)+(3.65*1.8+3.06*1.2)+(3.13*0.6))*10.764</f>
        <v>1123.7616</v>
      </c>
      <c r="E33" s="51">
        <f>(3.65*1.25)*10.764</f>
        <v>49.110749999999996</v>
      </c>
      <c r="F33" s="51">
        <v>2215</v>
      </c>
      <c r="G33" s="239" t="str">
        <f>A32</f>
        <v>5th, 7th, 9th, 11th, 13th, 15th, 17th, 19th, 21st, 23rd, 25th, 27th, 29th, 31st, 33rd, 35th, 37th, 39th Floor</v>
      </c>
      <c r="H33" s="240"/>
    </row>
    <row r="34" spans="1:8" s="49" customFormat="1" ht="15.75">
      <c r="A34" s="237">
        <v>2</v>
      </c>
      <c r="B34" s="238"/>
      <c r="C34" s="51" t="s">
        <v>197</v>
      </c>
      <c r="D34" s="50">
        <f>((62.98)+(3.35*1.65+2.45*1.05)+(3.13*0.6))*10.764</f>
        <v>785.31991199999993</v>
      </c>
      <c r="E34" s="51">
        <f>(3.35*1.25)*10.764</f>
        <v>45.074249999999999</v>
      </c>
      <c r="F34" s="51">
        <v>1415</v>
      </c>
      <c r="G34" s="241"/>
      <c r="H34" s="242"/>
    </row>
    <row r="35" spans="1:8" s="49" customFormat="1" ht="15.75">
      <c r="A35" s="237">
        <v>3</v>
      </c>
      <c r="B35" s="238"/>
      <c r="C35" s="51" t="s">
        <v>197</v>
      </c>
      <c r="D35" s="50">
        <f>((62.98)+(3.35*1.65+2.45*1.05)+(3.13*0.6))*10.764</f>
        <v>785.31991199999993</v>
      </c>
      <c r="E35" s="51">
        <f>(3.35*1.25)*10.764</f>
        <v>45.074249999999999</v>
      </c>
      <c r="F35" s="51">
        <v>1415</v>
      </c>
      <c r="G35" s="241"/>
      <c r="H35" s="242"/>
    </row>
    <row r="36" spans="1:8" s="49" customFormat="1" ht="15.75">
      <c r="A36" s="237">
        <v>4</v>
      </c>
      <c r="B36" s="238"/>
      <c r="C36" s="51" t="s">
        <v>195</v>
      </c>
      <c r="D36" s="50">
        <f>((92.28)+(3.65*1.8+3.06*1.2)+(3.13*0.6))*10.764</f>
        <v>1123.7616</v>
      </c>
      <c r="E36" s="51">
        <f>(3.65*1.25)*10.764</f>
        <v>49.110749999999996</v>
      </c>
      <c r="F36" s="51">
        <v>2215</v>
      </c>
      <c r="G36" s="241"/>
      <c r="H36" s="242"/>
    </row>
    <row r="37" spans="1:8" s="49" customFormat="1" ht="15.75">
      <c r="A37" s="237">
        <v>5</v>
      </c>
      <c r="B37" s="238"/>
      <c r="C37" s="51" t="s">
        <v>195</v>
      </c>
      <c r="D37" s="50">
        <f>((84.78)+(3.3*2+2.45*1.2)+(3.05+3)*0.6)*10.764</f>
        <v>1054.3337999999999</v>
      </c>
      <c r="E37" s="51">
        <f>(3.3*1.8)*10.764</f>
        <v>63.938159999999989</v>
      </c>
      <c r="F37" s="51">
        <v>2025</v>
      </c>
      <c r="G37" s="241"/>
      <c r="H37" s="242"/>
    </row>
    <row r="38" spans="1:8" s="49" customFormat="1" ht="15.75">
      <c r="A38" s="237">
        <v>6</v>
      </c>
      <c r="B38" s="238"/>
      <c r="C38" s="51" t="s">
        <v>197</v>
      </c>
      <c r="D38" s="50">
        <f>((58.38)+(2.4*1.15)+(3.35+3)*0.6)*10.764</f>
        <v>699.12180000000001</v>
      </c>
      <c r="E38" s="51">
        <f>(3.4*1.35)*10.764</f>
        <v>49.406759999999998</v>
      </c>
      <c r="F38" s="51">
        <v>1400</v>
      </c>
      <c r="G38" s="241"/>
      <c r="H38" s="242"/>
    </row>
    <row r="39" spans="1:8" s="49" customFormat="1" ht="15.75">
      <c r="A39" s="237">
        <v>7</v>
      </c>
      <c r="B39" s="238"/>
      <c r="C39" s="51" t="s">
        <v>197</v>
      </c>
      <c r="D39" s="50">
        <f>((58.38)+(2.4*1.15)+(3.35+3)*0.6)*10.764</f>
        <v>699.12180000000001</v>
      </c>
      <c r="E39" s="51">
        <f>(3.4*1.35)*10.764</f>
        <v>49.406759999999998</v>
      </c>
      <c r="F39" s="51">
        <v>1400</v>
      </c>
      <c r="G39" s="241"/>
      <c r="H39" s="242"/>
    </row>
    <row r="40" spans="1:8" s="49" customFormat="1" ht="15.75">
      <c r="A40" s="237">
        <v>8</v>
      </c>
      <c r="B40" s="238"/>
      <c r="C40" s="51" t="s">
        <v>195</v>
      </c>
      <c r="D40" s="50">
        <f>((84.78)+(3.3*2+2.45*1.2)+(3.05+3)*0.6)*10.764</f>
        <v>1054.3337999999999</v>
      </c>
      <c r="E40" s="51">
        <f>(3.3*1.8)*10.764</f>
        <v>63.938159999999989</v>
      </c>
      <c r="F40" s="51">
        <v>2025</v>
      </c>
      <c r="G40" s="243"/>
      <c r="H40" s="244"/>
    </row>
    <row r="41" spans="1:8" s="49" customFormat="1" ht="15.75" customHeight="1">
      <c r="A41" s="234" t="s">
        <v>201</v>
      </c>
      <c r="B41" s="235"/>
      <c r="C41" s="235"/>
      <c r="D41" s="235"/>
      <c r="E41" s="235"/>
      <c r="F41" s="235"/>
      <c r="G41" s="235"/>
      <c r="H41" s="236"/>
    </row>
    <row r="42" spans="1:8" s="49" customFormat="1" ht="15.75">
      <c r="A42" s="234" t="s">
        <v>233</v>
      </c>
      <c r="B42" s="235"/>
      <c r="C42" s="235"/>
      <c r="D42" s="235"/>
      <c r="E42" s="235"/>
      <c r="F42" s="235"/>
      <c r="G42" s="235"/>
      <c r="H42" s="236"/>
    </row>
    <row r="43" spans="1:8" s="49" customFormat="1" ht="15.75" customHeight="1">
      <c r="A43" s="234" t="s">
        <v>200</v>
      </c>
      <c r="B43" s="235"/>
      <c r="C43" s="235"/>
      <c r="D43" s="235"/>
      <c r="E43" s="235"/>
      <c r="F43" s="235"/>
      <c r="G43" s="235"/>
      <c r="H43" s="236"/>
    </row>
    <row r="44" spans="1:8" s="49" customFormat="1" ht="35.25" customHeight="1">
      <c r="A44" s="234" t="s">
        <v>194</v>
      </c>
      <c r="B44" s="235"/>
      <c r="C44" s="235"/>
      <c r="D44" s="235"/>
      <c r="E44" s="235"/>
      <c r="F44" s="235"/>
      <c r="G44" s="235"/>
      <c r="H44" s="236"/>
    </row>
    <row r="45" spans="1:8" s="49" customFormat="1" ht="15.75">
      <c r="A45" s="237">
        <v>1</v>
      </c>
      <c r="B45" s="238"/>
      <c r="C45" s="51" t="s">
        <v>195</v>
      </c>
      <c r="D45" s="50">
        <f>((75.18)+(3.65*1.55+3.02*1.16)+(3.35+3.65)*0.6)*10.764</f>
        <v>953.05209479999996</v>
      </c>
      <c r="E45" s="51">
        <f>(3.13*1.36)*10.764</f>
        <v>45.820195200000001</v>
      </c>
      <c r="F45" s="51">
        <v>1890</v>
      </c>
      <c r="G45" s="239" t="str">
        <f>A44</f>
        <v>4th, 6th, 8th, 10th, 12th, 14th, 16th, 18th, 20th, 22nd, 24th, 26th, 28th, 30th, 32nd, 34th, 36th, 38th &amp; 40th Floor</v>
      </c>
      <c r="H45" s="240"/>
    </row>
    <row r="46" spans="1:8" s="49" customFormat="1" ht="15.75">
      <c r="A46" s="237">
        <v>2</v>
      </c>
      <c r="B46" s="238"/>
      <c r="C46" s="51" t="s">
        <v>196</v>
      </c>
      <c r="D46" s="50">
        <f>((147.32)+(4.35*1.53+2.98*1.05+3.2*1.35+3.35*1.45+3.35*1.65)+(3.35*0.6))*10.764</f>
        <v>1870.9930979999997</v>
      </c>
      <c r="E46" s="51">
        <f>(3.2*1.38)*10.764</f>
        <v>47.533823999999989</v>
      </c>
      <c r="F46" s="51">
        <v>3295</v>
      </c>
      <c r="G46" s="241"/>
      <c r="H46" s="242"/>
    </row>
    <row r="47" spans="1:8" s="49" customFormat="1" ht="15.75">
      <c r="A47" s="237">
        <v>3</v>
      </c>
      <c r="B47" s="238"/>
      <c r="C47" s="51" t="s">
        <v>195</v>
      </c>
      <c r="D47" s="50">
        <f>((75.18)+(3.65*1.55+3.02*1.16)+(3.35+3.65)*0.6)*10.764</f>
        <v>953.05209479999996</v>
      </c>
      <c r="E47" s="51">
        <f>(3.13*1.36)*10.764</f>
        <v>45.820195200000001</v>
      </c>
      <c r="F47" s="51">
        <v>1890</v>
      </c>
      <c r="G47" s="241"/>
      <c r="H47" s="242"/>
    </row>
    <row r="48" spans="1:8" s="49" customFormat="1" ht="15.75">
      <c r="A48" s="237">
        <v>4</v>
      </c>
      <c r="B48" s="238"/>
      <c r="C48" s="51" t="s">
        <v>195</v>
      </c>
      <c r="D48" s="50">
        <f>((65.81)+(3.3*2+2.76*1.2)+(3.35+3.05)*0.6)*10.764</f>
        <v>856.40536800000007</v>
      </c>
      <c r="E48" s="51">
        <f>(3.13*1.36)*10.764</f>
        <v>45.820195200000001</v>
      </c>
      <c r="F48" s="51">
        <v>1855</v>
      </c>
      <c r="G48" s="241"/>
      <c r="H48" s="242"/>
    </row>
    <row r="49" spans="1:8" s="49" customFormat="1" ht="15.75">
      <c r="A49" s="237">
        <v>5</v>
      </c>
      <c r="B49" s="238"/>
      <c r="C49" s="51" t="s">
        <v>197</v>
      </c>
      <c r="D49" s="50">
        <f>((45.95)+(3.3*1.7+3.3*1.7)+(3.3*0.6))*10.764</f>
        <v>636.6905999999999</v>
      </c>
      <c r="E49" s="51">
        <f>(3.76*1.37)*10.764</f>
        <v>55.447516800000002</v>
      </c>
      <c r="F49" s="51">
        <v>1275</v>
      </c>
      <c r="G49" s="241"/>
      <c r="H49" s="242"/>
    </row>
    <row r="50" spans="1:8" s="49" customFormat="1" ht="15.75">
      <c r="A50" s="237">
        <v>6</v>
      </c>
      <c r="B50" s="238"/>
      <c r="C50" s="51" t="s">
        <v>197</v>
      </c>
      <c r="D50" s="50">
        <f>((45.98)+(3.3*1.7+3.3*1.7)+(3.3*0.6))*10.764</f>
        <v>637.01351999999986</v>
      </c>
      <c r="E50" s="51">
        <f>(3.76*1.37)*10.764</f>
        <v>55.447516800000002</v>
      </c>
      <c r="F50" s="51">
        <v>1275</v>
      </c>
      <c r="G50" s="241"/>
      <c r="H50" s="242"/>
    </row>
    <row r="51" spans="1:8" s="49" customFormat="1" ht="15.75">
      <c r="A51" s="237">
        <v>7</v>
      </c>
      <c r="B51" s="238"/>
      <c r="C51" s="51" t="s">
        <v>195</v>
      </c>
      <c r="D51" s="50">
        <f>((65.81)+(3.3*2+2.76*1.2)+(3.05+3.35)*0.6)*10.764</f>
        <v>856.40536800000007</v>
      </c>
      <c r="E51" s="51">
        <f>(3.13*1.36)*10.764</f>
        <v>45.820195200000001</v>
      </c>
      <c r="F51" s="51">
        <v>1855</v>
      </c>
      <c r="G51" s="243"/>
      <c r="H51" s="244"/>
    </row>
    <row r="52" spans="1:8" s="49" customFormat="1" ht="15.75" customHeight="1">
      <c r="A52" s="234" t="s">
        <v>198</v>
      </c>
      <c r="B52" s="235"/>
      <c r="C52" s="235"/>
      <c r="D52" s="235"/>
      <c r="E52" s="235"/>
      <c r="F52" s="235"/>
      <c r="G52" s="235"/>
      <c r="H52" s="236"/>
    </row>
    <row r="53" spans="1:8" s="49" customFormat="1" ht="15.75">
      <c r="A53" s="237">
        <v>1</v>
      </c>
      <c r="B53" s="238"/>
      <c r="C53" s="51" t="s">
        <v>195</v>
      </c>
      <c r="D53" s="50">
        <f>((75.18)+(3.65*1.55+3.02*1.16))*10.764</f>
        <v>907.84329479999997</v>
      </c>
      <c r="E53" s="51">
        <f>(3.65*1.25)*10.764</f>
        <v>49.110749999999996</v>
      </c>
      <c r="F53" s="51">
        <v>1875</v>
      </c>
      <c r="G53" s="239" t="str">
        <f>A52</f>
        <v>5th, 7th, 9th, 11th, 13th, 15th, 17th, 19th, 21st, 23rd, 25th, 27th, 29th, 31st, 33rd, 35th, 37th, 39th Floor</v>
      </c>
      <c r="H53" s="240"/>
    </row>
    <row r="54" spans="1:8" s="49" customFormat="1" ht="15.75">
      <c r="A54" s="237">
        <v>2</v>
      </c>
      <c r="B54" s="238"/>
      <c r="C54" s="51" t="s">
        <v>196</v>
      </c>
      <c r="D54" s="50">
        <f>((147.32)+(3.65*1.65+4.33*1.53+2.95*3.35+3.35*1.65))*10.764</f>
        <v>1887.7623335999999</v>
      </c>
      <c r="E54" s="51">
        <f>(3.35*1.05)*10.764</f>
        <v>37.862369999999999</v>
      </c>
      <c r="F54" s="51">
        <v>3295</v>
      </c>
      <c r="G54" s="241"/>
      <c r="H54" s="242"/>
    </row>
    <row r="55" spans="1:8" s="49" customFormat="1" ht="15.75">
      <c r="A55" s="237">
        <v>3</v>
      </c>
      <c r="B55" s="238"/>
      <c r="C55" s="51" t="s">
        <v>195</v>
      </c>
      <c r="D55" s="50">
        <f>((75.18)+(3.65*1.55+3.02*1.16))*10.764</f>
        <v>907.84329479999997</v>
      </c>
      <c r="E55" s="51">
        <f>(3.65*1.25)*10.764</f>
        <v>49.110749999999996</v>
      </c>
      <c r="F55" s="51">
        <v>1875</v>
      </c>
      <c r="G55" s="241"/>
      <c r="H55" s="242"/>
    </row>
    <row r="56" spans="1:8" s="49" customFormat="1" ht="15.75">
      <c r="A56" s="237">
        <v>4</v>
      </c>
      <c r="B56" s="238"/>
      <c r="C56" s="51" t="s">
        <v>195</v>
      </c>
      <c r="D56" s="50">
        <f>((65.81)+(3.3*2+2.76*1.2))*10.764</f>
        <v>815.07160800000008</v>
      </c>
      <c r="E56" s="51">
        <f>(3.35*1.85)*10.764</f>
        <v>66.709890000000001</v>
      </c>
      <c r="F56" s="51">
        <v>1855</v>
      </c>
      <c r="G56" s="241"/>
      <c r="H56" s="242"/>
    </row>
    <row r="57" spans="1:8" s="49" customFormat="1" ht="15.75">
      <c r="A57" s="237">
        <v>5</v>
      </c>
      <c r="B57" s="238"/>
      <c r="C57" s="51" t="s">
        <v>197</v>
      </c>
      <c r="D57" s="50">
        <f>((45.98)+(3.3*1.7+2.4*1.7))*10.764</f>
        <v>599.23187999999993</v>
      </c>
      <c r="E57" s="51">
        <f>(3.3*1.35)*10.764</f>
        <v>47.953620000000001</v>
      </c>
      <c r="F57" s="51">
        <v>1275</v>
      </c>
      <c r="G57" s="241"/>
      <c r="H57" s="242"/>
    </row>
    <row r="58" spans="1:8" s="49" customFormat="1" ht="15.75">
      <c r="A58" s="237">
        <v>6</v>
      </c>
      <c r="B58" s="238"/>
      <c r="C58" s="51" t="s">
        <v>197</v>
      </c>
      <c r="D58" s="50">
        <f>((45.98)+(3.3*1.7+2.4*1.7))*10.764</f>
        <v>599.23187999999993</v>
      </c>
      <c r="E58" s="51">
        <f>(3.3*1.35)*10.764</f>
        <v>47.953620000000001</v>
      </c>
      <c r="F58" s="51">
        <v>1275</v>
      </c>
      <c r="G58" s="241"/>
      <c r="H58" s="242"/>
    </row>
    <row r="59" spans="1:8" s="49" customFormat="1" ht="15.75">
      <c r="A59" s="237">
        <v>7</v>
      </c>
      <c r="B59" s="238"/>
      <c r="C59" s="51" t="s">
        <v>195</v>
      </c>
      <c r="D59" s="50">
        <f>((65.81)+(3.3*2+2.76*1.2))*10.764</f>
        <v>815.07160800000008</v>
      </c>
      <c r="E59" s="51">
        <f>(3.35*1.85)*10.764</f>
        <v>66.709890000000001</v>
      </c>
      <c r="F59" s="51">
        <v>1855</v>
      </c>
      <c r="G59" s="243"/>
      <c r="H59" s="244"/>
    </row>
    <row r="60" spans="1:8" s="49" customFormat="1" ht="15.75">
      <c r="A60" s="234" t="s">
        <v>205</v>
      </c>
      <c r="B60" s="235"/>
      <c r="C60" s="235"/>
      <c r="D60" s="235"/>
      <c r="E60" s="235"/>
      <c r="F60" s="235"/>
      <c r="G60" s="235"/>
      <c r="H60" s="236"/>
    </row>
    <row r="61" spans="1:8" s="49" customFormat="1" ht="15.75">
      <c r="A61" s="234" t="s">
        <v>233</v>
      </c>
      <c r="B61" s="235"/>
      <c r="C61" s="235"/>
      <c r="D61" s="235"/>
      <c r="E61" s="235"/>
      <c r="F61" s="235"/>
      <c r="G61" s="235"/>
      <c r="H61" s="236"/>
    </row>
    <row r="62" spans="1:8" s="49" customFormat="1" ht="15.75">
      <c r="A62" s="234" t="s">
        <v>200</v>
      </c>
      <c r="B62" s="235"/>
      <c r="C62" s="235"/>
      <c r="D62" s="235"/>
      <c r="E62" s="235"/>
      <c r="F62" s="235"/>
      <c r="G62" s="235"/>
      <c r="H62" s="236"/>
    </row>
    <row r="63" spans="1:8" s="49" customFormat="1" ht="15.75">
      <c r="A63" s="234" t="s">
        <v>206</v>
      </c>
      <c r="B63" s="235"/>
      <c r="C63" s="235"/>
      <c r="D63" s="235"/>
      <c r="E63" s="235"/>
      <c r="F63" s="235"/>
      <c r="G63" s="235"/>
      <c r="H63" s="236"/>
    </row>
    <row r="64" spans="1:8" s="49" customFormat="1" ht="15.75">
      <c r="A64" s="237">
        <v>1</v>
      </c>
      <c r="B64" s="238"/>
      <c r="C64" s="51" t="s">
        <v>195</v>
      </c>
      <c r="D64" s="50">
        <f>((92.28)+(3.65*1.8+3.06*1.2)+(3.65*0.6))*10.764</f>
        <v>1127.119968</v>
      </c>
      <c r="E64" s="51">
        <f>(3.13*1.34)*10.764</f>
        <v>45.146368800000005</v>
      </c>
      <c r="F64" s="51">
        <v>2215</v>
      </c>
      <c r="G64" s="239" t="str">
        <f>A63</f>
        <v>4th, 6th, 8th, 10th, 12th, 14th, 16th, 18th, 20th, 22nd, 24th, 26th, 28th Floor</v>
      </c>
      <c r="H64" s="240"/>
    </row>
    <row r="65" spans="1:8" s="49" customFormat="1" ht="15.75">
      <c r="A65" s="237">
        <v>2</v>
      </c>
      <c r="B65" s="238"/>
      <c r="C65" s="51" t="s">
        <v>197</v>
      </c>
      <c r="D65" s="50">
        <f>((62.98)+(3.35*1.65+2.45*1.05)+(3.35*0.6))*10.764</f>
        <v>786.74076000000002</v>
      </c>
      <c r="E65" s="51">
        <f>(3.13*1.25)*10.764</f>
        <v>42.114149999999995</v>
      </c>
      <c r="F65" s="51">
        <v>1415</v>
      </c>
      <c r="G65" s="241"/>
      <c r="H65" s="242"/>
    </row>
    <row r="66" spans="1:8" s="49" customFormat="1" ht="15.75">
      <c r="A66" s="237">
        <v>3</v>
      </c>
      <c r="B66" s="238"/>
      <c r="C66" s="51" t="s">
        <v>197</v>
      </c>
      <c r="D66" s="50">
        <f>((62.98)+(3.35*1.65+2.45*1.05)+(3.35*0.6))*10.764</f>
        <v>786.74076000000002</v>
      </c>
      <c r="E66" s="51">
        <f>(3.13*1.25)*10.764</f>
        <v>42.114149999999995</v>
      </c>
      <c r="F66" s="51">
        <v>1415</v>
      </c>
      <c r="G66" s="241"/>
      <c r="H66" s="242"/>
    </row>
    <row r="67" spans="1:8" s="49" customFormat="1" ht="15.75">
      <c r="A67" s="237">
        <v>4</v>
      </c>
      <c r="B67" s="238"/>
      <c r="C67" s="51" t="s">
        <v>195</v>
      </c>
      <c r="D67" s="50">
        <f>((92.28)+(3.65*1.8+3.06*1.2)+(3.65*0.6))*10.764</f>
        <v>1127.119968</v>
      </c>
      <c r="E67" s="51">
        <f>(3.05*1.4)*10.764</f>
        <v>45.962279999999993</v>
      </c>
      <c r="F67" s="51">
        <v>2215</v>
      </c>
      <c r="G67" s="241"/>
      <c r="H67" s="242"/>
    </row>
    <row r="68" spans="1:8" s="49" customFormat="1" ht="15.75">
      <c r="A68" s="237">
        <v>5</v>
      </c>
      <c r="B68" s="238"/>
      <c r="C68" s="51" t="s">
        <v>195</v>
      </c>
      <c r="D68" s="50">
        <f>((84.78)+(3.3*2+2.45*1.2)+(3.05+3.3)*0.6)*10.764</f>
        <v>1056.2713199999998</v>
      </c>
      <c r="E68" s="51">
        <f>(3*1.35)*10.764</f>
        <v>43.594200000000008</v>
      </c>
      <c r="F68" s="51">
        <v>2025</v>
      </c>
      <c r="G68" s="241"/>
      <c r="H68" s="242"/>
    </row>
    <row r="69" spans="1:8" s="49" customFormat="1" ht="15.75">
      <c r="A69" s="237">
        <v>6</v>
      </c>
      <c r="B69" s="238"/>
      <c r="C69" s="51" t="s">
        <v>197</v>
      </c>
      <c r="D69" s="50">
        <f>((58.38)+(2.4*1.15)+(3.35+3)*0.6)*10.764</f>
        <v>699.12180000000001</v>
      </c>
      <c r="E69" s="51">
        <f>(3.4*1.35)*10.764</f>
        <v>49.406759999999998</v>
      </c>
      <c r="F69" s="51">
        <v>1400</v>
      </c>
      <c r="G69" s="241"/>
      <c r="H69" s="242"/>
    </row>
    <row r="70" spans="1:8" s="49" customFormat="1" ht="15.75">
      <c r="A70" s="237">
        <v>7</v>
      </c>
      <c r="B70" s="238"/>
      <c r="C70" s="51" t="s">
        <v>197</v>
      </c>
      <c r="D70" s="50">
        <f>((58.38)+(2.4*1.15)+(3.35+3)*0.6)*10.764</f>
        <v>699.12180000000001</v>
      </c>
      <c r="E70" s="51">
        <f>(3.4*1.35)*10.764</f>
        <v>49.406759999999998</v>
      </c>
      <c r="F70" s="51">
        <v>1400</v>
      </c>
      <c r="G70" s="241"/>
      <c r="H70" s="242"/>
    </row>
    <row r="71" spans="1:8" s="49" customFormat="1" ht="15.75">
      <c r="A71" s="237">
        <v>8</v>
      </c>
      <c r="B71" s="238"/>
      <c r="C71" s="51" t="s">
        <v>195</v>
      </c>
      <c r="D71" s="50">
        <f>((84.78)+(3.3*2+2.45*1.2)+(3.05+3.3)*0.6)*10.764</f>
        <v>1056.2713199999998</v>
      </c>
      <c r="E71" s="51">
        <f>(3*1.35)*10.764</f>
        <v>43.594200000000008</v>
      </c>
      <c r="F71" s="51">
        <v>2025</v>
      </c>
      <c r="G71" s="243"/>
      <c r="H71" s="244"/>
    </row>
    <row r="72" spans="1:8" s="49" customFormat="1" ht="15.75" customHeight="1">
      <c r="A72" s="234" t="s">
        <v>207</v>
      </c>
      <c r="B72" s="235"/>
      <c r="C72" s="235"/>
      <c r="D72" s="235"/>
      <c r="E72" s="235"/>
      <c r="F72" s="235"/>
      <c r="G72" s="235"/>
      <c r="H72" s="236"/>
    </row>
    <row r="73" spans="1:8" s="49" customFormat="1" ht="15.75">
      <c r="A73" s="237">
        <v>1</v>
      </c>
      <c r="B73" s="238"/>
      <c r="C73" s="51" t="s">
        <v>195</v>
      </c>
      <c r="D73" s="50">
        <f>((92.28)+(3.65*1.8+3.06*1.2)+(3.13*0.6))*10.764</f>
        <v>1123.7616</v>
      </c>
      <c r="E73" s="51">
        <f>(3.65*1.25)*10.764</f>
        <v>49.110749999999996</v>
      </c>
      <c r="F73" s="51">
        <v>2215</v>
      </c>
      <c r="G73" s="239" t="str">
        <f>A72</f>
        <v>5th, 7th, 9th, 11th, 13th, 15th, 17th, 19th, 21st, 23rd, 25th &amp; 27th Floor</v>
      </c>
      <c r="H73" s="240"/>
    </row>
    <row r="74" spans="1:8" s="49" customFormat="1" ht="15.75">
      <c r="A74" s="237">
        <v>2</v>
      </c>
      <c r="B74" s="238"/>
      <c r="C74" s="51" t="s">
        <v>197</v>
      </c>
      <c r="D74" s="50">
        <f>((62.98)+(3.35*1.65+2.45*1.05)+(3.13*0.6))*10.764</f>
        <v>785.31991199999993</v>
      </c>
      <c r="E74" s="51">
        <f>(3.35*1.25)*10.764</f>
        <v>45.074249999999999</v>
      </c>
      <c r="F74" s="51">
        <v>1415</v>
      </c>
      <c r="G74" s="241"/>
      <c r="H74" s="242"/>
    </row>
    <row r="75" spans="1:8" s="49" customFormat="1" ht="15.75">
      <c r="A75" s="237">
        <v>3</v>
      </c>
      <c r="B75" s="238"/>
      <c r="C75" s="51" t="s">
        <v>197</v>
      </c>
      <c r="D75" s="50">
        <f>((62.98)+(3.35*1.65+2.45*1.05)+(3.13*0.6))*10.764</f>
        <v>785.31991199999993</v>
      </c>
      <c r="E75" s="51">
        <f>(3.35*1.25)*10.764</f>
        <v>45.074249999999999</v>
      </c>
      <c r="F75" s="51">
        <v>1415</v>
      </c>
      <c r="G75" s="241"/>
      <c r="H75" s="242"/>
    </row>
    <row r="76" spans="1:8" s="49" customFormat="1" ht="15.75">
      <c r="A76" s="237">
        <v>4</v>
      </c>
      <c r="B76" s="238"/>
      <c r="C76" s="51" t="s">
        <v>195</v>
      </c>
      <c r="D76" s="50">
        <f>((92.28)+(3.65*1.8+3.06*1.2)+(3.13*0.6))*10.764</f>
        <v>1123.7616</v>
      </c>
      <c r="E76" s="51">
        <f>(3.65*1.25)*10.764</f>
        <v>49.110749999999996</v>
      </c>
      <c r="F76" s="51">
        <v>2215</v>
      </c>
      <c r="G76" s="241"/>
      <c r="H76" s="242"/>
    </row>
    <row r="77" spans="1:8" s="49" customFormat="1" ht="15.75">
      <c r="A77" s="237">
        <v>5</v>
      </c>
      <c r="B77" s="238"/>
      <c r="C77" s="51" t="s">
        <v>195</v>
      </c>
      <c r="D77" s="50">
        <f>((84.78)+(3.3*2+2.45*1.2)+(3+3.05)*0.6)*10.764</f>
        <v>1054.3337999999999</v>
      </c>
      <c r="E77" s="51">
        <f>(3.3*1.8)*10.764</f>
        <v>63.938159999999989</v>
      </c>
      <c r="F77" s="51">
        <v>2025</v>
      </c>
      <c r="G77" s="241"/>
      <c r="H77" s="242"/>
    </row>
    <row r="78" spans="1:8" s="49" customFormat="1" ht="15.75">
      <c r="A78" s="237">
        <v>6</v>
      </c>
      <c r="B78" s="238"/>
      <c r="C78" s="51" t="s">
        <v>197</v>
      </c>
      <c r="D78" s="50">
        <f>((58.38)+(2.4*1.15)+(3.35+3)*0.6)*10.764</f>
        <v>699.12180000000001</v>
      </c>
      <c r="E78" s="51">
        <f>(3.4*1.35)*10.764</f>
        <v>49.406759999999998</v>
      </c>
      <c r="F78" s="51">
        <v>1400</v>
      </c>
      <c r="G78" s="241"/>
      <c r="H78" s="242"/>
    </row>
    <row r="79" spans="1:8" s="49" customFormat="1" ht="15.75">
      <c r="A79" s="237">
        <v>7</v>
      </c>
      <c r="B79" s="238"/>
      <c r="C79" s="51" t="s">
        <v>197</v>
      </c>
      <c r="D79" s="50">
        <f>((58.38)+(2.4*1.15)+(3.35+3)*0.6)*10.764</f>
        <v>699.12180000000001</v>
      </c>
      <c r="E79" s="51">
        <f>(3.4*1.35)*10.764</f>
        <v>49.406759999999998</v>
      </c>
      <c r="F79" s="51">
        <v>1400</v>
      </c>
      <c r="G79" s="241"/>
      <c r="H79" s="242"/>
    </row>
    <row r="80" spans="1:8" s="49" customFormat="1" ht="15.75">
      <c r="A80" s="237">
        <v>8</v>
      </c>
      <c r="B80" s="238"/>
      <c r="C80" s="51" t="s">
        <v>195</v>
      </c>
      <c r="D80" s="50">
        <f>((84.78)+(3.3*2+2.45*1.2)+(3+3.05)*0.6)*10.764</f>
        <v>1054.3337999999999</v>
      </c>
      <c r="E80" s="51">
        <f>(3.3*1.8)*10.764</f>
        <v>63.938159999999989</v>
      </c>
      <c r="F80" s="51">
        <v>2025</v>
      </c>
      <c r="G80" s="243"/>
      <c r="H80" s="244"/>
    </row>
    <row r="81" spans="1:8" s="49" customFormat="1" ht="15.75" customHeight="1">
      <c r="A81" s="234" t="s">
        <v>208</v>
      </c>
      <c r="B81" s="235"/>
      <c r="C81" s="235"/>
      <c r="D81" s="235"/>
      <c r="E81" s="235"/>
      <c r="F81" s="235"/>
      <c r="G81" s="235"/>
      <c r="H81" s="236"/>
    </row>
    <row r="82" spans="1:8" s="49" customFormat="1" ht="15.75">
      <c r="A82" s="234" t="s">
        <v>233</v>
      </c>
      <c r="B82" s="235"/>
      <c r="C82" s="235"/>
      <c r="D82" s="235"/>
      <c r="E82" s="235"/>
      <c r="F82" s="235"/>
      <c r="G82" s="235"/>
      <c r="H82" s="236"/>
    </row>
    <row r="83" spans="1:8" s="49" customFormat="1" ht="15.75" customHeight="1">
      <c r="A83" s="234" t="s">
        <v>200</v>
      </c>
      <c r="B83" s="235"/>
      <c r="C83" s="235"/>
      <c r="D83" s="235"/>
      <c r="E83" s="235"/>
      <c r="F83" s="235"/>
      <c r="G83" s="235"/>
      <c r="H83" s="236"/>
    </row>
    <row r="84" spans="1:8" s="49" customFormat="1" ht="15.75">
      <c r="A84" s="234" t="s">
        <v>234</v>
      </c>
      <c r="B84" s="235"/>
      <c r="C84" s="235"/>
      <c r="D84" s="235"/>
      <c r="E84" s="235"/>
      <c r="F84" s="235"/>
      <c r="G84" s="235"/>
      <c r="H84" s="236"/>
    </row>
    <row r="85" spans="1:8" s="49" customFormat="1" ht="15.75">
      <c r="A85" s="237">
        <v>1</v>
      </c>
      <c r="B85" s="238"/>
      <c r="C85" s="51" t="s">
        <v>195</v>
      </c>
      <c r="D85" s="50">
        <f>((75.18)+(3.65*1.55+3.02*1.16)+(3.45+3.65)*0.6)*10.764</f>
        <v>953.69793479999998</v>
      </c>
      <c r="E85" s="51">
        <f>(3.13*1.36)*10.764</f>
        <v>45.820195200000001</v>
      </c>
      <c r="F85" s="51">
        <v>1890</v>
      </c>
      <c r="G85" s="239" t="str">
        <f>A84</f>
        <v>4th, 6th, 8th, 10th, 12th, 14th, 16th, 18th, 20th, 22nd, 24th, 26th Floor</v>
      </c>
      <c r="H85" s="240"/>
    </row>
    <row r="86" spans="1:8" s="49" customFormat="1" ht="15.75">
      <c r="A86" s="237">
        <v>2</v>
      </c>
      <c r="B86" s="238"/>
      <c r="C86" s="51" t="s">
        <v>196</v>
      </c>
      <c r="D86" s="50">
        <f>((147.32)+(3.35*1.05+4.33*1.53+2.95*1.05+3.35*1.65)+(3.35*3.65))*10.764</f>
        <v>1919.3815835999999</v>
      </c>
      <c r="E86" s="51">
        <f>(3.2*1.38)*10.764</f>
        <v>47.533823999999989</v>
      </c>
      <c r="F86" s="51">
        <v>3295</v>
      </c>
      <c r="G86" s="241"/>
      <c r="H86" s="242"/>
    </row>
    <row r="87" spans="1:8" s="49" customFormat="1" ht="15.75">
      <c r="A87" s="237">
        <v>3</v>
      </c>
      <c r="B87" s="238"/>
      <c r="C87" s="51" t="s">
        <v>195</v>
      </c>
      <c r="D87" s="50">
        <f>((75.18)+(3.65*1.55+3.02*1.16)+(3.45+3.65)*0.6)*10.764</f>
        <v>953.69793479999998</v>
      </c>
      <c r="E87" s="51">
        <f>(3.13*1.36)*10.764</f>
        <v>45.820195200000001</v>
      </c>
      <c r="F87" s="51">
        <v>1890</v>
      </c>
      <c r="G87" s="241"/>
      <c r="H87" s="242"/>
    </row>
    <row r="88" spans="1:8" s="49" customFormat="1" ht="15.75">
      <c r="A88" s="237">
        <v>4</v>
      </c>
      <c r="B88" s="238"/>
      <c r="C88" s="51" t="s">
        <v>195</v>
      </c>
      <c r="D88" s="50">
        <f>((65.81)+(3.3*2+2.76*1.2)+(3.05+3.35)*0.6)*10.764</f>
        <v>856.40536800000007</v>
      </c>
      <c r="E88" s="51">
        <f>(3.13*1.36)*10.764</f>
        <v>45.820195200000001</v>
      </c>
      <c r="F88" s="51">
        <v>1855</v>
      </c>
      <c r="G88" s="241"/>
      <c r="H88" s="242"/>
    </row>
    <row r="89" spans="1:8" s="49" customFormat="1" ht="15.75">
      <c r="A89" s="237">
        <v>5</v>
      </c>
      <c r="B89" s="238"/>
      <c r="C89" s="51" t="s">
        <v>197</v>
      </c>
      <c r="D89" s="50">
        <f>((45.98)+(3.3*1.7+3.3*1.7)+(3.3*0.6))*10.764</f>
        <v>637.01351999999986</v>
      </c>
      <c r="E89" s="51">
        <f>(3.76*1.37)*10.764</f>
        <v>55.447516800000002</v>
      </c>
      <c r="F89" s="51">
        <v>1275</v>
      </c>
      <c r="G89" s="241"/>
      <c r="H89" s="242"/>
    </row>
    <row r="90" spans="1:8" s="49" customFormat="1" ht="15.75">
      <c r="A90" s="237">
        <v>6</v>
      </c>
      <c r="B90" s="238"/>
      <c r="C90" s="51" t="s">
        <v>197</v>
      </c>
      <c r="D90" s="50">
        <f>((45.98)+(3.3*1.7+3.3*1.7)+(3.3*0.6))*10.764</f>
        <v>637.01351999999986</v>
      </c>
      <c r="E90" s="51">
        <f>(3.76*1.37)*10.764</f>
        <v>55.447516800000002</v>
      </c>
      <c r="F90" s="51">
        <v>1275</v>
      </c>
      <c r="G90" s="241"/>
      <c r="H90" s="242"/>
    </row>
    <row r="91" spans="1:8" s="49" customFormat="1" ht="15.75">
      <c r="A91" s="237">
        <v>7</v>
      </c>
      <c r="B91" s="238"/>
      <c r="C91" s="51" t="s">
        <v>195</v>
      </c>
      <c r="D91" s="50">
        <f>((65.81)+(3.3*2+2.76*1.2)+(3.05+3.35)*0.6)*10.764</f>
        <v>856.40536800000007</v>
      </c>
      <c r="E91" s="51">
        <f>(3.13*1.36)*10.764</f>
        <v>45.820195200000001</v>
      </c>
      <c r="F91" s="51">
        <v>1855</v>
      </c>
      <c r="G91" s="243"/>
      <c r="H91" s="244"/>
    </row>
    <row r="92" spans="1:8" s="49" customFormat="1" ht="15.75" customHeight="1">
      <c r="A92" s="234" t="s">
        <v>207</v>
      </c>
      <c r="B92" s="235"/>
      <c r="C92" s="235"/>
      <c r="D92" s="235"/>
      <c r="E92" s="235"/>
      <c r="F92" s="235"/>
      <c r="G92" s="235"/>
      <c r="H92" s="236"/>
    </row>
    <row r="93" spans="1:8" s="49" customFormat="1" ht="15.75">
      <c r="A93" s="237">
        <v>1</v>
      </c>
      <c r="B93" s="238"/>
      <c r="C93" s="51" t="s">
        <v>195</v>
      </c>
      <c r="D93" s="50">
        <f>((75.18)+(3.65*1.55+3.02*1.16))*10.764</f>
        <v>907.84329479999997</v>
      </c>
      <c r="E93" s="51">
        <f>(3.65*1.25)*10.764</f>
        <v>49.110749999999996</v>
      </c>
      <c r="F93" s="51">
        <v>1875</v>
      </c>
      <c r="G93" s="239" t="str">
        <f>A92</f>
        <v>5th, 7th, 9th, 11th, 13th, 15th, 17th, 19th, 21st, 23rd, 25th &amp; 27th Floor</v>
      </c>
      <c r="H93" s="240"/>
    </row>
    <row r="94" spans="1:8" s="49" customFormat="1" ht="15.75">
      <c r="A94" s="237">
        <v>2</v>
      </c>
      <c r="B94" s="238"/>
      <c r="C94" s="51" t="s">
        <v>196</v>
      </c>
      <c r="D94" s="50">
        <f>((147.32)+(3.35*1.65+4.33*1.53+2.95*1.05+3.35*1.65))*10.764</f>
        <v>1809.4004135999999</v>
      </c>
      <c r="E94" s="51">
        <f>(3.35*1.05)*10.764</f>
        <v>37.862369999999999</v>
      </c>
      <c r="F94" s="51">
        <v>3295</v>
      </c>
      <c r="G94" s="241"/>
      <c r="H94" s="242"/>
    </row>
    <row r="95" spans="1:8" s="49" customFormat="1" ht="15.75">
      <c r="A95" s="237">
        <v>3</v>
      </c>
      <c r="B95" s="238"/>
      <c r="C95" s="51" t="s">
        <v>195</v>
      </c>
      <c r="D95" s="50">
        <f>((75.18)+(3.65*1.55+3.02*1.16))*10.764</f>
        <v>907.84329479999997</v>
      </c>
      <c r="E95" s="51">
        <f>(3.65*1.25)*10.764</f>
        <v>49.110749999999996</v>
      </c>
      <c r="F95" s="51">
        <v>1875</v>
      </c>
      <c r="G95" s="241"/>
      <c r="H95" s="242"/>
    </row>
    <row r="96" spans="1:8" s="49" customFormat="1" ht="15.75">
      <c r="A96" s="237">
        <v>4</v>
      </c>
      <c r="B96" s="238"/>
      <c r="C96" s="51" t="s">
        <v>195</v>
      </c>
      <c r="D96" s="50">
        <f>((65.81)+(3.3*2+2.76*1.2))*10.764</f>
        <v>815.07160800000008</v>
      </c>
      <c r="E96" s="51">
        <f>(3.35*1.85)*10.764</f>
        <v>66.709890000000001</v>
      </c>
      <c r="F96" s="51">
        <v>1855</v>
      </c>
      <c r="G96" s="241"/>
      <c r="H96" s="242"/>
    </row>
    <row r="97" spans="1:8" s="49" customFormat="1" ht="15.75">
      <c r="A97" s="237">
        <v>5</v>
      </c>
      <c r="B97" s="238"/>
      <c r="C97" s="51" t="s">
        <v>197</v>
      </c>
      <c r="D97" s="50">
        <f>((45.98)+(3.3*1.7+3.3*1.7))*10.764</f>
        <v>615.70079999999996</v>
      </c>
      <c r="E97" s="51">
        <f>(3.3*1.35)*10.764</f>
        <v>47.953620000000001</v>
      </c>
      <c r="F97" s="51">
        <v>1275</v>
      </c>
      <c r="G97" s="241"/>
      <c r="H97" s="242"/>
    </row>
    <row r="98" spans="1:8" s="49" customFormat="1" ht="15.75">
      <c r="A98" s="237">
        <v>6</v>
      </c>
      <c r="B98" s="238"/>
      <c r="C98" s="51" t="s">
        <v>197</v>
      </c>
      <c r="D98" s="50">
        <f>((45.98)+(3.3*1.7+3.3*1.7))*10.764</f>
        <v>615.70079999999996</v>
      </c>
      <c r="E98" s="51">
        <f>(3.3*1.35)*10.764</f>
        <v>47.953620000000001</v>
      </c>
      <c r="F98" s="51">
        <v>1275</v>
      </c>
      <c r="G98" s="241"/>
      <c r="H98" s="242"/>
    </row>
    <row r="99" spans="1:8" s="49" customFormat="1" ht="15.75">
      <c r="A99" s="237">
        <v>7</v>
      </c>
      <c r="B99" s="238"/>
      <c r="C99" s="51" t="s">
        <v>195</v>
      </c>
      <c r="D99" s="50">
        <f>((65.81)+(3.3*2+2.76*1.2))*10.764</f>
        <v>815.07160800000008</v>
      </c>
      <c r="E99" s="51">
        <f>(3.35*1.85)*10.764</f>
        <v>66.709890000000001</v>
      </c>
      <c r="F99" s="51">
        <v>1855</v>
      </c>
      <c r="G99" s="243"/>
      <c r="H99" s="244"/>
    </row>
  </sheetData>
  <mergeCells count="109">
    <mergeCell ref="A91:B91"/>
    <mergeCell ref="A92:H92"/>
    <mergeCell ref="A93:B93"/>
    <mergeCell ref="A94:B94"/>
    <mergeCell ref="A95:B95"/>
    <mergeCell ref="A96:B96"/>
    <mergeCell ref="A97:B97"/>
    <mergeCell ref="A98:B98"/>
    <mergeCell ref="A99:B99"/>
    <mergeCell ref="G85:H91"/>
    <mergeCell ref="G93:H99"/>
    <mergeCell ref="A82:H82"/>
    <mergeCell ref="A83:H83"/>
    <mergeCell ref="A84:H84"/>
    <mergeCell ref="A85:B85"/>
    <mergeCell ref="A86:B86"/>
    <mergeCell ref="A87:B87"/>
    <mergeCell ref="A88:B88"/>
    <mergeCell ref="A89:B89"/>
    <mergeCell ref="A90:B90"/>
    <mergeCell ref="A73:B73"/>
    <mergeCell ref="A74:B74"/>
    <mergeCell ref="A75:B75"/>
    <mergeCell ref="A76:B76"/>
    <mergeCell ref="A77:B77"/>
    <mergeCell ref="A78:B78"/>
    <mergeCell ref="A79:B79"/>
    <mergeCell ref="A80:B80"/>
    <mergeCell ref="A81:H81"/>
    <mergeCell ref="G73:H80"/>
    <mergeCell ref="A64:B64"/>
    <mergeCell ref="A65:B65"/>
    <mergeCell ref="A66:B66"/>
    <mergeCell ref="A67:B67"/>
    <mergeCell ref="A68:B68"/>
    <mergeCell ref="A69:B69"/>
    <mergeCell ref="A70:B70"/>
    <mergeCell ref="A71:B71"/>
    <mergeCell ref="A72:H72"/>
    <mergeCell ref="G64:H71"/>
    <mergeCell ref="A55:B55"/>
    <mergeCell ref="A56:B56"/>
    <mergeCell ref="A57:B57"/>
    <mergeCell ref="A58:B58"/>
    <mergeCell ref="A59:B59"/>
    <mergeCell ref="A60:H60"/>
    <mergeCell ref="A61:H61"/>
    <mergeCell ref="A62:H62"/>
    <mergeCell ref="A63:H63"/>
    <mergeCell ref="G53:H59"/>
    <mergeCell ref="A46:B46"/>
    <mergeCell ref="A47:B47"/>
    <mergeCell ref="A48:B48"/>
    <mergeCell ref="A49:B49"/>
    <mergeCell ref="A50:B50"/>
    <mergeCell ref="A51:B51"/>
    <mergeCell ref="A52:H52"/>
    <mergeCell ref="A53:B53"/>
    <mergeCell ref="A54:B54"/>
    <mergeCell ref="G45:H51"/>
    <mergeCell ref="A37:B37"/>
    <mergeCell ref="A38:B38"/>
    <mergeCell ref="A39:B39"/>
    <mergeCell ref="A40:B40"/>
    <mergeCell ref="A41:H41"/>
    <mergeCell ref="A42:H42"/>
    <mergeCell ref="A43:H43"/>
    <mergeCell ref="A44:H44"/>
    <mergeCell ref="A45:B45"/>
    <mergeCell ref="G33:H40"/>
    <mergeCell ref="A28:B28"/>
    <mergeCell ref="A29:B29"/>
    <mergeCell ref="A30:B30"/>
    <mergeCell ref="A31:B31"/>
    <mergeCell ref="A32:H32"/>
    <mergeCell ref="A33:B33"/>
    <mergeCell ref="A34:B34"/>
    <mergeCell ref="A35:B35"/>
    <mergeCell ref="A36:B36"/>
    <mergeCell ref="G24:H31"/>
    <mergeCell ref="A19:B19"/>
    <mergeCell ref="A20:H20"/>
    <mergeCell ref="A21:H21"/>
    <mergeCell ref="A22:H22"/>
    <mergeCell ref="A23:H23"/>
    <mergeCell ref="A24:B24"/>
    <mergeCell ref="A25:B25"/>
    <mergeCell ref="A26:B26"/>
    <mergeCell ref="A27:B27"/>
    <mergeCell ref="G13:H19"/>
    <mergeCell ref="A10:B10"/>
    <mergeCell ref="A11:B11"/>
    <mergeCell ref="A12:H12"/>
    <mergeCell ref="A13:B13"/>
    <mergeCell ref="A14:B14"/>
    <mergeCell ref="A15:B15"/>
    <mergeCell ref="A16:B16"/>
    <mergeCell ref="A17:B17"/>
    <mergeCell ref="A18:B18"/>
    <mergeCell ref="G5:H11"/>
    <mergeCell ref="A1:H1"/>
    <mergeCell ref="A2:H2"/>
    <mergeCell ref="A3:H3"/>
    <mergeCell ref="A4:H4"/>
    <mergeCell ref="A5:B5"/>
    <mergeCell ref="A6:B6"/>
    <mergeCell ref="A7:B7"/>
    <mergeCell ref="A8:B8"/>
    <mergeCell ref="A9:B9"/>
  </mergeCells>
  <pageMargins left="0.7" right="0.7" top="0.75" bottom="0.75" header="0.3" footer="0.3"/>
  <pageSetup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4"/>
  <sheetViews>
    <sheetView workbookViewId="0">
      <selection activeCell="E16" sqref="E16"/>
    </sheetView>
  </sheetViews>
  <sheetFormatPr defaultColWidth="9" defaultRowHeight="15"/>
  <cols>
    <col min="1" max="11" width="14.140625" customWidth="1"/>
  </cols>
  <sheetData>
    <row r="1" spans="1:11" ht="15.75">
      <c r="A1" s="245" t="s">
        <v>235</v>
      </c>
      <c r="B1" s="246"/>
      <c r="C1" s="246"/>
      <c r="D1" s="246"/>
      <c r="E1" s="246"/>
      <c r="F1" s="246"/>
      <c r="G1" s="246"/>
      <c r="H1" s="247"/>
      <c r="I1" s="33" t="str">
        <f>(IF(C5=0,"Work not yet Started.",IF(C5=1,"Excavation work in process",IF(C5=2,"Excavation work completed",IF(C5=4,"Footing work is process",IF(C5=5,"Footing work Completed",IF(C5=7,"Plinth work is process",IF(C5=10,"Plinth work completed","0")))))))&amp;(IF(C6&gt;0,", RCC upto "&amp;C6&amp;" Slab completed",""))&amp;(IF(C7&gt;0,", Brickwork upto "&amp;C7&amp;" Floor completed"," "))&amp;(IF(C8&gt;0,", Plaster upto "&amp;C8&amp;" Floor completed"," "))&amp;(IF(C9&gt;0,", Flooring upto "&amp;C9&amp;" Floor completed"," "))&amp;(IF(C10&gt;0,", Painting upto "&amp;C10&amp;" Floor completed"," "))&amp;(IF(C11&gt;0,", Finishing upto "&amp;C11&amp;" Floor completed"," ")))</f>
        <v xml:space="preserve">Plinth work completed     </v>
      </c>
      <c r="J1" s="34"/>
      <c r="K1" s="35"/>
    </row>
    <row r="2" spans="1:11" ht="15.75">
      <c r="A2" s="248" t="s">
        <v>108</v>
      </c>
      <c r="B2" s="249"/>
      <c r="C2" s="250">
        <v>1</v>
      </c>
      <c r="D2" s="251"/>
      <c r="E2" s="18" t="s">
        <v>109</v>
      </c>
      <c r="F2" s="19">
        <v>3</v>
      </c>
      <c r="G2" s="20" t="s">
        <v>110</v>
      </c>
      <c r="H2" s="21">
        <v>42</v>
      </c>
      <c r="I2" s="36" t="s">
        <v>236</v>
      </c>
      <c r="J2" s="37"/>
      <c r="K2" s="38"/>
    </row>
    <row r="3" spans="1:11" ht="15.75">
      <c r="A3" s="252" t="s">
        <v>111</v>
      </c>
      <c r="B3" s="103"/>
      <c r="C3" s="131" t="str">
        <f>I1</f>
        <v xml:space="preserve">Plinth work completed     </v>
      </c>
      <c r="D3" s="131"/>
      <c r="E3" s="131"/>
      <c r="F3" s="131"/>
      <c r="G3" s="131"/>
      <c r="H3" s="146"/>
      <c r="I3" s="36" t="s">
        <v>237</v>
      </c>
      <c r="J3" s="37"/>
      <c r="K3" s="38"/>
    </row>
    <row r="4" spans="1:11" ht="31.5">
      <c r="A4" s="253" t="s">
        <v>113</v>
      </c>
      <c r="B4" s="254"/>
      <c r="C4" s="22" t="s">
        <v>238</v>
      </c>
      <c r="D4" s="22" t="s">
        <v>115</v>
      </c>
      <c r="E4" s="255" t="s">
        <v>116</v>
      </c>
      <c r="F4" s="255"/>
      <c r="G4" s="255" t="s">
        <v>117</v>
      </c>
      <c r="H4" s="256"/>
      <c r="I4" s="36" t="s">
        <v>112</v>
      </c>
      <c r="J4" s="39"/>
      <c r="K4" s="40"/>
    </row>
    <row r="5" spans="1:11" ht="15.75">
      <c r="A5" s="253" t="s">
        <v>121</v>
      </c>
      <c r="B5" s="254"/>
      <c r="C5" s="23">
        <v>10</v>
      </c>
      <c r="D5" s="24">
        <f>((100/10)*C5)/100</f>
        <v>1</v>
      </c>
      <c r="E5" s="257">
        <f>(IF(C3=I3,"100%",IF(C3=I4,"100%",((C5+(40/(B2+C2+F2+H2)*C6)+(15/H2*C7)+(10/H2*C8)+(10/H2*C9)+(5/H2*C10)+(5/H2*C11))/100))))</f>
        <v>0.1</v>
      </c>
      <c r="F5" s="258"/>
      <c r="G5" s="257">
        <f>((IF(C5=1,"2",IF(C5=2,"4",IF(C5=4,"8",IF(C5=5,"15",IF(C5=7,"20",IF(C5=10,"30","0")))))))/100)+(((30/(H2+F2+C2+B2)*C6)+(15/H2*C7)+(10/H2*C8)+(5/H2*C9)+(5/H2*C10)+(5/H2*C11))/100)</f>
        <v>0.3</v>
      </c>
      <c r="H5" s="263"/>
      <c r="I5" s="41"/>
      <c r="J5" s="39"/>
      <c r="K5" s="40"/>
    </row>
    <row r="6" spans="1:11" ht="15.75">
      <c r="A6" s="253" t="s">
        <v>239</v>
      </c>
      <c r="B6" s="254"/>
      <c r="C6" s="25">
        <v>0</v>
      </c>
      <c r="D6" s="24">
        <f>((100/(C2+F2+H2))*C6)/100</f>
        <v>0</v>
      </c>
      <c r="E6" s="259"/>
      <c r="F6" s="260"/>
      <c r="G6" s="259"/>
      <c r="H6" s="264"/>
      <c r="I6" s="42" t="s">
        <v>120</v>
      </c>
      <c r="J6" s="43">
        <v>0.01</v>
      </c>
      <c r="K6" s="44">
        <v>0.02</v>
      </c>
    </row>
    <row r="7" spans="1:11" ht="15.75">
      <c r="A7" s="253" t="s">
        <v>240</v>
      </c>
      <c r="B7" s="254"/>
      <c r="C7" s="23">
        <v>0</v>
      </c>
      <c r="D7" s="24">
        <f>((100/(F2+H2))*C7)/100</f>
        <v>0</v>
      </c>
      <c r="E7" s="259"/>
      <c r="F7" s="260"/>
      <c r="G7" s="259"/>
      <c r="H7" s="264"/>
      <c r="I7" s="42" t="s">
        <v>122</v>
      </c>
      <c r="J7" s="43">
        <v>0.02</v>
      </c>
      <c r="K7" s="44">
        <v>0.04</v>
      </c>
    </row>
    <row r="8" spans="1:11" ht="15.75">
      <c r="A8" s="253" t="s">
        <v>241</v>
      </c>
      <c r="B8" s="254"/>
      <c r="C8" s="23">
        <v>0</v>
      </c>
      <c r="D8" s="24">
        <f>((100/(F2+H2))*C8)/100</f>
        <v>0</v>
      </c>
      <c r="E8" s="259"/>
      <c r="F8" s="260"/>
      <c r="G8" s="259"/>
      <c r="H8" s="264"/>
      <c r="I8" s="42" t="s">
        <v>124</v>
      </c>
      <c r="J8" s="43">
        <v>0.04</v>
      </c>
      <c r="K8" s="44">
        <v>0.08</v>
      </c>
    </row>
    <row r="9" spans="1:11" ht="15.75">
      <c r="A9" s="253" t="s">
        <v>242</v>
      </c>
      <c r="B9" s="254"/>
      <c r="C9" s="23">
        <v>0</v>
      </c>
      <c r="D9" s="24">
        <f>((100/(F2+H2))*C9)/100</f>
        <v>0</v>
      </c>
      <c r="E9" s="259"/>
      <c r="F9" s="260"/>
      <c r="G9" s="259"/>
      <c r="H9" s="264"/>
      <c r="I9" s="42" t="s">
        <v>127</v>
      </c>
      <c r="J9" s="43">
        <v>0.05</v>
      </c>
      <c r="K9" s="44">
        <v>0.15</v>
      </c>
    </row>
    <row r="10" spans="1:11" ht="15.75">
      <c r="A10" s="253" t="s">
        <v>243</v>
      </c>
      <c r="B10" s="254"/>
      <c r="C10" s="23">
        <v>0</v>
      </c>
      <c r="D10" s="24">
        <f>((100/(F2+H2))*C10)/100</f>
        <v>0</v>
      </c>
      <c r="E10" s="259"/>
      <c r="F10" s="260"/>
      <c r="G10" s="259"/>
      <c r="H10" s="264"/>
      <c r="I10" s="42" t="s">
        <v>138</v>
      </c>
      <c r="J10" s="43">
        <v>7.0000000000000007E-2</v>
      </c>
      <c r="K10" s="44">
        <v>0.2</v>
      </c>
    </row>
    <row r="11" spans="1:11" ht="15.75">
      <c r="A11" s="266" t="s">
        <v>244</v>
      </c>
      <c r="B11" s="267"/>
      <c r="C11" s="26">
        <v>0</v>
      </c>
      <c r="D11" s="27">
        <f>((100/(F2+H2))*C11)/100</f>
        <v>0</v>
      </c>
      <c r="E11" s="261"/>
      <c r="F11" s="262"/>
      <c r="G11" s="261"/>
      <c r="H11" s="265"/>
      <c r="I11" s="45" t="s">
        <v>140</v>
      </c>
      <c r="J11" s="46">
        <v>0.1</v>
      </c>
      <c r="K11" s="47">
        <v>0.3</v>
      </c>
    </row>
    <row r="12" spans="1:11" ht="15.75">
      <c r="A12" s="28"/>
      <c r="B12" s="28"/>
      <c r="C12" s="29"/>
      <c r="D12" s="30"/>
      <c r="E12" s="30"/>
      <c r="F12" s="30"/>
      <c r="G12" s="30"/>
      <c r="H12" s="30"/>
      <c r="I12" s="48"/>
      <c r="J12" s="43"/>
      <c r="K12" s="43"/>
    </row>
    <row r="13" spans="1:11">
      <c r="E13" s="31">
        <f>E5</f>
        <v>0.1</v>
      </c>
      <c r="G13" s="31">
        <f>G5</f>
        <v>0.3</v>
      </c>
    </row>
    <row r="14" spans="1:11">
      <c r="E14" s="32"/>
      <c r="G14" s="32"/>
    </row>
  </sheetData>
  <mergeCells count="17">
    <mergeCell ref="A4:B4"/>
    <mergeCell ref="E4:F4"/>
    <mergeCell ref="G4:H4"/>
    <mergeCell ref="A5:B5"/>
    <mergeCell ref="A6:B6"/>
    <mergeCell ref="E5:F11"/>
    <mergeCell ref="G5:H11"/>
    <mergeCell ref="A7:B7"/>
    <mergeCell ref="A8:B8"/>
    <mergeCell ref="A9:B9"/>
    <mergeCell ref="A10:B10"/>
    <mergeCell ref="A11:B11"/>
    <mergeCell ref="A1:H1"/>
    <mergeCell ref="A2:B2"/>
    <mergeCell ref="C2:D2"/>
    <mergeCell ref="A3:B3"/>
    <mergeCell ref="C3:H3"/>
  </mergeCells>
  <pageMargins left="0.7" right="0.7" top="0.75" bottom="0.75" header="0.3" footer="0.3"/>
  <pageSetup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2:L36"/>
  <sheetViews>
    <sheetView workbookViewId="0">
      <selection activeCell="M197" sqref="M197"/>
    </sheetView>
  </sheetViews>
  <sheetFormatPr defaultColWidth="9" defaultRowHeight="15"/>
  <cols>
    <col min="2" max="2" width="12.140625" customWidth="1"/>
  </cols>
  <sheetData>
    <row r="2" spans="1:12">
      <c r="B2" s="13" t="s">
        <v>245</v>
      </c>
      <c r="C2" s="268"/>
      <c r="D2" s="268"/>
    </row>
    <row r="3" spans="1:12">
      <c r="D3" s="14"/>
      <c r="E3" s="14"/>
      <c r="F3" s="14"/>
      <c r="G3" s="14"/>
      <c r="H3" s="14"/>
      <c r="I3" s="14"/>
    </row>
    <row r="4" spans="1:12">
      <c r="A4" s="13" t="s">
        <v>246</v>
      </c>
      <c r="B4" s="15" t="s">
        <v>247</v>
      </c>
      <c r="C4" s="269" t="s">
        <v>248</v>
      </c>
      <c r="D4" s="269"/>
      <c r="E4" s="269"/>
      <c r="F4" s="16"/>
      <c r="G4" s="269" t="s">
        <v>249</v>
      </c>
      <c r="H4" s="269"/>
      <c r="I4" s="269"/>
      <c r="J4" s="269" t="s">
        <v>250</v>
      </c>
      <c r="K4" s="269"/>
      <c r="L4" s="269"/>
    </row>
    <row r="5" spans="1:12">
      <c r="A5" s="13">
        <v>202</v>
      </c>
      <c r="B5" s="15"/>
      <c r="C5" s="15" t="s">
        <v>251</v>
      </c>
      <c r="D5" s="15" t="s">
        <v>252</v>
      </c>
      <c r="E5" s="15" t="s">
        <v>253</v>
      </c>
      <c r="F5" s="15"/>
      <c r="G5" s="15" t="s">
        <v>251</v>
      </c>
      <c r="H5" s="15" t="s">
        <v>252</v>
      </c>
      <c r="I5" s="15" t="s">
        <v>253</v>
      </c>
      <c r="J5" s="15" t="s">
        <v>251</v>
      </c>
      <c r="K5" s="15" t="s">
        <v>252</v>
      </c>
      <c r="L5" s="15" t="s">
        <v>253</v>
      </c>
    </row>
    <row r="6" spans="1:12">
      <c r="B6" s="17" t="s">
        <v>254</v>
      </c>
      <c r="C6" s="17">
        <v>4.5</v>
      </c>
      <c r="D6" s="17">
        <v>2.9</v>
      </c>
      <c r="E6" s="17">
        <f>C6*D6</f>
        <v>13.049999999999999</v>
      </c>
      <c r="F6" s="17" t="s">
        <v>255</v>
      </c>
      <c r="G6" s="17"/>
      <c r="H6" s="17"/>
      <c r="I6" s="17">
        <f>G6*H6</f>
        <v>0</v>
      </c>
      <c r="J6" s="17"/>
      <c r="K6" s="17"/>
      <c r="L6" s="17">
        <f>J6*K6</f>
        <v>0</v>
      </c>
    </row>
    <row r="7" spans="1:12">
      <c r="B7" s="17"/>
      <c r="C7" s="17"/>
      <c r="D7" s="17"/>
      <c r="E7" s="17">
        <f t="shared" ref="E7:E33" si="0">C7*D7</f>
        <v>0</v>
      </c>
      <c r="F7" s="17" t="s">
        <v>256</v>
      </c>
      <c r="G7" s="17"/>
      <c r="H7" s="17"/>
      <c r="I7" s="17">
        <f t="shared" ref="I7:I33" si="1">G7*H7</f>
        <v>0</v>
      </c>
      <c r="J7" s="17"/>
      <c r="K7" s="17"/>
      <c r="L7" s="17">
        <f t="shared" ref="L7:L33" si="2">J7*K7</f>
        <v>0</v>
      </c>
    </row>
    <row r="8" spans="1:12">
      <c r="B8" s="17"/>
      <c r="C8" s="17"/>
      <c r="D8" s="17"/>
      <c r="E8" s="17">
        <f t="shared" si="0"/>
        <v>0</v>
      </c>
      <c r="F8" s="17"/>
      <c r="G8" s="17"/>
      <c r="H8" s="17"/>
      <c r="I8" s="17">
        <f t="shared" si="1"/>
        <v>0</v>
      </c>
      <c r="J8" s="17"/>
      <c r="K8" s="17"/>
      <c r="L8" s="17">
        <f t="shared" si="2"/>
        <v>0</v>
      </c>
    </row>
    <row r="9" spans="1:12">
      <c r="B9" s="17" t="s">
        <v>257</v>
      </c>
      <c r="C9" s="17">
        <v>1.88</v>
      </c>
      <c r="D9" s="17">
        <v>2.13</v>
      </c>
      <c r="E9" s="17">
        <f t="shared" si="0"/>
        <v>4.0043999999999995</v>
      </c>
      <c r="F9" s="17" t="s">
        <v>255</v>
      </c>
      <c r="G9" s="17"/>
      <c r="H9" s="17"/>
      <c r="I9" s="17">
        <f t="shared" si="1"/>
        <v>0</v>
      </c>
      <c r="J9" s="17"/>
      <c r="K9" s="17"/>
      <c r="L9" s="17">
        <f t="shared" si="2"/>
        <v>0</v>
      </c>
    </row>
    <row r="10" spans="1:12">
      <c r="B10" s="17"/>
      <c r="C10" s="17"/>
      <c r="D10" s="17"/>
      <c r="E10" s="17">
        <f t="shared" si="0"/>
        <v>0</v>
      </c>
      <c r="F10" s="17" t="s">
        <v>256</v>
      </c>
      <c r="G10" s="17"/>
      <c r="H10" s="17"/>
      <c r="I10" s="17">
        <f t="shared" si="1"/>
        <v>0</v>
      </c>
      <c r="J10" s="17"/>
      <c r="K10" s="17"/>
      <c r="L10" s="17">
        <f t="shared" si="2"/>
        <v>0</v>
      </c>
    </row>
    <row r="11" spans="1:12">
      <c r="B11" s="17"/>
      <c r="C11" s="17"/>
      <c r="D11" s="17"/>
      <c r="E11" s="17">
        <f t="shared" si="0"/>
        <v>0</v>
      </c>
      <c r="F11" s="17"/>
      <c r="G11" s="17"/>
      <c r="H11" s="17"/>
      <c r="I11" s="17">
        <f t="shared" si="1"/>
        <v>0</v>
      </c>
      <c r="J11" s="17"/>
      <c r="K11" s="17"/>
      <c r="L11" s="17">
        <f t="shared" si="2"/>
        <v>0</v>
      </c>
    </row>
    <row r="12" spans="1:12">
      <c r="B12" s="17"/>
      <c r="C12" s="17"/>
      <c r="D12" s="17"/>
      <c r="E12" s="17">
        <f t="shared" si="0"/>
        <v>0</v>
      </c>
      <c r="F12" s="17"/>
      <c r="G12" s="17"/>
      <c r="H12" s="17"/>
      <c r="I12" s="17">
        <f t="shared" si="1"/>
        <v>0</v>
      </c>
      <c r="J12" s="17"/>
      <c r="K12" s="17"/>
      <c r="L12" s="17">
        <f t="shared" si="2"/>
        <v>0</v>
      </c>
    </row>
    <row r="13" spans="1:12">
      <c r="B13" s="17" t="s">
        <v>258</v>
      </c>
      <c r="C13" s="17"/>
      <c r="D13" s="17"/>
      <c r="E13" s="17">
        <f t="shared" si="0"/>
        <v>0</v>
      </c>
      <c r="F13" s="17" t="s">
        <v>255</v>
      </c>
      <c r="G13" s="17"/>
      <c r="H13" s="17"/>
      <c r="I13" s="17">
        <f t="shared" si="1"/>
        <v>0</v>
      </c>
      <c r="J13" s="17"/>
      <c r="K13" s="17"/>
      <c r="L13" s="17">
        <f t="shared" si="2"/>
        <v>0</v>
      </c>
    </row>
    <row r="14" spans="1:12">
      <c r="B14" s="17"/>
      <c r="C14" s="17"/>
      <c r="D14" s="17"/>
      <c r="E14" s="17">
        <f t="shared" si="0"/>
        <v>0</v>
      </c>
      <c r="F14" s="17" t="s">
        <v>256</v>
      </c>
      <c r="G14" s="17"/>
      <c r="H14" s="17"/>
      <c r="I14" s="17">
        <f t="shared" si="1"/>
        <v>0</v>
      </c>
      <c r="J14" s="17"/>
      <c r="K14" s="17"/>
      <c r="L14" s="17">
        <f t="shared" si="2"/>
        <v>0</v>
      </c>
    </row>
    <row r="15" spans="1:12">
      <c r="B15" s="17"/>
      <c r="C15" s="17"/>
      <c r="D15" s="17"/>
      <c r="E15" s="17">
        <f t="shared" si="0"/>
        <v>0</v>
      </c>
      <c r="F15" s="17"/>
      <c r="G15" s="17"/>
      <c r="H15" s="17"/>
      <c r="I15" s="17">
        <f t="shared" si="1"/>
        <v>0</v>
      </c>
      <c r="J15" s="17"/>
      <c r="K15" s="17"/>
      <c r="L15" s="17">
        <f t="shared" si="2"/>
        <v>0</v>
      </c>
    </row>
    <row r="16" spans="1:12">
      <c r="B16" s="17"/>
      <c r="C16" s="17"/>
      <c r="D16" s="17"/>
      <c r="E16" s="17">
        <f t="shared" si="0"/>
        <v>0</v>
      </c>
      <c r="F16" s="17"/>
      <c r="G16" s="17"/>
      <c r="H16" s="17"/>
      <c r="I16" s="17">
        <f t="shared" si="1"/>
        <v>0</v>
      </c>
      <c r="J16" s="17"/>
      <c r="K16" s="17"/>
      <c r="L16" s="17">
        <f t="shared" si="2"/>
        <v>0</v>
      </c>
    </row>
    <row r="17" spans="2:12">
      <c r="B17" s="17" t="s">
        <v>259</v>
      </c>
      <c r="C17" s="17"/>
      <c r="D17" s="17"/>
      <c r="E17" s="17">
        <f t="shared" si="0"/>
        <v>0</v>
      </c>
      <c r="F17" s="17" t="s">
        <v>255</v>
      </c>
      <c r="G17" s="17"/>
      <c r="H17" s="17"/>
      <c r="I17" s="17">
        <f t="shared" si="1"/>
        <v>0</v>
      </c>
      <c r="J17" s="17"/>
      <c r="K17" s="17"/>
      <c r="L17" s="17">
        <f t="shared" si="2"/>
        <v>0</v>
      </c>
    </row>
    <row r="18" spans="2:12">
      <c r="B18" s="17"/>
      <c r="C18" s="17"/>
      <c r="D18" s="17"/>
      <c r="E18" s="17">
        <f t="shared" si="0"/>
        <v>0</v>
      </c>
      <c r="F18" s="17" t="s">
        <v>256</v>
      </c>
      <c r="G18" s="17"/>
      <c r="H18" s="17"/>
      <c r="I18" s="17">
        <f t="shared" si="1"/>
        <v>0</v>
      </c>
      <c r="J18" s="17"/>
      <c r="K18" s="17"/>
      <c r="L18" s="17">
        <f t="shared" si="2"/>
        <v>0</v>
      </c>
    </row>
    <row r="19" spans="2:12">
      <c r="B19" s="17"/>
      <c r="C19" s="17"/>
      <c r="D19" s="17"/>
      <c r="E19" s="17">
        <f t="shared" si="0"/>
        <v>0</v>
      </c>
      <c r="F19" s="17"/>
      <c r="G19" s="17"/>
      <c r="H19" s="17"/>
      <c r="I19" s="17">
        <f t="shared" si="1"/>
        <v>0</v>
      </c>
      <c r="J19" s="17"/>
      <c r="K19" s="17"/>
      <c r="L19" s="17">
        <f t="shared" si="2"/>
        <v>0</v>
      </c>
    </row>
    <row r="20" spans="2:12">
      <c r="B20" s="17" t="s">
        <v>259</v>
      </c>
      <c r="C20" s="17"/>
      <c r="D20" s="17"/>
      <c r="E20" s="17">
        <f t="shared" si="0"/>
        <v>0</v>
      </c>
      <c r="F20" s="17" t="s">
        <v>255</v>
      </c>
      <c r="G20" s="17"/>
      <c r="H20" s="17"/>
      <c r="I20" s="17">
        <f t="shared" si="1"/>
        <v>0</v>
      </c>
      <c r="J20" s="17"/>
      <c r="K20" s="17"/>
      <c r="L20" s="17">
        <f t="shared" si="2"/>
        <v>0</v>
      </c>
    </row>
    <row r="21" spans="2:12">
      <c r="B21" s="17"/>
      <c r="C21" s="17"/>
      <c r="D21" s="17"/>
      <c r="E21" s="17">
        <f t="shared" si="0"/>
        <v>0</v>
      </c>
      <c r="F21" s="17" t="s">
        <v>256</v>
      </c>
      <c r="G21" s="17"/>
      <c r="H21" s="17"/>
      <c r="I21" s="17">
        <f t="shared" si="1"/>
        <v>0</v>
      </c>
      <c r="J21" s="17"/>
      <c r="K21" s="17"/>
      <c r="L21" s="17">
        <f t="shared" si="2"/>
        <v>0</v>
      </c>
    </row>
    <row r="22" spans="2:12">
      <c r="B22" s="17"/>
      <c r="C22" s="17"/>
      <c r="D22" s="17"/>
      <c r="E22" s="17">
        <f t="shared" si="0"/>
        <v>0</v>
      </c>
      <c r="F22" s="17"/>
      <c r="G22" s="17"/>
      <c r="H22" s="17"/>
      <c r="I22" s="17">
        <f t="shared" si="1"/>
        <v>0</v>
      </c>
      <c r="J22" s="17"/>
      <c r="K22" s="17"/>
      <c r="L22" s="17">
        <f t="shared" si="2"/>
        <v>0</v>
      </c>
    </row>
    <row r="23" spans="2:12">
      <c r="B23" s="17" t="s">
        <v>260</v>
      </c>
      <c r="C23" s="17">
        <v>1.9</v>
      </c>
      <c r="D23" s="17">
        <v>1.07</v>
      </c>
      <c r="E23" s="17">
        <f t="shared" si="0"/>
        <v>2.0329999999999999</v>
      </c>
      <c r="F23" s="17" t="s">
        <v>261</v>
      </c>
      <c r="G23" s="17"/>
      <c r="H23" s="17"/>
      <c r="I23" s="17">
        <f t="shared" si="1"/>
        <v>0</v>
      </c>
      <c r="J23" s="17"/>
      <c r="K23" s="17"/>
      <c r="L23" s="17">
        <f t="shared" si="2"/>
        <v>0</v>
      </c>
    </row>
    <row r="24" spans="2:12">
      <c r="B24" s="17" t="s">
        <v>262</v>
      </c>
      <c r="C24" s="17"/>
      <c r="D24" s="17"/>
      <c r="E24" s="17">
        <f t="shared" si="0"/>
        <v>0</v>
      </c>
      <c r="F24" s="17" t="s">
        <v>261</v>
      </c>
      <c r="G24" s="17"/>
      <c r="H24" s="17"/>
      <c r="I24" s="17">
        <f t="shared" si="1"/>
        <v>0</v>
      </c>
      <c r="J24" s="17"/>
      <c r="K24" s="17"/>
      <c r="L24" s="17">
        <f t="shared" si="2"/>
        <v>0</v>
      </c>
    </row>
    <row r="25" spans="2:12">
      <c r="B25" s="17" t="s">
        <v>263</v>
      </c>
      <c r="C25" s="17"/>
      <c r="D25" s="17"/>
      <c r="E25" s="17">
        <f t="shared" si="0"/>
        <v>0</v>
      </c>
      <c r="F25" s="17" t="s">
        <v>261</v>
      </c>
      <c r="G25" s="17"/>
      <c r="H25" s="17"/>
      <c r="I25" s="17">
        <f t="shared" si="1"/>
        <v>0</v>
      </c>
      <c r="J25" s="17"/>
      <c r="K25" s="17"/>
      <c r="L25" s="17">
        <f t="shared" si="2"/>
        <v>0</v>
      </c>
    </row>
    <row r="26" spans="2:12">
      <c r="B26" s="17"/>
      <c r="C26" s="17"/>
      <c r="D26" s="17"/>
      <c r="E26" s="17">
        <f t="shared" si="0"/>
        <v>0</v>
      </c>
      <c r="F26" s="17"/>
      <c r="G26" s="17"/>
      <c r="H26" s="17"/>
      <c r="I26" s="17">
        <f t="shared" si="1"/>
        <v>0</v>
      </c>
      <c r="J26" s="17"/>
      <c r="K26" s="17"/>
      <c r="L26" s="17">
        <f t="shared" si="2"/>
        <v>0</v>
      </c>
    </row>
    <row r="27" spans="2:12">
      <c r="B27" s="17" t="s">
        <v>264</v>
      </c>
      <c r="C27" s="17"/>
      <c r="D27" s="17"/>
      <c r="E27" s="17">
        <f t="shared" si="0"/>
        <v>0</v>
      </c>
      <c r="F27" s="17"/>
      <c r="G27" s="17"/>
      <c r="H27" s="17"/>
      <c r="I27" s="17">
        <f t="shared" si="1"/>
        <v>0</v>
      </c>
      <c r="J27" s="17"/>
      <c r="K27" s="17"/>
      <c r="L27" s="17">
        <f t="shared" si="2"/>
        <v>0</v>
      </c>
    </row>
    <row r="28" spans="2:12">
      <c r="B28" s="17" t="s">
        <v>265</v>
      </c>
      <c r="C28" s="17"/>
      <c r="D28" s="17"/>
      <c r="E28" s="17">
        <f t="shared" si="0"/>
        <v>0</v>
      </c>
      <c r="F28" s="17"/>
      <c r="G28" s="17"/>
      <c r="H28" s="17"/>
      <c r="I28" s="17">
        <f t="shared" si="1"/>
        <v>0</v>
      </c>
      <c r="J28" s="17"/>
      <c r="K28" s="17"/>
      <c r="L28" s="17">
        <f t="shared" si="2"/>
        <v>0</v>
      </c>
    </row>
    <row r="29" spans="2:12">
      <c r="B29" s="17" t="s">
        <v>266</v>
      </c>
      <c r="C29" s="17"/>
      <c r="D29" s="17"/>
      <c r="E29" s="17">
        <f t="shared" si="0"/>
        <v>0</v>
      </c>
      <c r="F29" s="17"/>
      <c r="G29" s="17"/>
      <c r="H29" s="17"/>
      <c r="I29" s="17">
        <f t="shared" si="1"/>
        <v>0</v>
      </c>
      <c r="J29" s="17"/>
      <c r="K29" s="17"/>
      <c r="L29" s="17">
        <f t="shared" si="2"/>
        <v>0</v>
      </c>
    </row>
    <row r="30" spans="2:12">
      <c r="B30" s="17" t="s">
        <v>267</v>
      </c>
      <c r="C30" s="17"/>
      <c r="D30" s="17"/>
      <c r="E30" s="17">
        <f t="shared" si="0"/>
        <v>0</v>
      </c>
      <c r="F30" s="17"/>
      <c r="G30" s="17"/>
      <c r="H30" s="17"/>
      <c r="I30" s="17">
        <f t="shared" si="1"/>
        <v>0</v>
      </c>
      <c r="J30" s="17"/>
      <c r="K30" s="17"/>
      <c r="L30" s="17">
        <f t="shared" si="2"/>
        <v>0</v>
      </c>
    </row>
    <row r="31" spans="2:12">
      <c r="B31" s="17"/>
      <c r="C31" s="17"/>
      <c r="D31" s="17"/>
      <c r="E31" s="17">
        <f t="shared" si="0"/>
        <v>0</v>
      </c>
      <c r="F31" s="17"/>
      <c r="G31" s="17"/>
      <c r="H31" s="17"/>
      <c r="I31" s="17">
        <f t="shared" si="1"/>
        <v>0</v>
      </c>
      <c r="J31" s="17"/>
      <c r="K31" s="17"/>
      <c r="L31" s="17">
        <f t="shared" si="2"/>
        <v>0</v>
      </c>
    </row>
    <row r="32" spans="2:12">
      <c r="B32" s="17"/>
      <c r="C32" s="17"/>
      <c r="D32" s="17"/>
      <c r="E32" s="17">
        <f t="shared" si="0"/>
        <v>0</v>
      </c>
      <c r="F32" s="17"/>
      <c r="G32" s="17"/>
      <c r="H32" s="17"/>
      <c r="I32" s="17">
        <f t="shared" si="1"/>
        <v>0</v>
      </c>
      <c r="J32" s="17"/>
      <c r="K32" s="17"/>
      <c r="L32" s="17">
        <f t="shared" si="2"/>
        <v>0</v>
      </c>
    </row>
    <row r="33" spans="2:12">
      <c r="B33" s="17"/>
      <c r="C33" s="17"/>
      <c r="D33" s="17"/>
      <c r="E33" s="17">
        <f t="shared" si="0"/>
        <v>0</v>
      </c>
      <c r="F33" s="17"/>
      <c r="G33" s="17"/>
      <c r="H33" s="17"/>
      <c r="I33" s="17">
        <f t="shared" si="1"/>
        <v>0</v>
      </c>
      <c r="J33" s="17"/>
      <c r="K33" s="17"/>
      <c r="L33" s="17">
        <f t="shared" si="2"/>
        <v>0</v>
      </c>
    </row>
    <row r="34" spans="2:12">
      <c r="B34" s="17" t="s">
        <v>180</v>
      </c>
      <c r="C34" s="17"/>
      <c r="D34" s="17">
        <f>E34*10.764</f>
        <v>205.45677359999996</v>
      </c>
      <c r="E34" s="17">
        <f>SUM(E6:E33)</f>
        <v>19.087399999999999</v>
      </c>
      <c r="F34" s="17"/>
      <c r="G34" s="17"/>
      <c r="H34" s="17">
        <f>I34*10.764</f>
        <v>0</v>
      </c>
      <c r="I34" s="17">
        <f>SUM(I6:I33)</f>
        <v>0</v>
      </c>
      <c r="J34" s="17"/>
      <c r="K34" s="17">
        <f>L34*10.764</f>
        <v>0</v>
      </c>
      <c r="L34" s="17">
        <f>SUM(L6:L33)</f>
        <v>0</v>
      </c>
    </row>
    <row r="36" spans="2:12">
      <c r="D36">
        <f>D34+H34</f>
        <v>205.45677359999996</v>
      </c>
      <c r="E36">
        <f>E34+I34</f>
        <v>19.087399999999999</v>
      </c>
    </row>
  </sheetData>
  <mergeCells count="4">
    <mergeCell ref="C2:D2"/>
    <mergeCell ref="C4:E4"/>
    <mergeCell ref="G4:I4"/>
    <mergeCell ref="J4:L4"/>
  </mergeCells>
  <pageMargins left="0.7" right="0.7" top="0.75" bottom="0.75" header="0.3" footer="0.3"/>
  <pageSetup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
  <sheetViews>
    <sheetView workbookViewId="0">
      <selection activeCell="C16" sqref="C16"/>
    </sheetView>
  </sheetViews>
  <sheetFormatPr defaultColWidth="9" defaultRowHeight="15"/>
  <sheetData/>
  <pageMargins left="0.7" right="0.7" top="0.75" bottom="0.75" header="0.3" footer="0.3"/>
  <pageSetup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I16"/>
  <sheetViews>
    <sheetView zoomScale="115" zoomScaleNormal="115" workbookViewId="0"/>
  </sheetViews>
  <sheetFormatPr defaultColWidth="8.85546875" defaultRowHeight="15"/>
  <cols>
    <col min="1" max="1" width="8.85546875" style="1"/>
    <col min="2" max="2" width="22.140625" style="1" customWidth="1"/>
    <col min="3" max="3" width="37" style="1" customWidth="1"/>
    <col min="4" max="5" width="11.42578125" style="1" customWidth="1"/>
    <col min="6" max="6" width="14" style="1" customWidth="1"/>
    <col min="7" max="7" width="20" style="1" customWidth="1"/>
    <col min="8" max="8" width="16.42578125" style="1" customWidth="1"/>
    <col min="9" max="16384" width="8.85546875" style="1"/>
  </cols>
  <sheetData>
    <row r="1" spans="1:9" ht="15" customHeight="1"/>
    <row r="2" spans="1:9" ht="15" customHeight="1">
      <c r="A2" s="2"/>
      <c r="B2" s="2"/>
      <c r="C2" s="2"/>
      <c r="D2" s="2"/>
      <c r="E2" s="2"/>
      <c r="F2" s="2"/>
      <c r="G2" s="2"/>
      <c r="H2" s="2"/>
    </row>
    <row r="3" spans="1:9" ht="15.75" customHeight="1">
      <c r="A3" s="2"/>
      <c r="B3" s="270" t="s">
        <v>268</v>
      </c>
      <c r="C3" s="270"/>
      <c r="D3" s="270"/>
      <c r="E3" s="270"/>
      <c r="F3" s="270"/>
      <c r="G3" s="270"/>
      <c r="H3" s="270"/>
    </row>
    <row r="4" spans="1:9">
      <c r="A4" s="2"/>
      <c r="B4" s="3" t="s">
        <v>269</v>
      </c>
      <c r="C4" s="3" t="s">
        <v>270</v>
      </c>
      <c r="D4" s="3" t="s">
        <v>246</v>
      </c>
      <c r="E4" s="3" t="s">
        <v>271</v>
      </c>
      <c r="F4" s="3" t="s">
        <v>272</v>
      </c>
      <c r="G4" s="3" t="s">
        <v>273</v>
      </c>
      <c r="H4" s="3" t="s">
        <v>274</v>
      </c>
    </row>
    <row r="5" spans="1:9" ht="15" customHeight="1">
      <c r="A5" s="2"/>
      <c r="B5" s="4" t="s">
        <v>275</v>
      </c>
      <c r="C5" s="5"/>
      <c r="D5" s="4" t="s">
        <v>195</v>
      </c>
      <c r="E5" s="4">
        <v>1106</v>
      </c>
      <c r="F5" s="6">
        <f>E5*1.6</f>
        <v>1769.6000000000001</v>
      </c>
      <c r="G5" s="6">
        <f>H5/F5</f>
        <v>31532.549728752259</v>
      </c>
      <c r="H5" s="7">
        <v>55800000</v>
      </c>
    </row>
    <row r="6" spans="1:9">
      <c r="A6" s="2"/>
      <c r="B6" s="4" t="s">
        <v>275</v>
      </c>
      <c r="C6" s="8"/>
      <c r="D6" s="4"/>
      <c r="E6" s="4"/>
      <c r="F6" s="6">
        <f t="shared" ref="F6:F11" si="0">E6*1.6</f>
        <v>0</v>
      </c>
      <c r="G6" s="6" t="e">
        <f t="shared" ref="G6:G11" si="1">H6/F6</f>
        <v>#DIV/0!</v>
      </c>
      <c r="H6" s="7"/>
    </row>
    <row r="7" spans="1:9" ht="15" customHeight="1">
      <c r="A7" s="2"/>
      <c r="B7" s="4" t="s">
        <v>275</v>
      </c>
      <c r="C7" s="5"/>
      <c r="D7" s="4"/>
      <c r="E7" s="4"/>
      <c r="F7" s="6">
        <f t="shared" si="0"/>
        <v>0</v>
      </c>
      <c r="G7" s="6" t="e">
        <f t="shared" si="1"/>
        <v>#DIV/0!</v>
      </c>
      <c r="H7" s="7"/>
    </row>
    <row r="8" spans="1:9">
      <c r="A8" s="2"/>
      <c r="B8" s="4" t="s">
        <v>275</v>
      </c>
      <c r="C8" s="8"/>
      <c r="D8" s="4"/>
      <c r="E8" s="4"/>
      <c r="F8" s="6">
        <f t="shared" si="0"/>
        <v>0</v>
      </c>
      <c r="G8" s="6" t="e">
        <f t="shared" si="1"/>
        <v>#DIV/0!</v>
      </c>
      <c r="H8" s="7"/>
    </row>
    <row r="9" spans="1:9" ht="15" customHeight="1">
      <c r="A9" s="2"/>
      <c r="B9" s="4" t="s">
        <v>275</v>
      </c>
      <c r="C9" s="8"/>
      <c r="D9" s="4"/>
      <c r="E9" s="4"/>
      <c r="F9" s="6">
        <f t="shared" si="0"/>
        <v>0</v>
      </c>
      <c r="G9" s="6" t="e">
        <f t="shared" si="1"/>
        <v>#DIV/0!</v>
      </c>
      <c r="H9" s="7"/>
    </row>
    <row r="10" spans="1:9" ht="15" customHeight="1">
      <c r="A10" s="2"/>
      <c r="B10" s="4" t="s">
        <v>276</v>
      </c>
      <c r="C10" s="5"/>
      <c r="D10" s="4"/>
      <c r="E10" s="4"/>
      <c r="F10" s="6">
        <f t="shared" si="0"/>
        <v>0</v>
      </c>
      <c r="G10" s="6" t="e">
        <f t="shared" si="1"/>
        <v>#DIV/0!</v>
      </c>
      <c r="H10" s="7"/>
    </row>
    <row r="11" spans="1:9" ht="15" customHeight="1">
      <c r="A11" s="2"/>
      <c r="B11" s="4" t="s">
        <v>276</v>
      </c>
      <c r="C11" s="5"/>
      <c r="D11" s="4"/>
      <c r="E11" s="4"/>
      <c r="F11" s="6">
        <f t="shared" si="0"/>
        <v>0</v>
      </c>
      <c r="G11" s="6" t="e">
        <f t="shared" si="1"/>
        <v>#DIV/0!</v>
      </c>
      <c r="H11" s="7"/>
    </row>
    <row r="12" spans="1:9" ht="15" customHeight="1">
      <c r="A12" s="2"/>
      <c r="B12" s="9" t="s">
        <v>277</v>
      </c>
      <c r="C12" s="4"/>
      <c r="D12" s="4"/>
      <c r="E12" s="4"/>
      <c r="F12" s="4"/>
      <c r="G12" s="10" t="e">
        <f>AVERAGE(G5:G11)</f>
        <v>#DIV/0!</v>
      </c>
      <c r="H12" s="4"/>
    </row>
    <row r="13" spans="1:9" ht="15" customHeight="1">
      <c r="B13" s="9" t="s">
        <v>278</v>
      </c>
      <c r="C13" s="4"/>
      <c r="D13" s="4"/>
      <c r="E13" s="4"/>
      <c r="F13" s="11"/>
      <c r="G13" s="9"/>
      <c r="H13" s="9"/>
      <c r="I13" s="12"/>
    </row>
    <row r="14" spans="1:9" ht="15" customHeight="1"/>
    <row r="15" spans="1:9" ht="15" customHeight="1"/>
    <row r="16" spans="1:9" ht="15" customHeight="1"/>
  </sheetData>
  <mergeCells count="1">
    <mergeCell ref="B3:H3"/>
  </mergeCells>
  <pageMargins left="0.7" right="0.7" top="0.75" bottom="0.75" header="0.3" footer="0.3"/>
  <pageSetup orientation="portrait" horizontalDpi="300" verticalDpi="30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Report</vt:lpstr>
      <vt:lpstr>Sheet1 (2)</vt:lpstr>
      <vt:lpstr>Sheet3</vt:lpstr>
      <vt:lpstr>C%</vt:lpstr>
      <vt:lpstr>Flat detail</vt:lpstr>
      <vt:lpstr>Note</vt:lpstr>
      <vt:lpstr>valuation</vt:lpstr>
      <vt:lpstr>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VSJC-06</cp:lastModifiedBy>
  <cp:lastPrinted>2025-09-19T10:27:06Z</cp:lastPrinted>
  <dcterms:created xsi:type="dcterms:W3CDTF">2019-07-16T09:29:00Z</dcterms:created>
  <dcterms:modified xsi:type="dcterms:W3CDTF">2025-09-19T10:29:18Z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83E7A34623784CE488BE65263A1BA83F_12</vt:lpwstr>
  </property>
  <property fmtid="{D5CDD505-2E9C-101B-9397-08002B2CF9AE}" pid="3" name="KSOProductBuildVer">
    <vt:lpwstr>1033-12.2.0.17562</vt:lpwstr>
  </property>
</Properties>
</file>