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FE07878C-8740-4D45-A4C0-107BBA7FA34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K111" i="1" l="1"/>
  <c r="K110" i="1"/>
  <c r="J106" i="1"/>
  <c r="K106" i="1" s="1"/>
  <c r="K107" i="1" s="1"/>
  <c r="K108" i="1" s="1"/>
  <c r="G142" i="1"/>
  <c r="D158" i="1"/>
  <c r="D157" i="1"/>
  <c r="D156" i="1"/>
  <c r="D155" i="1"/>
  <c r="D153" i="1"/>
  <c r="D152" i="1"/>
  <c r="D151" i="1"/>
  <c r="D150" i="1"/>
  <c r="D148" i="1"/>
  <c r="F148" i="1" s="1"/>
  <c r="D147" i="1"/>
  <c r="F147" i="1" s="1"/>
  <c r="D146" i="1"/>
  <c r="D145" i="1"/>
  <c r="A148" i="1"/>
  <c r="D143" i="1"/>
  <c r="D142" i="1"/>
  <c r="D136" i="1"/>
  <c r="F136" i="1" s="1"/>
  <c r="D135" i="1"/>
  <c r="F135" i="1" s="1"/>
  <c r="I135" i="1" s="1"/>
  <c r="D134" i="1"/>
  <c r="F134" i="1" s="1"/>
  <c r="G133" i="1"/>
  <c r="G134" i="1" s="1"/>
  <c r="G135" i="1" s="1"/>
  <c r="G136" i="1" s="1"/>
  <c r="D131" i="1"/>
  <c r="D130" i="1"/>
  <c r="D129" i="1"/>
  <c r="D128" i="1"/>
  <c r="D126" i="1"/>
  <c r="F126" i="1" s="1"/>
  <c r="D125" i="1"/>
  <c r="F125" i="1" s="1"/>
  <c r="D124" i="1"/>
  <c r="D123" i="1"/>
  <c r="A126" i="1"/>
  <c r="D121" i="1"/>
  <c r="D120" i="1"/>
  <c r="O133" i="1"/>
  <c r="P133" i="1"/>
  <c r="K112" i="1" l="1"/>
  <c r="M130" i="1"/>
  <c r="C108" i="1"/>
  <c r="C109" i="1"/>
  <c r="E108" i="1"/>
  <c r="E109" i="1"/>
  <c r="P134" i="1"/>
  <c r="P135" i="1" s="1"/>
  <c r="P136" i="1" s="1"/>
  <c r="O134" i="1"/>
  <c r="N133" i="1"/>
  <c r="C110" i="1" l="1"/>
  <c r="O135" i="1"/>
  <c r="N134" i="1"/>
  <c r="N135" i="1" l="1"/>
  <c r="O136" i="1"/>
  <c r="N136" i="1" s="1"/>
  <c r="I150" i="1" l="1"/>
  <c r="F158" i="1"/>
  <c r="I157" i="1" s="1"/>
  <c r="F157" i="1"/>
  <c r="F156" i="1"/>
  <c r="G155" i="1"/>
  <c r="F155" i="1"/>
  <c r="I155" i="1" s="1"/>
  <c r="F153" i="1"/>
  <c r="F152" i="1"/>
  <c r="F151" i="1"/>
  <c r="G150" i="1"/>
  <c r="F150" i="1"/>
  <c r="F146" i="1"/>
  <c r="F145" i="1"/>
  <c r="A146" i="1"/>
  <c r="G145" i="1"/>
  <c r="F143" i="1"/>
  <c r="G143" i="1"/>
  <c r="F124" i="1"/>
  <c r="F123" i="1"/>
  <c r="A124" i="1"/>
  <c r="G123" i="1"/>
  <c r="G124" i="1" s="1"/>
  <c r="G125" i="1" s="1"/>
  <c r="G126" i="1" s="1"/>
  <c r="F121" i="1"/>
  <c r="G120" i="1"/>
  <c r="G121" i="1" s="1"/>
  <c r="P155" i="1"/>
  <c r="O150" i="1"/>
  <c r="P150" i="1"/>
  <c r="O155" i="1"/>
  <c r="F142" i="1" l="1"/>
  <c r="F120" i="1"/>
  <c r="P156" i="1"/>
  <c r="P157" i="1" s="1"/>
  <c r="P158" i="1" s="1"/>
  <c r="O156" i="1"/>
  <c r="N155" i="1"/>
  <c r="O151" i="1"/>
  <c r="N150" i="1"/>
  <c r="P151" i="1"/>
  <c r="P152" i="1" s="1"/>
  <c r="P153" i="1" s="1"/>
  <c r="G109" i="1" l="1"/>
  <c r="L129" i="1"/>
  <c r="M129" i="1"/>
  <c r="M131" i="1" s="1"/>
  <c r="E110" i="1"/>
  <c r="O157" i="1"/>
  <c r="N156" i="1"/>
  <c r="O152" i="1"/>
  <c r="N151" i="1"/>
  <c r="O158" i="1" l="1"/>
  <c r="N158" i="1" s="1"/>
  <c r="N157" i="1"/>
  <c r="O153" i="1"/>
  <c r="N153" i="1" s="1"/>
  <c r="N15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83" i="1"/>
  <c r="A161" i="1"/>
  <c r="A162" i="1" s="1"/>
  <c r="A163" i="1" s="1"/>
  <c r="A164" i="1" s="1"/>
  <c r="A165" i="1" s="1"/>
  <c r="F131" i="1"/>
  <c r="L130" i="1" s="1"/>
  <c r="L131" i="1" s="1"/>
  <c r="F130" i="1"/>
  <c r="F129" i="1"/>
  <c r="G128" i="1"/>
  <c r="G129" i="1" s="1"/>
  <c r="G130" i="1" s="1"/>
  <c r="G131" i="1" s="1"/>
  <c r="F128" i="1"/>
  <c r="F105" i="1"/>
  <c r="J86" i="1"/>
  <c r="J85" i="1"/>
  <c r="J84" i="1"/>
  <c r="J83" i="1"/>
  <c r="C75" i="1"/>
  <c r="J72" i="1"/>
  <c r="J71" i="1"/>
  <c r="J70" i="1"/>
  <c r="J69" i="1"/>
  <c r="C61" i="1"/>
  <c r="D58" i="1"/>
  <c r="G47" i="1"/>
  <c r="C47" i="1"/>
  <c r="E41" i="1"/>
  <c r="E42" i="1" s="1"/>
  <c r="E25" i="1"/>
  <c r="E23" i="1"/>
  <c r="C14" i="1"/>
  <c r="E7" i="1"/>
  <c r="H62" i="1"/>
  <c r="P128" i="1"/>
  <c r="O128" i="1"/>
  <c r="H76" i="1"/>
  <c r="A166" i="1" l="1"/>
  <c r="A167" i="1" s="1"/>
  <c r="A168" i="1" s="1"/>
  <c r="A169" i="1" s="1"/>
  <c r="A170" i="1" s="1"/>
  <c r="G108" i="1"/>
  <c r="G110" i="1" s="1"/>
  <c r="K130" i="1"/>
  <c r="I130" i="1"/>
  <c r="G12" i="5"/>
  <c r="I34" i="3"/>
  <c r="H34" i="3" s="1"/>
  <c r="L34" i="3"/>
  <c r="K34" i="3" s="1"/>
  <c r="E34" i="3"/>
  <c r="D67" i="1"/>
  <c r="D74" i="1"/>
  <c r="D70" i="1"/>
  <c r="J66" i="1"/>
  <c r="J64" i="1"/>
  <c r="D73" i="1"/>
  <c r="D72" i="1"/>
  <c r="D69" i="1"/>
  <c r="D68" i="1"/>
  <c r="D71" i="1"/>
  <c r="J65" i="1"/>
  <c r="J67" i="1"/>
  <c r="J68" i="1" s="1"/>
  <c r="J73" i="1" s="1"/>
  <c r="J74" i="1" s="1"/>
  <c r="J81" i="1"/>
  <c r="J82" i="1" s="1"/>
  <c r="J87" i="1" s="1"/>
  <c r="J88" i="1" s="1"/>
  <c r="D85" i="1"/>
  <c r="J80" i="1"/>
  <c r="D79" i="1" s="1"/>
  <c r="D87" i="1"/>
  <c r="D81" i="1"/>
  <c r="D88" i="1"/>
  <c r="D84" i="1"/>
  <c r="J78" i="1"/>
  <c r="D83" i="1"/>
  <c r="D86" i="1"/>
  <c r="D82" i="1"/>
  <c r="J79" i="1"/>
  <c r="P129" i="1"/>
  <c r="P130" i="1" s="1"/>
  <c r="P131" i="1" s="1"/>
  <c r="N128" i="1"/>
  <c r="O129" i="1"/>
  <c r="E36" i="3" l="1"/>
  <c r="D65" i="1"/>
  <c r="D34" i="3"/>
  <c r="D36" i="3" s="1"/>
  <c r="E79" i="1"/>
  <c r="I75" i="1" s="1"/>
  <c r="C77" i="1" s="1"/>
  <c r="D80" i="1"/>
  <c r="E65" i="1"/>
  <c r="D66" i="1"/>
  <c r="G79" i="1"/>
  <c r="O130" i="1"/>
  <c r="N129" i="1"/>
  <c r="G65" i="1"/>
  <c r="D60" i="1" s="1"/>
  <c r="F89" i="1" s="1"/>
  <c r="I61" i="1" l="1"/>
  <c r="N130" i="1"/>
  <c r="O131" i="1"/>
  <c r="N131" i="1" l="1"/>
</calcChain>
</file>

<file path=xl/sharedStrings.xml><?xml version="1.0" encoding="utf-8"?>
<sst xmlns="http://schemas.openxmlformats.org/spreadsheetml/2006/main" count="380" uniqueCount="263">
  <si>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</si>
  <si>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</si>
  <si>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</si>
  <si>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</si>
  <si>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</si>
  <si>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</si>
  <si>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</si>
  <si>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</si>
  <si>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</si>
  <si>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</si>
  <si>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</si>
  <si>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</si>
  <si>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</si>
  <si>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</si>
  <si>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</si>
  <si>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</si>
  <si>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</si>
  <si>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</si>
  <si>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</si>
  <si>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</si>
  <si>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</si>
  <si>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</si>
  <si>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</si>
  <si>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</si>
  <si>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</si>
  <si>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</si>
  <si>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</si>
  <si>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</si>
  <si>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</si>
  <si>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</si>
  <si>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</si>
  <si>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</si>
  <si>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</si>
  <si>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</si>
  <si>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</si>
  <si>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</si>
  <si>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</si>
  <si>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</si>
  <si>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</si>
  <si>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</si>
  <si>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</si>
  <si>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</si>
  <si>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</si>
  <si>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</si>
  <si>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</si>
  <si>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</si>
  <si>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</si>
  <si>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</si>
  <si>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</si>
  <si>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</si>
  <si>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</si>
  <si>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</si>
  <si>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</si>
  <si>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</si>
  <si>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</si>
  <si>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</si>
  <si>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</si>
  <si>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</si>
  <si>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</si>
  <si>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</si>
  <si>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</si>
  <si>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</si>
  <si>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</si>
  <si>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</si>
  <si>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</si>
  <si>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</si>
  <si>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</si>
  <si>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</si>
  <si>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</si>
  <si>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</si>
  <si>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</si>
  <si>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</si>
  <si>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</si>
  <si>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</si>
  <si>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</si>
  <si>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</si>
  <si>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</si>
  <si>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</si>
  <si>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</si>
  <si>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</si>
  <si>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</si>
  <si>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</si>
  <si>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</si>
  <si>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</si>
  <si>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</si>
  <si>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</si>
  <si>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</si>
  <si>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</si>
  <si>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</si>
  <si>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</si>
  <si>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</si>
  <si>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</si>
  <si>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</si>
  <si>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</si>
  <si>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</si>
  <si>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</si>
  <si>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</si>
  <si>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</si>
  <si>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</si>
  <si>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</si>
  <si>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</si>
  <si>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</si>
  <si>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</si>
  <si>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</si>
  <si>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</si>
  <si>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</si>
  <si>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</si>
  <si>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</si>
  <si>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</si>
  <si>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</si>
  <si>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</si>
  <si>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</si>
  <si>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</si>
  <si>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</si>
  <si>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</si>
  <si>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</si>
  <si>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</si>
  <si>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</si>
  <si>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</si>
  <si>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</si>
  <si>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</si>
  <si>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</si>
  <si>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</si>
  <si>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</si>
  <si>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</si>
  <si>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</si>
  <si>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</si>
  <si>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</si>
  <si>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</si>
  <si>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</si>
  <si>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</si>
  <si>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</si>
  <si>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</si>
  <si>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</si>
  <si>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</si>
  <si>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</si>
  <si>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</si>
  <si>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</si>
  <si>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</si>
  <si>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</si>
  <si>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</si>
  <si>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</si>
  <si>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</si>
  <si>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</si>
  <si>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</si>
  <si>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</si>
  <si>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</si>
  <si>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</si>
  <si>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</si>
  <si>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</si>
  <si>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</si>
  <si>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</si>
  <si>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</si>
  <si>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</si>
  <si>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</si>
  <si>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</si>
  <si>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</si>
  <si>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</si>
  <si>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</si>
  <si>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</si>
  <si>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</si>
  <si>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</si>
  <si>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</si>
  <si>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</si>
  <si>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</si>
  <si>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</si>
  <si>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</si>
  <si>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</si>
  <si>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</si>
  <si>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</si>
  <si>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</si>
  <si>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</si>
  <si>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</si>
  <si>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</si>
  <si>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</si>
  <si>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</si>
  <si>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</si>
  <si>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</si>
  <si>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</si>
  <si>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</si>
  <si>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</si>
  <si>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</si>
  <si>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</si>
  <si>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</si>
  <si>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</si>
  <si>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Tungwa</t>
  </si>
  <si>
    <t>Mumbai</t>
  </si>
  <si>
    <t>M/s. Larsen &amp; Turbro Ltd. (Realty Division)</t>
  </si>
  <si>
    <t>Kurla</t>
  </si>
  <si>
    <t>117A, 117A/1, 117­B Part and 117­C</t>
  </si>
  <si>
    <t>LnT Emerald Isle Tower 8</t>
  </si>
  <si>
    <t>TriStar chs</t>
  </si>
  <si>
    <t>Westend</t>
  </si>
  <si>
    <t>Internal Road</t>
  </si>
  <si>
    <t xml:space="preserve"> </t>
  </si>
  <si>
    <t>CHE/ES/1010//L/337 (NEW)</t>
  </si>
  <si>
    <t>Saki Vihar Road</t>
  </si>
  <si>
    <t>Vikhroli East</t>
  </si>
  <si>
    <t>We considered  Saleable area  as per our calculation.</t>
  </si>
  <si>
    <t>Survey No</t>
  </si>
  <si>
    <t>Approved Plans, CC</t>
  </si>
  <si>
    <t xml:space="preserve">Residential </t>
  </si>
  <si>
    <t xml:space="preserve">2 Wings </t>
  </si>
  <si>
    <t xml:space="preserve">P51800029892
</t>
  </si>
  <si>
    <t>1BHK</t>
  </si>
  <si>
    <t>Stilt Floor Residental And Amenities</t>
  </si>
  <si>
    <t xml:space="preserve">Wing 14A </t>
  </si>
  <si>
    <t>2BHK</t>
  </si>
  <si>
    <t>Refuge Area</t>
  </si>
  <si>
    <t>Wing 14B</t>
  </si>
  <si>
    <t>Veridian at Emerald Isle 14A &amp; 14B</t>
  </si>
  <si>
    <t>We considered Gross carpet area = Net carpet .</t>
  </si>
  <si>
    <t>7km from Vikhroli Railway Station</t>
  </si>
  <si>
    <t>L&amp;T Emerald Isle Tower 8</t>
  </si>
  <si>
    <t>Details of project are collected from Mr.Chiraj Chavda - 9867798744.</t>
  </si>
  <si>
    <t>Intermidiate Basement Floor Parking</t>
  </si>
  <si>
    <t>Ground Floor For Amenities &amp; Parking</t>
  </si>
  <si>
    <t>1st Podium Floor For Amenities &amp; Parking</t>
  </si>
  <si>
    <t>2nd Podium Floor Residental &amp; Amenities</t>
  </si>
  <si>
    <t>P201</t>
  </si>
  <si>
    <t>P202</t>
  </si>
  <si>
    <t xml:space="preserve">Stilt Floor for Residential </t>
  </si>
  <si>
    <t xml:space="preserve">1st to 4th, 6th to 11th, 13th to 18th Floor </t>
  </si>
  <si>
    <t>5th to 12th Floor (Part Refuge Area)</t>
  </si>
  <si>
    <t>1st to 4th, 6th, 8th, 10th, 12th, 14th, 16th &amp; 18th Floor</t>
  </si>
  <si>
    <t xml:space="preserve"> 5th, 7th, 9th, 11th, 13th, 15th &amp; 17th Floor (Refuge Area At Midlanding)</t>
  </si>
  <si>
    <t>Flats - 154</t>
  </si>
  <si>
    <t>We have updated revised approved floor plan (on 28/05/2022).</t>
  </si>
  <si>
    <t>index</t>
  </si>
  <si>
    <t>17(1703)</t>
  </si>
  <si>
    <t>14A</t>
  </si>
  <si>
    <t>pro tiger</t>
  </si>
  <si>
    <t>Housing</t>
  </si>
  <si>
    <t>Latitude,Longitude</t>
  </si>
  <si>
    <t>Location Link</t>
  </si>
  <si>
    <t>19.120937,72.893002</t>
  </si>
  <si>
    <t>https://goo.gl/maps/XvG5aB2TSZx7GvtQA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</si>
  <si>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E mail : vsjcapf@gmail.com. Web site : www.vsjadon.com</t>
  </si>
  <si>
    <t>Mr.Chiraj 9867798744</t>
  </si>
  <si>
    <t xml:space="preserve">Site Person - Contact Details (Name &amp; Contact No.)
</t>
  </si>
  <si>
    <t>SAME RATE FOR ALL APF (21500 + 10L PARK) BY NILESH VERBAL 09/09/2024</t>
  </si>
  <si>
    <t>Floor Rise Rate Per Sq.ft from 1st Floor</t>
  </si>
  <si>
    <t>On Saleable Area</t>
  </si>
  <si>
    <t xml:space="preserve">Recommended Rates / Other charges of the Property have been revised on 09/09/2024.
</t>
  </si>
  <si>
    <t>CHE/ES/1010/L/337(NEW)/FCC/7/Amend</t>
  </si>
  <si>
    <t>We have updated latest CC from MCGM site (On 19/09/2024).</t>
  </si>
  <si>
    <t xml:space="preserve">Part O. Certificate No.:
Approved upto :  </t>
  </si>
  <si>
    <t xml:space="preserve">CHE/ES/1010/L/337(NEW)/OCC/13/New
Building No. 02 (T14A &amp; T14B) = Gr. + P1 + P2 + Stilt + 1st to 16th floor </t>
  </si>
  <si>
    <t>Building No. 02 (T14A)</t>
  </si>
  <si>
    <t>Building No. 02 (T14A &amp; T14B)</t>
  </si>
  <si>
    <t>Full C.C. up to top of 18th upper floors (including LMR/OHT) for Wing T-12A, T-12B, T-12C, T-13A, T-13B &amp; Endorsement of full CC for wing T-11A &amp; T-11B and endorsement of further CC for wing T14A &amp; T14B as per the last approved amended plans dated 18.03.2024.</t>
  </si>
  <si>
    <t>Building No. 02 (T14A) = G + P1 + P2 + S + 1st to 18th Floor
Building No. 02 (T14B) = G + P1 + P2 + S + 1st to 18th Floor</t>
  </si>
  <si>
    <t>Building No. 02 (T14A &amp; T14B) = G + P1 + P2 + S + 1st to 18th Floor</t>
  </si>
  <si>
    <t>Building No. 02 (T14B) = G/P1 + P2 + P3 + S + 1st to 18th Floor</t>
  </si>
  <si>
    <t>Building No. 02 (T14B)</t>
  </si>
  <si>
    <t>We have updated Part OC (On 30/09/2024).</t>
  </si>
  <si>
    <t>Since internal visit were not permitted, we were unable to determine building progress from anexternal visit; so, we are maintaining the same progress as in the previous report.</t>
  </si>
  <si>
    <t>Ganesh Wadkar</t>
  </si>
  <si>
    <t>Please provide revised approved plans.</t>
  </si>
  <si>
    <t>All work completed. Please provide Full OC.</t>
  </si>
  <si>
    <t>Completed</t>
  </si>
  <si>
    <t>Part OC received for Building No. 02 (T14 A &amp; B) = Gr. + P1 + P2 + Stilt + 1st to 16th floor,
 and construction work for these floors can be considered as 100% completed.
 Please provide Full OC.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</si>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</sst>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_-;\-* #,##0.00_-;_-* &quot;-&quot;??_-;_-@_-"/>
    <numFmt numFmtId="166" formatCode="0.0"/>
    <numFmt numFmtId="167" formatCode="_(* #,##0_);_(* \(#,##0\);_(* &quot;-&quot;??_);_(@_)"/>
    <numFmt numFmtId="168" formatCode="dd\/mm\/yyyy"/>
    <numFmt numFmtId="169" formatCode="_-* #,##0_-;\-* #,##0_-;_-* &quot;-&quot;??_-;_-@_-"/>
    <numFmt numFmtId="170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0"/>
      <name val="Arial"/>
      <family val="2"/>
    </font>
    <font>
      <sz val="11"/>
      <name val="Calibri"/>
      <family val="2"/>
    </font>
    <font>
      <sz val="12"/>
      <color rgb="FFFF0000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0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14" fontId="7" fillId="0" borderId="0" xfId="1" applyNumberFormat="1" applyFont="1"/>
    <xf numFmtId="1" fontId="7" fillId="0" borderId="0" xfId="1" applyNumberFormat="1" applyFont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21" fillId="0" borderId="0" xfId="0" applyFont="1" applyAlignment="1">
      <alignment horizontal="left" vertical="center" wrapText="1"/>
    </xf>
    <xf numFmtId="0" fontId="12" fillId="0" borderId="11" xfId="1" applyFont="1" applyBorder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0" xfId="1" applyFont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2" fillId="0" borderId="13" xfId="0" applyNumberFormat="1" applyFont="1" applyBorder="1"/>
    <xf numFmtId="1" fontId="22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Border="1" applyProtection="1">
      <protection hidden="1"/>
    </xf>
    <xf numFmtId="1" fontId="22" fillId="0" borderId="15" xfId="0" applyNumberFormat="1" applyFont="1" applyBorder="1"/>
    <xf numFmtId="0" fontId="12" fillId="2" borderId="1" xfId="1" applyFont="1" applyFill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169" fontId="7" fillId="3" borderId="0" xfId="9" applyNumberFormat="1" applyFont="1" applyFill="1" applyAlignment="1">
      <alignment horizontal="center" vertical="center"/>
    </xf>
    <xf numFmtId="169" fontId="23" fillId="3" borderId="0" xfId="9" applyNumberFormat="1" applyFont="1" applyFill="1" applyAlignment="1">
      <alignment horizontal="center" vertical="center"/>
    </xf>
    <xf numFmtId="169" fontId="23" fillId="3" borderId="0" xfId="1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3" borderId="0" xfId="1" applyFont="1" applyFill="1"/>
    <xf numFmtId="1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5" xfId="1" applyFont="1" applyFill="1" applyBorder="1" applyAlignment="1" applyProtection="1">
      <alignment horizontal="left" vertical="top"/>
      <protection locked="0"/>
    </xf>
    <xf numFmtId="0" fontId="8" fillId="0" borderId="25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13" fillId="0" borderId="30" xfId="1" applyFont="1" applyBorder="1" applyAlignment="1" applyProtection="1">
      <alignment horizontal="center" vertical="top"/>
      <protection locked="0"/>
    </xf>
    <xf numFmtId="0" fontId="13" fillId="0" borderId="3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9" xfId="1" applyFont="1" applyBorder="1" applyAlignment="1" applyProtection="1">
      <alignment horizontal="left"/>
      <protection locked="0"/>
    </xf>
    <xf numFmtId="0" fontId="12" fillId="0" borderId="24" xfId="1" applyFont="1" applyBorder="1" applyAlignment="1" applyProtection="1">
      <alignment horizontal="left"/>
      <protection locked="0"/>
    </xf>
    <xf numFmtId="0" fontId="12" fillId="0" borderId="10" xfId="1" applyFont="1" applyBorder="1" applyAlignment="1" applyProtection="1">
      <alignment horizontal="left"/>
      <protection locked="0"/>
    </xf>
    <xf numFmtId="0" fontId="24" fillId="0" borderId="9" xfId="10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8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6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8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70" fontId="12" fillId="0" borderId="1" xfId="9" applyNumberFormat="1" applyFont="1" applyFill="1" applyBorder="1" applyAlignment="1" applyProtection="1">
      <alignment horizontal="left" vertical="top"/>
      <protection locked="0"/>
    </xf>
    <xf numFmtId="170" fontId="12" fillId="0" borderId="5" xfId="9" applyNumberFormat="1" applyFont="1" applyFill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170" fontId="12" fillId="0" borderId="7" xfId="9" applyNumberFormat="1" applyFont="1" applyFill="1" applyBorder="1" applyAlignment="1" applyProtection="1">
      <alignment horizontal="left" vertical="top"/>
      <protection locked="0"/>
    </xf>
    <xf numFmtId="170" fontId="12" fillId="0" borderId="8" xfId="9" applyNumberFormat="1" applyFont="1" applyFill="1" applyBorder="1" applyAlignment="1" applyProtection="1">
      <alignment horizontal="left" vertical="top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9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68" fontId="13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4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  <xf numFmtId="1" fontId="13" fillId="4" borderId="9" xfId="0" applyNumberFormat="1" applyFont="1" applyFill="1" applyBorder="1" applyAlignment="1" applyProtection="1">
      <alignment vertical="top" wrapText="1"/>
      <protection locked="0"/>
    </xf>
    <xf numFmtId="1" fontId="13" fillId="4" borderId="24" xfId="0" applyNumberFormat="1" applyFont="1" applyFill="1" applyBorder="1" applyAlignment="1" applyProtection="1">
      <alignment vertical="top" wrapText="1"/>
      <protection locked="0"/>
    </xf>
    <xf numFmtId="1" fontId="13" fillId="4" borderId="10" xfId="0" applyNumberFormat="1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424809</xdr:colOff>
      <xdr:row>245</xdr:row>
      <xdr:rowOff>125475</xdr:rowOff>
    </xdr:from>
    <xdr:to>
      <xdr:col>7</xdr:col>
      <xdr:colOff>213400</xdr:colOff>
      <xdr:row>264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4809" y="49135930"/>
          <a:ext cx="5520909" cy="40135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372856</xdr:colOff>
      <xdr:row>226</xdr:row>
      <xdr:rowOff>173181</xdr:rowOff>
    </xdr:from>
    <xdr:to>
      <xdr:col>7</xdr:col>
      <xdr:colOff>248114</xdr:colOff>
      <xdr:row>244</xdr:row>
      <xdr:rowOff>173182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2856" y="45235090"/>
          <a:ext cx="5607576" cy="37407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184</xdr:row>
      <xdr:rowOff>33131</xdr:rowOff>
    </xdr:from>
    <xdr:to>
      <xdr:col>9</xdr:col>
      <xdr:colOff>405849</xdr:colOff>
      <xdr:row>185</xdr:row>
      <xdr:rowOff>107674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115300" y="35015281"/>
          <a:ext cx="405849" cy="271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14A</a:t>
          </a:r>
        </a:p>
      </xdr:txBody>
    </xdr:sp>
    <xdr:clientData/>
  </xdr:twoCellAnchor>
  <xdr:twoCellAnchor>
    <xdr:from>
      <xdr:col>9</xdr:col>
      <xdr:colOff>588065</xdr:colOff>
      <xdr:row>184</xdr:row>
      <xdr:rowOff>0</xdr:rowOff>
    </xdr:from>
    <xdr:to>
      <xdr:col>10</xdr:col>
      <xdr:colOff>240196</xdr:colOff>
      <xdr:row>185</xdr:row>
      <xdr:rowOff>74543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703365" y="34982150"/>
          <a:ext cx="452231" cy="271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14B</a:t>
          </a:r>
        </a:p>
      </xdr:txBody>
    </xdr:sp>
    <xdr:clientData/>
  </xdr:twoCellAnchor>
  <xdr:twoCellAnchor editAs="oneCell">
    <xdr:from>
      <xdr:col>10</xdr:col>
      <xdr:colOff>209550</xdr:colOff>
      <xdr:row>62</xdr:row>
      <xdr:rowOff>0</xdr:rowOff>
    </xdr:from>
    <xdr:to>
      <xdr:col>17</xdr:col>
      <xdr:colOff>25396</xdr:colOff>
      <xdr:row>103</xdr:row>
      <xdr:rowOff>55245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05850" y="15287625"/>
          <a:ext cx="2749546" cy="36480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520780</xdr:colOff>
      <xdr:row>62</xdr:row>
      <xdr:rowOff>0</xdr:rowOff>
    </xdr:from>
    <xdr:to>
      <xdr:col>19</xdr:col>
      <xdr:colOff>552783</xdr:colOff>
      <xdr:row>103</xdr:row>
      <xdr:rowOff>55245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0605" y="15287625"/>
          <a:ext cx="2651378" cy="36480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253366</xdr:colOff>
      <xdr:row>182</xdr:row>
      <xdr:rowOff>173355</xdr:rowOff>
    </xdr:from>
    <xdr:to>
      <xdr:col>19</xdr:col>
      <xdr:colOff>388621</xdr:colOff>
      <xdr:row>212</xdr:row>
      <xdr:rowOff>78105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3B3E82E8-723A-416F-BBE9-5E9180DB1A41}"/>
            </a:ext>
          </a:extLst>
        </xdr:cNvPr>
        <xdr:cNvGrpSpPr/>
      </xdr:nvGrpSpPr>
      <xdr:grpSpPr>
        <a:xfrm>
          <a:off x="7004686" y="35187255"/>
          <a:ext cx="6383655" cy="5840730"/>
          <a:chOff x="430306" y="548151"/>
          <a:chExt cx="5588620" cy="4749159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15DE4066-3995-4BD6-BB52-E512F210BA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0306" y="548151"/>
            <a:ext cx="26975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9C821B84-4513-408D-B81C-48EE0736C8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1426" y="548151"/>
            <a:ext cx="26975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DC55BB2A-9A0B-4C87-9F15-EDC43708FA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888" y="3492352"/>
            <a:ext cx="238893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133557C0-E296-4A26-829C-C12B6DBB6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2438" y="3497310"/>
            <a:ext cx="179833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716280</xdr:colOff>
      <xdr:row>184</xdr:row>
      <xdr:rowOff>0</xdr:rowOff>
    </xdr:from>
    <xdr:to>
      <xdr:col>7</xdr:col>
      <xdr:colOff>17302</xdr:colOff>
      <xdr:row>220</xdr:row>
      <xdr:rowOff>10057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4F78E43-1225-A6CA-A2A9-954C7ECF20D6}"/>
            </a:ext>
          </a:extLst>
        </xdr:cNvPr>
        <xdr:cNvGrpSpPr/>
      </xdr:nvGrpSpPr>
      <xdr:grpSpPr>
        <a:xfrm>
          <a:off x="716280" y="35410140"/>
          <a:ext cx="5198902" cy="7134757"/>
          <a:chOff x="747765" y="194622"/>
          <a:chExt cx="5198902" cy="7134757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40C1DB4-4FD1-ECC0-B521-0F808FE432FD}"/>
              </a:ext>
            </a:extLst>
          </xdr:cNvPr>
          <xdr:cNvGrpSpPr/>
        </xdr:nvGrpSpPr>
        <xdr:grpSpPr>
          <a:xfrm>
            <a:off x="1171800" y="5529379"/>
            <a:ext cx="4350832" cy="1800000"/>
            <a:chOff x="876502" y="5529379"/>
            <a:chExt cx="4350832" cy="1800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26A29D1F-1A3A-5A69-354E-470C84C142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76502" y="5529379"/>
              <a:ext cx="238893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58CDC374-6EDC-A305-7243-BD7EC30E6E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5529379"/>
              <a:ext cx="179833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98885BCD-F4EB-E931-DD0A-310F96B55571}"/>
              </a:ext>
            </a:extLst>
          </xdr:cNvPr>
          <xdr:cNvGrpSpPr/>
        </xdr:nvGrpSpPr>
        <xdr:grpSpPr>
          <a:xfrm>
            <a:off x="747765" y="194622"/>
            <a:ext cx="5198902" cy="5187378"/>
            <a:chOff x="747765" y="194622"/>
            <a:chExt cx="5198902" cy="5187378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71C2CB2C-8025-DF12-B535-3C3585CBF32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2862000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01B7078-12EF-A178-DC3A-CE30FA6C12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47765" y="2862000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20CAABB8-4C5E-4E85-5E79-3C426F682B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47766" y="194622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1885554A-5087-4F39-6431-49BDD563FBF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194622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417979</xdr:colOff>
      <xdr:row>29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675283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596340</xdr:colOff>
      <xdr:row>14</xdr:row>
      <xdr:rowOff>0</xdr:rowOff>
    </xdr:from>
    <xdr:to>
      <xdr:col>10</xdr:col>
      <xdr:colOff>434535</xdr:colOff>
      <xdr:row>29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80644" y="2675283"/>
          <a:ext cx="5122500" cy="28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11</xdr:col>
      <xdr:colOff>380114</xdr:colOff>
      <xdr:row>12</xdr:row>
      <xdr:rowOff>133069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7085714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7</xdr:col>
      <xdr:colOff>323276</xdr:colOff>
      <xdr:row>21</xdr:row>
      <xdr:rowOff>104571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76500"/>
          <a:ext cx="4590476" cy="16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0</xdr:row>
      <xdr:rowOff>161925</xdr:rowOff>
    </xdr:from>
    <xdr:to>
      <xdr:col>19</xdr:col>
      <xdr:colOff>256574</xdr:colOff>
      <xdr:row>12</xdr:row>
      <xdr:rowOff>47354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29450" y="161925"/>
          <a:ext cx="4809524" cy="2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vG5aB2TSZx7GvtQA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26"/>
  <sheetViews>
    <sheetView tabSelected="1" showWhiteSpace="0" view="pageBreakPreview" zoomScaleNormal="100" zoomScaleSheetLayoutView="100" zoomScalePageLayoutView="85" workbookViewId="0">
      <selection activeCell="M4" sqref="M4"/>
    </sheetView>
  </sheetViews>
  <sheetFormatPr defaultColWidth="9.109375" defaultRowHeight="15.6" x14ac:dyDescent="0.3"/>
  <cols>
    <col min="1" max="1" width="11.44140625" style="15" customWidth="1"/>
    <col min="2" max="2" width="12" style="15" customWidth="1"/>
    <col min="3" max="3" width="12.6640625" style="15" customWidth="1"/>
    <col min="4" max="4" width="14.109375" style="15" customWidth="1"/>
    <col min="5" max="5" width="12.44140625" style="15" customWidth="1"/>
    <col min="6" max="7" width="11.6640625" style="15" customWidth="1"/>
    <col min="8" max="8" width="12.44140625" style="15" customWidth="1"/>
    <col min="9" max="9" width="17.44140625" style="8" customWidth="1"/>
    <col min="10" max="10" width="11.44140625" style="8" customWidth="1"/>
    <col min="11" max="11" width="12.44140625" style="8" bestFit="1" customWidth="1"/>
    <col min="12" max="12" width="10.5546875" style="8" customWidth="1"/>
    <col min="13" max="13" width="11.88671875" style="8" customWidth="1"/>
    <col min="14" max="14" width="12.5546875" style="8" hidden="1" customWidth="1"/>
    <col min="15" max="15" width="9.88671875" style="8" hidden="1" customWidth="1"/>
    <col min="16" max="16" width="10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8" ht="46.5" customHeight="1" x14ac:dyDescent="0.3">
      <c r="A1" s="127" t="s">
        <v>237</v>
      </c>
      <c r="B1" s="127"/>
      <c r="C1" s="127"/>
      <c r="D1" s="127"/>
      <c r="E1" s="127"/>
      <c r="F1" s="127"/>
      <c r="G1" s="127"/>
      <c r="H1" s="127"/>
    </row>
    <row r="2" spans="1:8" s="10" customFormat="1" ht="16.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</row>
    <row r="3" spans="1:8" s="10" customFormat="1" x14ac:dyDescent="0.3">
      <c r="A3" s="110" t="s">
        <v>1</v>
      </c>
      <c r="B3" s="110"/>
      <c r="C3" s="110"/>
      <c r="D3" s="110"/>
      <c r="E3" s="126" t="str">
        <f ca="1">TEXT(TODAY(),"DD/MM/YYYY")</f>
        <v>19/09/2025</v>
      </c>
      <c r="F3" s="126"/>
      <c r="G3" s="126"/>
      <c r="H3" s="126"/>
    </row>
    <row r="4" spans="1:8" s="10" customFormat="1" ht="15" customHeight="1" x14ac:dyDescent="0.3">
      <c r="A4" s="110" t="s">
        <v>2</v>
      </c>
      <c r="B4" s="110"/>
      <c r="C4" s="110"/>
      <c r="D4" s="110"/>
      <c r="E4" s="121" t="s">
        <v>184</v>
      </c>
      <c r="F4" s="121"/>
      <c r="G4" s="121"/>
      <c r="H4" s="121"/>
    </row>
    <row r="5" spans="1:8" s="10" customFormat="1" x14ac:dyDescent="0.3">
      <c r="A5" s="110" t="s">
        <v>3</v>
      </c>
      <c r="B5" s="110"/>
      <c r="C5" s="110"/>
      <c r="D5" s="110"/>
      <c r="E5" s="126">
        <v>45910</v>
      </c>
      <c r="F5" s="126"/>
      <c r="G5" s="126"/>
      <c r="H5" s="126"/>
    </row>
    <row r="6" spans="1:8" s="10" customFormat="1" ht="16.5" customHeight="1" x14ac:dyDescent="0.3">
      <c r="A6" s="110" t="s">
        <v>4</v>
      </c>
      <c r="B6" s="110"/>
      <c r="C6" s="110"/>
      <c r="D6" s="110"/>
      <c r="E6" s="120" t="s">
        <v>187</v>
      </c>
      <c r="F6" s="120"/>
      <c r="G6" s="120"/>
      <c r="H6" s="120"/>
    </row>
    <row r="7" spans="1:8" s="10" customFormat="1" ht="15" customHeight="1" x14ac:dyDescent="0.3">
      <c r="A7" s="110" t="s">
        <v>5</v>
      </c>
      <c r="B7" s="110"/>
      <c r="C7" s="110"/>
      <c r="D7" s="110"/>
      <c r="E7" s="120" t="str">
        <f>E6</f>
        <v>M/s. Larsen &amp; Turbro Ltd. (Realty Division)</v>
      </c>
      <c r="F7" s="120"/>
      <c r="G7" s="120"/>
      <c r="H7" s="120"/>
    </row>
    <row r="8" spans="1:8" s="10" customFormat="1" x14ac:dyDescent="0.3">
      <c r="A8" s="110" t="s">
        <v>6</v>
      </c>
      <c r="B8" s="110"/>
      <c r="C8" s="110"/>
      <c r="D8" s="110"/>
      <c r="E8" s="86" t="s">
        <v>210</v>
      </c>
      <c r="F8" s="86"/>
      <c r="G8" s="86"/>
      <c r="H8" s="86"/>
    </row>
    <row r="9" spans="1:8" s="10" customFormat="1" x14ac:dyDescent="0.3">
      <c r="A9" s="110" t="s">
        <v>156</v>
      </c>
      <c r="B9" s="110"/>
      <c r="C9" s="110"/>
      <c r="D9" s="110"/>
      <c r="E9" s="110">
        <v>9867798744</v>
      </c>
      <c r="F9" s="110"/>
      <c r="G9" s="110"/>
      <c r="H9" s="110"/>
    </row>
    <row r="10" spans="1:8" s="10" customFormat="1" hidden="1" x14ac:dyDescent="0.3">
      <c r="A10" s="120" t="s">
        <v>239</v>
      </c>
      <c r="B10" s="110"/>
      <c r="C10" s="110"/>
      <c r="D10" s="110"/>
      <c r="E10" s="110" t="s">
        <v>238</v>
      </c>
      <c r="F10" s="110"/>
      <c r="G10" s="110"/>
      <c r="H10" s="110"/>
    </row>
    <row r="11" spans="1:8" s="10" customFormat="1" x14ac:dyDescent="0.3">
      <c r="A11" s="110" t="s">
        <v>7</v>
      </c>
      <c r="B11" s="110"/>
      <c r="C11" s="110"/>
      <c r="D11" s="110"/>
      <c r="E11" s="125" t="s">
        <v>249</v>
      </c>
      <c r="F11" s="125"/>
      <c r="G11" s="125"/>
      <c r="H11" s="125"/>
    </row>
    <row r="12" spans="1:8" s="10" customFormat="1" x14ac:dyDescent="0.3">
      <c r="A12" s="110" t="s">
        <v>8</v>
      </c>
      <c r="B12" s="110"/>
      <c r="C12" s="110"/>
      <c r="D12" s="110"/>
      <c r="E12" s="120" t="s">
        <v>200</v>
      </c>
      <c r="F12" s="110"/>
      <c r="G12" s="110"/>
      <c r="H12" s="110"/>
    </row>
    <row r="13" spans="1:8" s="10" customFormat="1" x14ac:dyDescent="0.3">
      <c r="A13" s="110" t="s">
        <v>9</v>
      </c>
      <c r="B13" s="110"/>
      <c r="C13" s="110"/>
      <c r="D13" s="110"/>
      <c r="E13" s="120" t="s">
        <v>203</v>
      </c>
      <c r="F13" s="110"/>
      <c r="G13" s="110"/>
      <c r="H13" s="110"/>
    </row>
    <row r="14" spans="1:8" s="10" customFormat="1" ht="48.75" customHeight="1" x14ac:dyDescent="0.3">
      <c r="A14" s="120" t="s">
        <v>10</v>
      </c>
      <c r="B14" s="120"/>
      <c r="C14" s="120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Veridian at Emerald Isle 14A &amp; 14B, Survey No.117A, 117A/1, 117­B Part and 117­C, near L&amp;T Emerald Isle Tower 8, Saki Vihar Road, Tungwa, Vikhroli East, Kurla, Mumbai.</v>
      </c>
      <c r="D14" s="120"/>
      <c r="E14" s="120"/>
      <c r="F14" s="120"/>
      <c r="G14" s="120"/>
      <c r="H14" s="120"/>
    </row>
    <row r="15" spans="1:8" s="10" customFormat="1" x14ac:dyDescent="0.3">
      <c r="A15" s="120" t="s">
        <v>199</v>
      </c>
      <c r="B15" s="120"/>
      <c r="C15" s="120" t="s">
        <v>189</v>
      </c>
      <c r="D15" s="120"/>
      <c r="E15" s="120"/>
      <c r="F15" s="120"/>
      <c r="G15" s="120"/>
      <c r="H15" s="120"/>
    </row>
    <row r="16" spans="1:8" s="10" customFormat="1" ht="15.75" customHeight="1" x14ac:dyDescent="0.3">
      <c r="A16" s="120" t="s">
        <v>11</v>
      </c>
      <c r="B16" s="120"/>
      <c r="C16" s="110" t="s">
        <v>196</v>
      </c>
      <c r="D16" s="110"/>
      <c r="E16" s="120" t="s">
        <v>101</v>
      </c>
      <c r="F16" s="120"/>
      <c r="G16" s="120" t="s">
        <v>185</v>
      </c>
      <c r="H16" s="120"/>
    </row>
    <row r="17" spans="1:8" s="10" customFormat="1" x14ac:dyDescent="0.3">
      <c r="A17" s="110" t="s">
        <v>13</v>
      </c>
      <c r="B17" s="110"/>
      <c r="C17" s="120" t="s">
        <v>197</v>
      </c>
      <c r="D17" s="120"/>
      <c r="E17" s="120" t="s">
        <v>12</v>
      </c>
      <c r="F17" s="120"/>
      <c r="G17" s="122" t="s">
        <v>186</v>
      </c>
      <c r="H17" s="122"/>
    </row>
    <row r="18" spans="1:8" s="10" customFormat="1" x14ac:dyDescent="0.3">
      <c r="A18" s="110" t="s">
        <v>102</v>
      </c>
      <c r="B18" s="110"/>
      <c r="C18" s="120" t="s">
        <v>188</v>
      </c>
      <c r="D18" s="120"/>
      <c r="E18" s="120" t="s">
        <v>14</v>
      </c>
      <c r="F18" s="120"/>
      <c r="G18" s="120">
        <v>400072</v>
      </c>
      <c r="H18" s="120"/>
    </row>
    <row r="19" spans="1:8" s="10" customFormat="1" ht="32.25" customHeight="1" x14ac:dyDescent="0.3">
      <c r="A19" s="110" t="s">
        <v>158</v>
      </c>
      <c r="B19" s="110"/>
      <c r="C19" s="123" t="s">
        <v>213</v>
      </c>
      <c r="D19" s="123"/>
      <c r="E19" s="120" t="s">
        <v>15</v>
      </c>
      <c r="F19" s="120"/>
      <c r="G19" s="124" t="s">
        <v>212</v>
      </c>
      <c r="H19" s="124"/>
    </row>
    <row r="20" spans="1:8" s="10" customFormat="1" ht="15" customHeight="1" x14ac:dyDescent="0.3">
      <c r="A20" s="120" t="s">
        <v>106</v>
      </c>
      <c r="B20" s="120"/>
      <c r="C20" s="120"/>
      <c r="D20" s="120"/>
      <c r="E20" s="110" t="s">
        <v>16</v>
      </c>
      <c r="F20" s="110"/>
      <c r="G20" s="110"/>
      <c r="H20" s="110"/>
    </row>
    <row r="21" spans="1:8" s="10" customFormat="1" ht="18.75" customHeight="1" x14ac:dyDescent="0.3">
      <c r="A21" s="120"/>
      <c r="B21" s="120"/>
      <c r="C21" s="120"/>
      <c r="D21" s="120"/>
      <c r="E21" s="110"/>
      <c r="F21" s="110"/>
      <c r="G21" s="110"/>
      <c r="H21" s="110"/>
    </row>
    <row r="22" spans="1:8" s="10" customFormat="1" ht="15" customHeight="1" x14ac:dyDescent="0.3">
      <c r="A22" s="120" t="s">
        <v>17</v>
      </c>
      <c r="B22" s="120"/>
      <c r="C22" s="120"/>
      <c r="D22" s="120"/>
      <c r="E22" s="120" t="s">
        <v>18</v>
      </c>
      <c r="F22" s="120"/>
      <c r="G22" s="120"/>
      <c r="H22" s="120"/>
    </row>
    <row r="23" spans="1:8" s="10" customFormat="1" ht="15" customHeight="1" x14ac:dyDescent="0.3">
      <c r="A23" s="110" t="s">
        <v>19</v>
      </c>
      <c r="B23" s="110"/>
      <c r="C23" s="110"/>
      <c r="D23" s="110"/>
      <c r="E23" s="120" t="str">
        <f>IF(AND(G17="Mumbai"),"Upper Class","Middle Class")</f>
        <v>Upper Class</v>
      </c>
      <c r="F23" s="120"/>
      <c r="G23" s="120"/>
      <c r="H23" s="120"/>
    </row>
    <row r="24" spans="1:8" s="10" customFormat="1" x14ac:dyDescent="0.3">
      <c r="A24" s="110" t="s">
        <v>20</v>
      </c>
      <c r="B24" s="110"/>
      <c r="C24" s="110"/>
      <c r="D24" s="110"/>
      <c r="E24" s="120" t="s">
        <v>21</v>
      </c>
      <c r="F24" s="120"/>
      <c r="G24" s="120"/>
      <c r="H24" s="120"/>
    </row>
    <row r="25" spans="1:8" s="10" customFormat="1" ht="15.75" customHeight="1" x14ac:dyDescent="0.3">
      <c r="A25" s="110" t="s">
        <v>22</v>
      </c>
      <c r="B25" s="110"/>
      <c r="C25" s="110"/>
      <c r="D25" s="110"/>
      <c r="E25" s="120" t="str">
        <f>IF(AND(G17="Mumbai"),"Developed","Developing")</f>
        <v>Developed</v>
      </c>
      <c r="F25" s="120"/>
      <c r="G25" s="120"/>
      <c r="H25" s="120"/>
    </row>
    <row r="26" spans="1:8" s="10" customFormat="1" x14ac:dyDescent="0.3">
      <c r="A26" s="110" t="s">
        <v>23</v>
      </c>
      <c r="B26" s="110"/>
      <c r="C26" s="110"/>
      <c r="D26" s="110"/>
      <c r="E26" s="120" t="s">
        <v>24</v>
      </c>
      <c r="F26" s="120"/>
      <c r="G26" s="120"/>
      <c r="H26" s="120"/>
    </row>
    <row r="27" spans="1:8" s="10" customFormat="1" x14ac:dyDescent="0.3">
      <c r="A27" s="110" t="s">
        <v>113</v>
      </c>
      <c r="B27" s="110"/>
      <c r="C27" s="110"/>
      <c r="D27" s="110"/>
      <c r="E27" s="120" t="s">
        <v>114</v>
      </c>
      <c r="F27" s="120"/>
      <c r="G27" s="120"/>
      <c r="H27" s="120"/>
    </row>
    <row r="28" spans="1:8" s="10" customFormat="1" ht="15" customHeight="1" x14ac:dyDescent="0.3">
      <c r="A28" s="120" t="s">
        <v>33</v>
      </c>
      <c r="B28" s="120"/>
      <c r="C28" s="120"/>
      <c r="D28" s="120"/>
      <c r="E28" s="121" t="s">
        <v>201</v>
      </c>
      <c r="F28" s="121"/>
      <c r="G28" s="121"/>
      <c r="H28" s="121"/>
    </row>
    <row r="29" spans="1:8" s="10" customFormat="1" x14ac:dyDescent="0.3">
      <c r="A29" s="120" t="s">
        <v>125</v>
      </c>
      <c r="B29" s="120"/>
      <c r="C29" s="120"/>
      <c r="D29" s="120"/>
      <c r="E29" s="120" t="s">
        <v>34</v>
      </c>
      <c r="F29" s="120"/>
      <c r="G29" s="120"/>
      <c r="H29" s="120"/>
    </row>
    <row r="30" spans="1:8" s="10" customFormat="1" x14ac:dyDescent="0.3">
      <c r="A30" s="115" t="s">
        <v>126</v>
      </c>
      <c r="B30" s="115"/>
      <c r="C30" s="113" t="s">
        <v>29</v>
      </c>
      <c r="D30" s="113"/>
      <c r="E30" s="113"/>
      <c r="F30" s="113" t="s">
        <v>31</v>
      </c>
      <c r="G30" s="113"/>
      <c r="H30" s="113"/>
    </row>
    <row r="31" spans="1:8" s="10" customFormat="1" x14ac:dyDescent="0.3">
      <c r="A31" s="114" t="s">
        <v>25</v>
      </c>
      <c r="B31" s="114" t="s">
        <v>30</v>
      </c>
      <c r="C31" s="112" t="s">
        <v>30</v>
      </c>
      <c r="D31" s="112"/>
      <c r="E31" s="112"/>
      <c r="F31" s="112" t="s">
        <v>192</v>
      </c>
      <c r="G31" s="112"/>
      <c r="H31" s="112"/>
    </row>
    <row r="32" spans="1:8" s="10" customFormat="1" x14ac:dyDescent="0.3">
      <c r="A32" s="114" t="s">
        <v>26</v>
      </c>
      <c r="B32" s="114" t="s">
        <v>30</v>
      </c>
      <c r="C32" s="112" t="s">
        <v>30</v>
      </c>
      <c r="D32" s="112"/>
      <c r="E32" s="112"/>
      <c r="F32" s="112" t="s">
        <v>191</v>
      </c>
      <c r="G32" s="112"/>
      <c r="H32" s="112"/>
    </row>
    <row r="33" spans="1:10" s="10" customFormat="1" x14ac:dyDescent="0.3">
      <c r="A33" s="114" t="s">
        <v>28</v>
      </c>
      <c r="B33" s="114" t="s">
        <v>30</v>
      </c>
      <c r="C33" s="112" t="s">
        <v>30</v>
      </c>
      <c r="D33" s="112"/>
      <c r="E33" s="112"/>
      <c r="F33" s="112" t="s">
        <v>190</v>
      </c>
      <c r="G33" s="112"/>
      <c r="H33" s="112"/>
    </row>
    <row r="34" spans="1:10" s="10" customFormat="1" x14ac:dyDescent="0.3">
      <c r="A34" s="114" t="s">
        <v>27</v>
      </c>
      <c r="B34" s="114" t="s">
        <v>30</v>
      </c>
      <c r="C34" s="112" t="s">
        <v>30</v>
      </c>
      <c r="D34" s="112"/>
      <c r="E34" s="112"/>
      <c r="F34" s="112" t="s">
        <v>193</v>
      </c>
      <c r="G34" s="112"/>
      <c r="H34" s="112"/>
    </row>
    <row r="35" spans="1:10" s="10" customFormat="1" x14ac:dyDescent="0.3">
      <c r="A35" s="110" t="s">
        <v>32</v>
      </c>
      <c r="B35" s="110"/>
      <c r="C35" s="110"/>
      <c r="D35" s="110"/>
      <c r="E35" s="110"/>
      <c r="F35" s="110"/>
      <c r="G35" s="110"/>
      <c r="H35" s="110"/>
    </row>
    <row r="36" spans="1:10" s="10" customFormat="1" ht="15.75" customHeight="1" x14ac:dyDescent="0.3">
      <c r="A36" s="113" t="s">
        <v>233</v>
      </c>
      <c r="B36" s="113"/>
      <c r="C36" s="116" t="s">
        <v>235</v>
      </c>
      <c r="D36" s="117"/>
      <c r="E36" s="117"/>
      <c r="F36" s="117"/>
      <c r="G36" s="117"/>
      <c r="H36" s="118"/>
      <c r="J36" s="42"/>
    </row>
    <row r="37" spans="1:10" s="10" customFormat="1" ht="15.75" customHeight="1" x14ac:dyDescent="0.3">
      <c r="A37" s="113" t="s">
        <v>234</v>
      </c>
      <c r="B37" s="113"/>
      <c r="C37" s="119" t="s">
        <v>236</v>
      </c>
      <c r="D37" s="117"/>
      <c r="E37" s="117"/>
      <c r="F37" s="117"/>
      <c r="G37" s="117"/>
      <c r="H37" s="118"/>
      <c r="J37" s="42"/>
    </row>
    <row r="38" spans="1:10" s="10" customFormat="1" x14ac:dyDescent="0.3">
      <c r="A38" s="86" t="s">
        <v>35</v>
      </c>
      <c r="B38" s="86"/>
      <c r="C38" s="86"/>
      <c r="D38" s="86"/>
      <c r="E38" s="86"/>
      <c r="F38" s="86"/>
      <c r="G38" s="86"/>
      <c r="H38" s="86"/>
    </row>
    <row r="39" spans="1:10" s="10" customFormat="1" x14ac:dyDescent="0.3">
      <c r="A39" s="110" t="s">
        <v>36</v>
      </c>
      <c r="B39" s="110"/>
      <c r="C39" s="110"/>
      <c r="D39" s="110"/>
      <c r="E39" s="111">
        <v>77004.990000000005</v>
      </c>
      <c r="F39" s="111"/>
      <c r="G39" s="111"/>
      <c r="H39" s="111"/>
    </row>
    <row r="40" spans="1:10" s="10" customFormat="1" x14ac:dyDescent="0.3">
      <c r="A40" s="110" t="s">
        <v>37</v>
      </c>
      <c r="B40" s="110"/>
      <c r="C40" s="110"/>
      <c r="D40" s="110"/>
      <c r="E40" s="130">
        <v>1.5</v>
      </c>
      <c r="F40" s="130"/>
      <c r="G40" s="130"/>
      <c r="H40" s="130"/>
    </row>
    <row r="41" spans="1:10" s="10" customFormat="1" x14ac:dyDescent="0.3">
      <c r="A41" s="110" t="s">
        <v>38</v>
      </c>
      <c r="B41" s="110"/>
      <c r="C41" s="110"/>
      <c r="D41" s="110"/>
      <c r="E41" s="130">
        <f>E43/E39-E40</f>
        <v>0.50384897134588291</v>
      </c>
      <c r="F41" s="130"/>
      <c r="G41" s="130"/>
      <c r="H41" s="130"/>
    </row>
    <row r="42" spans="1:10" s="10" customFormat="1" x14ac:dyDescent="0.3">
      <c r="A42" s="110" t="s">
        <v>39</v>
      </c>
      <c r="B42" s="110"/>
      <c r="C42" s="110"/>
      <c r="D42" s="110"/>
      <c r="E42" s="130">
        <f>E40+E41</f>
        <v>2.0038489713458829</v>
      </c>
      <c r="F42" s="130"/>
      <c r="G42" s="130"/>
      <c r="H42" s="130"/>
    </row>
    <row r="43" spans="1:10" s="10" customFormat="1" x14ac:dyDescent="0.3">
      <c r="A43" s="110" t="s">
        <v>124</v>
      </c>
      <c r="B43" s="110"/>
      <c r="C43" s="110"/>
      <c r="D43" s="110"/>
      <c r="E43" s="131">
        <v>154306.37</v>
      </c>
      <c r="F43" s="131"/>
      <c r="G43" s="131"/>
      <c r="H43" s="131"/>
    </row>
    <row r="44" spans="1:10" s="10" customFormat="1" x14ac:dyDescent="0.3">
      <c r="A44" s="110" t="s">
        <v>40</v>
      </c>
      <c r="B44" s="110"/>
      <c r="C44" s="110"/>
      <c r="D44" s="110"/>
      <c r="E44" s="110" t="s">
        <v>202</v>
      </c>
      <c r="F44" s="110"/>
      <c r="G44" s="110"/>
      <c r="H44" s="110"/>
    </row>
    <row r="45" spans="1:10" x14ac:dyDescent="0.3">
      <c r="A45" s="132" t="s">
        <v>41</v>
      </c>
      <c r="B45" s="132"/>
      <c r="C45" s="132"/>
      <c r="D45" s="132"/>
      <c r="E45" s="132"/>
      <c r="F45" s="132"/>
      <c r="G45" s="132"/>
      <c r="H45" s="132"/>
    </row>
    <row r="46" spans="1:10" x14ac:dyDescent="0.3">
      <c r="A46" s="145" t="s">
        <v>42</v>
      </c>
      <c r="B46" s="145"/>
      <c r="C46" s="123" t="s">
        <v>195</v>
      </c>
      <c r="D46" s="123"/>
      <c r="E46" s="123"/>
      <c r="F46" s="60" t="s">
        <v>43</v>
      </c>
      <c r="G46" s="138">
        <v>44529</v>
      </c>
      <c r="H46" s="138"/>
    </row>
    <row r="47" spans="1:10" x14ac:dyDescent="0.3">
      <c r="A47" s="84" t="s">
        <v>44</v>
      </c>
      <c r="B47" s="84"/>
      <c r="C47" s="123" t="str">
        <f>C46</f>
        <v>CHE/ES/1010//L/337 (NEW)</v>
      </c>
      <c r="D47" s="123"/>
      <c r="E47" s="123"/>
      <c r="F47" s="60" t="s">
        <v>43</v>
      </c>
      <c r="G47" s="138">
        <f>G46</f>
        <v>44529</v>
      </c>
      <c r="H47" s="138"/>
    </row>
    <row r="48" spans="1:10" s="10" customFormat="1" x14ac:dyDescent="0.3">
      <c r="A48" s="120" t="s">
        <v>45</v>
      </c>
      <c r="B48" s="120"/>
      <c r="C48" s="92" t="s">
        <v>244</v>
      </c>
      <c r="D48" s="92"/>
      <c r="E48" s="92"/>
      <c r="F48" s="12" t="s">
        <v>43</v>
      </c>
      <c r="G48" s="138">
        <v>45443</v>
      </c>
      <c r="H48" s="138"/>
      <c r="I48" s="10" t="s">
        <v>194</v>
      </c>
    </row>
    <row r="49" spans="1:14" s="10" customFormat="1" ht="111.9" customHeight="1" x14ac:dyDescent="0.3">
      <c r="A49" s="120"/>
      <c r="B49" s="120"/>
      <c r="C49" s="123" t="s">
        <v>250</v>
      </c>
      <c r="D49" s="92"/>
      <c r="E49" s="92"/>
      <c r="F49" s="34" t="s">
        <v>157</v>
      </c>
      <c r="G49" s="138">
        <v>45819</v>
      </c>
      <c r="H49" s="138"/>
    </row>
    <row r="50" spans="1:14" s="10" customFormat="1" ht="67.5" customHeight="1" x14ac:dyDescent="0.3">
      <c r="A50" s="87" t="s">
        <v>246</v>
      </c>
      <c r="B50" s="87"/>
      <c r="C50" s="177" t="s">
        <v>247</v>
      </c>
      <c r="D50" s="178"/>
      <c r="E50" s="178" t="s">
        <v>46</v>
      </c>
      <c r="F50" s="41" t="s">
        <v>43</v>
      </c>
      <c r="G50" s="179">
        <v>45559</v>
      </c>
      <c r="H50" s="179"/>
    </row>
    <row r="51" spans="1:14" x14ac:dyDescent="0.3">
      <c r="A51" s="162" t="s">
        <v>48</v>
      </c>
      <c r="B51" s="162"/>
      <c r="C51" s="162"/>
      <c r="D51" s="162"/>
      <c r="E51" s="162"/>
      <c r="F51" s="162"/>
      <c r="G51" s="162"/>
      <c r="H51" s="162"/>
    </row>
    <row r="52" spans="1:14" x14ac:dyDescent="0.3">
      <c r="A52" s="145" t="s">
        <v>123</v>
      </c>
      <c r="B52" s="145"/>
      <c r="C52" s="145"/>
      <c r="D52" s="84">
        <v>160344.78</v>
      </c>
      <c r="E52" s="84"/>
      <c r="F52" s="84"/>
      <c r="G52" s="84"/>
      <c r="H52" s="84"/>
    </row>
    <row r="53" spans="1:14" x14ac:dyDescent="0.3">
      <c r="A53" s="120" t="s">
        <v>49</v>
      </c>
      <c r="B53" s="110"/>
      <c r="C53" s="110"/>
      <c r="D53" s="120" t="s">
        <v>226</v>
      </c>
      <c r="E53" s="110"/>
      <c r="F53" s="110"/>
      <c r="G53" s="110"/>
      <c r="H53" s="110"/>
      <c r="I53" s="36"/>
    </row>
    <row r="54" spans="1:14" ht="31.5" customHeight="1" x14ac:dyDescent="0.3">
      <c r="A54" s="135" t="s">
        <v>50</v>
      </c>
      <c r="B54" s="136"/>
      <c r="C54" s="137"/>
      <c r="D54" s="133" t="s">
        <v>251</v>
      </c>
      <c r="E54" s="134"/>
      <c r="F54" s="134"/>
      <c r="G54" s="134"/>
      <c r="H54" s="134"/>
    </row>
    <row r="55" spans="1:14" ht="30.9" customHeight="1" x14ac:dyDescent="0.3">
      <c r="A55" s="135" t="s">
        <v>121</v>
      </c>
      <c r="B55" s="136"/>
      <c r="C55" s="136"/>
      <c r="D55" s="171" t="s">
        <v>252</v>
      </c>
      <c r="E55" s="172"/>
      <c r="F55" s="172"/>
      <c r="G55" s="172"/>
      <c r="H55" s="173"/>
    </row>
    <row r="56" spans="1:14" ht="15.75" hidden="1" customHeight="1" x14ac:dyDescent="0.3">
      <c r="A56" s="169"/>
      <c r="B56" s="170"/>
      <c r="C56" s="170"/>
      <c r="D56" s="174" t="s">
        <v>253</v>
      </c>
      <c r="E56" s="175"/>
      <c r="F56" s="175"/>
      <c r="G56" s="175"/>
      <c r="H56" s="176"/>
    </row>
    <row r="57" spans="1:14" ht="15.75" customHeight="1" x14ac:dyDescent="0.3">
      <c r="A57" s="84" t="s">
        <v>47</v>
      </c>
      <c r="B57" s="84"/>
      <c r="C57" s="84"/>
      <c r="D57" s="128" t="s">
        <v>260</v>
      </c>
      <c r="E57" s="128"/>
      <c r="F57" s="128"/>
      <c r="G57" s="128"/>
      <c r="H57" s="128"/>
      <c r="J57" s="35"/>
      <c r="K57" s="36"/>
      <c r="N57" s="36"/>
    </row>
    <row r="58" spans="1:14" ht="15.75" customHeight="1" x14ac:dyDescent="0.3">
      <c r="A58" s="84" t="s">
        <v>119</v>
      </c>
      <c r="B58" s="84"/>
      <c r="C58" s="84"/>
      <c r="D58" s="129" t="str">
        <f ca="1">(IF(G50="NA","60 Years After Completion",IF(G50&lt;&gt;"NA",""&amp;60-ROUNDDOWN((E3-G50)/360,0)&amp;" Years"," ")))</f>
        <v>59 Years</v>
      </c>
      <c r="E58" s="129"/>
      <c r="F58" s="129"/>
      <c r="G58" s="129"/>
      <c r="H58" s="129"/>
      <c r="N58" s="36"/>
    </row>
    <row r="59" spans="1:14" ht="15.75" customHeight="1" x14ac:dyDescent="0.3">
      <c r="A59" s="84" t="s">
        <v>120</v>
      </c>
      <c r="B59" s="84"/>
      <c r="C59" s="84"/>
      <c r="D59" s="145" t="s">
        <v>24</v>
      </c>
      <c r="E59" s="145"/>
      <c r="F59" s="145"/>
      <c r="G59" s="145"/>
      <c r="H59" s="145"/>
      <c r="J59" s="17"/>
      <c r="K59" s="17"/>
    </row>
    <row r="60" spans="1:14" ht="15.75" customHeight="1" thickBot="1" x14ac:dyDescent="0.35">
      <c r="A60" s="139" t="s">
        <v>118</v>
      </c>
      <c r="B60" s="139"/>
      <c r="C60" s="139"/>
      <c r="D60" s="133" t="str">
        <f ca="1">(IF(G65&gt;95%,"Nothing",IF(G65&gt;0%,"Cement, Aggregate, Steel, etc",IF(G65=0%,"Work not yet Started"))))</f>
        <v>Nothing</v>
      </c>
      <c r="E60" s="133"/>
      <c r="F60" s="133"/>
      <c r="G60" s="133"/>
      <c r="H60" s="133"/>
      <c r="J60" s="17"/>
    </row>
    <row r="61" spans="1:14" s="10" customFormat="1" ht="15.75" customHeight="1" x14ac:dyDescent="0.3">
      <c r="A61" s="140" t="s">
        <v>176</v>
      </c>
      <c r="B61" s="141"/>
      <c r="C61" s="142" t="str">
        <f>D55</f>
        <v>Building No. 02 (T14A &amp; T14B) = G + P1 + P2 + S + 1st to 18th Floor</v>
      </c>
      <c r="D61" s="143"/>
      <c r="E61" s="143"/>
      <c r="F61" s="143"/>
      <c r="G61" s="143"/>
      <c r="H61" s="144"/>
      <c r="I61" s="43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All work completed. Please provide OC.</v>
      </c>
      <c r="J61" s="44"/>
    </row>
    <row r="62" spans="1:14" s="10" customFormat="1" x14ac:dyDescent="0.3">
      <c r="A62" s="37" t="s">
        <v>178</v>
      </c>
      <c r="B62" s="40">
        <v>0</v>
      </c>
      <c r="C62" s="40" t="s">
        <v>100</v>
      </c>
      <c r="D62" s="40">
        <v>1</v>
      </c>
      <c r="E62" s="40" t="s">
        <v>99</v>
      </c>
      <c r="F62" s="40">
        <v>3</v>
      </c>
      <c r="G62" s="40" t="s">
        <v>112</v>
      </c>
      <c r="H62" s="38">
        <f ca="1">--TRIM(RIGHT(SUBSTITUTE(LEFT(C61,_xlfn.AGGREGATE(16,6,FIND({0,1,2,3,4,5,6,7,8,9},C61,ROW(INDIRECT("1:"&amp;LEN(C61)))),1))," ",REPT(" ",LEN(C61))),LEN(C61)))</f>
        <v>18</v>
      </c>
      <c r="I62" s="45"/>
      <c r="J62" s="46"/>
    </row>
    <row r="63" spans="1:14" s="10" customFormat="1" x14ac:dyDescent="0.3">
      <c r="A63" s="85" t="s">
        <v>122</v>
      </c>
      <c r="B63" s="86"/>
      <c r="C63" s="87" t="s">
        <v>259</v>
      </c>
      <c r="D63" s="87"/>
      <c r="E63" s="87"/>
      <c r="F63" s="87"/>
      <c r="G63" s="87"/>
      <c r="H63" s="88"/>
      <c r="I63" s="45" t="s">
        <v>139</v>
      </c>
      <c r="J63" s="46"/>
    </row>
    <row r="64" spans="1:14" s="10" customFormat="1" ht="15.75" customHeight="1" x14ac:dyDescent="0.3">
      <c r="A64" s="89" t="s">
        <v>51</v>
      </c>
      <c r="B64" s="90"/>
      <c r="C64" s="47" t="s">
        <v>175</v>
      </c>
      <c r="D64" s="47" t="s">
        <v>115</v>
      </c>
      <c r="E64" s="90" t="s">
        <v>117</v>
      </c>
      <c r="F64" s="90"/>
      <c r="G64" s="90" t="s">
        <v>116</v>
      </c>
      <c r="H64" s="91"/>
      <c r="I64" s="48" t="s">
        <v>177</v>
      </c>
      <c r="J64" s="49">
        <f ca="1">H62*25%</f>
        <v>4.5</v>
      </c>
    </row>
    <row r="65" spans="1:10" s="10" customFormat="1" x14ac:dyDescent="0.3">
      <c r="A65" s="89" t="s">
        <v>164</v>
      </c>
      <c r="B65" s="90"/>
      <c r="C65" s="50">
        <v>18</v>
      </c>
      <c r="D65" s="51">
        <f ca="1">((100/H62)*C65)/100</f>
        <v>1</v>
      </c>
      <c r="E65" s="101">
        <f ca="1">(((C66/H62*10)+(40/(D62+F62+H62)*C67)+(7.5/(H62)*C68)+(7.5/(H62)*C69)+(10/H62*C70)+(10/H62*C71)+(5/H62*C72)+(5/H62*C73)+(5/H62*C74))/100)</f>
        <v>1</v>
      </c>
      <c r="F65" s="101"/>
      <c r="G65" s="101">
        <f ca="1">((((C65/H62)*20)+((C66/H62)*25)+(30/(H62+F62+D62)*C67)+(5/H62*C68)+(5/H62*C69)+(5/H62*C70)+(5/H62*C71)+(0/H62*C72)+(0/H62*C73)+(5/H62*C74))/100)</f>
        <v>1</v>
      </c>
      <c r="H65" s="107"/>
      <c r="I65" s="48" t="s">
        <v>134</v>
      </c>
      <c r="J65" s="52">
        <f ca="1">H62*50%</f>
        <v>9</v>
      </c>
    </row>
    <row r="66" spans="1:10" s="10" customFormat="1" x14ac:dyDescent="0.3">
      <c r="A66" s="89" t="s">
        <v>52</v>
      </c>
      <c r="B66" s="90"/>
      <c r="C66" s="53">
        <v>18</v>
      </c>
      <c r="D66" s="51">
        <f ca="1">((100/H62)*C66)/100</f>
        <v>1</v>
      </c>
      <c r="E66" s="101"/>
      <c r="F66" s="101"/>
      <c r="G66" s="101"/>
      <c r="H66" s="107"/>
      <c r="I66" s="48" t="s">
        <v>135</v>
      </c>
      <c r="J66" s="52">
        <f ca="1">H62</f>
        <v>18</v>
      </c>
    </row>
    <row r="67" spans="1:10" s="10" customFormat="1" ht="15.75" customHeight="1" x14ac:dyDescent="0.3">
      <c r="A67" s="89" t="s">
        <v>165</v>
      </c>
      <c r="B67" s="90"/>
      <c r="C67" s="53">
        <v>22</v>
      </c>
      <c r="D67" s="51">
        <f ca="1">((100/(D62+F62+H62))*C67)/100</f>
        <v>1.0000000000000002</v>
      </c>
      <c r="E67" s="101"/>
      <c r="F67" s="101"/>
      <c r="G67" s="101"/>
      <c r="H67" s="107"/>
      <c r="I67" s="48" t="s">
        <v>136</v>
      </c>
      <c r="J67" s="54">
        <f ca="1">(IF(B62&gt;1,(H62/(B62+2)),H62/4))</f>
        <v>4.5</v>
      </c>
    </row>
    <row r="68" spans="1:10" s="10" customFormat="1" ht="15.75" customHeight="1" x14ac:dyDescent="0.3">
      <c r="A68" s="89" t="s">
        <v>172</v>
      </c>
      <c r="B68" s="90" t="s">
        <v>166</v>
      </c>
      <c r="C68" s="53">
        <v>18</v>
      </c>
      <c r="D68" s="51">
        <f ca="1">((100/H62)*C68)/100</f>
        <v>1</v>
      </c>
      <c r="E68" s="101"/>
      <c r="F68" s="101"/>
      <c r="G68" s="101"/>
      <c r="H68" s="107"/>
      <c r="I68" s="48" t="s">
        <v>137</v>
      </c>
      <c r="J68" s="54">
        <f ca="1">(IF(B62&gt;1,(H62/(B62+2)+J67),H62/4+J67))</f>
        <v>9</v>
      </c>
    </row>
    <row r="69" spans="1:10" s="10" customFormat="1" ht="15.75" customHeight="1" x14ac:dyDescent="0.3">
      <c r="A69" s="89" t="s">
        <v>173</v>
      </c>
      <c r="B69" s="90" t="s">
        <v>166</v>
      </c>
      <c r="C69" s="53">
        <v>18</v>
      </c>
      <c r="D69" s="51">
        <f ca="1">((100/H62)*C69)/100</f>
        <v>1</v>
      </c>
      <c r="E69" s="101"/>
      <c r="F69" s="101"/>
      <c r="G69" s="101"/>
      <c r="H69" s="107"/>
      <c r="I69" s="48" t="s">
        <v>182</v>
      </c>
      <c r="J69" s="54">
        <f>(IF(B62&gt;1,(H62/(B62+2)+J68),0))</f>
        <v>0</v>
      </c>
    </row>
    <row r="70" spans="1:10" s="10" customFormat="1" ht="15" customHeight="1" x14ac:dyDescent="0.3">
      <c r="A70" s="89" t="s">
        <v>171</v>
      </c>
      <c r="B70" s="90" t="s">
        <v>168</v>
      </c>
      <c r="C70" s="53">
        <v>18</v>
      </c>
      <c r="D70" s="51">
        <f ca="1">((100/(H62))*C70)/100</f>
        <v>1</v>
      </c>
      <c r="E70" s="101"/>
      <c r="F70" s="101"/>
      <c r="G70" s="101"/>
      <c r="H70" s="107"/>
      <c r="I70" s="48" t="s">
        <v>179</v>
      </c>
      <c r="J70" s="54">
        <f>(IF(B62&gt;2,(H62/(B62+2)+J69),0))</f>
        <v>0</v>
      </c>
    </row>
    <row r="71" spans="1:10" s="10" customFormat="1" ht="15.75" customHeight="1" x14ac:dyDescent="0.3">
      <c r="A71" s="89" t="s">
        <v>167</v>
      </c>
      <c r="B71" s="90" t="s">
        <v>167</v>
      </c>
      <c r="C71" s="50">
        <v>18</v>
      </c>
      <c r="D71" s="51">
        <f ca="1">((100/H62)*C71)/100</f>
        <v>1</v>
      </c>
      <c r="E71" s="101"/>
      <c r="F71" s="101"/>
      <c r="G71" s="101"/>
      <c r="H71" s="107"/>
      <c r="I71" s="48" t="s">
        <v>180</v>
      </c>
      <c r="J71" s="55">
        <f>(IF(B62&gt;3,(H62/(B62+2)+J70),0))</f>
        <v>0</v>
      </c>
    </row>
    <row r="72" spans="1:10" s="10" customFormat="1" ht="15.75" customHeight="1" x14ac:dyDescent="0.3">
      <c r="A72" s="89" t="s">
        <v>174</v>
      </c>
      <c r="B72" s="90"/>
      <c r="C72" s="50">
        <v>18</v>
      </c>
      <c r="D72" s="51">
        <f ca="1">((100/H62)*C72)/100</f>
        <v>1</v>
      </c>
      <c r="E72" s="101"/>
      <c r="F72" s="101"/>
      <c r="G72" s="101"/>
      <c r="H72" s="107"/>
      <c r="I72" s="48" t="s">
        <v>181</v>
      </c>
      <c r="J72" s="54">
        <f>(IF(B62&gt;4,(H62/(B62+2)+J71),0))</f>
        <v>0</v>
      </c>
    </row>
    <row r="73" spans="1:10" s="10" customFormat="1" ht="15.75" customHeight="1" x14ac:dyDescent="0.3">
      <c r="A73" s="89" t="s">
        <v>169</v>
      </c>
      <c r="B73" s="90" t="s">
        <v>169</v>
      </c>
      <c r="C73" s="50">
        <v>18</v>
      </c>
      <c r="D73" s="51">
        <f ca="1">((100/(H62))*C73)/100</f>
        <v>1</v>
      </c>
      <c r="E73" s="101"/>
      <c r="F73" s="101"/>
      <c r="G73" s="101"/>
      <c r="H73" s="107"/>
      <c r="I73" s="48" t="s">
        <v>183</v>
      </c>
      <c r="J73" s="54">
        <f ca="1">(IF(B62=1,(H62/(B62+3)+J68),IF(B62=0,(H62/4+J68),IF(B62&gt;1,0))))</f>
        <v>13.5</v>
      </c>
    </row>
    <row r="74" spans="1:10" s="10" customFormat="1" ht="16.2" thickBot="1" x14ac:dyDescent="0.35">
      <c r="A74" s="105" t="s">
        <v>170</v>
      </c>
      <c r="B74" s="106"/>
      <c r="C74" s="56">
        <v>18</v>
      </c>
      <c r="D74" s="57">
        <f ca="1">((100/(H62))*C74)/100</f>
        <v>1</v>
      </c>
      <c r="E74" s="102"/>
      <c r="F74" s="102"/>
      <c r="G74" s="102"/>
      <c r="H74" s="108"/>
      <c r="I74" s="58" t="s">
        <v>138</v>
      </c>
      <c r="J74" s="59">
        <f ca="1">(IF(B62&gt;1.5,(H62/(B62+2)+J68+MAX(0,J69-J68)+MAX(0,J70-J69)+MAX(0,J71-J70)+MAX(0,J72-J71)+MAX(0,J73-J72)),IF(B62=1,(H62/(B62+3)+J73),IF(B62=0,H62/4+J73))))</f>
        <v>18</v>
      </c>
    </row>
    <row r="75" spans="1:10" s="10" customFormat="1" ht="15.75" hidden="1" customHeight="1" x14ac:dyDescent="0.3">
      <c r="A75" s="140" t="s">
        <v>176</v>
      </c>
      <c r="B75" s="141"/>
      <c r="C75" s="142" t="str">
        <f>D56</f>
        <v>Building No. 02 (T14B) = G/P1 + P2 + P3 + S + 1st to 18th Floor</v>
      </c>
      <c r="D75" s="143"/>
      <c r="E75" s="143"/>
      <c r="F75" s="143"/>
      <c r="G75" s="143"/>
      <c r="H75" s="144"/>
      <c r="I75" s="43" t="str">
        <f ca="1">(IF(E79&gt;99%,"All work completed. Please provide OC.",IF(E79&gt;89.8%,"Plinth, RCC, Brick, Plaster, Flooring, Painting work Completed. Finishing work is in process.",IF(E79&lt;94%,(IF(C79=0,"Work not yet Started.",IF(D79=25%,"Piling work in process",IF(D79=50%,"Excavation work in process",IF(D79=100%,"Excavation work Completed. ","0")))&amp;(IF(C80=0%,"",IF(C80=J81,"Footing work is process",IF(C80=J82,"Footing work Completed",IF(C80=J83,"1st Basement Completed",IF(C80=J84,"1st &amp; 2nd Basement Completed",IF(C80=J85,"1st to 3rd Basement Completed",IF(C80=J86,"1st to 4th Basement Completed",IF(C80=J87,"Plinth work is process",IF(C80=J88,"Plinth work completed","0")))))))))))&amp;(IF(C81=(D76+F76+H76),", RCC Slab",IF(C81&gt;0,", RCC upto "&amp;C81&amp;" Slab",""))&amp;(IF(C82=H76,", Brickwork",IF(C82&gt;0,", Brickwork upto "&amp;C82&amp;" Floor",""))&amp;(IF(C83=H76,", Internal Plaster",IF(C83&gt;0,", Internal Plaster upto "&amp;C83&amp;" Floor",""))&amp;(IF(C84=H76,", External Plaster",IF(C84&gt;0,", External Plaster upto "&amp;C84&amp;" Floor",""))&amp;(IF(C85=H76,", Flooring",IF(C85&gt;0,", Flooring upto "&amp;C85&amp;" Floor",""))&amp;(IF(C86=H76,", Painting",IF(C86&gt;0,", Painting upto "&amp;C86&amp;" Floor",""))&amp;(IF(C87&gt;0,", Finishing upto "&amp;C87&amp;" Floor","")&amp;(IF(C81&gt;0.5," Completed",""))))))))))))))</f>
        <v>Work not yet Started.</v>
      </c>
      <c r="J75" s="44"/>
    </row>
    <row r="76" spans="1:10" s="10" customFormat="1" hidden="1" x14ac:dyDescent="0.3">
      <c r="A76" s="37" t="s">
        <v>178</v>
      </c>
      <c r="B76" s="40">
        <v>0</v>
      </c>
      <c r="C76" s="40" t="s">
        <v>100</v>
      </c>
      <c r="D76" s="40">
        <v>1</v>
      </c>
      <c r="E76" s="40" t="s">
        <v>99</v>
      </c>
      <c r="F76" s="40">
        <v>3</v>
      </c>
      <c r="G76" s="40" t="s">
        <v>112</v>
      </c>
      <c r="H76" s="38">
        <f ca="1">--TRIM(RIGHT(SUBSTITUTE(LEFT(C75,_xlfn.AGGREGATE(16,6,FIND({0,1,2,3,4,5,6,7,8,9},C75,ROW(INDIRECT("1:"&amp;LEN(C75)))),1))," ",REPT(" ",LEN(C75))),LEN(C75)))</f>
        <v>18</v>
      </c>
      <c r="I76" s="45"/>
      <c r="J76" s="46"/>
    </row>
    <row r="77" spans="1:10" s="10" customFormat="1" ht="15.75" hidden="1" customHeight="1" x14ac:dyDescent="0.3">
      <c r="A77" s="85" t="s">
        <v>122</v>
      </c>
      <c r="B77" s="86"/>
      <c r="C77" s="87" t="str">
        <f ca="1">I75</f>
        <v>Work not yet Started.</v>
      </c>
      <c r="D77" s="87"/>
      <c r="E77" s="87"/>
      <c r="F77" s="87"/>
      <c r="G77" s="87"/>
      <c r="H77" s="88"/>
      <c r="I77" s="45" t="s">
        <v>139</v>
      </c>
      <c r="J77" s="46"/>
    </row>
    <row r="78" spans="1:10" s="10" customFormat="1" ht="15.75" hidden="1" customHeight="1" x14ac:dyDescent="0.3">
      <c r="A78" s="89" t="s">
        <v>51</v>
      </c>
      <c r="B78" s="90"/>
      <c r="C78" s="47" t="s">
        <v>175</v>
      </c>
      <c r="D78" s="47" t="s">
        <v>115</v>
      </c>
      <c r="E78" s="90" t="s">
        <v>117</v>
      </c>
      <c r="F78" s="90"/>
      <c r="G78" s="90" t="s">
        <v>116</v>
      </c>
      <c r="H78" s="91"/>
      <c r="I78" s="48" t="s">
        <v>177</v>
      </c>
      <c r="J78" s="49">
        <f ca="1">H76*25%</f>
        <v>4.5</v>
      </c>
    </row>
    <row r="79" spans="1:10" s="10" customFormat="1" hidden="1" x14ac:dyDescent="0.3">
      <c r="A79" s="89" t="s">
        <v>164</v>
      </c>
      <c r="B79" s="90"/>
      <c r="C79" s="50">
        <v>0</v>
      </c>
      <c r="D79" s="51">
        <f ca="1">((100/H76)*C79)/100</f>
        <v>0</v>
      </c>
      <c r="E79" s="101">
        <f ca="1">(((C80/H76*10)+(40/(D76+F76+H76)*C81)+(7.5/(H76)*C82)+(7.5/(H76)*C83)+(10/H76*C84)+(10/H76*C85)+(5/H76*C86)+(5/H76*C87)+(5/H76*C88))/100)</f>
        <v>0</v>
      </c>
      <c r="F79" s="101"/>
      <c r="G79" s="101">
        <f ca="1">((((C79/H76)*20)+((C80/H76)*25)+(30/(H76+F76+D76)*C81)+(5/H76*C82)+(5/H76*C83)+(5/H76*C84)+(5/H76*C85)+(0/H76*C86)+(0/H76*C87)+(5/H76*C88))/100)</f>
        <v>0</v>
      </c>
      <c r="H79" s="107"/>
      <c r="I79" s="48" t="s">
        <v>134</v>
      </c>
      <c r="J79" s="52">
        <f ca="1">H76*50%</f>
        <v>9</v>
      </c>
    </row>
    <row r="80" spans="1:10" s="10" customFormat="1" hidden="1" x14ac:dyDescent="0.3">
      <c r="A80" s="89" t="s">
        <v>52</v>
      </c>
      <c r="B80" s="90"/>
      <c r="C80" s="53">
        <v>0</v>
      </c>
      <c r="D80" s="51">
        <f ca="1">((100/H76)*C80)/100</f>
        <v>0</v>
      </c>
      <c r="E80" s="101"/>
      <c r="F80" s="101"/>
      <c r="G80" s="101"/>
      <c r="H80" s="107"/>
      <c r="I80" s="48" t="s">
        <v>135</v>
      </c>
      <c r="J80" s="52">
        <f ca="1">H76</f>
        <v>18</v>
      </c>
    </row>
    <row r="81" spans="1:10" s="10" customFormat="1" ht="15.75" hidden="1" customHeight="1" x14ac:dyDescent="0.3">
      <c r="A81" s="89" t="s">
        <v>165</v>
      </c>
      <c r="B81" s="90"/>
      <c r="C81" s="53">
        <v>0</v>
      </c>
      <c r="D81" s="51">
        <f ca="1">((100/(D76+F76+H76))*C81)/100</f>
        <v>0</v>
      </c>
      <c r="E81" s="101"/>
      <c r="F81" s="101"/>
      <c r="G81" s="101"/>
      <c r="H81" s="107"/>
      <c r="I81" s="48" t="s">
        <v>136</v>
      </c>
      <c r="J81" s="54">
        <f ca="1">(IF(B76&gt;1,(H76/(B76+2)),H76/4))</f>
        <v>4.5</v>
      </c>
    </row>
    <row r="82" spans="1:10" s="10" customFormat="1" ht="15.75" hidden="1" customHeight="1" x14ac:dyDescent="0.3">
      <c r="A82" s="89" t="s">
        <v>172</v>
      </c>
      <c r="B82" s="90" t="s">
        <v>166</v>
      </c>
      <c r="C82" s="50">
        <v>0</v>
      </c>
      <c r="D82" s="51">
        <f ca="1">((100/H76)*C82)/100</f>
        <v>0</v>
      </c>
      <c r="E82" s="101"/>
      <c r="F82" s="101"/>
      <c r="G82" s="101"/>
      <c r="H82" s="107"/>
      <c r="I82" s="48" t="s">
        <v>137</v>
      </c>
      <c r="J82" s="54">
        <f ca="1">(IF(B76&gt;1,(H76/(B76+2)+J81),H76/4+J81))</f>
        <v>9</v>
      </c>
    </row>
    <row r="83" spans="1:10" s="10" customFormat="1" ht="15.75" hidden="1" customHeight="1" x14ac:dyDescent="0.3">
      <c r="A83" s="89" t="s">
        <v>173</v>
      </c>
      <c r="B83" s="90" t="s">
        <v>166</v>
      </c>
      <c r="C83" s="50">
        <v>0</v>
      </c>
      <c r="D83" s="51">
        <f ca="1">((100/H76)*C83)/100</f>
        <v>0</v>
      </c>
      <c r="E83" s="101"/>
      <c r="F83" s="101"/>
      <c r="G83" s="101"/>
      <c r="H83" s="107"/>
      <c r="I83" s="48" t="s">
        <v>182</v>
      </c>
      <c r="J83" s="54">
        <f>(IF(B76&gt;1,(H76/(B76+2)+J82),0))</f>
        <v>0</v>
      </c>
    </row>
    <row r="84" spans="1:10" s="10" customFormat="1" ht="15" hidden="1" customHeight="1" x14ac:dyDescent="0.3">
      <c r="A84" s="89" t="s">
        <v>171</v>
      </c>
      <c r="B84" s="90" t="s">
        <v>168</v>
      </c>
      <c r="C84" s="50">
        <v>0</v>
      </c>
      <c r="D84" s="51">
        <f ca="1">((100/(H76))*C84)/100</f>
        <v>0</v>
      </c>
      <c r="E84" s="101"/>
      <c r="F84" s="101"/>
      <c r="G84" s="101"/>
      <c r="H84" s="107"/>
      <c r="I84" s="48" t="s">
        <v>179</v>
      </c>
      <c r="J84" s="54">
        <f>(IF(B76&gt;2,(H76/(B76+2)+J83),0))</f>
        <v>0</v>
      </c>
    </row>
    <row r="85" spans="1:10" s="10" customFormat="1" ht="15.75" hidden="1" customHeight="1" x14ac:dyDescent="0.3">
      <c r="A85" s="89" t="s">
        <v>167</v>
      </c>
      <c r="B85" s="90" t="s">
        <v>167</v>
      </c>
      <c r="C85" s="50">
        <v>0</v>
      </c>
      <c r="D85" s="51">
        <f ca="1">((100/H76)*C85)/100</f>
        <v>0</v>
      </c>
      <c r="E85" s="101"/>
      <c r="F85" s="101"/>
      <c r="G85" s="101"/>
      <c r="H85" s="107"/>
      <c r="I85" s="48" t="s">
        <v>180</v>
      </c>
      <c r="J85" s="55">
        <f>(IF(B76&gt;3,(H76/(B76+2)+J84),0))</f>
        <v>0</v>
      </c>
    </row>
    <row r="86" spans="1:10" s="10" customFormat="1" ht="15.75" hidden="1" customHeight="1" x14ac:dyDescent="0.3">
      <c r="A86" s="89" t="s">
        <v>174</v>
      </c>
      <c r="B86" s="90"/>
      <c r="C86" s="50">
        <v>0</v>
      </c>
      <c r="D86" s="51">
        <f ca="1">((100/H76)*C86)/100</f>
        <v>0</v>
      </c>
      <c r="E86" s="101"/>
      <c r="F86" s="101"/>
      <c r="G86" s="101"/>
      <c r="H86" s="107"/>
      <c r="I86" s="48" t="s">
        <v>181</v>
      </c>
      <c r="J86" s="54">
        <f>(IF(B76&gt;4,(H76/(B76+2)+J85),0))</f>
        <v>0</v>
      </c>
    </row>
    <row r="87" spans="1:10" s="10" customFormat="1" ht="15.75" hidden="1" customHeight="1" x14ac:dyDescent="0.3">
      <c r="A87" s="89" t="s">
        <v>169</v>
      </c>
      <c r="B87" s="90" t="s">
        <v>169</v>
      </c>
      <c r="C87" s="50">
        <v>0</v>
      </c>
      <c r="D87" s="51">
        <f ca="1">((100/(H76))*C87)/100</f>
        <v>0</v>
      </c>
      <c r="E87" s="101"/>
      <c r="F87" s="101"/>
      <c r="G87" s="101"/>
      <c r="H87" s="107"/>
      <c r="I87" s="48" t="s">
        <v>183</v>
      </c>
      <c r="J87" s="54">
        <f ca="1">(IF(B76=1,(H76/(B76+3)+J82),IF(B76=0,(H76/4+J82),IF(B76&gt;1,0))))</f>
        <v>13.5</v>
      </c>
    </row>
    <row r="88" spans="1:10" s="10" customFormat="1" ht="16.2" hidden="1" thickBot="1" x14ac:dyDescent="0.35">
      <c r="A88" s="105" t="s">
        <v>170</v>
      </c>
      <c r="B88" s="106"/>
      <c r="C88" s="56">
        <v>0</v>
      </c>
      <c r="D88" s="57">
        <f ca="1">((100/(H76))*C88)/100</f>
        <v>0</v>
      </c>
      <c r="E88" s="102"/>
      <c r="F88" s="102"/>
      <c r="G88" s="102"/>
      <c r="H88" s="108"/>
      <c r="I88" s="58" t="s">
        <v>138</v>
      </c>
      <c r="J88" s="59">
        <f ca="1">(IF(B76&gt;1.5,(H76/(B76+2)+J82+MAX(0,J83-J82)+MAX(0,J84-J83)+MAX(0,J85-J84)+MAX(0,J86-J85)+MAX(0,J87-J86)),IF(B76=1,(H76/(B76+3)+J87),IF(B76=0,H76/4+J87))))</f>
        <v>18</v>
      </c>
    </row>
    <row r="89" spans="1:10" x14ac:dyDescent="0.3">
      <c r="A89" s="164" t="s">
        <v>152</v>
      </c>
      <c r="B89" s="165"/>
      <c r="C89" s="165"/>
      <c r="D89" s="165"/>
      <c r="E89" s="166"/>
      <c r="F89" s="164" t="str">
        <f ca="1">(IF(D60="Nothing","Yes",IF(D60="Cement, Aggregate, Steel, etc","Under Construction",IF(D60="Work not yet Started","Work not yet Started"))))</f>
        <v>Yes</v>
      </c>
      <c r="G89" s="165"/>
      <c r="H89" s="166"/>
    </row>
    <row r="90" spans="1:10" x14ac:dyDescent="0.3">
      <c r="A90" s="84" t="s">
        <v>53</v>
      </c>
      <c r="B90" s="84"/>
      <c r="C90" s="84"/>
      <c r="D90" s="84"/>
      <c r="E90" s="84"/>
      <c r="F90" s="84"/>
      <c r="G90" s="84"/>
      <c r="H90" s="84"/>
    </row>
    <row r="91" spans="1:10" ht="15" customHeight="1" thickBot="1" x14ac:dyDescent="0.35">
      <c r="A91" s="185" t="s">
        <v>103</v>
      </c>
      <c r="B91" s="185"/>
      <c r="C91" s="168" t="s">
        <v>104</v>
      </c>
      <c r="D91" s="168"/>
      <c r="E91" s="168"/>
      <c r="F91" s="168"/>
      <c r="G91" s="168"/>
      <c r="H91" s="168"/>
    </row>
    <row r="92" spans="1:10" x14ac:dyDescent="0.3">
      <c r="A92" s="94" t="s">
        <v>54</v>
      </c>
      <c r="B92" s="95"/>
      <c r="C92" s="95"/>
      <c r="D92" s="95"/>
      <c r="E92" s="96"/>
      <c r="F92" s="97" t="s">
        <v>242</v>
      </c>
      <c r="G92" s="97"/>
      <c r="H92" s="98"/>
    </row>
    <row r="93" spans="1:10" x14ac:dyDescent="0.3">
      <c r="A93" s="83" t="s">
        <v>105</v>
      </c>
      <c r="B93" s="84"/>
      <c r="C93" s="84"/>
      <c r="D93" s="84"/>
      <c r="E93" s="84"/>
      <c r="F93" s="147">
        <v>21500</v>
      </c>
      <c r="G93" s="147"/>
      <c r="H93" s="148"/>
      <c r="I93" s="69" t="s">
        <v>240</v>
      </c>
    </row>
    <row r="94" spans="1:10" hidden="1" x14ac:dyDescent="0.3">
      <c r="A94" s="83" t="s">
        <v>110</v>
      </c>
      <c r="B94" s="84"/>
      <c r="C94" s="84"/>
      <c r="D94" s="84"/>
      <c r="E94" s="84"/>
      <c r="F94" s="92"/>
      <c r="G94" s="92"/>
      <c r="H94" s="93"/>
    </row>
    <row r="95" spans="1:10" hidden="1" x14ac:dyDescent="0.3">
      <c r="A95" s="83" t="s">
        <v>111</v>
      </c>
      <c r="B95" s="84"/>
      <c r="C95" s="84"/>
      <c r="D95" s="84"/>
      <c r="E95" s="84"/>
      <c r="F95" s="92"/>
      <c r="G95" s="92"/>
      <c r="H95" s="93"/>
    </row>
    <row r="96" spans="1:10" s="11" customFormat="1" x14ac:dyDescent="0.25">
      <c r="A96" s="83" t="s">
        <v>241</v>
      </c>
      <c r="B96" s="84"/>
      <c r="C96" s="84"/>
      <c r="D96" s="84"/>
      <c r="E96" s="84"/>
      <c r="F96" s="147">
        <v>60</v>
      </c>
      <c r="G96" s="147"/>
      <c r="H96" s="148"/>
    </row>
    <row r="97" spans="1:11" s="11" customFormat="1" hidden="1" x14ac:dyDescent="0.25">
      <c r="A97" s="83" t="s">
        <v>127</v>
      </c>
      <c r="B97" s="84"/>
      <c r="C97" s="84"/>
      <c r="D97" s="84"/>
      <c r="E97" s="84"/>
      <c r="F97" s="92" t="s">
        <v>30</v>
      </c>
      <c r="G97" s="92"/>
      <c r="H97" s="93"/>
    </row>
    <row r="98" spans="1:11" s="11" customFormat="1" hidden="1" x14ac:dyDescent="0.25">
      <c r="A98" s="83" t="s">
        <v>128</v>
      </c>
      <c r="B98" s="84"/>
      <c r="C98" s="84"/>
      <c r="D98" s="84"/>
      <c r="E98" s="84"/>
      <c r="F98" s="92" t="s">
        <v>30</v>
      </c>
      <c r="G98" s="92"/>
      <c r="H98" s="93"/>
    </row>
    <row r="99" spans="1:11" s="11" customFormat="1" hidden="1" x14ac:dyDescent="0.25">
      <c r="A99" s="83" t="s">
        <v>129</v>
      </c>
      <c r="B99" s="84"/>
      <c r="C99" s="84"/>
      <c r="D99" s="84"/>
      <c r="E99" s="84"/>
      <c r="F99" s="92" t="s">
        <v>30</v>
      </c>
      <c r="G99" s="92"/>
      <c r="H99" s="93"/>
    </row>
    <row r="100" spans="1:11" s="11" customFormat="1" hidden="1" x14ac:dyDescent="0.25">
      <c r="A100" s="83" t="s">
        <v>130</v>
      </c>
      <c r="B100" s="84"/>
      <c r="C100" s="84"/>
      <c r="D100" s="84"/>
      <c r="E100" s="84"/>
      <c r="F100" s="92" t="s">
        <v>30</v>
      </c>
      <c r="G100" s="92"/>
      <c r="H100" s="93"/>
    </row>
    <row r="101" spans="1:11" s="11" customFormat="1" hidden="1" x14ac:dyDescent="0.25">
      <c r="A101" s="83" t="s">
        <v>131</v>
      </c>
      <c r="B101" s="84"/>
      <c r="C101" s="84"/>
      <c r="D101" s="84"/>
      <c r="E101" s="84"/>
      <c r="F101" s="92" t="s">
        <v>30</v>
      </c>
      <c r="G101" s="92"/>
      <c r="H101" s="93"/>
    </row>
    <row r="102" spans="1:11" s="11" customFormat="1" hidden="1" x14ac:dyDescent="0.25">
      <c r="A102" s="83" t="s">
        <v>132</v>
      </c>
      <c r="B102" s="84"/>
      <c r="C102" s="84"/>
      <c r="D102" s="84"/>
      <c r="E102" s="84"/>
      <c r="F102" s="92" t="s">
        <v>30</v>
      </c>
      <c r="G102" s="92"/>
      <c r="H102" s="93"/>
    </row>
    <row r="103" spans="1:11" s="11" customFormat="1" hidden="1" x14ac:dyDescent="0.25">
      <c r="A103" s="83" t="s">
        <v>133</v>
      </c>
      <c r="B103" s="84"/>
      <c r="C103" s="84"/>
      <c r="D103" s="84"/>
      <c r="E103" s="84"/>
      <c r="F103" s="92" t="s">
        <v>30</v>
      </c>
      <c r="G103" s="92"/>
      <c r="H103" s="93"/>
    </row>
    <row r="104" spans="1:11" x14ac:dyDescent="0.3">
      <c r="A104" s="83" t="s">
        <v>55</v>
      </c>
      <c r="B104" s="84"/>
      <c r="C104" s="84"/>
      <c r="D104" s="84"/>
      <c r="E104" s="84"/>
      <c r="F104" s="147">
        <v>1000000</v>
      </c>
      <c r="G104" s="147"/>
      <c r="H104" s="148"/>
    </row>
    <row r="105" spans="1:11" s="9" customFormat="1" ht="16.2" thickBot="1" x14ac:dyDescent="0.35">
      <c r="A105" s="149" t="s">
        <v>56</v>
      </c>
      <c r="B105" s="150"/>
      <c r="C105" s="150"/>
      <c r="D105" s="150"/>
      <c r="E105" s="150"/>
      <c r="F105" s="151">
        <f>F93*0.8</f>
        <v>17200</v>
      </c>
      <c r="G105" s="151"/>
      <c r="H105" s="152"/>
    </row>
    <row r="106" spans="1:11" s="1" customFormat="1" x14ac:dyDescent="0.3">
      <c r="A106" s="156" t="s">
        <v>98</v>
      </c>
      <c r="B106" s="156"/>
      <c r="C106" s="156"/>
      <c r="D106" s="156"/>
      <c r="E106" s="156"/>
      <c r="F106" s="156"/>
      <c r="G106" s="156"/>
      <c r="H106" s="156"/>
      <c r="J106" s="1">
        <f>1002*19200</f>
        <v>19238400</v>
      </c>
      <c r="K106" s="65">
        <f>20202867-J106</f>
        <v>964467</v>
      </c>
    </row>
    <row r="107" spans="1:11" s="1" customFormat="1" ht="15.75" customHeight="1" x14ac:dyDescent="0.3">
      <c r="A107" s="161" t="s">
        <v>57</v>
      </c>
      <c r="B107" s="161"/>
      <c r="C107" s="160" t="s">
        <v>108</v>
      </c>
      <c r="D107" s="160"/>
      <c r="E107" s="163" t="s">
        <v>58</v>
      </c>
      <c r="F107" s="163"/>
      <c r="G107" s="161" t="s">
        <v>59</v>
      </c>
      <c r="H107" s="161"/>
      <c r="K107" s="67">
        <f>K106/1002</f>
        <v>962.54191616766468</v>
      </c>
    </row>
    <row r="108" spans="1:11" s="1" customFormat="1" x14ac:dyDescent="0.3">
      <c r="A108" s="109" t="s">
        <v>206</v>
      </c>
      <c r="B108" s="109"/>
      <c r="C108" s="99">
        <f>COUNT(D120:D121)+COUNT(D123:D126)+COUNT(D128:D131)*16+COUNT(D134:D136)*2</f>
        <v>76</v>
      </c>
      <c r="D108" s="99"/>
      <c r="E108" s="100">
        <f>SUM(D120:D121)+SUM(D123:D126)+SUM(D128:D131)*16+SUM(D134:D136)*2</f>
        <v>46421.472239999996</v>
      </c>
      <c r="F108" s="100"/>
      <c r="G108" s="100">
        <f>SUM(F120:F121)+SUM(F123:F126)+SUM(F128:F131)*16+SUM(F134:F136)*2</f>
        <v>74274.355584000004</v>
      </c>
      <c r="H108" s="100"/>
      <c r="K108" s="67">
        <f>K107/17</f>
        <v>56.62011271574498</v>
      </c>
    </row>
    <row r="109" spans="1:11" s="1" customFormat="1" x14ac:dyDescent="0.3">
      <c r="A109" s="109" t="s">
        <v>209</v>
      </c>
      <c r="B109" s="109"/>
      <c r="C109" s="99">
        <f>COUNT(D142:D143)+COUNT(D145:D148)+COUNT(D150:D153)*11+COUNT(D155:D158)*7</f>
        <v>78</v>
      </c>
      <c r="D109" s="99"/>
      <c r="E109" s="100">
        <f>SUM(D142:D143)+SUM(D145:D148)+SUM(D150:D153)*11+SUM(D155:D158)*7</f>
        <v>42216.192719999999</v>
      </c>
      <c r="F109" s="100"/>
      <c r="G109" s="100">
        <f>SUM(F142:F143)+SUM(F145:F148)+SUM(F150:F153)*11+SUM(F155:F158)*7</f>
        <v>67545.908352000013</v>
      </c>
      <c r="H109" s="100"/>
    </row>
    <row r="110" spans="1:11" s="61" customFormat="1" x14ac:dyDescent="0.3">
      <c r="A110" s="186" t="s">
        <v>61</v>
      </c>
      <c r="B110" s="186"/>
      <c r="C110" s="160">
        <f>SUM(C108:D109)</f>
        <v>154</v>
      </c>
      <c r="D110" s="160"/>
      <c r="E110" s="187">
        <f>SUM(E108:F109)</f>
        <v>88637.664959999995</v>
      </c>
      <c r="F110" s="163"/>
      <c r="G110" s="187">
        <f>SUM(G108:H109)</f>
        <v>141820.263936</v>
      </c>
      <c r="H110" s="163"/>
      <c r="K110" s="68">
        <f>1002*19200</f>
        <v>19238400</v>
      </c>
    </row>
    <row r="111" spans="1:11" s="9" customFormat="1" x14ac:dyDescent="0.3">
      <c r="A111" s="167" t="s">
        <v>62</v>
      </c>
      <c r="B111" s="167"/>
      <c r="C111" s="167"/>
      <c r="D111" s="167"/>
      <c r="E111" s="167"/>
      <c r="F111" s="167"/>
      <c r="G111" s="167"/>
      <c r="H111" s="167"/>
      <c r="K111" s="9">
        <f>60*1002*17</f>
        <v>1022040</v>
      </c>
    </row>
    <row r="112" spans="1:11" x14ac:dyDescent="0.3">
      <c r="A112" s="167" t="s">
        <v>63</v>
      </c>
      <c r="B112" s="167"/>
      <c r="C112" s="167"/>
      <c r="D112" s="167"/>
      <c r="E112" s="167"/>
      <c r="F112" s="167"/>
      <c r="G112" s="167"/>
      <c r="H112" s="167"/>
      <c r="K112" s="8">
        <f>K110+K111</f>
        <v>20260440</v>
      </c>
    </row>
    <row r="113" spans="1:16" ht="47.25" customHeight="1" x14ac:dyDescent="0.3">
      <c r="A113" s="103" t="s">
        <v>154</v>
      </c>
      <c r="B113" s="103" t="s">
        <v>155</v>
      </c>
      <c r="C113" s="158" t="s">
        <v>64</v>
      </c>
      <c r="D113" s="158" t="s">
        <v>65</v>
      </c>
      <c r="E113" s="181" t="s">
        <v>66</v>
      </c>
      <c r="F113" s="33" t="s">
        <v>153</v>
      </c>
      <c r="G113" s="103" t="s">
        <v>67</v>
      </c>
      <c r="H113" s="183"/>
      <c r="I113" s="32"/>
    </row>
    <row r="114" spans="1:16" s="2" customFormat="1" x14ac:dyDescent="0.3">
      <c r="A114" s="104"/>
      <c r="B114" s="104"/>
      <c r="C114" s="159"/>
      <c r="D114" s="159"/>
      <c r="E114" s="182"/>
      <c r="F114" s="31">
        <v>0.6</v>
      </c>
      <c r="G114" s="104"/>
      <c r="H114" s="184"/>
      <c r="I114" s="32"/>
    </row>
    <row r="115" spans="1:16" s="9" customFormat="1" x14ac:dyDescent="0.3">
      <c r="A115" s="167" t="s">
        <v>248</v>
      </c>
      <c r="B115" s="167"/>
      <c r="C115" s="167"/>
      <c r="D115" s="167"/>
      <c r="E115" s="167"/>
      <c r="F115" s="167"/>
      <c r="G115" s="167"/>
      <c r="H115" s="167"/>
    </row>
    <row r="116" spans="1:16" s="2" customFormat="1" ht="15.6" customHeight="1" x14ac:dyDescent="0.3">
      <c r="A116" s="76" t="s">
        <v>215</v>
      </c>
      <c r="B116" s="76"/>
      <c r="C116" s="76"/>
      <c r="D116" s="76"/>
      <c r="E116" s="76"/>
      <c r="F116" s="76"/>
      <c r="G116" s="76"/>
      <c r="H116" s="76"/>
      <c r="I116" s="32"/>
      <c r="L116" s="73"/>
      <c r="M116" s="73"/>
    </row>
    <row r="117" spans="1:16" s="2" customFormat="1" ht="15.6" customHeight="1" x14ac:dyDescent="0.3">
      <c r="A117" s="76" t="s">
        <v>216</v>
      </c>
      <c r="B117" s="76"/>
      <c r="C117" s="76"/>
      <c r="D117" s="76"/>
      <c r="E117" s="76"/>
      <c r="F117" s="76"/>
      <c r="G117" s="76"/>
      <c r="H117" s="76"/>
      <c r="I117" s="32"/>
      <c r="L117" s="73"/>
      <c r="M117" s="73"/>
    </row>
    <row r="118" spans="1:16" s="2" customFormat="1" ht="15.6" customHeight="1" x14ac:dyDescent="0.3">
      <c r="A118" s="76" t="s">
        <v>217</v>
      </c>
      <c r="B118" s="76"/>
      <c r="C118" s="76"/>
      <c r="D118" s="76"/>
      <c r="E118" s="76"/>
      <c r="F118" s="76"/>
      <c r="G118" s="76"/>
      <c r="H118" s="76"/>
      <c r="I118" s="32"/>
      <c r="L118" s="73"/>
      <c r="M118" s="73"/>
    </row>
    <row r="119" spans="1:16" s="2" customFormat="1" ht="15.6" customHeight="1" x14ac:dyDescent="0.3">
      <c r="A119" s="76" t="s">
        <v>218</v>
      </c>
      <c r="B119" s="76"/>
      <c r="C119" s="76"/>
      <c r="D119" s="76"/>
      <c r="E119" s="76"/>
      <c r="F119" s="76"/>
      <c r="G119" s="76"/>
      <c r="H119" s="76"/>
      <c r="I119" s="32"/>
      <c r="L119" s="73"/>
      <c r="M119" s="73"/>
    </row>
    <row r="120" spans="1:16" s="2" customFormat="1" x14ac:dyDescent="0.3">
      <c r="A120" s="72" t="s">
        <v>219</v>
      </c>
      <c r="B120" s="72"/>
      <c r="C120" s="18" t="s">
        <v>207</v>
      </c>
      <c r="D120" s="18">
        <f>55.51*10.764</f>
        <v>597.50963999999999</v>
      </c>
      <c r="E120" s="18">
        <v>0</v>
      </c>
      <c r="F120" s="18">
        <f>D120*(($F$114)+1)+E120</f>
        <v>956.01542400000005</v>
      </c>
      <c r="G120" s="72" t="str">
        <f>A118</f>
        <v>1st Podium Floor For Amenities &amp; Parking</v>
      </c>
      <c r="H120" s="72"/>
      <c r="I120" s="32"/>
      <c r="N120" s="32"/>
    </row>
    <row r="121" spans="1:16" s="2" customFormat="1" x14ac:dyDescent="0.3">
      <c r="A121" s="72" t="s">
        <v>220</v>
      </c>
      <c r="B121" s="72"/>
      <c r="C121" s="18" t="s">
        <v>207</v>
      </c>
      <c r="D121" s="18">
        <f>55.51*10.764</f>
        <v>597.50963999999999</v>
      </c>
      <c r="E121" s="18">
        <v>0</v>
      </c>
      <c r="F121" s="18">
        <f>D121*(($F$114)+1)+E121</f>
        <v>956.01542400000005</v>
      </c>
      <c r="G121" s="72" t="str">
        <f>G120</f>
        <v>1st Podium Floor For Amenities &amp; Parking</v>
      </c>
      <c r="H121" s="72"/>
      <c r="I121" s="32"/>
      <c r="N121" s="32"/>
    </row>
    <row r="122" spans="1:16" s="2" customFormat="1" x14ac:dyDescent="0.3">
      <c r="A122" s="76" t="s">
        <v>221</v>
      </c>
      <c r="B122" s="76"/>
      <c r="C122" s="76"/>
      <c r="D122" s="76"/>
      <c r="E122" s="76"/>
      <c r="F122" s="76"/>
      <c r="G122" s="76"/>
      <c r="H122" s="76"/>
      <c r="I122" s="32"/>
      <c r="L122" s="73"/>
      <c r="M122" s="73"/>
    </row>
    <row r="123" spans="1:16" s="2" customFormat="1" x14ac:dyDescent="0.3">
      <c r="A123" s="72">
        <v>1</v>
      </c>
      <c r="B123" s="72"/>
      <c r="C123" s="18" t="s">
        <v>207</v>
      </c>
      <c r="D123" s="18">
        <f>55.51*10.764</f>
        <v>597.50963999999999</v>
      </c>
      <c r="E123" s="18">
        <v>0</v>
      </c>
      <c r="F123" s="18">
        <f>D123*(($F$114)+1)+E123</f>
        <v>956.01542400000005</v>
      </c>
      <c r="G123" s="72" t="str">
        <f>A122</f>
        <v xml:space="preserve">Stilt Floor for Residential </v>
      </c>
      <c r="H123" s="72"/>
      <c r="I123" s="32"/>
      <c r="N123" s="32"/>
    </row>
    <row r="124" spans="1:16" s="2" customFormat="1" x14ac:dyDescent="0.3">
      <c r="A124" s="72">
        <f>A123+1</f>
        <v>2</v>
      </c>
      <c r="B124" s="72"/>
      <c r="C124" s="18" t="s">
        <v>207</v>
      </c>
      <c r="D124" s="18">
        <f>55.51*10.764</f>
        <v>597.50963999999999</v>
      </c>
      <c r="E124" s="18">
        <v>0</v>
      </c>
      <c r="F124" s="18">
        <f>D124*(($F$114)+1)+E124</f>
        <v>956.01542400000005</v>
      </c>
      <c r="G124" s="72" t="str">
        <f>G123</f>
        <v xml:space="preserve">Stilt Floor for Residential </v>
      </c>
      <c r="H124" s="72"/>
      <c r="I124" s="32"/>
      <c r="N124" s="32"/>
    </row>
    <row r="125" spans="1:16" s="2" customFormat="1" x14ac:dyDescent="0.3">
      <c r="A125" s="72">
        <v>1</v>
      </c>
      <c r="B125" s="72"/>
      <c r="C125" s="18" t="s">
        <v>207</v>
      </c>
      <c r="D125" s="18">
        <f>58.16*10.764</f>
        <v>626.03423999999995</v>
      </c>
      <c r="E125" s="18">
        <v>0</v>
      </c>
      <c r="F125" s="18">
        <f>D125*(($F$114)+1)+E125</f>
        <v>1001.6547839999999</v>
      </c>
      <c r="G125" s="72" t="str">
        <f t="shared" ref="G125:G126" si="0">G124</f>
        <v xml:space="preserve">Stilt Floor for Residential </v>
      </c>
      <c r="H125" s="72"/>
      <c r="I125" s="32"/>
      <c r="N125" s="32"/>
    </row>
    <row r="126" spans="1:16" s="2" customFormat="1" x14ac:dyDescent="0.3">
      <c r="A126" s="72">
        <f>A125+1</f>
        <v>2</v>
      </c>
      <c r="B126" s="72"/>
      <c r="C126" s="18" t="s">
        <v>207</v>
      </c>
      <c r="D126" s="18">
        <f>51.36*10.764</f>
        <v>552.83903999999995</v>
      </c>
      <c r="E126" s="18">
        <v>0</v>
      </c>
      <c r="F126" s="18">
        <f>D126*(($F$114)+1)+E126</f>
        <v>884.542464</v>
      </c>
      <c r="G126" s="72" t="str">
        <f t="shared" si="0"/>
        <v xml:space="preserve">Stilt Floor for Residential </v>
      </c>
      <c r="H126" s="72"/>
      <c r="I126" s="32"/>
      <c r="N126" s="32"/>
    </row>
    <row r="127" spans="1:16" s="2" customFormat="1" ht="15.75" customHeight="1" x14ac:dyDescent="0.3">
      <c r="A127" s="153" t="s">
        <v>222</v>
      </c>
      <c r="B127" s="154"/>
      <c r="C127" s="154"/>
      <c r="D127" s="154"/>
      <c r="E127" s="154"/>
      <c r="F127" s="154"/>
      <c r="G127" s="154"/>
      <c r="H127" s="155"/>
      <c r="I127" s="32"/>
    </row>
    <row r="128" spans="1:16" s="2" customFormat="1" x14ac:dyDescent="0.3">
      <c r="A128" s="74">
        <v>1</v>
      </c>
      <c r="B128" s="75"/>
      <c r="C128" s="18" t="s">
        <v>207</v>
      </c>
      <c r="D128" s="18">
        <f>55.51*10.764</f>
        <v>597.50963999999999</v>
      </c>
      <c r="E128" s="18">
        <v>0</v>
      </c>
      <c r="F128" s="18">
        <f>D128*(($F$114)+1)+E128</f>
        <v>956.01542400000005</v>
      </c>
      <c r="G128" s="74" t="str">
        <f>A127</f>
        <v xml:space="preserve">1st to 4th, 6th to 11th, 13th to 18th Floor </v>
      </c>
      <c r="H128" s="75"/>
      <c r="I128" s="32"/>
      <c r="K128" s="63"/>
      <c r="L128" s="63" t="s">
        <v>231</v>
      </c>
      <c r="M128" s="63" t="s">
        <v>232</v>
      </c>
      <c r="N128" s="2" t="str">
        <f t="shared" ref="N128:N131" ca="1" si="1">O128&amp;""&amp;",..,"&amp;""&amp;P128</f>
        <v>101,..,1801</v>
      </c>
      <c r="O128" s="2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10^ROW(INDIRECT("1:"&amp;LEN((LEFT(A127,SUM(LEN(A127)-LEN(SUBSTITUTE(A127,{"0","1","2"},""))))))))/10))*100+1</f>
        <v>101</v>
      </c>
      <c r="P128" s="2">
        <f ca="1">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1801</v>
      </c>
    </row>
    <row r="129" spans="1:16" s="2" customFormat="1" x14ac:dyDescent="0.3">
      <c r="A129" s="74">
        <v>2</v>
      </c>
      <c r="B129" s="75"/>
      <c r="C129" s="18" t="s">
        <v>207</v>
      </c>
      <c r="D129" s="18">
        <f>55.51*10.764</f>
        <v>597.50963999999999</v>
      </c>
      <c r="E129" s="18">
        <v>0</v>
      </c>
      <c r="F129" s="18">
        <f>D129*(($F$114)+1)+E129</f>
        <v>956.01542400000005</v>
      </c>
      <c r="G129" s="74" t="str">
        <f>G128</f>
        <v xml:space="preserve">1st to 4th, 6th to 11th, 13th to 18th Floor </v>
      </c>
      <c r="H129" s="75"/>
      <c r="I129" s="32"/>
      <c r="J129" s="2" t="s">
        <v>230</v>
      </c>
      <c r="K129" s="63" t="s">
        <v>228</v>
      </c>
      <c r="L129" s="64">
        <f>12500000/F142</f>
        <v>20433.529265051002</v>
      </c>
      <c r="M129" s="64">
        <f>12000000/F142</f>
        <v>19616.18809444896</v>
      </c>
      <c r="N129" s="2" t="str">
        <f t="shared" ca="1" si="1"/>
        <v>102,..,1802</v>
      </c>
      <c r="O129" s="2">
        <f t="shared" ref="O129:P131" ca="1" si="2">O128+1</f>
        <v>102</v>
      </c>
      <c r="P129" s="2">
        <f t="shared" ca="1" si="2"/>
        <v>1802</v>
      </c>
    </row>
    <row r="130" spans="1:16" s="2" customFormat="1" x14ac:dyDescent="0.3">
      <c r="A130" s="74">
        <v>3</v>
      </c>
      <c r="B130" s="75"/>
      <c r="C130" s="18" t="s">
        <v>207</v>
      </c>
      <c r="D130" s="18">
        <f>58.16*10.764</f>
        <v>626.03423999999995</v>
      </c>
      <c r="E130" s="18">
        <v>0</v>
      </c>
      <c r="F130" s="18">
        <f>D130*(($F$114)+1)+E130</f>
        <v>1001.6547839999999</v>
      </c>
      <c r="G130" s="74" t="str">
        <f>G129</f>
        <v xml:space="preserve">1st to 4th, 6th to 11th, 13th to 18th Floor </v>
      </c>
      <c r="H130" s="75"/>
      <c r="I130" s="32">
        <f>17800000/F130</f>
        <v>17770.593506195444</v>
      </c>
      <c r="J130" s="2" t="s">
        <v>229</v>
      </c>
      <c r="K130" s="65">
        <f>20202867/F130</f>
        <v>20169.490849254507</v>
      </c>
      <c r="L130" s="64">
        <f>19000000/F131</f>
        <v>18968.611045938957</v>
      </c>
      <c r="M130" s="64">
        <f>22500000/F135</f>
        <v>22462.828870190871</v>
      </c>
      <c r="N130" s="2" t="str">
        <f t="shared" ca="1" si="1"/>
        <v>103,..,1803</v>
      </c>
      <c r="O130" s="2">
        <f t="shared" ca="1" si="2"/>
        <v>103</v>
      </c>
      <c r="P130" s="2">
        <f t="shared" ca="1" si="2"/>
        <v>1803</v>
      </c>
    </row>
    <row r="131" spans="1:16" s="2" customFormat="1" x14ac:dyDescent="0.3">
      <c r="A131" s="74">
        <v>4</v>
      </c>
      <c r="B131" s="75"/>
      <c r="C131" s="18" t="s">
        <v>207</v>
      </c>
      <c r="D131" s="18">
        <f>58.16*10.764</f>
        <v>626.03423999999995</v>
      </c>
      <c r="E131" s="18">
        <v>0</v>
      </c>
      <c r="F131" s="18">
        <f>D131*(($F$114)+1)+E131</f>
        <v>1001.6547839999999</v>
      </c>
      <c r="G131" s="74" t="str">
        <f>G130</f>
        <v xml:space="preserve">1st to 4th, 6th to 11th, 13th to 18th Floor </v>
      </c>
      <c r="H131" s="75"/>
      <c r="I131" s="32"/>
      <c r="K131" s="63"/>
      <c r="L131" s="66">
        <f>AVERAGE(L129:L130)</f>
        <v>19701.070155494977</v>
      </c>
      <c r="M131" s="66">
        <f>AVERAGE(M129:M130)</f>
        <v>21039.508482319914</v>
      </c>
      <c r="N131" s="2" t="str">
        <f t="shared" ca="1" si="1"/>
        <v>104,..,1804</v>
      </c>
      <c r="O131" s="2">
        <f t="shared" ca="1" si="2"/>
        <v>104</v>
      </c>
      <c r="P131" s="2">
        <f t="shared" ca="1" si="2"/>
        <v>1804</v>
      </c>
    </row>
    <row r="132" spans="1:16" s="2" customFormat="1" ht="15.75" customHeight="1" x14ac:dyDescent="0.3">
      <c r="A132" s="153" t="s">
        <v>223</v>
      </c>
      <c r="B132" s="154"/>
      <c r="C132" s="154"/>
      <c r="D132" s="154"/>
      <c r="E132" s="154"/>
      <c r="F132" s="154"/>
      <c r="G132" s="154"/>
      <c r="H132" s="155"/>
      <c r="I132" s="32"/>
    </row>
    <row r="133" spans="1:16" s="2" customFormat="1" x14ac:dyDescent="0.3">
      <c r="A133" s="74">
        <v>1</v>
      </c>
      <c r="B133" s="75"/>
      <c r="C133" s="74" t="s">
        <v>208</v>
      </c>
      <c r="D133" s="188"/>
      <c r="E133" s="188"/>
      <c r="F133" s="75"/>
      <c r="G133" s="74" t="str">
        <f>A132</f>
        <v>5th to 12th Floor (Part Refuge Area)</v>
      </c>
      <c r="H133" s="75"/>
      <c r="I133" s="32"/>
      <c r="N133" s="2" t="str">
        <f t="shared" ref="N133:N136" ca="1" si="3">O133&amp;""&amp;",..,"&amp;""&amp;P133</f>
        <v>501,..,1201</v>
      </c>
      <c r="O133" s="2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10^ROW(INDIRECT("1:"&amp;LEN((LEFT(A132,SUM(LEN(A132)-LEN(SUBSTITUTE(A132,{"0","1","2"},""))))))))/10))*100+1</f>
        <v>501</v>
      </c>
      <c r="P133" s="2">
        <f ca="1">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",LEN(A132))),LEN(A132)))))))/10))*100+1</f>
        <v>1201</v>
      </c>
    </row>
    <row r="134" spans="1:16" s="2" customFormat="1" x14ac:dyDescent="0.3">
      <c r="A134" s="74">
        <v>2</v>
      </c>
      <c r="B134" s="75"/>
      <c r="C134" s="18" t="s">
        <v>207</v>
      </c>
      <c r="D134" s="18">
        <f>55.51*10.764</f>
        <v>597.50963999999999</v>
      </c>
      <c r="E134" s="18">
        <v>0</v>
      </c>
      <c r="F134" s="18">
        <f>D134*(($F$114)+1)+E134</f>
        <v>956.01542400000005</v>
      </c>
      <c r="G134" s="74" t="str">
        <f>G133</f>
        <v>5th to 12th Floor (Part Refuge Area)</v>
      </c>
      <c r="H134" s="75"/>
      <c r="I134" s="32"/>
      <c r="N134" s="2" t="str">
        <f t="shared" ca="1" si="3"/>
        <v>502,..,1202</v>
      </c>
      <c r="O134" s="2">
        <f t="shared" ref="O134:P134" ca="1" si="4">O133+1</f>
        <v>502</v>
      </c>
      <c r="P134" s="2">
        <f t="shared" ca="1" si="4"/>
        <v>1202</v>
      </c>
    </row>
    <row r="135" spans="1:16" s="2" customFormat="1" x14ac:dyDescent="0.3">
      <c r="A135" s="74">
        <v>3</v>
      </c>
      <c r="B135" s="75"/>
      <c r="C135" s="18" t="s">
        <v>207</v>
      </c>
      <c r="D135" s="18">
        <f>58.16*10.764</f>
        <v>626.03423999999995</v>
      </c>
      <c r="E135" s="18">
        <v>0</v>
      </c>
      <c r="F135" s="18">
        <f>D135*(($F$114)+1)+E135</f>
        <v>1001.6547839999999</v>
      </c>
      <c r="G135" s="74" t="str">
        <f>G134</f>
        <v>5th to 12th Floor (Part Refuge Area)</v>
      </c>
      <c r="H135" s="75"/>
      <c r="I135" s="32">
        <f>17800000/F135</f>
        <v>17770.593506195444</v>
      </c>
      <c r="N135" s="2" t="str">
        <f t="shared" ca="1" si="3"/>
        <v>503,..,1203</v>
      </c>
      <c r="O135" s="2">
        <f t="shared" ref="O135:P135" ca="1" si="5">O134+1</f>
        <v>503</v>
      </c>
      <c r="P135" s="2">
        <f t="shared" ca="1" si="5"/>
        <v>1203</v>
      </c>
    </row>
    <row r="136" spans="1:16" s="2" customFormat="1" x14ac:dyDescent="0.3">
      <c r="A136" s="74">
        <v>4</v>
      </c>
      <c r="B136" s="75"/>
      <c r="C136" s="18" t="s">
        <v>207</v>
      </c>
      <c r="D136" s="18">
        <f>58.16*10.764</f>
        <v>626.03423999999995</v>
      </c>
      <c r="E136" s="18">
        <v>0</v>
      </c>
      <c r="F136" s="18">
        <f>D136*(($F$114)+1)+E136</f>
        <v>1001.6547839999999</v>
      </c>
      <c r="G136" s="74" t="str">
        <f>G135</f>
        <v>5th to 12th Floor (Part Refuge Area)</v>
      </c>
      <c r="H136" s="75"/>
      <c r="I136" s="32"/>
      <c r="N136" s="2" t="str">
        <f t="shared" ca="1" si="3"/>
        <v>504,..,1204</v>
      </c>
      <c r="O136" s="2">
        <f t="shared" ref="O136:P136" ca="1" si="6">O135+1</f>
        <v>504</v>
      </c>
      <c r="P136" s="2">
        <f t="shared" ca="1" si="6"/>
        <v>1204</v>
      </c>
    </row>
    <row r="137" spans="1:16" s="9" customFormat="1" x14ac:dyDescent="0.3">
      <c r="A137" s="167" t="s">
        <v>254</v>
      </c>
      <c r="B137" s="167"/>
      <c r="C137" s="167"/>
      <c r="D137" s="167"/>
      <c r="E137" s="167"/>
      <c r="F137" s="167"/>
      <c r="G137" s="167"/>
      <c r="H137" s="167"/>
    </row>
    <row r="138" spans="1:16" s="2" customFormat="1" ht="15.6" customHeight="1" x14ac:dyDescent="0.3">
      <c r="A138" s="76" t="s">
        <v>215</v>
      </c>
      <c r="B138" s="76"/>
      <c r="C138" s="76"/>
      <c r="D138" s="76"/>
      <c r="E138" s="76"/>
      <c r="F138" s="76"/>
      <c r="G138" s="76"/>
      <c r="H138" s="76"/>
      <c r="I138" s="32"/>
      <c r="L138" s="73"/>
      <c r="M138" s="73"/>
    </row>
    <row r="139" spans="1:16" s="2" customFormat="1" ht="15.6" customHeight="1" x14ac:dyDescent="0.3">
      <c r="A139" s="76" t="s">
        <v>216</v>
      </c>
      <c r="B139" s="76"/>
      <c r="C139" s="76"/>
      <c r="D139" s="76"/>
      <c r="E139" s="76"/>
      <c r="F139" s="76"/>
      <c r="G139" s="76"/>
      <c r="H139" s="76"/>
      <c r="I139" s="32"/>
      <c r="L139" s="73"/>
      <c r="M139" s="73"/>
    </row>
    <row r="140" spans="1:16" s="2" customFormat="1" ht="15.6" customHeight="1" x14ac:dyDescent="0.3">
      <c r="A140" s="76" t="s">
        <v>217</v>
      </c>
      <c r="B140" s="76"/>
      <c r="C140" s="76"/>
      <c r="D140" s="76"/>
      <c r="E140" s="76"/>
      <c r="F140" s="76"/>
      <c r="G140" s="76"/>
      <c r="H140" s="76"/>
      <c r="I140" s="32"/>
      <c r="L140" s="73"/>
      <c r="M140" s="73"/>
    </row>
    <row r="141" spans="1:16" s="2" customFormat="1" ht="15.6" customHeight="1" x14ac:dyDescent="0.3">
      <c r="A141" s="76" t="s">
        <v>218</v>
      </c>
      <c r="B141" s="76"/>
      <c r="C141" s="76"/>
      <c r="D141" s="76"/>
      <c r="E141" s="76"/>
      <c r="F141" s="76"/>
      <c r="G141" s="76"/>
      <c r="H141" s="76"/>
      <c r="I141" s="32"/>
      <c r="L141" s="73"/>
      <c r="M141" s="73"/>
    </row>
    <row r="142" spans="1:16" s="2" customFormat="1" x14ac:dyDescent="0.3">
      <c r="A142" s="72" t="s">
        <v>219</v>
      </c>
      <c r="B142" s="72"/>
      <c r="C142" s="18" t="s">
        <v>204</v>
      </c>
      <c r="D142" s="18">
        <f>35.52*10.764</f>
        <v>382.33728000000002</v>
      </c>
      <c r="E142" s="18">
        <v>0</v>
      </c>
      <c r="F142" s="18">
        <f>D142*(($F$114)+1)+E142</f>
        <v>611.7396480000001</v>
      </c>
      <c r="G142" s="72" t="str">
        <f>A141</f>
        <v>2nd Podium Floor Residental &amp; Amenities</v>
      </c>
      <c r="H142" s="72"/>
      <c r="I142" s="32"/>
      <c r="N142" s="32"/>
    </row>
    <row r="143" spans="1:16" s="2" customFormat="1" x14ac:dyDescent="0.3">
      <c r="A143" s="72" t="s">
        <v>220</v>
      </c>
      <c r="B143" s="72"/>
      <c r="C143" s="18" t="s">
        <v>207</v>
      </c>
      <c r="D143" s="18">
        <f>51.46*10.764</f>
        <v>553.91543999999999</v>
      </c>
      <c r="E143" s="18">
        <v>0</v>
      </c>
      <c r="F143" s="18">
        <f>D143*(($F$114)+1)+E143</f>
        <v>886.26470400000005</v>
      </c>
      <c r="G143" s="72" t="str">
        <f>G142</f>
        <v>2nd Podium Floor Residental &amp; Amenities</v>
      </c>
      <c r="H143" s="72"/>
      <c r="I143" s="32"/>
      <c r="N143" s="32"/>
    </row>
    <row r="144" spans="1:16" s="2" customFormat="1" x14ac:dyDescent="0.3">
      <c r="A144" s="76" t="s">
        <v>205</v>
      </c>
      <c r="B144" s="76"/>
      <c r="C144" s="76"/>
      <c r="D144" s="76"/>
      <c r="E144" s="76"/>
      <c r="F144" s="76"/>
      <c r="G144" s="76"/>
      <c r="H144" s="76"/>
      <c r="I144" s="32"/>
      <c r="L144" s="73"/>
      <c r="M144" s="73"/>
    </row>
    <row r="145" spans="1:16" s="2" customFormat="1" ht="15.75" customHeight="1" x14ac:dyDescent="0.3">
      <c r="A145" s="72">
        <v>1</v>
      </c>
      <c r="B145" s="72"/>
      <c r="C145" s="18" t="s">
        <v>204</v>
      </c>
      <c r="D145" s="18">
        <f>35.52*10.764</f>
        <v>382.33728000000002</v>
      </c>
      <c r="E145" s="18">
        <v>0</v>
      </c>
      <c r="F145" s="18">
        <f>D145*(($F$114)+1)+E145</f>
        <v>611.7396480000001</v>
      </c>
      <c r="G145" s="77" t="str">
        <f>A144</f>
        <v>Stilt Floor Residental And Amenities</v>
      </c>
      <c r="H145" s="78"/>
      <c r="I145" s="32"/>
      <c r="N145" s="32"/>
    </row>
    <row r="146" spans="1:16" s="2" customFormat="1" ht="15.75" customHeight="1" x14ac:dyDescent="0.3">
      <c r="A146" s="72">
        <f>A145+1</f>
        <v>2</v>
      </c>
      <c r="B146" s="72"/>
      <c r="C146" s="18" t="s">
        <v>207</v>
      </c>
      <c r="D146" s="18">
        <f>51.46*10.764</f>
        <v>553.91543999999999</v>
      </c>
      <c r="E146" s="18">
        <v>0</v>
      </c>
      <c r="F146" s="18">
        <f>D146*(($F$114)+1)+E146</f>
        <v>886.26470400000005</v>
      </c>
      <c r="G146" s="79"/>
      <c r="H146" s="80"/>
      <c r="I146" s="32"/>
      <c r="N146" s="32"/>
    </row>
    <row r="147" spans="1:16" s="2" customFormat="1" ht="15.75" customHeight="1" x14ac:dyDescent="0.3">
      <c r="A147" s="72">
        <v>3</v>
      </c>
      <c r="B147" s="72"/>
      <c r="C147" s="18" t="s">
        <v>207</v>
      </c>
      <c r="D147" s="18">
        <f>57.61*10.764</f>
        <v>620.11403999999993</v>
      </c>
      <c r="E147" s="18">
        <v>0</v>
      </c>
      <c r="F147" s="18">
        <f>D147*(($F$114)+1)+E147</f>
        <v>992.18246399999998</v>
      </c>
      <c r="G147" s="79"/>
      <c r="H147" s="80"/>
      <c r="I147" s="32"/>
      <c r="N147" s="32"/>
    </row>
    <row r="148" spans="1:16" s="2" customFormat="1" ht="15.75" customHeight="1" x14ac:dyDescent="0.3">
      <c r="A148" s="72">
        <f>A147+1</f>
        <v>4</v>
      </c>
      <c r="B148" s="72"/>
      <c r="C148" s="18" t="s">
        <v>207</v>
      </c>
      <c r="D148" s="18">
        <f>50.81*10.764</f>
        <v>546.91884000000005</v>
      </c>
      <c r="E148" s="18">
        <v>0</v>
      </c>
      <c r="F148" s="18">
        <f>D148*(($F$114)+1)+E148</f>
        <v>875.07014400000014</v>
      </c>
      <c r="G148" s="81"/>
      <c r="H148" s="82"/>
      <c r="I148" s="32"/>
      <c r="N148" s="32"/>
    </row>
    <row r="149" spans="1:16" s="2" customFormat="1" ht="15.75" customHeight="1" x14ac:dyDescent="0.3">
      <c r="A149" s="153" t="s">
        <v>224</v>
      </c>
      <c r="B149" s="154"/>
      <c r="C149" s="154"/>
      <c r="D149" s="154"/>
      <c r="E149" s="154"/>
      <c r="F149" s="154"/>
      <c r="G149" s="154"/>
      <c r="H149" s="155"/>
      <c r="I149" s="32"/>
    </row>
    <row r="150" spans="1:16" s="2" customFormat="1" ht="15.75" customHeight="1" x14ac:dyDescent="0.3">
      <c r="A150" s="74">
        <v>1</v>
      </c>
      <c r="B150" s="75"/>
      <c r="C150" s="18" t="s">
        <v>204</v>
      </c>
      <c r="D150" s="18">
        <f>35.52*10.764</f>
        <v>382.33728000000002</v>
      </c>
      <c r="E150" s="18">
        <v>0</v>
      </c>
      <c r="F150" s="18">
        <f t="shared" ref="F150:F153" si="7">D150*(($F$114)+1)+E150</f>
        <v>611.7396480000001</v>
      </c>
      <c r="G150" s="77" t="str">
        <f>A149</f>
        <v>1st to 4th, 6th, 8th, 10th, 12th, 14th, 16th &amp; 18th Floor</v>
      </c>
      <c r="H150" s="78"/>
      <c r="I150" s="32">
        <f>6*4+3*4+4</f>
        <v>40</v>
      </c>
      <c r="N150" s="2" t="str">
        <f t="shared" ref="N150:N153" ca="1" si="8">O150&amp;""&amp;",..,"&amp;""&amp;P150</f>
        <v>1401,..,1801</v>
      </c>
      <c r="O150" s="2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10^ROW(INDIRECT("1:"&amp;LEN((LEFT(A149,SUM(LEN(A149)-LEN(SUBSTITUTE(A149,{"0","1","2"},""))))))))/10))*100+1</f>
        <v>1401</v>
      </c>
      <c r="P150" s="2">
        <f ca="1">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1801</v>
      </c>
    </row>
    <row r="151" spans="1:16" s="2" customFormat="1" ht="15.75" customHeight="1" x14ac:dyDescent="0.3">
      <c r="A151" s="74">
        <v>2</v>
      </c>
      <c r="B151" s="75"/>
      <c r="C151" s="18" t="s">
        <v>207</v>
      </c>
      <c r="D151" s="18">
        <f>51.46*10.764</f>
        <v>553.91543999999999</v>
      </c>
      <c r="E151" s="18">
        <v>0</v>
      </c>
      <c r="F151" s="18">
        <f t="shared" si="7"/>
        <v>886.26470400000005</v>
      </c>
      <c r="G151" s="79"/>
      <c r="H151" s="80"/>
      <c r="I151" s="32"/>
      <c r="N151" s="2" t="str">
        <f t="shared" ca="1" si="8"/>
        <v>1402,..,1802</v>
      </c>
      <c r="O151" s="2">
        <f t="shared" ref="O151:P151" ca="1" si="9">O150+1</f>
        <v>1402</v>
      </c>
      <c r="P151" s="2">
        <f t="shared" ca="1" si="9"/>
        <v>1802</v>
      </c>
    </row>
    <row r="152" spans="1:16" s="2" customFormat="1" ht="15.75" customHeight="1" x14ac:dyDescent="0.3">
      <c r="A152" s="74">
        <v>3</v>
      </c>
      <c r="B152" s="75"/>
      <c r="C152" s="18" t="s">
        <v>207</v>
      </c>
      <c r="D152" s="18">
        <f>57.61*10.764</f>
        <v>620.11403999999993</v>
      </c>
      <c r="E152" s="18">
        <v>0</v>
      </c>
      <c r="F152" s="18">
        <f t="shared" si="7"/>
        <v>992.18246399999998</v>
      </c>
      <c r="G152" s="79"/>
      <c r="H152" s="80"/>
      <c r="I152" s="32"/>
      <c r="N152" s="2" t="str">
        <f t="shared" ca="1" si="8"/>
        <v>1403,..,1803</v>
      </c>
      <c r="O152" s="2">
        <f t="shared" ref="O152:P152" ca="1" si="10">O151+1</f>
        <v>1403</v>
      </c>
      <c r="P152" s="2">
        <f t="shared" ca="1" si="10"/>
        <v>1803</v>
      </c>
    </row>
    <row r="153" spans="1:16" s="2" customFormat="1" ht="15.75" customHeight="1" x14ac:dyDescent="0.3">
      <c r="A153" s="74">
        <v>4</v>
      </c>
      <c r="B153" s="75"/>
      <c r="C153" s="18" t="s">
        <v>207</v>
      </c>
      <c r="D153" s="18">
        <f>57.61*10.764</f>
        <v>620.11403999999993</v>
      </c>
      <c r="E153" s="18">
        <v>0</v>
      </c>
      <c r="F153" s="18">
        <f t="shared" si="7"/>
        <v>992.18246399999998</v>
      </c>
      <c r="G153" s="81"/>
      <c r="H153" s="82"/>
      <c r="I153" s="32"/>
      <c r="N153" s="2" t="str">
        <f t="shared" ca="1" si="8"/>
        <v>1404,..,1804</v>
      </c>
      <c r="O153" s="2">
        <f t="shared" ref="O153:P153" ca="1" si="11">O152+1</f>
        <v>1404</v>
      </c>
      <c r="P153" s="2">
        <f t="shared" ca="1" si="11"/>
        <v>1804</v>
      </c>
    </row>
    <row r="154" spans="1:16" s="2" customFormat="1" ht="15.75" customHeight="1" x14ac:dyDescent="0.3">
      <c r="A154" s="153" t="s">
        <v>225</v>
      </c>
      <c r="B154" s="154"/>
      <c r="C154" s="154"/>
      <c r="D154" s="154"/>
      <c r="E154" s="154"/>
      <c r="F154" s="154"/>
      <c r="G154" s="154"/>
      <c r="H154" s="155"/>
      <c r="I154" s="32"/>
    </row>
    <row r="155" spans="1:16" s="2" customFormat="1" ht="15.75" customHeight="1" x14ac:dyDescent="0.3">
      <c r="A155" s="74">
        <v>1</v>
      </c>
      <c r="B155" s="75"/>
      <c r="C155" s="18" t="s">
        <v>204</v>
      </c>
      <c r="D155" s="18">
        <f>35.52*10.764</f>
        <v>382.33728000000002</v>
      </c>
      <c r="E155" s="18">
        <v>0</v>
      </c>
      <c r="F155" s="18">
        <f t="shared" ref="F155:F158" si="12">D155*(($F$114)+1)+E155</f>
        <v>611.7396480000001</v>
      </c>
      <c r="G155" s="77" t="str">
        <f>A154</f>
        <v xml:space="preserve"> 5th, 7th, 9th, 11th, 13th, 15th &amp; 17th Floor (Refuge Area At Midlanding)</v>
      </c>
      <c r="H155" s="78"/>
      <c r="I155" s="32">
        <f>12000000/F155</f>
        <v>19616.18809444896</v>
      </c>
      <c r="N155" s="2" t="str">
        <f t="shared" ref="N155:N158" ca="1" si="13">O155&amp;""&amp;",..,"&amp;""&amp;P155</f>
        <v>501,..,1701</v>
      </c>
      <c r="O155" s="2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</f>
        <v>501</v>
      </c>
      <c r="P155" s="2">
        <f ca="1">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1701</v>
      </c>
    </row>
    <row r="156" spans="1:16" s="2" customFormat="1" ht="15.75" customHeight="1" x14ac:dyDescent="0.3">
      <c r="A156" s="74">
        <v>2</v>
      </c>
      <c r="B156" s="75"/>
      <c r="C156" s="18" t="s">
        <v>207</v>
      </c>
      <c r="D156" s="18">
        <f>51.46*10.764</f>
        <v>553.91543999999999</v>
      </c>
      <c r="E156" s="18">
        <v>0</v>
      </c>
      <c r="F156" s="18">
        <f t="shared" si="12"/>
        <v>886.26470400000005</v>
      </c>
      <c r="G156" s="79"/>
      <c r="H156" s="80"/>
      <c r="I156" s="32"/>
      <c r="N156" s="2" t="str">
        <f t="shared" ca="1" si="13"/>
        <v>502,..,1702</v>
      </c>
      <c r="O156" s="2">
        <f t="shared" ref="O156:P156" ca="1" si="14">O155+1</f>
        <v>502</v>
      </c>
      <c r="P156" s="2">
        <f t="shared" ca="1" si="14"/>
        <v>1702</v>
      </c>
    </row>
    <row r="157" spans="1:16" s="2" customFormat="1" ht="15.75" customHeight="1" x14ac:dyDescent="0.3">
      <c r="A157" s="74">
        <v>3</v>
      </c>
      <c r="B157" s="75"/>
      <c r="C157" s="18" t="s">
        <v>207</v>
      </c>
      <c r="D157" s="18">
        <f>57.61*10.764</f>
        <v>620.11403999999993</v>
      </c>
      <c r="E157" s="18">
        <v>0</v>
      </c>
      <c r="F157" s="18">
        <f t="shared" si="12"/>
        <v>992.18246399999998</v>
      </c>
      <c r="G157" s="79"/>
      <c r="H157" s="80"/>
      <c r="I157" s="32">
        <f>17500000/F158</f>
        <v>17637.884799383031</v>
      </c>
      <c r="N157" s="2" t="str">
        <f t="shared" ca="1" si="13"/>
        <v>503,..,1703</v>
      </c>
      <c r="O157" s="2">
        <f t="shared" ref="O157:P157" ca="1" si="15">O156+1</f>
        <v>503</v>
      </c>
      <c r="P157" s="2">
        <f t="shared" ca="1" si="15"/>
        <v>1703</v>
      </c>
    </row>
    <row r="158" spans="1:16" s="2" customFormat="1" ht="15.75" customHeight="1" x14ac:dyDescent="0.3">
      <c r="A158" s="74">
        <v>4</v>
      </c>
      <c r="B158" s="75"/>
      <c r="C158" s="18" t="s">
        <v>207</v>
      </c>
      <c r="D158" s="18">
        <f>57.61*10.764</f>
        <v>620.11403999999993</v>
      </c>
      <c r="E158" s="18">
        <v>0</v>
      </c>
      <c r="F158" s="18">
        <f t="shared" si="12"/>
        <v>992.18246399999998</v>
      </c>
      <c r="G158" s="81"/>
      <c r="H158" s="82"/>
      <c r="I158" s="32"/>
      <c r="N158" s="2" t="str">
        <f t="shared" ca="1" si="13"/>
        <v>504,..,1704</v>
      </c>
      <c r="O158" s="2">
        <f t="shared" ref="O158:P158" ca="1" si="16">O157+1</f>
        <v>504</v>
      </c>
      <c r="P158" s="2">
        <f t="shared" ca="1" si="16"/>
        <v>1704</v>
      </c>
    </row>
    <row r="159" spans="1:16" s="1" customFormat="1" x14ac:dyDescent="0.3">
      <c r="A159" s="157" t="s">
        <v>75</v>
      </c>
      <c r="B159" s="157"/>
      <c r="C159" s="157"/>
      <c r="D159" s="157"/>
      <c r="E159" s="157"/>
      <c r="F159" s="157"/>
      <c r="G159" s="157"/>
      <c r="H159" s="157"/>
    </row>
    <row r="160" spans="1:16" s="1" customFormat="1" ht="49.2" customHeight="1" x14ac:dyDescent="0.3">
      <c r="A160" s="39">
        <v>1</v>
      </c>
      <c r="B160" s="189" t="s">
        <v>261</v>
      </c>
      <c r="C160" s="190"/>
      <c r="D160" s="190"/>
      <c r="E160" s="190"/>
      <c r="F160" s="190"/>
      <c r="G160" s="190"/>
      <c r="H160" s="191"/>
      <c r="I160" s="71" t="s">
        <v>256</v>
      </c>
    </row>
    <row r="161" spans="1:18" s="1" customFormat="1" x14ac:dyDescent="0.3">
      <c r="A161" s="39">
        <f t="shared" ref="A161:A170" si="17">A160+1</f>
        <v>2</v>
      </c>
      <c r="B161" s="192" t="s">
        <v>198</v>
      </c>
      <c r="C161" s="193"/>
      <c r="D161" s="193"/>
      <c r="E161" s="193"/>
      <c r="F161" s="193"/>
      <c r="G161" s="193"/>
      <c r="H161" s="194"/>
    </row>
    <row r="162" spans="1:18" s="1" customFormat="1" x14ac:dyDescent="0.3">
      <c r="A162" s="39">
        <f t="shared" si="17"/>
        <v>3</v>
      </c>
      <c r="B162" s="192" t="s">
        <v>159</v>
      </c>
      <c r="C162" s="193"/>
      <c r="D162" s="193"/>
      <c r="E162" s="193"/>
      <c r="F162" s="193"/>
      <c r="G162" s="193"/>
      <c r="H162" s="194"/>
    </row>
    <row r="163" spans="1:18" s="1" customFormat="1" x14ac:dyDescent="0.3">
      <c r="A163" s="39">
        <f t="shared" si="17"/>
        <v>4</v>
      </c>
      <c r="B163" s="192" t="s">
        <v>211</v>
      </c>
      <c r="C163" s="193"/>
      <c r="D163" s="193"/>
      <c r="E163" s="193"/>
      <c r="F163" s="193"/>
      <c r="G163" s="193"/>
      <c r="H163" s="194"/>
    </row>
    <row r="164" spans="1:18" s="1" customFormat="1" x14ac:dyDescent="0.3">
      <c r="A164" s="39">
        <f t="shared" si="17"/>
        <v>5</v>
      </c>
      <c r="B164" s="192" t="s">
        <v>160</v>
      </c>
      <c r="C164" s="193"/>
      <c r="D164" s="193"/>
      <c r="E164" s="193"/>
      <c r="F164" s="193"/>
      <c r="G164" s="193"/>
      <c r="H164" s="194"/>
    </row>
    <row r="165" spans="1:18" s="1" customFormat="1" x14ac:dyDescent="0.3">
      <c r="A165" s="39">
        <f t="shared" si="17"/>
        <v>6</v>
      </c>
      <c r="B165" s="192" t="s">
        <v>161</v>
      </c>
      <c r="C165" s="193"/>
      <c r="D165" s="193"/>
      <c r="E165" s="193"/>
      <c r="F165" s="193"/>
      <c r="G165" s="193"/>
      <c r="H165" s="194"/>
    </row>
    <row r="166" spans="1:18" s="62" customFormat="1" x14ac:dyDescent="0.3">
      <c r="A166" s="39">
        <f t="shared" si="17"/>
        <v>7</v>
      </c>
      <c r="B166" s="189" t="s">
        <v>227</v>
      </c>
      <c r="C166" s="190"/>
      <c r="D166" s="190"/>
      <c r="E166" s="190"/>
      <c r="F166" s="190"/>
      <c r="G166" s="190"/>
      <c r="H166" s="191"/>
    </row>
    <row r="167" spans="1:18" s="62" customFormat="1" x14ac:dyDescent="0.3">
      <c r="A167" s="70">
        <f t="shared" si="17"/>
        <v>8</v>
      </c>
      <c r="B167" s="195" t="s">
        <v>243</v>
      </c>
      <c r="C167" s="196"/>
      <c r="D167" s="196"/>
      <c r="E167" s="196"/>
      <c r="F167" s="196"/>
      <c r="G167" s="196"/>
      <c r="H167" s="197"/>
    </row>
    <row r="168" spans="1:18" s="62" customFormat="1" x14ac:dyDescent="0.3">
      <c r="A168" s="39">
        <f t="shared" si="17"/>
        <v>9</v>
      </c>
      <c r="B168" s="189" t="s">
        <v>245</v>
      </c>
      <c r="C168" s="190"/>
      <c r="D168" s="190"/>
      <c r="E168" s="190"/>
      <c r="F168" s="190"/>
      <c r="G168" s="190"/>
      <c r="H168" s="191"/>
    </row>
    <row r="169" spans="1:18" s="62" customFormat="1" x14ac:dyDescent="0.3">
      <c r="A169" s="39">
        <f t="shared" si="17"/>
        <v>10</v>
      </c>
      <c r="B169" s="189" t="s">
        <v>255</v>
      </c>
      <c r="C169" s="190"/>
      <c r="D169" s="190"/>
      <c r="E169" s="190"/>
      <c r="F169" s="190"/>
      <c r="G169" s="190"/>
      <c r="H169" s="191"/>
    </row>
    <row r="170" spans="1:18" s="62" customFormat="1" x14ac:dyDescent="0.3">
      <c r="A170" s="39">
        <f t="shared" si="17"/>
        <v>11</v>
      </c>
      <c r="B170" s="189" t="s">
        <v>258</v>
      </c>
      <c r="C170" s="190"/>
      <c r="D170" s="190"/>
      <c r="E170" s="190"/>
      <c r="F170" s="190"/>
      <c r="G170" s="190"/>
      <c r="H170" s="191"/>
    </row>
    <row r="171" spans="1:18" x14ac:dyDescent="0.3">
      <c r="A171" s="162" t="s">
        <v>68</v>
      </c>
      <c r="B171" s="162"/>
      <c r="C171" s="162"/>
      <c r="D171" s="162"/>
      <c r="E171" s="162"/>
      <c r="F171" s="162"/>
      <c r="G171" s="162"/>
      <c r="H171" s="162"/>
    </row>
    <row r="172" spans="1:18" x14ac:dyDescent="0.3">
      <c r="A172" s="84" t="s">
        <v>69</v>
      </c>
      <c r="B172" s="84"/>
      <c r="C172" s="84"/>
      <c r="D172" s="84"/>
      <c r="E172" s="84"/>
      <c r="F172" s="84"/>
      <c r="G172" s="84"/>
      <c r="H172" s="84"/>
      <c r="R172" s="62" t="s">
        <v>214</v>
      </c>
    </row>
    <row r="173" spans="1:18" ht="15.75" customHeight="1" x14ac:dyDescent="0.3">
      <c r="A173" s="180" t="s">
        <v>70</v>
      </c>
      <c r="B173" s="180"/>
      <c r="C173" s="180"/>
      <c r="D173" s="180"/>
      <c r="E173" s="180"/>
      <c r="F173" s="180"/>
      <c r="G173" s="180"/>
      <c r="H173" s="180"/>
    </row>
    <row r="174" spans="1:18" x14ac:dyDescent="0.3">
      <c r="A174" s="84" t="s">
        <v>71</v>
      </c>
      <c r="B174" s="84"/>
      <c r="C174" s="84"/>
      <c r="D174" s="84"/>
      <c r="E174" s="84"/>
      <c r="F174" s="84"/>
      <c r="G174" s="84"/>
      <c r="H174" s="84"/>
    </row>
    <row r="175" spans="1:18" x14ac:dyDescent="0.3">
      <c r="A175" s="84" t="s">
        <v>72</v>
      </c>
      <c r="B175" s="84"/>
      <c r="C175" s="84"/>
      <c r="D175" s="84"/>
      <c r="E175" s="84"/>
      <c r="F175" s="84"/>
      <c r="G175" s="84"/>
      <c r="H175" s="84"/>
    </row>
    <row r="176" spans="1:18" x14ac:dyDescent="0.3">
      <c r="A176" s="84" t="s">
        <v>162</v>
      </c>
      <c r="B176" s="84"/>
      <c r="C176" s="84"/>
      <c r="D176" s="84"/>
      <c r="E176" s="84"/>
      <c r="F176" s="84"/>
      <c r="G176" s="84"/>
      <c r="H176" s="84"/>
    </row>
    <row r="177" spans="1:8" ht="35.25" hidden="1" customHeight="1" x14ac:dyDescent="0.3">
      <c r="A177" s="145" t="s">
        <v>163</v>
      </c>
      <c r="B177" s="145"/>
      <c r="C177" s="145"/>
      <c r="D177" s="145"/>
      <c r="E177" s="145"/>
      <c r="F177" s="145"/>
      <c r="G177" s="145"/>
      <c r="H177" s="145"/>
    </row>
    <row r="178" spans="1:8" x14ac:dyDescent="0.3">
      <c r="A178" s="90" t="s">
        <v>107</v>
      </c>
      <c r="B178" s="90"/>
      <c r="C178" s="90" t="s">
        <v>257</v>
      </c>
      <c r="D178" s="90"/>
      <c r="E178" s="90" t="s">
        <v>140</v>
      </c>
      <c r="F178" s="90"/>
      <c r="G178" s="90" t="s">
        <v>262</v>
      </c>
      <c r="H178" s="90"/>
    </row>
    <row r="179" spans="1:8" x14ac:dyDescent="0.3">
      <c r="A179" s="146" t="s">
        <v>109</v>
      </c>
      <c r="B179" s="146"/>
      <c r="C179" s="146"/>
      <c r="D179" s="146"/>
      <c r="E179" s="146"/>
      <c r="F179" s="146"/>
      <c r="G179" s="146"/>
      <c r="H179" s="146"/>
    </row>
    <row r="180" spans="1:8" x14ac:dyDescent="0.3">
      <c r="A180" s="146"/>
      <c r="B180" s="146"/>
      <c r="C180" s="146"/>
      <c r="D180" s="146"/>
      <c r="E180" s="146"/>
      <c r="F180" s="146"/>
      <c r="G180" s="146"/>
      <c r="H180" s="146"/>
    </row>
    <row r="181" spans="1:8" x14ac:dyDescent="0.3">
      <c r="A181" s="146"/>
      <c r="B181" s="146"/>
      <c r="C181" s="146"/>
      <c r="D181" s="146"/>
      <c r="E181" s="146"/>
      <c r="F181" s="146"/>
      <c r="G181" s="146"/>
      <c r="H181" s="146"/>
    </row>
    <row r="182" spans="1:8" x14ac:dyDescent="0.3">
      <c r="A182" s="146"/>
      <c r="B182" s="146"/>
      <c r="C182" s="146"/>
      <c r="D182" s="146"/>
      <c r="E182" s="146"/>
      <c r="F182" s="146"/>
      <c r="G182" s="146"/>
      <c r="H182" s="146"/>
    </row>
    <row r="183" spans="1:8" x14ac:dyDescent="0.3">
      <c r="A183" s="13" t="s">
        <v>73</v>
      </c>
      <c r="B183" s="14"/>
      <c r="C183" s="14"/>
      <c r="D183" s="13" t="str">
        <f>E8</f>
        <v>Veridian at Emerald Isle 14A &amp; 14B</v>
      </c>
      <c r="F183" s="14"/>
      <c r="G183" s="14"/>
      <c r="H183" s="14"/>
    </row>
    <row r="184" spans="1:8" x14ac:dyDescent="0.3">
      <c r="A184" s="14"/>
      <c r="B184" s="14"/>
      <c r="C184" s="14"/>
      <c r="D184" s="14"/>
      <c r="E184" s="14"/>
      <c r="F184" s="14"/>
      <c r="G184" s="14"/>
      <c r="H184" s="14"/>
    </row>
    <row r="185" spans="1:8" x14ac:dyDescent="0.3">
      <c r="A185" s="14"/>
      <c r="B185" s="14"/>
      <c r="C185" s="14"/>
      <c r="D185" s="14"/>
      <c r="E185" s="14"/>
      <c r="F185" s="14"/>
      <c r="G185" s="14"/>
      <c r="H185" s="14"/>
    </row>
    <row r="186" spans="1:8" ht="15" customHeight="1" x14ac:dyDescent="0.3"/>
    <row r="226" spans="1:1" x14ac:dyDescent="0.3">
      <c r="A226" s="16" t="s">
        <v>74</v>
      </c>
    </row>
  </sheetData>
  <mergeCells count="322">
    <mergeCell ref="B170:H170"/>
    <mergeCell ref="B161:H161"/>
    <mergeCell ref="B162:H162"/>
    <mergeCell ref="B163:H163"/>
    <mergeCell ref="B164:H164"/>
    <mergeCell ref="A157:B157"/>
    <mergeCell ref="A158:B158"/>
    <mergeCell ref="G150:H153"/>
    <mergeCell ref="G155:H158"/>
    <mergeCell ref="B169:H169"/>
    <mergeCell ref="B168:H168"/>
    <mergeCell ref="B167:H167"/>
    <mergeCell ref="B166:H166"/>
    <mergeCell ref="A152:B152"/>
    <mergeCell ref="A153:B153"/>
    <mergeCell ref="A155:B155"/>
    <mergeCell ref="A156:B156"/>
    <mergeCell ref="B165:H165"/>
    <mergeCell ref="B160:H160"/>
    <mergeCell ref="A110:B110"/>
    <mergeCell ref="C110:D110"/>
    <mergeCell ref="E110:F110"/>
    <mergeCell ref="G110:H110"/>
    <mergeCell ref="A145:B145"/>
    <mergeCell ref="A115:H115"/>
    <mergeCell ref="A128:B128"/>
    <mergeCell ref="A116:H116"/>
    <mergeCell ref="A119:H119"/>
    <mergeCell ref="A142:B142"/>
    <mergeCell ref="G142:H142"/>
    <mergeCell ref="A143:B143"/>
    <mergeCell ref="G143:H143"/>
    <mergeCell ref="A144:H144"/>
    <mergeCell ref="A125:B125"/>
    <mergeCell ref="G125:H125"/>
    <mergeCell ref="A126:B126"/>
    <mergeCell ref="G126:H126"/>
    <mergeCell ref="G133:H133"/>
    <mergeCell ref="G136:H136"/>
    <mergeCell ref="C133:F133"/>
    <mergeCell ref="A138:H138"/>
    <mergeCell ref="L116:M116"/>
    <mergeCell ref="A117:H117"/>
    <mergeCell ref="A118:H118"/>
    <mergeCell ref="A122:H122"/>
    <mergeCell ref="A137:H137"/>
    <mergeCell ref="A121:B121"/>
    <mergeCell ref="G120:H120"/>
    <mergeCell ref="G124:H124"/>
    <mergeCell ref="G123:H123"/>
    <mergeCell ref="G121:H121"/>
    <mergeCell ref="L122:M122"/>
    <mergeCell ref="L118:M118"/>
    <mergeCell ref="L117:M117"/>
    <mergeCell ref="A134:B134"/>
    <mergeCell ref="A135:B135"/>
    <mergeCell ref="A136:B136"/>
    <mergeCell ref="G131:H131"/>
    <mergeCell ref="A131:B131"/>
    <mergeCell ref="L119:M119"/>
    <mergeCell ref="E40:H40"/>
    <mergeCell ref="A40:D40"/>
    <mergeCell ref="A176:H176"/>
    <mergeCell ref="A173:H173"/>
    <mergeCell ref="A133:B133"/>
    <mergeCell ref="A107:B107"/>
    <mergeCell ref="D113:D114"/>
    <mergeCell ref="E113:E114"/>
    <mergeCell ref="G113:H114"/>
    <mergeCell ref="A83:B83"/>
    <mergeCell ref="A84:B84"/>
    <mergeCell ref="A85:B85"/>
    <mergeCell ref="A75:B75"/>
    <mergeCell ref="C75:H75"/>
    <mergeCell ref="A70:B70"/>
    <mergeCell ref="F93:H93"/>
    <mergeCell ref="A90:H90"/>
    <mergeCell ref="A91:B91"/>
    <mergeCell ref="G108:H108"/>
    <mergeCell ref="A46:B46"/>
    <mergeCell ref="C46:E46"/>
    <mergeCell ref="C49:E49"/>
    <mergeCell ref="A149:H149"/>
    <mergeCell ref="G109:H109"/>
    <mergeCell ref="G49:H49"/>
    <mergeCell ref="G46:H46"/>
    <mergeCell ref="G48:H48"/>
    <mergeCell ref="D52:H52"/>
    <mergeCell ref="C48:E48"/>
    <mergeCell ref="A55:C56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A172:H172"/>
    <mergeCell ref="E107:F107"/>
    <mergeCell ref="A89:E89"/>
    <mergeCell ref="F89:H89"/>
    <mergeCell ref="A111:H111"/>
    <mergeCell ref="G135:H135"/>
    <mergeCell ref="F100:H100"/>
    <mergeCell ref="F96:H96"/>
    <mergeCell ref="F103:H103"/>
    <mergeCell ref="F101:H101"/>
    <mergeCell ref="A129:B129"/>
    <mergeCell ref="A112:H112"/>
    <mergeCell ref="A102:E102"/>
    <mergeCell ref="G134:H134"/>
    <mergeCell ref="C91:H91"/>
    <mergeCell ref="F94:H94"/>
    <mergeCell ref="A94:E94"/>
    <mergeCell ref="A103:E103"/>
    <mergeCell ref="A95:E95"/>
    <mergeCell ref="A123:B123"/>
    <mergeCell ref="A124:B124"/>
    <mergeCell ref="A120:B120"/>
    <mergeCell ref="A150:B150"/>
    <mergeCell ref="A151:B151"/>
    <mergeCell ref="A179:H182"/>
    <mergeCell ref="A178:B178"/>
    <mergeCell ref="E178:F178"/>
    <mergeCell ref="C178:D178"/>
    <mergeCell ref="G178:H178"/>
    <mergeCell ref="A104:E104"/>
    <mergeCell ref="F104:H104"/>
    <mergeCell ref="A105:E105"/>
    <mergeCell ref="F105:H105"/>
    <mergeCell ref="A132:H132"/>
    <mergeCell ref="A108:B108"/>
    <mergeCell ref="A130:B130"/>
    <mergeCell ref="A174:H174"/>
    <mergeCell ref="A106:H106"/>
    <mergeCell ref="A177:H177"/>
    <mergeCell ref="A175:H175"/>
    <mergeCell ref="A159:H159"/>
    <mergeCell ref="B113:B114"/>
    <mergeCell ref="A154:H154"/>
    <mergeCell ref="A127:H127"/>
    <mergeCell ref="C113:C114"/>
    <mergeCell ref="C107:D107"/>
    <mergeCell ref="G107:H107"/>
    <mergeCell ref="A171:H171"/>
    <mergeCell ref="A60:C60"/>
    <mergeCell ref="D60:H60"/>
    <mergeCell ref="A65:B65"/>
    <mergeCell ref="G64:H64"/>
    <mergeCell ref="A63:B63"/>
    <mergeCell ref="A61:B61"/>
    <mergeCell ref="C61:H61"/>
    <mergeCell ref="A69:B69"/>
    <mergeCell ref="A59:C59"/>
    <mergeCell ref="D59:H59"/>
    <mergeCell ref="C63:H63"/>
    <mergeCell ref="A66:B66"/>
    <mergeCell ref="A68:B68"/>
    <mergeCell ref="E64:F64"/>
    <mergeCell ref="A57:C57"/>
    <mergeCell ref="A58:C58"/>
    <mergeCell ref="D57:H57"/>
    <mergeCell ref="E65:F74"/>
    <mergeCell ref="G65:H74"/>
    <mergeCell ref="A73:B73"/>
    <mergeCell ref="A74:B74"/>
    <mergeCell ref="D58:H58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71:B71"/>
    <mergeCell ref="A64:B64"/>
    <mergeCell ref="A67:B6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C36:H36"/>
    <mergeCell ref="A37:B37"/>
    <mergeCell ref="C37:H37"/>
    <mergeCell ref="A72:B72"/>
    <mergeCell ref="C108:D108"/>
    <mergeCell ref="E108:F108"/>
    <mergeCell ref="F99:H99"/>
    <mergeCell ref="A93:E93"/>
    <mergeCell ref="A79:B79"/>
    <mergeCell ref="E79:F88"/>
    <mergeCell ref="A113:A114"/>
    <mergeCell ref="A86:B86"/>
    <mergeCell ref="A87:B87"/>
    <mergeCell ref="A88:B88"/>
    <mergeCell ref="G79:H88"/>
    <mergeCell ref="A80:B80"/>
    <mergeCell ref="A81:B81"/>
    <mergeCell ref="A82:B82"/>
    <mergeCell ref="F102:H102"/>
    <mergeCell ref="A101:E101"/>
    <mergeCell ref="F95:H95"/>
    <mergeCell ref="A100:E100"/>
    <mergeCell ref="A97:E97"/>
    <mergeCell ref="F97:H97"/>
    <mergeCell ref="A109:B109"/>
    <mergeCell ref="C109:D109"/>
    <mergeCell ref="E109:F109"/>
    <mergeCell ref="A96:E96"/>
    <mergeCell ref="A77:B77"/>
    <mergeCell ref="C77:H77"/>
    <mergeCell ref="A78:B78"/>
    <mergeCell ref="E78:F78"/>
    <mergeCell ref="G78:H78"/>
    <mergeCell ref="A98:E98"/>
    <mergeCell ref="F98:H98"/>
    <mergeCell ref="A99:E99"/>
    <mergeCell ref="A92:E92"/>
    <mergeCell ref="F92:H92"/>
    <mergeCell ref="A147:B147"/>
    <mergeCell ref="A148:B148"/>
    <mergeCell ref="L144:M144"/>
    <mergeCell ref="L138:M138"/>
    <mergeCell ref="G130:H130"/>
    <mergeCell ref="G128:H128"/>
    <mergeCell ref="G129:H129"/>
    <mergeCell ref="A139:H139"/>
    <mergeCell ref="L139:M139"/>
    <mergeCell ref="A140:H140"/>
    <mergeCell ref="L140:M140"/>
    <mergeCell ref="A141:H141"/>
    <mergeCell ref="L141:M141"/>
    <mergeCell ref="A146:B146"/>
    <mergeCell ref="G145:H148"/>
  </mergeCells>
  <dataValidations count="1">
    <dataValidation type="list" allowBlank="1" showInputMessage="1" showErrorMessage="1" sqref="F92:H92" xr:uid="{00000000-0002-0000-0000-000000000000}">
      <formula1>"On Saleable Area,On Builtup Area,On Carpet Area,On Plot Area"</formula1>
    </dataValidation>
  </dataValidation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scale="99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&amp;P</oddFooter>
  </headerFooter>
  <rowBreaks count="4" manualBreakCount="4">
    <brk id="60" max="16383" man="1"/>
    <brk id="182" max="16383" man="1"/>
    <brk id="225" max="7" man="1"/>
    <brk id="26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10" workbookViewId="0">
      <selection activeCell="F21" sqref="F21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76</v>
      </c>
      <c r="C2" s="198"/>
      <c r="D2" s="198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77</v>
      </c>
      <c r="B4" s="5" t="s">
        <v>78</v>
      </c>
      <c r="C4" s="199" t="s">
        <v>79</v>
      </c>
      <c r="D4" s="199"/>
      <c r="E4" s="199"/>
      <c r="F4" s="6"/>
      <c r="G4" s="199" t="s">
        <v>80</v>
      </c>
      <c r="H4" s="199"/>
      <c r="I4" s="199"/>
      <c r="J4" s="199" t="s">
        <v>81</v>
      </c>
      <c r="K4" s="199"/>
      <c r="L4" s="199"/>
    </row>
    <row r="5" spans="1:12" x14ac:dyDescent="0.3">
      <c r="A5" s="3">
        <v>202</v>
      </c>
      <c r="B5" s="5"/>
      <c r="C5" s="5" t="s">
        <v>82</v>
      </c>
      <c r="D5" s="5" t="s">
        <v>83</v>
      </c>
      <c r="E5" s="5" t="s">
        <v>60</v>
      </c>
      <c r="F5" s="5"/>
      <c r="G5" s="5" t="s">
        <v>82</v>
      </c>
      <c r="H5" s="5" t="s">
        <v>83</v>
      </c>
      <c r="I5" s="5" t="s">
        <v>60</v>
      </c>
      <c r="J5" s="5" t="s">
        <v>82</v>
      </c>
      <c r="K5" s="5" t="s">
        <v>83</v>
      </c>
      <c r="L5" s="5" t="s">
        <v>60</v>
      </c>
    </row>
    <row r="6" spans="1:12" x14ac:dyDescent="0.3">
      <c r="B6" s="7" t="s">
        <v>84</v>
      </c>
      <c r="C6" s="7"/>
      <c r="D6" s="7"/>
      <c r="E6" s="7">
        <f>C6*D6</f>
        <v>0</v>
      </c>
      <c r="F6" s="7" t="s">
        <v>85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87</v>
      </c>
      <c r="C9" s="7"/>
      <c r="D9" s="7"/>
      <c r="E9" s="7">
        <f t="shared" si="0"/>
        <v>0</v>
      </c>
      <c r="F9" s="7" t="s">
        <v>85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88</v>
      </c>
      <c r="C13" s="7"/>
      <c r="D13" s="7"/>
      <c r="E13" s="7">
        <f t="shared" si="0"/>
        <v>0</v>
      </c>
      <c r="F13" s="7" t="s">
        <v>85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89</v>
      </c>
      <c r="C17" s="7"/>
      <c r="D17" s="7"/>
      <c r="E17" s="7">
        <f t="shared" si="0"/>
        <v>0</v>
      </c>
      <c r="F17" s="7" t="s">
        <v>85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89</v>
      </c>
      <c r="C20" s="7"/>
      <c r="D20" s="7"/>
      <c r="E20" s="7">
        <f t="shared" si="0"/>
        <v>0</v>
      </c>
      <c r="F20" s="7" t="s">
        <v>85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90</v>
      </c>
      <c r="C23" s="7"/>
      <c r="D23" s="7"/>
      <c r="E23" s="7">
        <f t="shared" si="0"/>
        <v>0</v>
      </c>
      <c r="F23" s="7" t="s">
        <v>91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92</v>
      </c>
      <c r="C24" s="7"/>
      <c r="D24" s="7"/>
      <c r="E24" s="7">
        <f t="shared" si="0"/>
        <v>0</v>
      </c>
      <c r="F24" s="7" t="s">
        <v>91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93</v>
      </c>
      <c r="C25" s="7"/>
      <c r="D25" s="7"/>
      <c r="E25" s="7">
        <f t="shared" si="0"/>
        <v>0</v>
      </c>
      <c r="F25" s="7" t="s">
        <v>91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94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95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96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61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F15" sqref="F15"/>
    </sheetView>
  </sheetViews>
  <sheetFormatPr defaultColWidth="8.6640625" defaultRowHeight="14.4" x14ac:dyDescent="0.3"/>
  <cols>
    <col min="1" max="1" width="8.6640625" style="19"/>
    <col min="2" max="2" width="22.109375" style="19" customWidth="1"/>
    <col min="3" max="3" width="37" style="19" customWidth="1"/>
    <col min="4" max="5" width="11.44140625" style="19" customWidth="1"/>
    <col min="6" max="6" width="14" style="19" customWidth="1"/>
    <col min="7" max="7" width="20" style="19" customWidth="1"/>
    <col min="8" max="8" width="16.44140625" style="19" customWidth="1"/>
    <col min="9" max="16384" width="8.6640625" style="19"/>
  </cols>
  <sheetData>
    <row r="1" spans="1:9" ht="15" customHeight="1" x14ac:dyDescent="0.3"/>
    <row r="2" spans="1:9" ht="15" customHeight="1" x14ac:dyDescent="0.3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3">
      <c r="A3" s="20"/>
      <c r="B3" s="200" t="s">
        <v>141</v>
      </c>
      <c r="C3" s="200"/>
      <c r="D3" s="200"/>
      <c r="E3" s="200"/>
      <c r="F3" s="200"/>
      <c r="G3" s="200"/>
      <c r="H3" s="200"/>
    </row>
    <row r="4" spans="1:9" x14ac:dyDescent="0.3">
      <c r="A4" s="20"/>
      <c r="B4" s="21" t="s">
        <v>142</v>
      </c>
      <c r="C4" s="21" t="s">
        <v>143</v>
      </c>
      <c r="D4" s="21" t="s">
        <v>77</v>
      </c>
      <c r="E4" s="21" t="s">
        <v>144</v>
      </c>
      <c r="F4" s="21" t="s">
        <v>150</v>
      </c>
      <c r="G4" s="21" t="s">
        <v>151</v>
      </c>
      <c r="H4" s="21" t="s">
        <v>145</v>
      </c>
    </row>
    <row r="5" spans="1:9" ht="15" customHeight="1" x14ac:dyDescent="0.3">
      <c r="A5" s="20"/>
      <c r="B5" s="23" t="s">
        <v>146</v>
      </c>
      <c r="C5" s="24"/>
      <c r="D5" s="23" t="s">
        <v>207</v>
      </c>
      <c r="E5" s="23">
        <v>611</v>
      </c>
      <c r="F5" s="25">
        <f>E5*1.6</f>
        <v>977.6</v>
      </c>
      <c r="G5" s="25">
        <f>H5/F5</f>
        <v>18207.855973813421</v>
      </c>
      <c r="H5" s="26">
        <v>17800000</v>
      </c>
    </row>
    <row r="6" spans="1:9" x14ac:dyDescent="0.3">
      <c r="A6" s="20"/>
      <c r="B6" s="23" t="s">
        <v>146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3">
      <c r="A7" s="20"/>
      <c r="B7" s="23" t="s">
        <v>146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3">
      <c r="A8" s="20"/>
      <c r="B8" s="23" t="s">
        <v>146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3">
      <c r="A9" s="20"/>
      <c r="B9" s="23" t="s">
        <v>146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3">
      <c r="A10" s="20"/>
      <c r="B10" s="23" t="s">
        <v>147</v>
      </c>
      <c r="C10" s="24"/>
      <c r="D10" s="23" t="s">
        <v>204</v>
      </c>
      <c r="E10" s="23">
        <v>378</v>
      </c>
      <c r="F10" s="25">
        <f t="shared" si="0"/>
        <v>604.80000000000007</v>
      </c>
      <c r="G10" s="25">
        <f t="shared" si="1"/>
        <v>19841.269841269837</v>
      </c>
      <c r="H10" s="26">
        <v>12000000</v>
      </c>
    </row>
    <row r="11" spans="1:9" ht="15" customHeight="1" x14ac:dyDescent="0.3">
      <c r="A11" s="20"/>
      <c r="B11" s="23" t="s">
        <v>147</v>
      </c>
      <c r="C11" s="24"/>
      <c r="D11" s="23" t="s">
        <v>207</v>
      </c>
      <c r="E11" s="23">
        <v>611</v>
      </c>
      <c r="F11" s="25">
        <f t="shared" si="0"/>
        <v>977.6</v>
      </c>
      <c r="G11" s="25">
        <f t="shared" si="1"/>
        <v>17900.981996726678</v>
      </c>
      <c r="H11" s="26">
        <v>17500000</v>
      </c>
    </row>
    <row r="12" spans="1:9" ht="15" customHeight="1" x14ac:dyDescent="0.3">
      <c r="A12" s="20"/>
      <c r="B12" s="28" t="s">
        <v>148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3">
      <c r="B13" s="28" t="s">
        <v>149</v>
      </c>
      <c r="C13" s="23"/>
      <c r="D13" s="23"/>
      <c r="E13" s="23"/>
      <c r="F13" s="30"/>
      <c r="G13" s="28"/>
      <c r="H13" s="28"/>
      <c r="I13" s="22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N19" sqref="N1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2025-09-19T10:46:41Z</cp:lastPrinted>
  <dcterms:created xsi:type="dcterms:W3CDTF">2019-07-16T09:29:46Z</dcterms:created>
  <dcterms:modified xsi:type="dcterms:W3CDTF">2025-09-19T10:49:03Z</dcterms:modified>
</cp:coreProperties>
</file>