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4193E109-6F10-47CE-B853-9D79A579499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C47" i="1"/>
  <c r="C68" i="1" l="1"/>
  <c r="F106" i="1" l="1"/>
  <c r="C69" i="1" l="1"/>
  <c r="Q69" i="1" l="1"/>
  <c r="G123" i="1" l="1"/>
  <c r="C83" i="1"/>
  <c r="C84" i="1" s="1"/>
  <c r="C85" i="1" s="1"/>
  <c r="E3" i="1" l="1"/>
  <c r="D154" i="1" l="1"/>
  <c r="D150" i="1"/>
  <c r="D149" i="1"/>
  <c r="D145" i="1"/>
  <c r="D144" i="1"/>
  <c r="D142" i="1" l="1"/>
  <c r="D141" i="1"/>
  <c r="D147" i="1"/>
  <c r="F147" i="1" s="1"/>
  <c r="D146" i="1"/>
  <c r="F146" i="1" s="1"/>
  <c r="A147" i="1"/>
  <c r="D157" i="1"/>
  <c r="D156" i="1"/>
  <c r="D152" i="1"/>
  <c r="D151" i="1"/>
  <c r="D134" i="1"/>
  <c r="F134" i="1" s="1"/>
  <c r="D135" i="1"/>
  <c r="F135" i="1" s="1"/>
  <c r="D136" i="1"/>
  <c r="F136" i="1" s="1"/>
  <c r="D133" i="1"/>
  <c r="F133" i="1" s="1"/>
  <c r="D129" i="1"/>
  <c r="D130" i="1"/>
  <c r="D131" i="1"/>
  <c r="D128" i="1"/>
  <c r="D126" i="1"/>
  <c r="D125" i="1"/>
  <c r="D124" i="1"/>
  <c r="F124" i="1" s="1"/>
  <c r="D123" i="1"/>
  <c r="F123" i="1" s="1"/>
  <c r="D121" i="1"/>
  <c r="D120" i="1"/>
  <c r="A134" i="1"/>
  <c r="A135" i="1" s="1"/>
  <c r="A136" i="1" s="1"/>
  <c r="G133" i="1"/>
  <c r="A124" i="1"/>
  <c r="E110" i="1" l="1"/>
  <c r="E109" i="1"/>
  <c r="C109" i="1"/>
  <c r="C110" i="1"/>
  <c r="C62" i="1"/>
  <c r="F145" i="1" l="1"/>
  <c r="F144" i="1"/>
  <c r="F142" i="1"/>
  <c r="F154" i="1"/>
  <c r="F157" i="1"/>
  <c r="F156" i="1"/>
  <c r="I156" i="1" s="1"/>
  <c r="A145" i="1"/>
  <c r="G144" i="1"/>
  <c r="A142" i="1"/>
  <c r="G141" i="1"/>
  <c r="F126" i="1"/>
  <c r="F125" i="1"/>
  <c r="F131" i="1"/>
  <c r="F130" i="1"/>
  <c r="F129" i="1"/>
  <c r="F128" i="1"/>
  <c r="A129" i="1"/>
  <c r="A130" i="1" s="1"/>
  <c r="A131" i="1" s="1"/>
  <c r="G128" i="1"/>
  <c r="A126" i="1"/>
  <c r="G154" i="1"/>
  <c r="A156" i="1"/>
  <c r="A157" i="1" s="1"/>
  <c r="F141" i="1" l="1"/>
  <c r="G47" i="1"/>
  <c r="C111" i="1" l="1"/>
  <c r="E111" i="1"/>
  <c r="C76" i="1" l="1"/>
  <c r="J87" i="1"/>
  <c r="J86" i="1"/>
  <c r="J73" i="1"/>
  <c r="J72" i="1"/>
  <c r="H63" i="1"/>
  <c r="H77" i="1"/>
  <c r="D82" i="1" l="1"/>
  <c r="J80" i="1"/>
  <c r="J82" i="1"/>
  <c r="J83" i="1" s="1"/>
  <c r="J88" i="1" s="1"/>
  <c r="D89" i="1"/>
  <c r="D85" i="1"/>
  <c r="J81" i="1"/>
  <c r="J79" i="1"/>
  <c r="D87" i="1"/>
  <c r="D83" i="1"/>
  <c r="D86" i="1"/>
  <c r="D88" i="1"/>
  <c r="D84" i="1"/>
  <c r="D68" i="1"/>
  <c r="D74" i="1"/>
  <c r="J66" i="1"/>
  <c r="D75" i="1"/>
  <c r="D71" i="1"/>
  <c r="J67" i="1"/>
  <c r="J65" i="1"/>
  <c r="D70" i="1"/>
  <c r="D73" i="1"/>
  <c r="D69" i="1"/>
  <c r="J68" i="1"/>
  <c r="J69" i="1" s="1"/>
  <c r="J74" i="1" s="1"/>
  <c r="D72" i="1"/>
  <c r="O149" i="1"/>
  <c r="C80" i="1" l="1"/>
  <c r="D80" i="1" s="1"/>
  <c r="C66" i="1"/>
  <c r="D66" i="1" s="1"/>
  <c r="J84" i="1"/>
  <c r="J85" i="1" s="1"/>
  <c r="J70" i="1"/>
  <c r="J71" i="1" s="1"/>
  <c r="A161" i="1"/>
  <c r="A162" i="1" s="1"/>
  <c r="A163" i="1" s="1"/>
  <c r="A164" i="1" s="1"/>
  <c r="A165" i="1" s="1"/>
  <c r="A166" i="1" l="1"/>
  <c r="J89" i="1"/>
  <c r="J75" i="1"/>
  <c r="P149" i="1"/>
  <c r="A167" i="1" l="1"/>
  <c r="A168" i="1" s="1"/>
  <c r="A169" i="1" s="1"/>
  <c r="A170" i="1" s="1"/>
  <c r="E80" i="1"/>
  <c r="I76" i="1" s="1"/>
  <c r="C78" i="1" s="1"/>
  <c r="D81" i="1"/>
  <c r="G80" i="1"/>
  <c r="E66" i="1"/>
  <c r="I62" i="1" s="1"/>
  <c r="D67" i="1"/>
  <c r="G66" i="1"/>
  <c r="N149" i="1"/>
  <c r="D61" i="1" l="1"/>
  <c r="F90" i="1" s="1"/>
  <c r="C14" i="1" l="1"/>
  <c r="E41" i="1" l="1"/>
  <c r="E42" i="1" s="1"/>
  <c r="F152" i="1" l="1"/>
  <c r="F151" i="1"/>
  <c r="F150" i="1"/>
  <c r="F149" i="1"/>
  <c r="F121" i="1"/>
  <c r="F120" i="1"/>
  <c r="G109" i="1" l="1"/>
  <c r="G110" i="1"/>
  <c r="O150" i="1"/>
  <c r="G111" i="1" l="1"/>
  <c r="P150" i="1"/>
  <c r="P151" i="1" s="1"/>
  <c r="P152" i="1" s="1"/>
  <c r="O151" i="1"/>
  <c r="G149" i="1"/>
  <c r="G120" i="1"/>
  <c r="E25" i="1"/>
  <c r="E23" i="1"/>
  <c r="N150" i="1" l="1"/>
  <c r="N151" i="1"/>
  <c r="O152" i="1"/>
  <c r="N152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183" i="1" l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<sst xmlns="http://schemas.openxmlformats.org/spreadsheetml/2006/main" count="365" uniqueCount="261">
  <si>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</si>
  <si>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</si>
  <si>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</si>
  <si>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</si>
  <si>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</si>
  <si>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</si>
  <si>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</si>
  <si>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</si>
  <si>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</si>
  <si>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</si>
  <si>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</si>
  <si>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</si>
  <si>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</si>
  <si>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</si>
  <si>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</si>
  <si>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</si>
  <si>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</si>
  <si>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</si>
  <si>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</si>
  <si>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</si>
  <si>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</si>
  <si>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</si>
  <si>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</si>
  <si>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</si>
  <si>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</si>
  <si>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</si>
  <si>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</si>
  <si>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</si>
  <si>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</si>
  <si>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</si>
  <si>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</si>
  <si>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</si>
  <si>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</si>
  <si>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</si>
  <si>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</si>
  <si>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</si>
  <si>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</si>
  <si>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</si>
  <si>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</si>
  <si>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</si>
  <si>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</si>
  <si>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</si>
  <si>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</si>
  <si>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</si>
  <si>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</si>
  <si>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</si>
  <si>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</si>
  <si>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</si>
  <si>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</si>
  <si>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</si>
  <si>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</si>
  <si>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</si>
  <si>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</si>
  <si>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</si>
  <si>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</si>
  <si>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</si>
  <si>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</si>
  <si>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</si>
  <si>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</si>
  <si>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</si>
  <si>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</si>
  <si>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</si>
  <si>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</si>
  <si>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</si>
  <si>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</si>
  <si>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</si>
  <si>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</si>
  <si>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</si>
  <si>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</si>
  <si>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</si>
  <si>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</si>
  <si>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</si>
  <si>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</si>
  <si>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</si>
  <si>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</si>
  <si>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</si>
  <si>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</si>
  <si>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</si>
  <si>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</si>
  <si>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</si>
  <si>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</si>
  <si>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</si>
  <si>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</si>
  <si>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</si>
  <si>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</si>
  <si>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</si>
  <si>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</si>
  <si>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</si>
  <si>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</si>
  <si>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</si>
  <si>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</si>
  <si>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</si>
  <si>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</si>
  <si>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</si>
  <si>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</si>
  <si>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</si>
  <si>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</si>
  <si>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</si>
  <si>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</si>
  <si>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</si>
  <si>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</si>
  <si>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</si>
  <si>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</si>
  <si>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</si>
  <si>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</si>
  <si>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</si>
  <si>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</si>
  <si>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</si>
  <si>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</si>
  <si>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</si>
  <si>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</si>
  <si>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</si>
  <si>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</si>
  <si>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</si>
  <si>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</si>
  <si>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</si>
  <si>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</si>
  <si>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</si>
  <si>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</si>
  <si>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</si>
  <si>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</si>
  <si>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</si>
  <si>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</si>
  <si>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</si>
  <si>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</si>
  <si>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</si>
  <si>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</si>
  <si>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</si>
  <si>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</si>
  <si>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</si>
  <si>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</si>
  <si>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</si>
  <si>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</si>
  <si>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</si>
  <si>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</si>
  <si>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</si>
  <si>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</si>
  <si>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</si>
  <si>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</si>
  <si>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</si>
  <si>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</si>
  <si>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</si>
  <si>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</si>
  <si>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</si>
  <si>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</si>
  <si>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</si>
  <si>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</si>
  <si>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</si>
  <si>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</si>
  <si>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</si>
  <si>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</si>
  <si>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</si>
  <si>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</si>
  <si>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</si>
  <si>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</si>
  <si>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</si>
  <si>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</si>
  <si>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</si>
  <si>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</si>
  <si>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</si>
  <si>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</si>
  <si>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</si>
  <si>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</si>
  <si>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</si>
  <si>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</si>
  <si>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</si>
  <si>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</si>
  <si>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</si>
  <si>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</si>
  <si>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</si>
  <si>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</si>
  <si>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</si>
  <si>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</si>
  <si>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</si>
  <si>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</si>
  <si>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</si>
  <si>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</si>
  <si>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</si>
  <si>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</si>
  <si>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</si>
  <si>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</si>
  <si>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</si>
  <si>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</si>
  <si>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</si>
  <si>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</si>
  <si>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</si>
  <si>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Tungwa</t>
  </si>
  <si>
    <t>Mumbai</t>
  </si>
  <si>
    <t>M/s. Larsen &amp; Turbro Ltd. (Realty Division)</t>
  </si>
  <si>
    <t>Kurla</t>
  </si>
  <si>
    <t>117A, 117A/1, 117­B Part and 117­C</t>
  </si>
  <si>
    <t>LnT Emerald Isle Tower 8</t>
  </si>
  <si>
    <t>TriStar chs</t>
  </si>
  <si>
    <t>Westend</t>
  </si>
  <si>
    <t>Internal Road</t>
  </si>
  <si>
    <t xml:space="preserve"> </t>
  </si>
  <si>
    <t>CHE/ES/1010//L/337 (NEW)</t>
  </si>
  <si>
    <t>Saki Vihar Road</t>
  </si>
  <si>
    <t>Vikhroli East</t>
  </si>
  <si>
    <t>We considered  Saleable area  as per our calculation.</t>
  </si>
  <si>
    <t>Survey No</t>
  </si>
  <si>
    <t xml:space="preserve">2 Wings </t>
  </si>
  <si>
    <t xml:space="preserve">Residential </t>
  </si>
  <si>
    <t>Approved Plans, CC</t>
  </si>
  <si>
    <t>P51800029893</t>
  </si>
  <si>
    <t>T-13A Wing</t>
  </si>
  <si>
    <t>T-13B Wing</t>
  </si>
  <si>
    <t>1BHK</t>
  </si>
  <si>
    <t>2BHK</t>
  </si>
  <si>
    <t>Refuge Area</t>
  </si>
  <si>
    <t>Stilt Floor For Residential &amp; Amenities</t>
  </si>
  <si>
    <t>L&amp;T Emerald Isle Tower 8</t>
  </si>
  <si>
    <t>Building No.02 (T-13A &amp; T-13B)</t>
  </si>
  <si>
    <t>Building No. 02 (T-13A)</t>
  </si>
  <si>
    <t>1st Podium/Ground Floor For Amenities &amp; Parking</t>
  </si>
  <si>
    <t>2nd Podium Floor For Amenities &amp; Parking</t>
  </si>
  <si>
    <t>3rd Podium Floor Residental &amp; Amenities</t>
  </si>
  <si>
    <t>Building No. 02 (T-13B)</t>
  </si>
  <si>
    <t xml:space="preserve">We have updated revised approved floor plan (on 28/05/2022).
</t>
  </si>
  <si>
    <r>
      <t xml:space="preserve">Commencement Certificate No.
</t>
    </r>
    <r>
      <rPr>
        <u/>
        <sz val="12"/>
        <rFont val="Times New Roman"/>
        <family val="1"/>
      </rPr>
      <t>Valid Up to:</t>
    </r>
  </si>
  <si>
    <t>Building No. 02 (T-13A) = Gr + P1 + P2 + S + 1st to 18st Floor
Building No. 02 (T-13B) = Gr +  P1 + P2 + S + 1st to 18th Floor</t>
  </si>
  <si>
    <t>1st Podium Floor For Amenities &amp; Parking</t>
  </si>
  <si>
    <t>Ground Floor For Amenities &amp; Parking</t>
  </si>
  <si>
    <t>2nd Podium Floor Residental &amp; Amenities</t>
  </si>
  <si>
    <t>M.P Room</t>
  </si>
  <si>
    <t>5th, 7th, 9th, 11th, 13th, 15th &amp; 17th Floor For Residential</t>
  </si>
  <si>
    <t>1st to 4th, 6th, 8th, 10th, 12th, 14th, 16th &amp; 18th Floor For Residential</t>
  </si>
  <si>
    <t>1st to 4th, 6th to 11th, 13th to 18th Floor</t>
  </si>
  <si>
    <t>5th &amp; 12th Floor (Part Refuge Area)</t>
  </si>
  <si>
    <t>Flats - 154</t>
  </si>
  <si>
    <t>Stilt Floor For Residential</t>
  </si>
  <si>
    <t>We considered Gross carpet area = Net carpet.</t>
  </si>
  <si>
    <t>Veridian at Emerald Isle (T 13A &amp; T 13B)</t>
  </si>
  <si>
    <t>Location Link</t>
  </si>
  <si>
    <t>https://goo.gl/maps/h22wLUdjVSCzoBH18</t>
  </si>
  <si>
    <t>Building No. 02 (T-13B) = Gr + P1 + P2 + S + 1st to 18th Floor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</si>
  <si>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          Email : vsjcapf@gmail.com. Web site : www.vsjadon.com
</t>
  </si>
  <si>
    <t>Site Person - Contact Details (Name &amp; Contact No.)</t>
  </si>
  <si>
    <t>Building No. 02 (T-13A &amp; T-13B) = Gr + P1 + P2 + S + 1st to 18th Floor</t>
  </si>
  <si>
    <t>Mr.Chiraj 9867798744</t>
  </si>
  <si>
    <t>7.0 Km from Vikhroli Railway Station</t>
  </si>
  <si>
    <t>On Saleable Area</t>
  </si>
  <si>
    <t>SAME RATE FOR ALL APF (21500 + 10L PARK) BY NILESH VERBAL 09/09/2024</t>
  </si>
  <si>
    <t>Floor Rise Rate Per Sq.ft from 1st Floor</t>
  </si>
  <si>
    <t>Recommended Rates / Other charges of the Property have been revised on 09/09/2024.</t>
  </si>
  <si>
    <t>CHE/ES/1010/L/337(NEW)/FCC/7/Amend</t>
  </si>
  <si>
    <t>Full C.C. up to top of 18th upper floors (including LMR/OHT) for Wing T-12A, T-12B, T-12C, T-13A, T-13B &amp; Endorsement of full CC for wing T-11A &amp; T-11B and endorsement of further CC for wing T-14A &amp; T-14B as per the last approved amended plans dated 18.03.2024.</t>
  </si>
  <si>
    <t>We have updated latest CC from MCGM site (On 19/09/2024).</t>
  </si>
  <si>
    <t>Ganesh Wadkar</t>
  </si>
  <si>
    <t xml:space="preserve">Part O. Certificate No.: </t>
  </si>
  <si>
    <t>[CHE/ES/1010/L/337(NEW)/OCC/
13/New
Approved upto : building No.2 (i.e. for Wing T-12B, T-13A, T-13B, T-14A and T-14B Comprising of Ground Floor + 1st podium + 2nd part podium + Stilt + 1st floor to 16th upper floor for residential</t>
  </si>
  <si>
    <t>All work Completed. OC Received upto 16th floor.</t>
  </si>
  <si>
    <t>All work Completed. Part OC Received upto 16th floor.</t>
  </si>
  <si>
    <t xml:space="preserve">NA
Approved upto : </t>
  </si>
  <si>
    <t>Please provide revised approved plans.</t>
  </si>
  <si>
    <t>As per RERA, completion period of project is expired on 31/03/2025 but still project is under construction.</t>
  </si>
  <si>
    <t>Kunal Kadam</t>
  </si>
  <si>
    <t>All work completed. Please provide full OC.</t>
  </si>
  <si>
    <t>Part OC received for Building No. 02 (T13 A &amp; B) = Gr. + P1 + P2 + Stilt + 1st to 16th floor,
and construction work for these floors can be considered as 100% completed.
Please provide Full OC.</t>
  </si>
  <si>
    <t>Complete</t>
  </si>
  <si>
    <t>60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</si>
</sst>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0"/>
      <name val="Arial"/>
      <family val="2"/>
    </font>
    <font>
      <sz val="11"/>
      <name val="Calibri"/>
      <family val="2"/>
    </font>
    <font>
      <sz val="12"/>
      <color rgb="FFFF0000"/>
      <name val="Times New Roman"/>
      <family val="1"/>
    </font>
    <font>
      <u/>
      <sz val="12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9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14" fontId="7" fillId="0" borderId="0" xfId="1" applyNumberFormat="1" applyFont="1"/>
    <xf numFmtId="1" fontId="7" fillId="0" borderId="0" xfId="1" applyNumberFormat="1" applyFont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1" fillId="0" borderId="0" xfId="0" applyFont="1" applyAlignment="1">
      <alignment horizontal="left" vertical="center" wrapText="1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1" xfId="1" applyFont="1" applyBorder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0" xfId="1" applyFont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2" fillId="0" borderId="13" xfId="0" applyNumberFormat="1" applyFont="1" applyBorder="1"/>
    <xf numFmtId="1" fontId="22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Border="1" applyProtection="1">
      <protection hidden="1"/>
    </xf>
    <xf numFmtId="1" fontId="22" fillId="0" borderId="15" xfId="0" applyNumberFormat="1" applyFont="1" applyBorder="1"/>
    <xf numFmtId="0" fontId="12" fillId="2" borderId="1" xfId="1" applyFont="1" applyFill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12" fillId="0" borderId="0" xfId="1" applyNumberFormat="1" applyFont="1"/>
    <xf numFmtId="0" fontId="7" fillId="3" borderId="0" xfId="1" applyFont="1" applyFill="1"/>
    <xf numFmtId="0" fontId="7" fillId="0" borderId="0" xfId="0" applyFont="1" applyAlignment="1">
      <alignment horizontal="left" vertical="center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4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5" xfId="1" applyFont="1" applyFill="1" applyBorder="1" applyAlignment="1" applyProtection="1">
      <alignment horizontal="left" vertical="top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center" vertical="top"/>
      <protection locked="0"/>
    </xf>
    <xf numFmtId="0" fontId="13" fillId="0" borderId="3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8" fontId="12" fillId="0" borderId="1" xfId="10" applyNumberFormat="1" applyFont="1" applyFill="1" applyBorder="1" applyAlignment="1" applyProtection="1">
      <alignment horizontal="left" vertical="top"/>
      <protection locked="0"/>
    </xf>
    <xf numFmtId="168" fontId="12" fillId="0" borderId="5" xfId="10" applyNumberFormat="1" applyFont="1" applyFill="1" applyBorder="1" applyAlignment="1" applyProtection="1">
      <alignment horizontal="left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5" fillId="0" borderId="9" xfId="9" applyBorder="1" applyAlignment="1" applyProtection="1">
      <alignment horizontal="left"/>
      <protection locked="0"/>
    </xf>
    <xf numFmtId="0" fontId="12" fillId="0" borderId="24" xfId="1" applyFont="1" applyBorder="1" applyAlignment="1" applyProtection="1">
      <alignment horizontal="left"/>
      <protection locked="0"/>
    </xf>
    <xf numFmtId="0" fontId="12" fillId="0" borderId="10" xfId="1" applyFont="1" applyBorder="1" applyAlignment="1" applyProtection="1">
      <alignment horizontal="left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168" fontId="12" fillId="0" borderId="7" xfId="10" applyNumberFormat="1" applyFont="1" applyFill="1" applyBorder="1" applyAlignment="1" applyProtection="1">
      <alignment horizontal="left" vertical="top"/>
      <protection locked="0"/>
    </xf>
    <xf numFmtId="168" fontId="12" fillId="0" borderId="8" xfId="10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9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4" borderId="9" xfId="0" applyNumberFormat="1" applyFont="1" applyFill="1" applyBorder="1" applyAlignment="1" applyProtection="1">
      <alignment vertical="top" wrapText="1"/>
      <protection locked="0"/>
    </xf>
    <xf numFmtId="1" fontId="13" fillId="4" borderId="24" xfId="0" applyNumberFormat="1" applyFont="1" applyFill="1" applyBorder="1" applyAlignment="1" applyProtection="1">
      <alignment vertical="top" wrapText="1"/>
      <protection locked="0"/>
    </xf>
    <xf numFmtId="1" fontId="13" fillId="4" borderId="10" xfId="0" applyNumberFormat="1" applyFont="1" applyFill="1" applyBorder="1" applyAlignment="1" applyProtection="1">
      <alignment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25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" fontId="26" fillId="0" borderId="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1">
    <cellStyle name="Comma" xfId="10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9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756423</xdr:colOff>
      <xdr:row>244</xdr:row>
      <xdr:rowOff>191119</xdr:rowOff>
    </xdr:from>
    <xdr:to>
      <xdr:col>7</xdr:col>
      <xdr:colOff>488101</xdr:colOff>
      <xdr:row>264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6423" y="48715279"/>
          <a:ext cx="5576218" cy="38570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759269</xdr:colOff>
      <xdr:row>225</xdr:row>
      <xdr:rowOff>139818</xdr:rowOff>
    </xdr:from>
    <xdr:to>
      <xdr:col>7</xdr:col>
      <xdr:colOff>490947</xdr:colOff>
      <xdr:row>244</xdr:row>
      <xdr:rowOff>73203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9269" y="44899698"/>
          <a:ext cx="5576218" cy="36976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453389</xdr:colOff>
      <xdr:row>183</xdr:row>
      <xdr:rowOff>114299</xdr:rowOff>
    </xdr:from>
    <xdr:to>
      <xdr:col>20</xdr:col>
      <xdr:colOff>440054</xdr:colOff>
      <xdr:row>214</xdr:row>
      <xdr:rowOff>57149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DBF09150-9EDF-4DAC-ABD6-569DE5974E8B}"/>
            </a:ext>
          </a:extLst>
        </xdr:cNvPr>
        <xdr:cNvGrpSpPr/>
      </xdr:nvGrpSpPr>
      <xdr:grpSpPr>
        <a:xfrm>
          <a:off x="7524749" y="35196779"/>
          <a:ext cx="6730365" cy="6084570"/>
          <a:chOff x="430306" y="548151"/>
          <a:chExt cx="5588620" cy="4749159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DE22B-5149-49EB-895A-44ACFBF756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0306" y="548151"/>
            <a:ext cx="26975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3BCE3157-B87F-438F-A9B8-FE6168F4F5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1426" y="548151"/>
            <a:ext cx="26975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1AB47AB-FD7D-4EF3-9594-15E7CFC8F4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9888" y="3492352"/>
            <a:ext cx="238893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96CC06CF-50EC-4198-AF95-C055B1A6DD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2438" y="3497310"/>
            <a:ext cx="179833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236220</xdr:colOff>
      <xdr:row>184</xdr:row>
      <xdr:rowOff>0</xdr:rowOff>
    </xdr:from>
    <xdr:to>
      <xdr:col>7</xdr:col>
      <xdr:colOff>375442</xdr:colOff>
      <xdr:row>220</xdr:row>
      <xdr:rowOff>2437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4F78E43-1225-A6CA-A2A9-954C7ECF20D6}"/>
            </a:ext>
          </a:extLst>
        </xdr:cNvPr>
        <xdr:cNvGrpSpPr/>
      </xdr:nvGrpSpPr>
      <xdr:grpSpPr>
        <a:xfrm>
          <a:off x="1021080" y="35280600"/>
          <a:ext cx="5198902" cy="7134757"/>
          <a:chOff x="747765" y="194622"/>
          <a:chExt cx="5198902" cy="7134757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D40C1DB4-4FD1-ECC0-B521-0F808FE432FD}"/>
              </a:ext>
            </a:extLst>
          </xdr:cNvPr>
          <xdr:cNvGrpSpPr/>
        </xdr:nvGrpSpPr>
        <xdr:grpSpPr>
          <a:xfrm>
            <a:off x="1171800" y="5529379"/>
            <a:ext cx="4350832" cy="1800000"/>
            <a:chOff x="876502" y="5529379"/>
            <a:chExt cx="4350832" cy="180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26A29D1F-1A3A-5A69-354E-470C84C142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76502" y="5529379"/>
              <a:ext cx="238893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58CDC374-6EDC-A305-7243-BD7EC30E6E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5529379"/>
              <a:ext cx="179833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98885BCD-F4EB-E931-DD0A-310F96B55571}"/>
              </a:ext>
            </a:extLst>
          </xdr:cNvPr>
          <xdr:cNvGrpSpPr/>
        </xdr:nvGrpSpPr>
        <xdr:grpSpPr>
          <a:xfrm>
            <a:off x="747765" y="194622"/>
            <a:ext cx="5198902" cy="5187378"/>
            <a:chOff x="747765" y="194622"/>
            <a:chExt cx="5198902" cy="5187378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71C2CB2C-8025-DF12-B535-3C3585CBF32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2862000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01B7078-12EF-A178-DC3A-CE30FA6C12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47765" y="2862000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20CAABB8-4C5E-4E85-5E79-3C426F682B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47766" y="194622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1885554A-5087-4F39-6431-49BDD563FBF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194622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4</xdr:col>
      <xdr:colOff>417979</xdr:colOff>
      <xdr:row>30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865783"/>
          <a:ext cx="51225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22wLUdjVSCzoBH1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225"/>
  <sheetViews>
    <sheetView tabSelected="1" view="pageBreakPreview" zoomScaleNormal="100" zoomScaleSheetLayoutView="100" zoomScalePageLayoutView="55" workbookViewId="0">
      <selection activeCell="E8" sqref="E8:H8"/>
    </sheetView>
  </sheetViews>
  <sheetFormatPr defaultColWidth="9.109375" defaultRowHeight="15.6" x14ac:dyDescent="0.3"/>
  <cols>
    <col min="1" max="1" width="11.44140625" style="15" customWidth="1"/>
    <col min="2" max="2" width="12" style="15" customWidth="1"/>
    <col min="3" max="3" width="12.6640625" style="15" customWidth="1"/>
    <col min="4" max="4" width="14.109375" style="15" customWidth="1"/>
    <col min="5" max="7" width="11.6640625" style="15" customWidth="1"/>
    <col min="8" max="8" width="17.88671875" style="15" customWidth="1"/>
    <col min="9" max="9" width="17.44140625" style="8" customWidth="1"/>
    <col min="10" max="10" width="11.44140625" style="8" customWidth="1"/>
    <col min="11" max="11" width="10.5546875" style="8" bestFit="1" customWidth="1"/>
    <col min="12" max="12" width="10.5546875" style="8" customWidth="1"/>
    <col min="13" max="13" width="11.88671875" style="8" customWidth="1"/>
    <col min="14" max="14" width="12.5546875" style="8" hidden="1" customWidth="1"/>
    <col min="15" max="15" width="9.88671875" style="8" hidden="1" customWidth="1"/>
    <col min="16" max="16" width="10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8" ht="46.5" customHeight="1" x14ac:dyDescent="0.3">
      <c r="A1" s="135" t="s">
        <v>236</v>
      </c>
      <c r="B1" s="135"/>
      <c r="C1" s="135"/>
      <c r="D1" s="135"/>
      <c r="E1" s="135"/>
      <c r="F1" s="135"/>
      <c r="G1" s="135"/>
      <c r="H1" s="135"/>
    </row>
    <row r="2" spans="1:8" ht="16.5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</row>
    <row r="3" spans="1:8" x14ac:dyDescent="0.3">
      <c r="A3" s="89" t="s">
        <v>1</v>
      </c>
      <c r="B3" s="89"/>
      <c r="C3" s="89"/>
      <c r="D3" s="89"/>
      <c r="E3" s="134" t="str">
        <f ca="1">TEXT(TODAY(),"DD/MM/YYYY")</f>
        <v>19/09/2025</v>
      </c>
      <c r="F3" s="134"/>
      <c r="G3" s="134"/>
      <c r="H3" s="134"/>
    </row>
    <row r="4" spans="1:8" ht="15" customHeight="1" x14ac:dyDescent="0.3">
      <c r="A4" s="137" t="s">
        <v>2</v>
      </c>
      <c r="B4" s="137"/>
      <c r="C4" s="137"/>
      <c r="D4" s="137"/>
      <c r="E4" s="138" t="s">
        <v>185</v>
      </c>
      <c r="F4" s="138"/>
      <c r="G4" s="138"/>
      <c r="H4" s="138"/>
    </row>
    <row r="5" spans="1:8" x14ac:dyDescent="0.3">
      <c r="A5" s="89" t="s">
        <v>3</v>
      </c>
      <c r="B5" s="89"/>
      <c r="C5" s="89"/>
      <c r="D5" s="89"/>
      <c r="E5" s="134">
        <v>45910</v>
      </c>
      <c r="F5" s="134"/>
      <c r="G5" s="134"/>
      <c r="H5" s="134"/>
    </row>
    <row r="6" spans="1:8" s="10" customFormat="1" ht="16.5" customHeight="1" x14ac:dyDescent="0.3">
      <c r="A6" s="102" t="s">
        <v>4</v>
      </c>
      <c r="B6" s="102"/>
      <c r="C6" s="102"/>
      <c r="D6" s="102"/>
      <c r="E6" s="128" t="s">
        <v>188</v>
      </c>
      <c r="F6" s="128"/>
      <c r="G6" s="128"/>
      <c r="H6" s="128"/>
    </row>
    <row r="7" spans="1:8" s="10" customFormat="1" ht="15" customHeight="1" x14ac:dyDescent="0.3">
      <c r="A7" s="102" t="s">
        <v>5</v>
      </c>
      <c r="B7" s="102"/>
      <c r="C7" s="102"/>
      <c r="D7" s="102"/>
      <c r="E7" s="128" t="str">
        <f>E6</f>
        <v>M/s. Larsen &amp; Turbro Ltd. (Realty Division)</v>
      </c>
      <c r="F7" s="128"/>
      <c r="G7" s="128"/>
      <c r="H7" s="128"/>
    </row>
    <row r="8" spans="1:8" s="10" customFormat="1" x14ac:dyDescent="0.3">
      <c r="A8" s="102" t="s">
        <v>6</v>
      </c>
      <c r="B8" s="102"/>
      <c r="C8" s="102"/>
      <c r="D8" s="102"/>
      <c r="E8" s="119" t="s">
        <v>232</v>
      </c>
      <c r="F8" s="119"/>
      <c r="G8" s="119"/>
      <c r="H8" s="119"/>
    </row>
    <row r="9" spans="1:8" s="10" customFormat="1" x14ac:dyDescent="0.3">
      <c r="A9" s="102" t="s">
        <v>157</v>
      </c>
      <c r="B9" s="102"/>
      <c r="C9" s="102"/>
      <c r="D9" s="102"/>
      <c r="E9" s="102">
        <v>9867798744</v>
      </c>
      <c r="F9" s="102"/>
      <c r="G9" s="102"/>
      <c r="H9" s="102"/>
    </row>
    <row r="10" spans="1:8" s="10" customFormat="1" hidden="1" x14ac:dyDescent="0.3">
      <c r="A10" s="102" t="s">
        <v>237</v>
      </c>
      <c r="B10" s="102"/>
      <c r="C10" s="102"/>
      <c r="D10" s="102"/>
      <c r="E10" s="102" t="s">
        <v>239</v>
      </c>
      <c r="F10" s="102"/>
      <c r="G10" s="102"/>
      <c r="H10" s="102"/>
    </row>
    <row r="11" spans="1:8" s="10" customFormat="1" x14ac:dyDescent="0.3">
      <c r="A11" s="102" t="s">
        <v>7</v>
      </c>
      <c r="B11" s="102"/>
      <c r="C11" s="102"/>
      <c r="D11" s="102"/>
      <c r="E11" s="102" t="s">
        <v>212</v>
      </c>
      <c r="F11" s="102"/>
      <c r="G11" s="102"/>
      <c r="H11" s="102"/>
    </row>
    <row r="12" spans="1:8" s="10" customFormat="1" x14ac:dyDescent="0.3">
      <c r="A12" s="102" t="s">
        <v>8</v>
      </c>
      <c r="B12" s="102"/>
      <c r="C12" s="102"/>
      <c r="D12" s="102"/>
      <c r="E12" s="128" t="s">
        <v>203</v>
      </c>
      <c r="F12" s="102"/>
      <c r="G12" s="102"/>
      <c r="H12" s="102"/>
    </row>
    <row r="13" spans="1:8" s="10" customFormat="1" x14ac:dyDescent="0.3">
      <c r="A13" s="102" t="s">
        <v>9</v>
      </c>
      <c r="B13" s="102"/>
      <c r="C13" s="102"/>
      <c r="D13" s="102"/>
      <c r="E13" s="128" t="s">
        <v>204</v>
      </c>
      <c r="F13" s="102"/>
      <c r="G13" s="102"/>
      <c r="H13" s="102"/>
    </row>
    <row r="14" spans="1:8" s="10" customFormat="1" ht="51.75" customHeight="1" x14ac:dyDescent="0.3">
      <c r="A14" s="128" t="s">
        <v>10</v>
      </c>
      <c r="B14" s="128"/>
      <c r="C14" s="12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Veridian at Emerald Isle (T 13A &amp; T 13B), Survey No.117A, 117A/1, 117­B Part and 117­C, near L&amp;T Emerald Isle Tower 8, Saki Vihar Road, Tungwa, Vikhroli East, Kurla, Mumbai.</v>
      </c>
      <c r="D14" s="128"/>
      <c r="E14" s="128"/>
      <c r="F14" s="128"/>
      <c r="G14" s="128"/>
      <c r="H14" s="128"/>
    </row>
    <row r="15" spans="1:8" s="10" customFormat="1" x14ac:dyDescent="0.3">
      <c r="A15" s="128" t="s">
        <v>200</v>
      </c>
      <c r="B15" s="128"/>
      <c r="C15" s="128" t="s">
        <v>190</v>
      </c>
      <c r="D15" s="128"/>
      <c r="E15" s="128"/>
      <c r="F15" s="128"/>
      <c r="G15" s="128"/>
      <c r="H15" s="128"/>
    </row>
    <row r="16" spans="1:8" s="10" customFormat="1" ht="15.75" customHeight="1" x14ac:dyDescent="0.3">
      <c r="A16" s="128" t="s">
        <v>11</v>
      </c>
      <c r="B16" s="128"/>
      <c r="C16" s="102" t="s">
        <v>197</v>
      </c>
      <c r="D16" s="102"/>
      <c r="E16" s="128" t="s">
        <v>102</v>
      </c>
      <c r="F16" s="128"/>
      <c r="G16" s="128" t="s">
        <v>186</v>
      </c>
      <c r="H16" s="128"/>
    </row>
    <row r="17" spans="1:8" s="10" customFormat="1" x14ac:dyDescent="0.3">
      <c r="A17" s="102" t="s">
        <v>13</v>
      </c>
      <c r="B17" s="102"/>
      <c r="C17" s="128" t="s">
        <v>198</v>
      </c>
      <c r="D17" s="128"/>
      <c r="E17" s="128" t="s">
        <v>12</v>
      </c>
      <c r="F17" s="128"/>
      <c r="G17" s="131" t="s">
        <v>187</v>
      </c>
      <c r="H17" s="131"/>
    </row>
    <row r="18" spans="1:8" s="10" customFormat="1" x14ac:dyDescent="0.3">
      <c r="A18" s="102" t="s">
        <v>103</v>
      </c>
      <c r="B18" s="102"/>
      <c r="C18" s="128" t="s">
        <v>189</v>
      </c>
      <c r="D18" s="128"/>
      <c r="E18" s="128" t="s">
        <v>14</v>
      </c>
      <c r="F18" s="128"/>
      <c r="G18" s="128">
        <v>400072</v>
      </c>
      <c r="H18" s="128"/>
    </row>
    <row r="19" spans="1:8" s="10" customFormat="1" ht="32.25" customHeight="1" x14ac:dyDescent="0.3">
      <c r="A19" s="102" t="s">
        <v>159</v>
      </c>
      <c r="B19" s="102"/>
      <c r="C19" s="132" t="s">
        <v>211</v>
      </c>
      <c r="D19" s="132"/>
      <c r="E19" s="128" t="s">
        <v>15</v>
      </c>
      <c r="F19" s="128"/>
      <c r="G19" s="133" t="s">
        <v>240</v>
      </c>
      <c r="H19" s="133"/>
    </row>
    <row r="20" spans="1:8" s="10" customFormat="1" ht="15" customHeight="1" x14ac:dyDescent="0.3">
      <c r="A20" s="128" t="s">
        <v>107</v>
      </c>
      <c r="B20" s="128"/>
      <c r="C20" s="128"/>
      <c r="D20" s="128"/>
      <c r="E20" s="102" t="s">
        <v>16</v>
      </c>
      <c r="F20" s="102"/>
      <c r="G20" s="102"/>
      <c r="H20" s="102"/>
    </row>
    <row r="21" spans="1:8" s="10" customFormat="1" ht="18.75" customHeight="1" x14ac:dyDescent="0.3">
      <c r="A21" s="128"/>
      <c r="B21" s="128"/>
      <c r="C21" s="128"/>
      <c r="D21" s="128"/>
      <c r="E21" s="102"/>
      <c r="F21" s="102"/>
      <c r="G21" s="102"/>
      <c r="H21" s="102"/>
    </row>
    <row r="22" spans="1:8" s="10" customFormat="1" ht="15" customHeight="1" x14ac:dyDescent="0.3">
      <c r="A22" s="128" t="s">
        <v>17</v>
      </c>
      <c r="B22" s="128"/>
      <c r="C22" s="128"/>
      <c r="D22" s="128"/>
      <c r="E22" s="128" t="s">
        <v>18</v>
      </c>
      <c r="F22" s="128"/>
      <c r="G22" s="128"/>
      <c r="H22" s="128"/>
    </row>
    <row r="23" spans="1:8" s="10" customFormat="1" ht="15" customHeight="1" x14ac:dyDescent="0.3">
      <c r="A23" s="102" t="s">
        <v>19</v>
      </c>
      <c r="B23" s="102"/>
      <c r="C23" s="102"/>
      <c r="D23" s="102"/>
      <c r="E23" s="128" t="str">
        <f>IF(AND(G17="Mumbai"),"Upper Class","Middle Class")</f>
        <v>Upper Class</v>
      </c>
      <c r="F23" s="128"/>
      <c r="G23" s="128"/>
      <c r="H23" s="128"/>
    </row>
    <row r="24" spans="1:8" s="10" customFormat="1" x14ac:dyDescent="0.3">
      <c r="A24" s="102" t="s">
        <v>20</v>
      </c>
      <c r="B24" s="102"/>
      <c r="C24" s="102"/>
      <c r="D24" s="102"/>
      <c r="E24" s="128" t="s">
        <v>21</v>
      </c>
      <c r="F24" s="128"/>
      <c r="G24" s="128"/>
      <c r="H24" s="128"/>
    </row>
    <row r="25" spans="1:8" s="10" customFormat="1" ht="15.75" customHeight="1" x14ac:dyDescent="0.3">
      <c r="A25" s="102" t="s">
        <v>22</v>
      </c>
      <c r="B25" s="102"/>
      <c r="C25" s="102"/>
      <c r="D25" s="102"/>
      <c r="E25" s="128" t="str">
        <f>IF(AND(G17="Mumbai"),"Developed","Developing")</f>
        <v>Developed</v>
      </c>
      <c r="F25" s="128"/>
      <c r="G25" s="128"/>
      <c r="H25" s="128"/>
    </row>
    <row r="26" spans="1:8" s="10" customFormat="1" x14ac:dyDescent="0.3">
      <c r="A26" s="102" t="s">
        <v>23</v>
      </c>
      <c r="B26" s="102"/>
      <c r="C26" s="102"/>
      <c r="D26" s="102"/>
      <c r="E26" s="128" t="s">
        <v>24</v>
      </c>
      <c r="F26" s="128"/>
      <c r="G26" s="128"/>
      <c r="H26" s="128"/>
    </row>
    <row r="27" spans="1:8" s="10" customFormat="1" x14ac:dyDescent="0.3">
      <c r="A27" s="102" t="s">
        <v>114</v>
      </c>
      <c r="B27" s="102"/>
      <c r="C27" s="102"/>
      <c r="D27" s="102"/>
      <c r="E27" s="128" t="s">
        <v>115</v>
      </c>
      <c r="F27" s="128"/>
      <c r="G27" s="128"/>
      <c r="H27" s="128"/>
    </row>
    <row r="28" spans="1:8" s="10" customFormat="1" ht="15" customHeight="1" x14ac:dyDescent="0.3">
      <c r="A28" s="128" t="s">
        <v>35</v>
      </c>
      <c r="B28" s="128"/>
      <c r="C28" s="128"/>
      <c r="D28" s="128"/>
      <c r="E28" s="129" t="s">
        <v>202</v>
      </c>
      <c r="F28" s="129"/>
      <c r="G28" s="129"/>
      <c r="H28" s="129"/>
    </row>
    <row r="29" spans="1:8" s="10" customFormat="1" x14ac:dyDescent="0.3">
      <c r="A29" s="128" t="s">
        <v>126</v>
      </c>
      <c r="B29" s="128"/>
      <c r="C29" s="128"/>
      <c r="D29" s="128"/>
      <c r="E29" s="128" t="s">
        <v>36</v>
      </c>
      <c r="F29" s="128"/>
      <c r="G29" s="128"/>
      <c r="H29" s="128"/>
    </row>
    <row r="30" spans="1:8" s="10" customFormat="1" x14ac:dyDescent="0.3">
      <c r="A30" s="130" t="s">
        <v>127</v>
      </c>
      <c r="B30" s="130"/>
      <c r="C30" s="120" t="s">
        <v>29</v>
      </c>
      <c r="D30" s="120"/>
      <c r="E30" s="120"/>
      <c r="F30" s="120" t="s">
        <v>31</v>
      </c>
      <c r="G30" s="120"/>
      <c r="H30" s="120"/>
    </row>
    <row r="31" spans="1:8" s="10" customFormat="1" x14ac:dyDescent="0.3">
      <c r="A31" s="117" t="s">
        <v>25</v>
      </c>
      <c r="B31" s="117" t="s">
        <v>30</v>
      </c>
      <c r="C31" s="118" t="s">
        <v>30</v>
      </c>
      <c r="D31" s="118"/>
      <c r="E31" s="118"/>
      <c r="F31" s="118" t="s">
        <v>193</v>
      </c>
      <c r="G31" s="118"/>
      <c r="H31" s="118"/>
    </row>
    <row r="32" spans="1:8" s="10" customFormat="1" x14ac:dyDescent="0.3">
      <c r="A32" s="117" t="s">
        <v>26</v>
      </c>
      <c r="B32" s="117" t="s">
        <v>30</v>
      </c>
      <c r="C32" s="118" t="s">
        <v>30</v>
      </c>
      <c r="D32" s="118"/>
      <c r="E32" s="118"/>
      <c r="F32" s="118" t="s">
        <v>192</v>
      </c>
      <c r="G32" s="118"/>
      <c r="H32" s="118"/>
    </row>
    <row r="33" spans="1:10" s="10" customFormat="1" x14ac:dyDescent="0.3">
      <c r="A33" s="117" t="s">
        <v>28</v>
      </c>
      <c r="B33" s="117" t="s">
        <v>30</v>
      </c>
      <c r="C33" s="118" t="s">
        <v>30</v>
      </c>
      <c r="D33" s="118"/>
      <c r="E33" s="118"/>
      <c r="F33" s="118" t="s">
        <v>191</v>
      </c>
      <c r="G33" s="118"/>
      <c r="H33" s="118"/>
    </row>
    <row r="34" spans="1:10" s="10" customFormat="1" x14ac:dyDescent="0.3">
      <c r="A34" s="117" t="s">
        <v>27</v>
      </c>
      <c r="B34" s="117" t="s">
        <v>30</v>
      </c>
      <c r="C34" s="118" t="s">
        <v>30</v>
      </c>
      <c r="D34" s="118"/>
      <c r="E34" s="118"/>
      <c r="F34" s="118" t="s">
        <v>194</v>
      </c>
      <c r="G34" s="118"/>
      <c r="H34" s="118"/>
    </row>
    <row r="35" spans="1:10" s="10" customFormat="1" x14ac:dyDescent="0.3">
      <c r="A35" s="102" t="s">
        <v>32</v>
      </c>
      <c r="B35" s="102"/>
      <c r="C35" s="102"/>
      <c r="D35" s="102"/>
      <c r="E35" s="102"/>
      <c r="F35" s="102"/>
      <c r="G35" s="102"/>
      <c r="H35" s="102"/>
    </row>
    <row r="36" spans="1:10" s="10" customFormat="1" ht="15.75" customHeight="1" x14ac:dyDescent="0.3">
      <c r="A36" s="120" t="s">
        <v>33</v>
      </c>
      <c r="B36" s="120"/>
      <c r="C36" s="117">
        <v>19.120937000000001</v>
      </c>
      <c r="D36" s="117"/>
      <c r="E36" s="120" t="s">
        <v>34</v>
      </c>
      <c r="F36" s="120"/>
      <c r="G36" s="118">
        <v>72.893001999999996</v>
      </c>
      <c r="H36" s="118"/>
      <c r="J36" s="41"/>
    </row>
    <row r="37" spans="1:10" s="10" customFormat="1" ht="15.75" customHeight="1" x14ac:dyDescent="0.3">
      <c r="A37" s="120" t="s">
        <v>233</v>
      </c>
      <c r="B37" s="120"/>
      <c r="C37" s="122" t="s">
        <v>234</v>
      </c>
      <c r="D37" s="123"/>
      <c r="E37" s="123"/>
      <c r="F37" s="123"/>
      <c r="G37" s="123"/>
      <c r="H37" s="124"/>
      <c r="J37" s="41"/>
    </row>
    <row r="38" spans="1:10" s="10" customFormat="1" x14ac:dyDescent="0.3">
      <c r="A38" s="119" t="s">
        <v>37</v>
      </c>
      <c r="B38" s="119"/>
      <c r="C38" s="119"/>
      <c r="D38" s="119"/>
      <c r="E38" s="119"/>
      <c r="F38" s="119"/>
      <c r="G38" s="119"/>
      <c r="H38" s="119"/>
    </row>
    <row r="39" spans="1:10" s="10" customFormat="1" x14ac:dyDescent="0.3">
      <c r="A39" s="102" t="s">
        <v>38</v>
      </c>
      <c r="B39" s="102"/>
      <c r="C39" s="102"/>
      <c r="D39" s="102"/>
      <c r="E39" s="126">
        <v>77004.990000000005</v>
      </c>
      <c r="F39" s="126"/>
      <c r="G39" s="126"/>
      <c r="H39" s="126"/>
    </row>
    <row r="40" spans="1:10" s="10" customFormat="1" x14ac:dyDescent="0.3">
      <c r="A40" s="102" t="s">
        <v>39</v>
      </c>
      <c r="B40" s="102"/>
      <c r="C40" s="102"/>
      <c r="D40" s="102"/>
      <c r="E40" s="125">
        <v>1.5</v>
      </c>
      <c r="F40" s="125"/>
      <c r="G40" s="125"/>
      <c r="H40" s="125"/>
    </row>
    <row r="41" spans="1:10" s="10" customFormat="1" x14ac:dyDescent="0.3">
      <c r="A41" s="102" t="s">
        <v>40</v>
      </c>
      <c r="B41" s="102"/>
      <c r="C41" s="102"/>
      <c r="D41" s="102"/>
      <c r="E41" s="125">
        <f>E43/E39-E40</f>
        <v>0.50384897134588291</v>
      </c>
      <c r="F41" s="125"/>
      <c r="G41" s="125"/>
      <c r="H41" s="125"/>
    </row>
    <row r="42" spans="1:10" s="10" customFormat="1" x14ac:dyDescent="0.3">
      <c r="A42" s="102" t="s">
        <v>41</v>
      </c>
      <c r="B42" s="102"/>
      <c r="C42" s="102"/>
      <c r="D42" s="102"/>
      <c r="E42" s="125">
        <f>E40+E41</f>
        <v>2.0038489713458829</v>
      </c>
      <c r="F42" s="125"/>
      <c r="G42" s="125"/>
      <c r="H42" s="125"/>
    </row>
    <row r="43" spans="1:10" s="10" customFormat="1" x14ac:dyDescent="0.3">
      <c r="A43" s="102" t="s">
        <v>125</v>
      </c>
      <c r="B43" s="102"/>
      <c r="C43" s="102"/>
      <c r="D43" s="102"/>
      <c r="E43" s="127">
        <v>154306.37</v>
      </c>
      <c r="F43" s="127"/>
      <c r="G43" s="127"/>
      <c r="H43" s="127"/>
    </row>
    <row r="44" spans="1:10" s="10" customFormat="1" x14ac:dyDescent="0.3">
      <c r="A44" s="102" t="s">
        <v>42</v>
      </c>
      <c r="B44" s="102"/>
      <c r="C44" s="102"/>
      <c r="D44" s="102"/>
      <c r="E44" s="102" t="s">
        <v>201</v>
      </c>
      <c r="F44" s="102"/>
      <c r="G44" s="102"/>
      <c r="H44" s="102"/>
    </row>
    <row r="45" spans="1:10" x14ac:dyDescent="0.3">
      <c r="A45" s="121" t="s">
        <v>43</v>
      </c>
      <c r="B45" s="121"/>
      <c r="C45" s="121"/>
      <c r="D45" s="121"/>
      <c r="E45" s="121"/>
      <c r="F45" s="121"/>
      <c r="G45" s="121"/>
      <c r="H45" s="121"/>
    </row>
    <row r="46" spans="1:10" x14ac:dyDescent="0.3">
      <c r="A46" s="155" t="s">
        <v>44</v>
      </c>
      <c r="B46" s="155"/>
      <c r="C46" s="132" t="s">
        <v>196</v>
      </c>
      <c r="D46" s="132"/>
      <c r="E46" s="132"/>
      <c r="F46" s="60" t="s">
        <v>45</v>
      </c>
      <c r="G46" s="172">
        <v>44529</v>
      </c>
      <c r="H46" s="172"/>
    </row>
    <row r="47" spans="1:10" x14ac:dyDescent="0.3">
      <c r="A47" s="89" t="s">
        <v>46</v>
      </c>
      <c r="B47" s="89"/>
      <c r="C47" s="132" t="str">
        <f>C46</f>
        <v>CHE/ES/1010//L/337 (NEW)</v>
      </c>
      <c r="D47" s="132"/>
      <c r="E47" s="132"/>
      <c r="F47" s="60" t="s">
        <v>45</v>
      </c>
      <c r="G47" s="172">
        <f>G46</f>
        <v>44529</v>
      </c>
      <c r="H47" s="172"/>
    </row>
    <row r="48" spans="1:10" s="10" customFormat="1" ht="35.25" customHeight="1" x14ac:dyDescent="0.3">
      <c r="A48" s="128" t="s">
        <v>219</v>
      </c>
      <c r="B48" s="128"/>
      <c r="C48" s="132" t="s">
        <v>245</v>
      </c>
      <c r="D48" s="86"/>
      <c r="E48" s="86"/>
      <c r="F48" s="12" t="s">
        <v>45</v>
      </c>
      <c r="G48" s="172">
        <v>45443</v>
      </c>
      <c r="H48" s="172"/>
      <c r="I48" s="10" t="s">
        <v>195</v>
      </c>
    </row>
    <row r="49" spans="1:14" s="10" customFormat="1" ht="111.9" customHeight="1" x14ac:dyDescent="0.3">
      <c r="A49" s="128"/>
      <c r="B49" s="128"/>
      <c r="C49" s="132" t="s">
        <v>246</v>
      </c>
      <c r="D49" s="86"/>
      <c r="E49" s="86"/>
      <c r="F49" s="34" t="s">
        <v>158</v>
      </c>
      <c r="G49" s="172">
        <v>45819</v>
      </c>
      <c r="H49" s="172"/>
    </row>
    <row r="50" spans="1:14" s="10" customFormat="1" ht="114.6" customHeight="1" x14ac:dyDescent="0.3">
      <c r="A50" s="145" t="s">
        <v>249</v>
      </c>
      <c r="B50" s="145"/>
      <c r="C50" s="180" t="s">
        <v>250</v>
      </c>
      <c r="D50" s="181"/>
      <c r="E50" s="181" t="s">
        <v>47</v>
      </c>
      <c r="F50" s="42" t="s">
        <v>45</v>
      </c>
      <c r="G50" s="103">
        <v>45559</v>
      </c>
      <c r="H50" s="103"/>
    </row>
    <row r="51" spans="1:14" s="10" customFormat="1" hidden="1" x14ac:dyDescent="0.3">
      <c r="A51" s="145" t="s">
        <v>249</v>
      </c>
      <c r="B51" s="145"/>
      <c r="C51" s="180" t="s">
        <v>253</v>
      </c>
      <c r="D51" s="181"/>
      <c r="E51" s="181" t="s">
        <v>47</v>
      </c>
      <c r="F51" s="42" t="s">
        <v>45</v>
      </c>
      <c r="G51" s="103" t="s">
        <v>30</v>
      </c>
      <c r="H51" s="103"/>
    </row>
    <row r="52" spans="1:14" x14ac:dyDescent="0.3">
      <c r="A52" s="158" t="s">
        <v>49</v>
      </c>
      <c r="B52" s="158"/>
      <c r="C52" s="158"/>
      <c r="D52" s="158"/>
      <c r="E52" s="158"/>
      <c r="F52" s="158"/>
      <c r="G52" s="158"/>
      <c r="H52" s="158"/>
    </row>
    <row r="53" spans="1:14" x14ac:dyDescent="0.3">
      <c r="A53" s="155" t="s">
        <v>124</v>
      </c>
      <c r="B53" s="155"/>
      <c r="C53" s="155"/>
      <c r="D53" s="89">
        <v>160344.78</v>
      </c>
      <c r="E53" s="89"/>
      <c r="F53" s="89"/>
      <c r="G53" s="89"/>
      <c r="H53" s="89"/>
    </row>
    <row r="54" spans="1:14" x14ac:dyDescent="0.3">
      <c r="A54" s="128" t="s">
        <v>50</v>
      </c>
      <c r="B54" s="102"/>
      <c r="C54" s="102"/>
      <c r="D54" s="128" t="s">
        <v>229</v>
      </c>
      <c r="E54" s="102"/>
      <c r="F54" s="102"/>
      <c r="G54" s="102"/>
      <c r="H54" s="102"/>
      <c r="I54" s="36"/>
    </row>
    <row r="55" spans="1:14" ht="31.5" customHeight="1" x14ac:dyDescent="0.3">
      <c r="A55" s="173" t="s">
        <v>51</v>
      </c>
      <c r="B55" s="174"/>
      <c r="C55" s="187"/>
      <c r="D55" s="105" t="s">
        <v>220</v>
      </c>
      <c r="E55" s="186"/>
      <c r="F55" s="186"/>
      <c r="G55" s="186"/>
      <c r="H55" s="186"/>
    </row>
    <row r="56" spans="1:14" ht="15.75" customHeight="1" x14ac:dyDescent="0.3">
      <c r="A56" s="173" t="s">
        <v>122</v>
      </c>
      <c r="B56" s="174"/>
      <c r="C56" s="174"/>
      <c r="D56" s="177" t="s">
        <v>238</v>
      </c>
      <c r="E56" s="178"/>
      <c r="F56" s="178"/>
      <c r="G56" s="178"/>
      <c r="H56" s="179"/>
    </row>
    <row r="57" spans="1:14" ht="15.75" hidden="1" customHeight="1" x14ac:dyDescent="0.3">
      <c r="A57" s="175"/>
      <c r="B57" s="176"/>
      <c r="C57" s="176"/>
      <c r="D57" s="102" t="s">
        <v>235</v>
      </c>
      <c r="E57" s="102"/>
      <c r="F57" s="102"/>
      <c r="G57" s="102"/>
      <c r="H57" s="102"/>
    </row>
    <row r="58" spans="1:14" ht="15.75" customHeight="1" x14ac:dyDescent="0.3">
      <c r="A58" s="89" t="s">
        <v>48</v>
      </c>
      <c r="B58" s="89"/>
      <c r="C58" s="89"/>
      <c r="D58" s="155" t="s">
        <v>259</v>
      </c>
      <c r="E58" s="155"/>
      <c r="F58" s="155"/>
      <c r="G58" s="155"/>
      <c r="H58" s="155"/>
      <c r="J58" s="35"/>
      <c r="K58" s="36"/>
      <c r="N58" s="36"/>
    </row>
    <row r="59" spans="1:14" ht="15.75" customHeight="1" x14ac:dyDescent="0.3">
      <c r="A59" s="89" t="s">
        <v>120</v>
      </c>
      <c r="B59" s="89"/>
      <c r="C59" s="89"/>
      <c r="D59" s="185" t="s">
        <v>260</v>
      </c>
      <c r="E59" s="185"/>
      <c r="F59" s="185"/>
      <c r="G59" s="185"/>
      <c r="H59" s="185"/>
      <c r="I59" s="8" t="str">
        <f>(IF(G51="NA","60 Years After Completion",IF(G51&lt;&gt;"NA",""&amp;60-ROUNDDOWN((E3-G51)/360,0)&amp;" Years"," ")))</f>
        <v>60 Years After Completion</v>
      </c>
      <c r="N59" s="36"/>
    </row>
    <row r="60" spans="1:14" ht="15.75" customHeight="1" x14ac:dyDescent="0.3">
      <c r="A60" s="89" t="s">
        <v>121</v>
      </c>
      <c r="B60" s="89"/>
      <c r="C60" s="89"/>
      <c r="D60" s="155" t="s">
        <v>24</v>
      </c>
      <c r="E60" s="155"/>
      <c r="F60" s="155"/>
      <c r="G60" s="155"/>
      <c r="H60" s="155"/>
      <c r="J60" s="17"/>
      <c r="K60" s="17"/>
    </row>
    <row r="61" spans="1:14" ht="15.75" customHeight="1" thickBot="1" x14ac:dyDescent="0.35">
      <c r="A61" s="104" t="s">
        <v>119</v>
      </c>
      <c r="B61" s="104"/>
      <c r="C61" s="104"/>
      <c r="D61" s="105" t="str">
        <f ca="1">(IF(G66&gt;95%,"Nothing",IF(G66&gt;0%,"Cement, Aggregate, Steel, etc",IF(G66=0%,"Work not yet Started"))))</f>
        <v>Nothing</v>
      </c>
      <c r="E61" s="105"/>
      <c r="F61" s="105"/>
      <c r="G61" s="105"/>
      <c r="H61" s="105"/>
      <c r="J61" s="17"/>
    </row>
    <row r="62" spans="1:14" s="10" customFormat="1" ht="15.75" customHeight="1" x14ac:dyDescent="0.3">
      <c r="A62" s="140" t="s">
        <v>177</v>
      </c>
      <c r="B62" s="141"/>
      <c r="C62" s="142" t="str">
        <f>D56</f>
        <v>Building No. 02 (T-13A &amp; T-13B) = Gr + P1 + P2 + S + 1st to 18th Floor</v>
      </c>
      <c r="D62" s="143"/>
      <c r="E62" s="143"/>
      <c r="F62" s="143"/>
      <c r="G62" s="143"/>
      <c r="H62" s="144"/>
      <c r="I62" s="43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All work completed. Please provide OC.</v>
      </c>
      <c r="J62" s="44"/>
    </row>
    <row r="63" spans="1:14" s="10" customFormat="1" x14ac:dyDescent="0.3">
      <c r="A63" s="37" t="s">
        <v>179</v>
      </c>
      <c r="B63" s="40">
        <v>0</v>
      </c>
      <c r="C63" s="40" t="s">
        <v>101</v>
      </c>
      <c r="D63" s="40">
        <v>1</v>
      </c>
      <c r="E63" s="40" t="s">
        <v>100</v>
      </c>
      <c r="F63" s="40">
        <v>3</v>
      </c>
      <c r="G63" s="40" t="s">
        <v>113</v>
      </c>
      <c r="H63" s="38">
        <f ca="1">--TRIM(RIGHT(SUBSTITUTE(LEFT(C62,_xlfn.AGGREGATE(16,6,FIND({0,1,2,3,4,5,6,7,8,9},C62,ROW(INDIRECT("1:"&amp;LEN(C62)))),1))," ",REPT(" ",LEN(C62))),LEN(C62)))</f>
        <v>18</v>
      </c>
      <c r="I63" s="45"/>
      <c r="J63" s="46"/>
    </row>
    <row r="64" spans="1:14" s="10" customFormat="1" x14ac:dyDescent="0.3">
      <c r="A64" s="171" t="s">
        <v>123</v>
      </c>
      <c r="B64" s="119"/>
      <c r="C64" s="145" t="s">
        <v>257</v>
      </c>
      <c r="D64" s="145"/>
      <c r="E64" s="145"/>
      <c r="F64" s="145"/>
      <c r="G64" s="145"/>
      <c r="H64" s="146"/>
      <c r="I64" s="45" t="s">
        <v>251</v>
      </c>
      <c r="J64" s="46"/>
    </row>
    <row r="65" spans="1:17" s="10" customFormat="1" ht="15.75" customHeight="1" x14ac:dyDescent="0.3">
      <c r="A65" s="78" t="s">
        <v>52</v>
      </c>
      <c r="B65" s="79"/>
      <c r="C65" s="47" t="s">
        <v>176</v>
      </c>
      <c r="D65" s="47" t="s">
        <v>116</v>
      </c>
      <c r="E65" s="79" t="s">
        <v>118</v>
      </c>
      <c r="F65" s="79"/>
      <c r="G65" s="79" t="s">
        <v>117</v>
      </c>
      <c r="H65" s="139"/>
      <c r="I65" s="48" t="s">
        <v>178</v>
      </c>
      <c r="J65" s="49">
        <f ca="1">H63*25%</f>
        <v>4.5</v>
      </c>
    </row>
    <row r="66" spans="1:17" s="10" customFormat="1" x14ac:dyDescent="0.3">
      <c r="A66" s="78" t="s">
        <v>165</v>
      </c>
      <c r="B66" s="79"/>
      <c r="C66" s="53">
        <f ca="1">J67</f>
        <v>18</v>
      </c>
      <c r="D66" s="51">
        <f ca="1">((100/H63)*C66)/100</f>
        <v>1</v>
      </c>
      <c r="E66" s="82">
        <f ca="1">(((C67/H63*10)+(40/(D63+F63+H63)*C68)+(7.5/(H63)*C69)+(7.5/(H63)*C70)+(10/H63*C71)+(10/H63*C72)+(5/H63*C73)+(5/H63*C74)+(5/H63*C75))/100)</f>
        <v>1</v>
      </c>
      <c r="F66" s="82"/>
      <c r="G66" s="82">
        <f ca="1">((((C66/H63)*20)+((C67/H63)*25)+(30/(H63+F63+D63)*C68)+(5/H63*C69)+(5/H63*C70)+(5/H63*C71)+(5/H63*C72)+(0/H63*C73)+(0/H63*C74)+(5/H63*C75))/100)</f>
        <v>1</v>
      </c>
      <c r="H66" s="83"/>
      <c r="I66" s="48" t="s">
        <v>135</v>
      </c>
      <c r="J66" s="52">
        <f ca="1">H63*50%</f>
        <v>9</v>
      </c>
    </row>
    <row r="67" spans="1:17" s="10" customFormat="1" x14ac:dyDescent="0.3">
      <c r="A67" s="78" t="s">
        <v>53</v>
      </c>
      <c r="B67" s="79"/>
      <c r="C67" s="53">
        <v>18</v>
      </c>
      <c r="D67" s="51">
        <f ca="1">((100/H63)*C67)/100</f>
        <v>1</v>
      </c>
      <c r="E67" s="82"/>
      <c r="F67" s="82"/>
      <c r="G67" s="82"/>
      <c r="H67" s="83"/>
      <c r="I67" s="48" t="s">
        <v>136</v>
      </c>
      <c r="J67" s="52">
        <f ca="1">H63</f>
        <v>18</v>
      </c>
    </row>
    <row r="68" spans="1:17" s="10" customFormat="1" ht="15.75" customHeight="1" x14ac:dyDescent="0.3">
      <c r="A68" s="78" t="s">
        <v>166</v>
      </c>
      <c r="B68" s="79"/>
      <c r="C68" s="53">
        <f>D63+F63+18</f>
        <v>22</v>
      </c>
      <c r="D68" s="51">
        <f ca="1">((100/(D63+F63+H63))*C68)/100</f>
        <v>1.0000000000000002</v>
      </c>
      <c r="E68" s="82"/>
      <c r="F68" s="82"/>
      <c r="G68" s="82"/>
      <c r="H68" s="83"/>
      <c r="I68" s="48" t="s">
        <v>137</v>
      </c>
      <c r="J68" s="54">
        <f ca="1">(IF(B63&gt;1,(H63/(B63+2)),H63/4))</f>
        <v>4.5</v>
      </c>
    </row>
    <row r="69" spans="1:17" s="10" customFormat="1" ht="15.75" customHeight="1" x14ac:dyDescent="0.3">
      <c r="A69" s="78" t="s">
        <v>173</v>
      </c>
      <c r="B69" s="79" t="s">
        <v>167</v>
      </c>
      <c r="C69" s="53">
        <f>C68-D63-F63</f>
        <v>18</v>
      </c>
      <c r="D69" s="51">
        <f ca="1">((100/H63)*C69)/100</f>
        <v>1</v>
      </c>
      <c r="E69" s="82"/>
      <c r="F69" s="82"/>
      <c r="G69" s="82"/>
      <c r="H69" s="83"/>
      <c r="I69" s="48" t="s">
        <v>138</v>
      </c>
      <c r="J69" s="54">
        <f ca="1">(IF(B63&gt;1,(H63/(B63+2)+J68),H63/4+J68))</f>
        <v>9</v>
      </c>
      <c r="Q69" s="63">
        <f>C68-D63-F63</f>
        <v>18</v>
      </c>
    </row>
    <row r="70" spans="1:17" s="10" customFormat="1" ht="15.75" customHeight="1" x14ac:dyDescent="0.3">
      <c r="A70" s="78" t="s">
        <v>174</v>
      </c>
      <c r="B70" s="79" t="s">
        <v>167</v>
      </c>
      <c r="C70" s="53">
        <v>18</v>
      </c>
      <c r="D70" s="51">
        <f ca="1">((100/H63)*C70)/100</f>
        <v>1</v>
      </c>
      <c r="E70" s="82"/>
      <c r="F70" s="82"/>
      <c r="G70" s="82"/>
      <c r="H70" s="83"/>
      <c r="I70" s="48" t="s">
        <v>183</v>
      </c>
      <c r="J70" s="54">
        <f>(IF(B63&gt;1,(H63/(B63+2)+J69),0))</f>
        <v>0</v>
      </c>
    </row>
    <row r="71" spans="1:17" s="10" customFormat="1" ht="15" customHeight="1" x14ac:dyDescent="0.3">
      <c r="A71" s="78" t="s">
        <v>172</v>
      </c>
      <c r="B71" s="79" t="s">
        <v>169</v>
      </c>
      <c r="C71" s="53">
        <v>18</v>
      </c>
      <c r="D71" s="51">
        <f ca="1">((100/(H63))*C71)/100</f>
        <v>1</v>
      </c>
      <c r="E71" s="82"/>
      <c r="F71" s="82"/>
      <c r="G71" s="82"/>
      <c r="H71" s="83"/>
      <c r="I71" s="48" t="s">
        <v>180</v>
      </c>
      <c r="J71" s="54">
        <f>(IF(B63&gt;2,(H63/(B63+2)+J70),0))</f>
        <v>0</v>
      </c>
    </row>
    <row r="72" spans="1:17" s="10" customFormat="1" ht="15.75" customHeight="1" x14ac:dyDescent="0.3">
      <c r="A72" s="78" t="s">
        <v>168</v>
      </c>
      <c r="B72" s="79" t="s">
        <v>168</v>
      </c>
      <c r="C72" s="50">
        <v>18</v>
      </c>
      <c r="D72" s="51">
        <f ca="1">((100/H63)*C72)/100</f>
        <v>1</v>
      </c>
      <c r="E72" s="82"/>
      <c r="F72" s="82"/>
      <c r="G72" s="82"/>
      <c r="H72" s="83"/>
      <c r="I72" s="48" t="s">
        <v>181</v>
      </c>
      <c r="J72" s="55">
        <f>(IF(B63&gt;3,(H63/(B63+2)+J71),0))</f>
        <v>0</v>
      </c>
    </row>
    <row r="73" spans="1:17" s="10" customFormat="1" ht="15.75" customHeight="1" x14ac:dyDescent="0.3">
      <c r="A73" s="78" t="s">
        <v>175</v>
      </c>
      <c r="B73" s="79"/>
      <c r="C73" s="50">
        <v>18</v>
      </c>
      <c r="D73" s="51">
        <f ca="1">((100/H63)*C73)/100</f>
        <v>1</v>
      </c>
      <c r="E73" s="82"/>
      <c r="F73" s="82"/>
      <c r="G73" s="82"/>
      <c r="H73" s="83"/>
      <c r="I73" s="48" t="s">
        <v>182</v>
      </c>
      <c r="J73" s="54">
        <f>(IF(B63&gt;4,(H63/(B63+2)+J72),0))</f>
        <v>0</v>
      </c>
    </row>
    <row r="74" spans="1:17" s="10" customFormat="1" ht="15.75" customHeight="1" x14ac:dyDescent="0.3">
      <c r="A74" s="78" t="s">
        <v>170</v>
      </c>
      <c r="B74" s="79" t="s">
        <v>170</v>
      </c>
      <c r="C74" s="50">
        <v>18</v>
      </c>
      <c r="D74" s="51">
        <f ca="1">((100/(H63))*C74)/100</f>
        <v>1</v>
      </c>
      <c r="E74" s="82"/>
      <c r="F74" s="82"/>
      <c r="G74" s="82"/>
      <c r="H74" s="83"/>
      <c r="I74" s="48" t="s">
        <v>184</v>
      </c>
      <c r="J74" s="54">
        <f ca="1">(IF(B63=1,(H63/(B63+3)+J69),IF(B63=0,(H63/4+J69),IF(B63&gt;1,0))))</f>
        <v>13.5</v>
      </c>
    </row>
    <row r="75" spans="1:17" s="10" customFormat="1" ht="16.2" thickBot="1" x14ac:dyDescent="0.35">
      <c r="A75" s="80" t="s">
        <v>171</v>
      </c>
      <c r="B75" s="81"/>
      <c r="C75" s="56">
        <v>18</v>
      </c>
      <c r="D75" s="57">
        <f ca="1">((100/(H63))*C75)/100</f>
        <v>1</v>
      </c>
      <c r="E75" s="84"/>
      <c r="F75" s="84"/>
      <c r="G75" s="84"/>
      <c r="H75" s="85"/>
      <c r="I75" s="58" t="s">
        <v>139</v>
      </c>
      <c r="J75" s="59">
        <f ca="1">(IF(B63&gt;1.5,(H63/(B63+2)+J69+MAX(0,J70-J69)+MAX(0,J71-J70)+MAX(0,J72-J71)+MAX(0,J73-J72)+MAX(0,J74-J73)),IF(B63=1,(H63/(B63+3)+J74),IF(B63=0,H63/4+J74))))</f>
        <v>18</v>
      </c>
    </row>
    <row r="76" spans="1:17" s="10" customFormat="1" ht="15.75" hidden="1" customHeight="1" x14ac:dyDescent="0.3">
      <c r="A76" s="140" t="s">
        <v>177</v>
      </c>
      <c r="B76" s="141"/>
      <c r="C76" s="142" t="str">
        <f>D57</f>
        <v>Building No. 02 (T-13B) = Gr + P1 + P2 + S + 1st to 18th Floor</v>
      </c>
      <c r="D76" s="143"/>
      <c r="E76" s="143"/>
      <c r="F76" s="143"/>
      <c r="G76" s="143"/>
      <c r="H76" s="144"/>
      <c r="I76" s="43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Excavation work Completed. Plinth work completed, RCC upto 16 Slab, Brickwork upto 12 Floor, Internal Plaster upto 9 Floor, External Plaster upto 9 Floor Completed</v>
      </c>
      <c r="J76" s="44"/>
    </row>
    <row r="77" spans="1:17" s="10" customFormat="1" hidden="1" x14ac:dyDescent="0.3">
      <c r="A77" s="37" t="s">
        <v>179</v>
      </c>
      <c r="B77" s="40">
        <v>0</v>
      </c>
      <c r="C77" s="40" t="s">
        <v>101</v>
      </c>
      <c r="D77" s="40">
        <v>1</v>
      </c>
      <c r="E77" s="40" t="s">
        <v>100</v>
      </c>
      <c r="F77" s="40">
        <v>3</v>
      </c>
      <c r="G77" s="40" t="s">
        <v>113</v>
      </c>
      <c r="H77" s="38">
        <f ca="1">--TRIM(RIGHT(SUBSTITUTE(LEFT(C76,_xlfn.AGGREGATE(16,6,FIND({0,1,2,3,4,5,6,7,8,9},C76,ROW(INDIRECT("1:"&amp;LEN(C76)))),1))," ",REPT(" ",LEN(C76))),LEN(C76)))</f>
        <v>18</v>
      </c>
      <c r="I77" s="45"/>
      <c r="J77" s="46"/>
    </row>
    <row r="78" spans="1:17" s="10" customFormat="1" ht="36" hidden="1" customHeight="1" x14ac:dyDescent="0.3">
      <c r="A78" s="171" t="s">
        <v>123</v>
      </c>
      <c r="B78" s="119"/>
      <c r="C78" s="145" t="str">
        <f ca="1">I76</f>
        <v>Excavation work Completed. Plinth work completed, RCC upto 16 Slab, Brickwork upto 12 Floor, Internal Plaster upto 9 Floor, External Plaster upto 9 Floor Completed</v>
      </c>
      <c r="D78" s="145"/>
      <c r="E78" s="145"/>
      <c r="F78" s="145"/>
      <c r="G78" s="145"/>
      <c r="H78" s="146"/>
      <c r="I78" s="45" t="s">
        <v>140</v>
      </c>
      <c r="J78" s="46"/>
    </row>
    <row r="79" spans="1:17" s="10" customFormat="1" ht="15.75" hidden="1" customHeight="1" x14ac:dyDescent="0.3">
      <c r="A79" s="78" t="s">
        <v>52</v>
      </c>
      <c r="B79" s="79"/>
      <c r="C79" s="47" t="s">
        <v>176</v>
      </c>
      <c r="D79" s="47" t="s">
        <v>116</v>
      </c>
      <c r="E79" s="79" t="s">
        <v>118</v>
      </c>
      <c r="F79" s="79"/>
      <c r="G79" s="79" t="s">
        <v>117</v>
      </c>
      <c r="H79" s="139"/>
      <c r="I79" s="48" t="s">
        <v>178</v>
      </c>
      <c r="J79" s="49">
        <f ca="1">H77*25%</f>
        <v>4.5</v>
      </c>
    </row>
    <row r="80" spans="1:17" s="10" customFormat="1" hidden="1" x14ac:dyDescent="0.3">
      <c r="A80" s="78" t="s">
        <v>165</v>
      </c>
      <c r="B80" s="79"/>
      <c r="C80" s="50">
        <f ca="1">J81</f>
        <v>18</v>
      </c>
      <c r="D80" s="51">
        <f ca="1">((100/H77)*C80)/100</f>
        <v>1</v>
      </c>
      <c r="E80" s="82">
        <f ca="1">(((C81/H77*10)+(40/(D77+F77+H77)*C82)+(7.5/(H77)*C83)+(7.5/(H77)*C84)+(10/H77*C85)+(10/H77*C86)+(5/H77*C87)+(5/H77*C88)+(5/H77*C89))/100)</f>
        <v>0.52840909090909094</v>
      </c>
      <c r="F80" s="82"/>
      <c r="G80" s="82">
        <f ca="1">((((C80/H77)*20)+((C81/H77)*25)+(30/(H77+F77+D77)*C82)+(5/H77*C83)+(5/H77*C84)+(5/H77*C85)+(5/H77*C86)+(0/H77*C87)+(0/H77*C88)+(5/H77*C89))/100)</f>
        <v>0.75151515151515147</v>
      </c>
      <c r="H80" s="83"/>
      <c r="I80" s="48" t="s">
        <v>135</v>
      </c>
      <c r="J80" s="52">
        <f ca="1">H77*50%</f>
        <v>9</v>
      </c>
    </row>
    <row r="81" spans="1:10" s="10" customFormat="1" hidden="1" x14ac:dyDescent="0.3">
      <c r="A81" s="78" t="s">
        <v>53</v>
      </c>
      <c r="B81" s="79"/>
      <c r="C81" s="53">
        <v>18</v>
      </c>
      <c r="D81" s="51">
        <f ca="1">((100/H77)*C81)/100</f>
        <v>1</v>
      </c>
      <c r="E81" s="82"/>
      <c r="F81" s="82"/>
      <c r="G81" s="82"/>
      <c r="H81" s="83"/>
      <c r="I81" s="48" t="s">
        <v>136</v>
      </c>
      <c r="J81" s="52">
        <f ca="1">H77</f>
        <v>18</v>
      </c>
    </row>
    <row r="82" spans="1:10" s="10" customFormat="1" ht="15.75" hidden="1" customHeight="1" x14ac:dyDescent="0.3">
      <c r="A82" s="78" t="s">
        <v>166</v>
      </c>
      <c r="B82" s="79"/>
      <c r="C82" s="53">
        <v>16</v>
      </c>
      <c r="D82" s="51">
        <f ca="1">((100/(D77+F77+H77))*C82)/100</f>
        <v>0.72727272727272729</v>
      </c>
      <c r="E82" s="82"/>
      <c r="F82" s="82"/>
      <c r="G82" s="82"/>
      <c r="H82" s="83"/>
      <c r="I82" s="48" t="s">
        <v>137</v>
      </c>
      <c r="J82" s="54">
        <f ca="1">(IF(B77&gt;1,(H77/(B77+2)),H77/4))</f>
        <v>4.5</v>
      </c>
    </row>
    <row r="83" spans="1:10" s="10" customFormat="1" ht="15.75" hidden="1" customHeight="1" x14ac:dyDescent="0.3">
      <c r="A83" s="78" t="s">
        <v>173</v>
      </c>
      <c r="B83" s="79" t="s">
        <v>167</v>
      </c>
      <c r="C83" s="53">
        <f>C82-D77-F77</f>
        <v>12</v>
      </c>
      <c r="D83" s="51">
        <f ca="1">((100/H77)*C83)/100</f>
        <v>0.66666666666666652</v>
      </c>
      <c r="E83" s="82"/>
      <c r="F83" s="82"/>
      <c r="G83" s="82"/>
      <c r="H83" s="83"/>
      <c r="I83" s="48" t="s">
        <v>138</v>
      </c>
      <c r="J83" s="54">
        <f ca="1">(IF(B77&gt;1,(H77/(B77+2)+J82),H77/4+J82))</f>
        <v>9</v>
      </c>
    </row>
    <row r="84" spans="1:10" s="10" customFormat="1" ht="15.75" hidden="1" customHeight="1" x14ac:dyDescent="0.3">
      <c r="A84" s="78" t="s">
        <v>174</v>
      </c>
      <c r="B84" s="79" t="s">
        <v>167</v>
      </c>
      <c r="C84" s="53">
        <f>C83*0.75</f>
        <v>9</v>
      </c>
      <c r="D84" s="51">
        <f ca="1">((100/H77)*C84)/100</f>
        <v>0.5</v>
      </c>
      <c r="E84" s="82"/>
      <c r="F84" s="82"/>
      <c r="G84" s="82"/>
      <c r="H84" s="83"/>
      <c r="I84" s="48" t="s">
        <v>183</v>
      </c>
      <c r="J84" s="54">
        <f>(IF(B77&gt;1,(H77/(B77+2)+J83),0))</f>
        <v>0</v>
      </c>
    </row>
    <row r="85" spans="1:10" s="10" customFormat="1" ht="15" hidden="1" customHeight="1" x14ac:dyDescent="0.3">
      <c r="A85" s="78" t="s">
        <v>172</v>
      </c>
      <c r="B85" s="79" t="s">
        <v>169</v>
      </c>
      <c r="C85" s="53">
        <f>C84</f>
        <v>9</v>
      </c>
      <c r="D85" s="51">
        <f ca="1">((100/(H77))*C85)/100</f>
        <v>0.5</v>
      </c>
      <c r="E85" s="82"/>
      <c r="F85" s="82"/>
      <c r="G85" s="82"/>
      <c r="H85" s="83"/>
      <c r="I85" s="48" t="s">
        <v>180</v>
      </c>
      <c r="J85" s="54">
        <f>(IF(B77&gt;2,(H77/(B77+2)+J84),0))</f>
        <v>0</v>
      </c>
    </row>
    <row r="86" spans="1:10" s="10" customFormat="1" ht="15.75" hidden="1" customHeight="1" x14ac:dyDescent="0.3">
      <c r="A86" s="78" t="s">
        <v>168</v>
      </c>
      <c r="B86" s="79" t="s">
        <v>168</v>
      </c>
      <c r="C86" s="50">
        <v>0</v>
      </c>
      <c r="D86" s="51">
        <f ca="1">((100/H77)*C86)/100</f>
        <v>0</v>
      </c>
      <c r="E86" s="82"/>
      <c r="F86" s="82"/>
      <c r="G86" s="82"/>
      <c r="H86" s="83"/>
      <c r="I86" s="48" t="s">
        <v>181</v>
      </c>
      <c r="J86" s="55">
        <f>(IF(B77&gt;3,(H77/(B77+2)+J85),0))</f>
        <v>0</v>
      </c>
    </row>
    <row r="87" spans="1:10" s="10" customFormat="1" ht="15.75" hidden="1" customHeight="1" x14ac:dyDescent="0.3">
      <c r="A87" s="78" t="s">
        <v>175</v>
      </c>
      <c r="B87" s="79"/>
      <c r="C87" s="50">
        <v>0</v>
      </c>
      <c r="D87" s="51">
        <f ca="1">((100/H77)*C87)/100</f>
        <v>0</v>
      </c>
      <c r="E87" s="82"/>
      <c r="F87" s="82"/>
      <c r="G87" s="82"/>
      <c r="H87" s="83"/>
      <c r="I87" s="48" t="s">
        <v>182</v>
      </c>
      <c r="J87" s="54">
        <f>(IF(B77&gt;4,(H77/(B77+2)+J86),0))</f>
        <v>0</v>
      </c>
    </row>
    <row r="88" spans="1:10" s="10" customFormat="1" ht="15.75" hidden="1" customHeight="1" x14ac:dyDescent="0.3">
      <c r="A88" s="78" t="s">
        <v>170</v>
      </c>
      <c r="B88" s="79" t="s">
        <v>170</v>
      </c>
      <c r="C88" s="50">
        <v>0</v>
      </c>
      <c r="D88" s="51">
        <f ca="1">((100/(H77))*C88)/100</f>
        <v>0</v>
      </c>
      <c r="E88" s="82"/>
      <c r="F88" s="82"/>
      <c r="G88" s="82"/>
      <c r="H88" s="83"/>
      <c r="I88" s="48" t="s">
        <v>184</v>
      </c>
      <c r="J88" s="54">
        <f ca="1">(IF(B77=1,(H77/(B77+3)+J83),IF(B77=0,(H77/4+J83),IF(B77&gt;1,0))))</f>
        <v>13.5</v>
      </c>
    </row>
    <row r="89" spans="1:10" s="10" customFormat="1" ht="16.2" hidden="1" thickBot="1" x14ac:dyDescent="0.35">
      <c r="A89" s="80" t="s">
        <v>171</v>
      </c>
      <c r="B89" s="81"/>
      <c r="C89" s="56">
        <v>0</v>
      </c>
      <c r="D89" s="57">
        <f ca="1">((100/(H77))*C89)/100</f>
        <v>0</v>
      </c>
      <c r="E89" s="84"/>
      <c r="F89" s="84"/>
      <c r="G89" s="84"/>
      <c r="H89" s="85"/>
      <c r="I89" s="58" t="s">
        <v>139</v>
      </c>
      <c r="J89" s="59">
        <f ca="1">(IF(B77&gt;1.5,(H77/(B77+2)+J83+MAX(0,J84-J83)+MAX(0,J85-J84)+MAX(0,J86-J85)+MAX(0,J87-J86)+MAX(0,J88-J87)),IF(B77=1,(H77/(B77+3)+J88),IF(B77=0,H77/4+J88))))</f>
        <v>18</v>
      </c>
    </row>
    <row r="90" spans="1:10" x14ac:dyDescent="0.3">
      <c r="A90" s="90" t="s">
        <v>153</v>
      </c>
      <c r="B90" s="91"/>
      <c r="C90" s="91"/>
      <c r="D90" s="91"/>
      <c r="E90" s="92"/>
      <c r="F90" s="90" t="str">
        <f ca="1">(IF(D61="Nothing","Yes",IF(D61="Cement, Aggregate, Steel, etc","Under Construction",IF(D61="Work not yet Started","Work not yet Started"))))</f>
        <v>Yes</v>
      </c>
      <c r="G90" s="91"/>
      <c r="H90" s="92"/>
    </row>
    <row r="91" spans="1:10" x14ac:dyDescent="0.3">
      <c r="A91" s="89" t="s">
        <v>54</v>
      </c>
      <c r="B91" s="89"/>
      <c r="C91" s="89"/>
      <c r="D91" s="89"/>
      <c r="E91" s="89"/>
      <c r="F91" s="89"/>
      <c r="G91" s="89"/>
      <c r="H91" s="89"/>
    </row>
    <row r="92" spans="1:10" ht="15" customHeight="1" thickBot="1" x14ac:dyDescent="0.35">
      <c r="A92" s="166" t="s">
        <v>104</v>
      </c>
      <c r="B92" s="166"/>
      <c r="C92" s="93" t="s">
        <v>105</v>
      </c>
      <c r="D92" s="93"/>
      <c r="E92" s="93"/>
      <c r="F92" s="93"/>
      <c r="G92" s="93"/>
      <c r="H92" s="93"/>
    </row>
    <row r="93" spans="1:10" x14ac:dyDescent="0.3">
      <c r="A93" s="182" t="s">
        <v>55</v>
      </c>
      <c r="B93" s="183"/>
      <c r="C93" s="183"/>
      <c r="D93" s="183"/>
      <c r="E93" s="184"/>
      <c r="F93" s="94" t="s">
        <v>241</v>
      </c>
      <c r="G93" s="94"/>
      <c r="H93" s="95"/>
    </row>
    <row r="94" spans="1:10" x14ac:dyDescent="0.3">
      <c r="A94" s="88" t="s">
        <v>106</v>
      </c>
      <c r="B94" s="89"/>
      <c r="C94" s="89"/>
      <c r="D94" s="89"/>
      <c r="E94" s="89"/>
      <c r="F94" s="107">
        <v>21500</v>
      </c>
      <c r="G94" s="107"/>
      <c r="H94" s="108"/>
      <c r="I94" s="64" t="s">
        <v>242</v>
      </c>
    </row>
    <row r="95" spans="1:10" ht="15.75" hidden="1" customHeight="1" x14ac:dyDescent="0.3">
      <c r="A95" s="88" t="s">
        <v>111</v>
      </c>
      <c r="B95" s="89"/>
      <c r="C95" s="89"/>
      <c r="D95" s="89"/>
      <c r="E95" s="89"/>
      <c r="F95" s="86"/>
      <c r="G95" s="86"/>
      <c r="H95" s="87"/>
    </row>
    <row r="96" spans="1:10" ht="15.75" hidden="1" customHeight="1" x14ac:dyDescent="0.3">
      <c r="A96" s="88" t="s">
        <v>112</v>
      </c>
      <c r="B96" s="89"/>
      <c r="C96" s="89"/>
      <c r="D96" s="89"/>
      <c r="E96" s="89"/>
      <c r="F96" s="86"/>
      <c r="G96" s="86"/>
      <c r="H96" s="87"/>
    </row>
    <row r="97" spans="1:8" s="11" customFormat="1" ht="15.75" hidden="1" customHeight="1" x14ac:dyDescent="0.25">
      <c r="A97" s="88" t="s">
        <v>243</v>
      </c>
      <c r="B97" s="89"/>
      <c r="C97" s="89"/>
      <c r="D97" s="89"/>
      <c r="E97" s="89"/>
      <c r="F97" s="107"/>
      <c r="G97" s="107"/>
      <c r="H97" s="108"/>
    </row>
    <row r="98" spans="1:8" s="11" customFormat="1" ht="15.75" hidden="1" customHeight="1" x14ac:dyDescent="0.25">
      <c r="A98" s="88" t="s">
        <v>128</v>
      </c>
      <c r="B98" s="89"/>
      <c r="C98" s="89"/>
      <c r="D98" s="89"/>
      <c r="E98" s="89"/>
      <c r="F98" s="86"/>
      <c r="G98" s="86"/>
      <c r="H98" s="87"/>
    </row>
    <row r="99" spans="1:8" s="11" customFormat="1" ht="15.75" hidden="1" customHeight="1" x14ac:dyDescent="0.25">
      <c r="A99" s="88" t="s">
        <v>129</v>
      </c>
      <c r="B99" s="89"/>
      <c r="C99" s="89"/>
      <c r="D99" s="89"/>
      <c r="E99" s="89"/>
      <c r="F99" s="86"/>
      <c r="G99" s="86"/>
      <c r="H99" s="87"/>
    </row>
    <row r="100" spans="1:8" s="11" customFormat="1" ht="15.75" hidden="1" customHeight="1" x14ac:dyDescent="0.25">
      <c r="A100" s="88" t="s">
        <v>130</v>
      </c>
      <c r="B100" s="89"/>
      <c r="C100" s="89"/>
      <c r="D100" s="89"/>
      <c r="E100" s="89"/>
      <c r="F100" s="86"/>
      <c r="G100" s="86"/>
      <c r="H100" s="87"/>
    </row>
    <row r="101" spans="1:8" s="11" customFormat="1" ht="15.75" hidden="1" customHeight="1" x14ac:dyDescent="0.25">
      <c r="A101" s="88" t="s">
        <v>131</v>
      </c>
      <c r="B101" s="89"/>
      <c r="C101" s="89"/>
      <c r="D101" s="89"/>
      <c r="E101" s="89"/>
      <c r="F101" s="86"/>
      <c r="G101" s="86"/>
      <c r="H101" s="87"/>
    </row>
    <row r="102" spans="1:8" s="11" customFormat="1" ht="15.75" hidden="1" customHeight="1" x14ac:dyDescent="0.25">
      <c r="A102" s="88" t="s">
        <v>132</v>
      </c>
      <c r="B102" s="89"/>
      <c r="C102" s="89"/>
      <c r="D102" s="89"/>
      <c r="E102" s="89"/>
      <c r="F102" s="86"/>
      <c r="G102" s="86"/>
      <c r="H102" s="87"/>
    </row>
    <row r="103" spans="1:8" s="11" customFormat="1" ht="15.75" hidden="1" customHeight="1" x14ac:dyDescent="0.25">
      <c r="A103" s="88" t="s">
        <v>133</v>
      </c>
      <c r="B103" s="89"/>
      <c r="C103" s="89"/>
      <c r="D103" s="89"/>
      <c r="E103" s="89"/>
      <c r="F103" s="86"/>
      <c r="G103" s="86"/>
      <c r="H103" s="87"/>
    </row>
    <row r="104" spans="1:8" s="11" customFormat="1" ht="15.75" hidden="1" customHeight="1" x14ac:dyDescent="0.25">
      <c r="A104" s="88" t="s">
        <v>134</v>
      </c>
      <c r="B104" s="89"/>
      <c r="C104" s="89"/>
      <c r="D104" s="89"/>
      <c r="E104" s="89"/>
      <c r="F104" s="86"/>
      <c r="G104" s="86"/>
      <c r="H104" s="87"/>
    </row>
    <row r="105" spans="1:8" x14ac:dyDescent="0.3">
      <c r="A105" s="88" t="s">
        <v>56</v>
      </c>
      <c r="B105" s="89"/>
      <c r="C105" s="89"/>
      <c r="D105" s="89"/>
      <c r="E105" s="89"/>
      <c r="F105" s="107">
        <v>1000000</v>
      </c>
      <c r="G105" s="107"/>
      <c r="H105" s="108"/>
    </row>
    <row r="106" spans="1:8" s="9" customFormat="1" ht="16.2" thickBot="1" x14ac:dyDescent="0.35">
      <c r="A106" s="149" t="s">
        <v>57</v>
      </c>
      <c r="B106" s="150"/>
      <c r="C106" s="150"/>
      <c r="D106" s="150"/>
      <c r="E106" s="150"/>
      <c r="F106" s="151">
        <f>F94*0.8</f>
        <v>17200</v>
      </c>
      <c r="G106" s="151"/>
      <c r="H106" s="152"/>
    </row>
    <row r="107" spans="1:8" s="1" customFormat="1" x14ac:dyDescent="0.3">
      <c r="A107" s="154" t="s">
        <v>99</v>
      </c>
      <c r="B107" s="154"/>
      <c r="C107" s="154"/>
      <c r="D107" s="154"/>
      <c r="E107" s="154"/>
      <c r="F107" s="154"/>
      <c r="G107" s="154"/>
      <c r="H107" s="154"/>
    </row>
    <row r="108" spans="1:8" s="1" customFormat="1" ht="15.75" customHeight="1" x14ac:dyDescent="0.3">
      <c r="A108" s="106" t="s">
        <v>58</v>
      </c>
      <c r="B108" s="106"/>
      <c r="C108" s="99" t="s">
        <v>109</v>
      </c>
      <c r="D108" s="99"/>
      <c r="E108" s="101" t="s">
        <v>59</v>
      </c>
      <c r="F108" s="101"/>
      <c r="G108" s="106" t="s">
        <v>60</v>
      </c>
      <c r="H108" s="106"/>
    </row>
    <row r="109" spans="1:8" s="1" customFormat="1" x14ac:dyDescent="0.3">
      <c r="A109" s="153" t="s">
        <v>205</v>
      </c>
      <c r="B109" s="153"/>
      <c r="C109" s="115">
        <f>COUNT(D120:D121)+COUNT(D123:D126)+COUNT(D128:D131)*11+COUNT(D133:D136)*7</f>
        <v>78</v>
      </c>
      <c r="D109" s="116"/>
      <c r="E109" s="96">
        <f>SUM(D120:D121)+SUM(D123:D126)+SUM(D128:D131)*11+SUM(D133:D136)*7</f>
        <v>29894.211359999994</v>
      </c>
      <c r="F109" s="97"/>
      <c r="G109" s="96">
        <f>SUM(F120:F121)+SUM(F123:F126)+SUM(F128:F131)*11+SUM(F133:F136)*7</f>
        <v>47830.738175999999</v>
      </c>
      <c r="H109" s="97"/>
    </row>
    <row r="110" spans="1:8" s="1" customFormat="1" x14ac:dyDescent="0.3">
      <c r="A110" s="153" t="s">
        <v>206</v>
      </c>
      <c r="B110" s="153"/>
      <c r="C110" s="116">
        <f>COUNT(D141:D142)+COUNT(D144:D147)+COUNT(D149:D152)*16+COUNT(D154)*2+COUNT(D156:D157)*2</f>
        <v>76</v>
      </c>
      <c r="D110" s="116"/>
      <c r="E110" s="96">
        <f>SUM(D141:D142)+SUM(D144:D147)+SUM(D149:D152)*16+SUM(D154)*2+SUM(D156:D157)*2</f>
        <v>41875.081559999999</v>
      </c>
      <c r="F110" s="96"/>
      <c r="G110" s="96">
        <f>SUM(F141:F142)+SUM(F144:F147)+SUM(F149:F152)*16+SUM(F154)*2+SUM(F156:F157)*2</f>
        <v>67000.130495999998</v>
      </c>
      <c r="H110" s="96"/>
    </row>
    <row r="111" spans="1:8" s="61" customFormat="1" x14ac:dyDescent="0.3">
      <c r="A111" s="167" t="s">
        <v>62</v>
      </c>
      <c r="B111" s="167"/>
      <c r="C111" s="98">
        <f>SUM(C109:D110)</f>
        <v>154</v>
      </c>
      <c r="D111" s="99"/>
      <c r="E111" s="100">
        <f>SUM(E109:F110)</f>
        <v>71769.292919999993</v>
      </c>
      <c r="F111" s="101"/>
      <c r="G111" s="100">
        <f>SUM(G109:H110)</f>
        <v>114830.868672</v>
      </c>
      <c r="H111" s="101"/>
    </row>
    <row r="112" spans="1:8" s="9" customFormat="1" x14ac:dyDescent="0.3">
      <c r="A112" s="136" t="s">
        <v>63</v>
      </c>
      <c r="B112" s="136"/>
      <c r="C112" s="136"/>
      <c r="D112" s="136"/>
      <c r="E112" s="136"/>
      <c r="F112" s="136"/>
      <c r="G112" s="136"/>
      <c r="H112" s="136"/>
    </row>
    <row r="113" spans="1:14" x14ac:dyDescent="0.3">
      <c r="A113" s="136" t="s">
        <v>64</v>
      </c>
      <c r="B113" s="136"/>
      <c r="C113" s="136"/>
      <c r="D113" s="136"/>
      <c r="E113" s="136"/>
      <c r="F113" s="136"/>
      <c r="G113" s="136"/>
      <c r="H113" s="136"/>
    </row>
    <row r="114" spans="1:14" ht="47.25" customHeight="1" x14ac:dyDescent="0.3">
      <c r="A114" s="156" t="s">
        <v>155</v>
      </c>
      <c r="B114" s="156" t="s">
        <v>156</v>
      </c>
      <c r="C114" s="160" t="s">
        <v>65</v>
      </c>
      <c r="D114" s="160" t="s">
        <v>66</v>
      </c>
      <c r="E114" s="162" t="s">
        <v>67</v>
      </c>
      <c r="F114" s="33" t="s">
        <v>154</v>
      </c>
      <c r="G114" s="156" t="s">
        <v>68</v>
      </c>
      <c r="H114" s="164"/>
      <c r="I114" s="32"/>
    </row>
    <row r="115" spans="1:14" s="2" customFormat="1" x14ac:dyDescent="0.3">
      <c r="A115" s="157"/>
      <c r="B115" s="157"/>
      <c r="C115" s="161"/>
      <c r="D115" s="161"/>
      <c r="E115" s="163"/>
      <c r="F115" s="31">
        <v>0.6</v>
      </c>
      <c r="G115" s="157"/>
      <c r="H115" s="165"/>
      <c r="I115" s="32"/>
    </row>
    <row r="116" spans="1:14" s="2" customFormat="1" x14ac:dyDescent="0.3">
      <c r="A116" s="75" t="s">
        <v>213</v>
      </c>
      <c r="B116" s="76"/>
      <c r="C116" s="76"/>
      <c r="D116" s="76"/>
      <c r="E116" s="76"/>
      <c r="F116" s="76"/>
      <c r="G116" s="76"/>
      <c r="H116" s="77"/>
    </row>
    <row r="117" spans="1:14" s="2" customFormat="1" ht="15.6" customHeight="1" x14ac:dyDescent="0.3">
      <c r="A117" s="70" t="s">
        <v>222</v>
      </c>
      <c r="B117" s="70"/>
      <c r="C117" s="70"/>
      <c r="D117" s="70"/>
      <c r="E117" s="70"/>
      <c r="F117" s="70"/>
      <c r="G117" s="70"/>
      <c r="H117" s="70"/>
      <c r="I117" s="32"/>
      <c r="L117" s="71"/>
      <c r="M117" s="71"/>
    </row>
    <row r="118" spans="1:14" s="2" customFormat="1" ht="15.6" customHeight="1" x14ac:dyDescent="0.3">
      <c r="A118" s="70" t="s">
        <v>221</v>
      </c>
      <c r="B118" s="70"/>
      <c r="C118" s="70"/>
      <c r="D118" s="70"/>
      <c r="E118" s="70"/>
      <c r="F118" s="70"/>
      <c r="G118" s="70"/>
      <c r="H118" s="70"/>
      <c r="I118" s="32"/>
      <c r="L118" s="71"/>
      <c r="M118" s="71"/>
    </row>
    <row r="119" spans="1:14" s="2" customFormat="1" ht="15.6" customHeight="1" x14ac:dyDescent="0.3">
      <c r="A119" s="70" t="s">
        <v>223</v>
      </c>
      <c r="B119" s="70"/>
      <c r="C119" s="70"/>
      <c r="D119" s="70"/>
      <c r="E119" s="70"/>
      <c r="F119" s="70"/>
      <c r="G119" s="70"/>
      <c r="H119" s="70"/>
      <c r="I119" s="32"/>
      <c r="L119" s="71"/>
      <c r="M119" s="71"/>
    </row>
    <row r="120" spans="1:14" s="2" customFormat="1" ht="15.75" customHeight="1" x14ac:dyDescent="0.3">
      <c r="A120" s="69">
        <v>1</v>
      </c>
      <c r="B120" s="69"/>
      <c r="C120" s="18" t="s">
        <v>207</v>
      </c>
      <c r="D120" s="18">
        <f>35.76*10.764</f>
        <v>384.92063999999993</v>
      </c>
      <c r="E120" s="18">
        <v>0</v>
      </c>
      <c r="F120" s="18">
        <f t="shared" ref="F120:F121" si="0">D120*(($F$115)+1)+E120</f>
        <v>615.87302399999999</v>
      </c>
      <c r="G120" s="109" t="str">
        <f>A119</f>
        <v>2nd Podium Floor Residental &amp; Amenities</v>
      </c>
      <c r="H120" s="110"/>
      <c r="I120" s="32"/>
      <c r="N120" s="32"/>
    </row>
    <row r="121" spans="1:14" s="2" customFormat="1" ht="15.75" customHeight="1" x14ac:dyDescent="0.3">
      <c r="A121" s="69">
        <v>2</v>
      </c>
      <c r="B121" s="69"/>
      <c r="C121" s="18" t="s">
        <v>207</v>
      </c>
      <c r="D121" s="18">
        <f>35.76*10.764</f>
        <v>384.92063999999993</v>
      </c>
      <c r="E121" s="18">
        <v>0</v>
      </c>
      <c r="F121" s="18">
        <f t="shared" si="0"/>
        <v>615.87302399999999</v>
      </c>
      <c r="G121" s="113"/>
      <c r="H121" s="114"/>
      <c r="I121" s="32"/>
      <c r="N121" s="32"/>
    </row>
    <row r="122" spans="1:14" s="2" customFormat="1" x14ac:dyDescent="0.3">
      <c r="A122" s="70" t="s">
        <v>230</v>
      </c>
      <c r="B122" s="70"/>
      <c r="C122" s="70"/>
      <c r="D122" s="70"/>
      <c r="E122" s="70"/>
      <c r="F122" s="70"/>
      <c r="G122" s="70"/>
      <c r="H122" s="70"/>
      <c r="I122" s="32"/>
      <c r="L122" s="71"/>
      <c r="M122" s="71"/>
    </row>
    <row r="123" spans="1:14" s="2" customFormat="1" ht="15.75" customHeight="1" x14ac:dyDescent="0.3">
      <c r="A123" s="69">
        <v>1</v>
      </c>
      <c r="B123" s="69"/>
      <c r="C123" s="18" t="s">
        <v>224</v>
      </c>
      <c r="D123" s="18">
        <f>29.74*10.764</f>
        <v>320.12135999999998</v>
      </c>
      <c r="E123" s="18">
        <v>0</v>
      </c>
      <c r="F123" s="18">
        <f t="shared" ref="F123:F124" si="1">D123*(($F$115)+1)+E123</f>
        <v>512.19417599999997</v>
      </c>
      <c r="G123" s="109" t="str">
        <f>A122</f>
        <v>Stilt Floor For Residential</v>
      </c>
      <c r="H123" s="110"/>
      <c r="I123" s="32"/>
      <c r="N123" s="32"/>
    </row>
    <row r="124" spans="1:14" s="2" customFormat="1" ht="15.75" customHeight="1" x14ac:dyDescent="0.3">
      <c r="A124" s="69">
        <f>A123+1</f>
        <v>2</v>
      </c>
      <c r="B124" s="69"/>
      <c r="C124" s="18" t="s">
        <v>224</v>
      </c>
      <c r="D124" s="18">
        <f>29.74*10.764</f>
        <v>320.12135999999998</v>
      </c>
      <c r="E124" s="18">
        <v>0</v>
      </c>
      <c r="F124" s="18">
        <f t="shared" si="1"/>
        <v>512.19417599999997</v>
      </c>
      <c r="G124" s="111"/>
      <c r="H124" s="112"/>
      <c r="I124" s="32"/>
      <c r="N124" s="32"/>
    </row>
    <row r="125" spans="1:14" s="2" customFormat="1" ht="15.75" customHeight="1" x14ac:dyDescent="0.3">
      <c r="A125" s="69">
        <v>3</v>
      </c>
      <c r="B125" s="69"/>
      <c r="C125" s="18" t="s">
        <v>207</v>
      </c>
      <c r="D125" s="18">
        <f>35.76*10.764</f>
        <v>384.92063999999993</v>
      </c>
      <c r="E125" s="18">
        <v>0</v>
      </c>
      <c r="F125" s="18">
        <f t="shared" ref="F125:F126" si="2">D125*(($F$115)+1)+E125</f>
        <v>615.87302399999999</v>
      </c>
      <c r="G125" s="111"/>
      <c r="H125" s="112"/>
      <c r="I125" s="32"/>
      <c r="N125" s="32"/>
    </row>
    <row r="126" spans="1:14" s="2" customFormat="1" ht="15.75" customHeight="1" x14ac:dyDescent="0.3">
      <c r="A126" s="69">
        <f>A125+1</f>
        <v>4</v>
      </c>
      <c r="B126" s="69"/>
      <c r="C126" s="18" t="s">
        <v>207</v>
      </c>
      <c r="D126" s="18">
        <f>35.76*10.764</f>
        <v>384.92063999999993</v>
      </c>
      <c r="E126" s="18">
        <v>0</v>
      </c>
      <c r="F126" s="18">
        <f t="shared" si="2"/>
        <v>615.87302399999999</v>
      </c>
      <c r="G126" s="113"/>
      <c r="H126" s="114"/>
      <c r="I126" s="32"/>
      <c r="N126" s="32"/>
    </row>
    <row r="127" spans="1:14" s="2" customFormat="1" x14ac:dyDescent="0.3">
      <c r="A127" s="70" t="s">
        <v>226</v>
      </c>
      <c r="B127" s="70"/>
      <c r="C127" s="70"/>
      <c r="D127" s="70"/>
      <c r="E127" s="70"/>
      <c r="F127" s="70"/>
      <c r="G127" s="70"/>
      <c r="H127" s="70"/>
      <c r="I127" s="32"/>
      <c r="L127" s="71"/>
      <c r="M127" s="71"/>
    </row>
    <row r="128" spans="1:14" s="2" customFormat="1" ht="15.75" customHeight="1" x14ac:dyDescent="0.3">
      <c r="A128" s="69">
        <v>1</v>
      </c>
      <c r="B128" s="69"/>
      <c r="C128" s="18" t="s">
        <v>207</v>
      </c>
      <c r="D128" s="18">
        <f>35.76*10.764</f>
        <v>384.92063999999993</v>
      </c>
      <c r="E128" s="18">
        <v>0</v>
      </c>
      <c r="F128" s="18">
        <f t="shared" ref="F128:F131" si="3">D128*(($F$115)+1)+E128</f>
        <v>615.87302399999999</v>
      </c>
      <c r="G128" s="109" t="str">
        <f>A127</f>
        <v>1st to 4th, 6th, 8th, 10th, 12th, 14th, 16th &amp; 18th Floor For Residential</v>
      </c>
      <c r="H128" s="110"/>
      <c r="I128" s="32"/>
      <c r="N128" s="32"/>
    </row>
    <row r="129" spans="1:14" s="2" customFormat="1" ht="15.75" customHeight="1" x14ac:dyDescent="0.3">
      <c r="A129" s="69">
        <f>A128+1</f>
        <v>2</v>
      </c>
      <c r="B129" s="69"/>
      <c r="C129" s="18" t="s">
        <v>207</v>
      </c>
      <c r="D129" s="18">
        <f t="shared" ref="D129:D136" si="4">35.76*10.764</f>
        <v>384.92063999999993</v>
      </c>
      <c r="E129" s="18">
        <v>0</v>
      </c>
      <c r="F129" s="18">
        <f t="shared" si="3"/>
        <v>615.87302399999999</v>
      </c>
      <c r="G129" s="111"/>
      <c r="H129" s="112"/>
      <c r="I129" s="32"/>
      <c r="N129" s="32"/>
    </row>
    <row r="130" spans="1:14" s="2" customFormat="1" ht="15.75" customHeight="1" x14ac:dyDescent="0.3">
      <c r="A130" s="69">
        <f>A129+1</f>
        <v>3</v>
      </c>
      <c r="B130" s="69"/>
      <c r="C130" s="18" t="s">
        <v>207</v>
      </c>
      <c r="D130" s="18">
        <f t="shared" si="4"/>
        <v>384.92063999999993</v>
      </c>
      <c r="E130" s="18">
        <v>0</v>
      </c>
      <c r="F130" s="18">
        <f t="shared" si="3"/>
        <v>615.87302399999999</v>
      </c>
      <c r="G130" s="111"/>
      <c r="H130" s="112"/>
      <c r="I130" s="32"/>
      <c r="N130" s="32"/>
    </row>
    <row r="131" spans="1:14" s="2" customFormat="1" ht="15.75" customHeight="1" x14ac:dyDescent="0.3">
      <c r="A131" s="69">
        <f>A130+1</f>
        <v>4</v>
      </c>
      <c r="B131" s="69"/>
      <c r="C131" s="18" t="s">
        <v>207</v>
      </c>
      <c r="D131" s="18">
        <f t="shared" si="4"/>
        <v>384.92063999999993</v>
      </c>
      <c r="E131" s="18">
        <v>0</v>
      </c>
      <c r="F131" s="18">
        <f t="shared" si="3"/>
        <v>615.87302399999999</v>
      </c>
      <c r="G131" s="113"/>
      <c r="H131" s="114"/>
      <c r="I131" s="32"/>
      <c r="N131" s="32"/>
    </row>
    <row r="132" spans="1:14" s="2" customFormat="1" x14ac:dyDescent="0.3">
      <c r="A132" s="70" t="s">
        <v>225</v>
      </c>
      <c r="B132" s="70"/>
      <c r="C132" s="70"/>
      <c r="D132" s="70"/>
      <c r="E132" s="70"/>
      <c r="F132" s="70"/>
      <c r="G132" s="70"/>
      <c r="H132" s="70"/>
      <c r="I132" s="32"/>
      <c r="L132" s="71"/>
      <c r="M132" s="71"/>
    </row>
    <row r="133" spans="1:14" s="2" customFormat="1" ht="15.75" customHeight="1" x14ac:dyDescent="0.3">
      <c r="A133" s="69">
        <v>1</v>
      </c>
      <c r="B133" s="69"/>
      <c r="C133" s="18" t="s">
        <v>207</v>
      </c>
      <c r="D133" s="18">
        <f t="shared" si="4"/>
        <v>384.92063999999993</v>
      </c>
      <c r="E133" s="18">
        <v>0</v>
      </c>
      <c r="F133" s="18">
        <f t="shared" ref="F133:F136" si="5">D133*(($F$115)+1)+E133</f>
        <v>615.87302399999999</v>
      </c>
      <c r="G133" s="109" t="str">
        <f>A132</f>
        <v>5th, 7th, 9th, 11th, 13th, 15th &amp; 17th Floor For Residential</v>
      </c>
      <c r="H133" s="110"/>
      <c r="I133" s="32"/>
      <c r="N133" s="32"/>
    </row>
    <row r="134" spans="1:14" s="2" customFormat="1" ht="15.75" customHeight="1" x14ac:dyDescent="0.3">
      <c r="A134" s="69">
        <f>A133+1</f>
        <v>2</v>
      </c>
      <c r="B134" s="69"/>
      <c r="C134" s="18" t="s">
        <v>207</v>
      </c>
      <c r="D134" s="18">
        <f t="shared" si="4"/>
        <v>384.92063999999993</v>
      </c>
      <c r="E134" s="18">
        <v>0</v>
      </c>
      <c r="F134" s="18">
        <f t="shared" si="5"/>
        <v>615.87302399999999</v>
      </c>
      <c r="G134" s="111"/>
      <c r="H134" s="112"/>
      <c r="I134" s="32"/>
      <c r="N134" s="32"/>
    </row>
    <row r="135" spans="1:14" s="2" customFormat="1" ht="15.75" customHeight="1" x14ac:dyDescent="0.3">
      <c r="A135" s="69">
        <f>A134+1</f>
        <v>3</v>
      </c>
      <c r="B135" s="69"/>
      <c r="C135" s="18" t="s">
        <v>207</v>
      </c>
      <c r="D135" s="18">
        <f t="shared" si="4"/>
        <v>384.92063999999993</v>
      </c>
      <c r="E135" s="18">
        <v>0</v>
      </c>
      <c r="F135" s="18">
        <f t="shared" si="5"/>
        <v>615.87302399999999</v>
      </c>
      <c r="G135" s="111"/>
      <c r="H135" s="112"/>
      <c r="I135" s="32"/>
      <c r="N135" s="32"/>
    </row>
    <row r="136" spans="1:14" s="2" customFormat="1" ht="15.75" customHeight="1" x14ac:dyDescent="0.3">
      <c r="A136" s="69">
        <f>A135+1</f>
        <v>4</v>
      </c>
      <c r="B136" s="69"/>
      <c r="C136" s="18" t="s">
        <v>207</v>
      </c>
      <c r="D136" s="18">
        <f t="shared" si="4"/>
        <v>384.92063999999993</v>
      </c>
      <c r="E136" s="18">
        <v>0</v>
      </c>
      <c r="F136" s="18">
        <f t="shared" si="5"/>
        <v>615.87302399999999</v>
      </c>
      <c r="G136" s="113"/>
      <c r="H136" s="114"/>
      <c r="I136" s="32"/>
      <c r="N136" s="32"/>
    </row>
    <row r="137" spans="1:14" s="2" customFormat="1" ht="15.6" customHeight="1" x14ac:dyDescent="0.3">
      <c r="A137" s="75" t="s">
        <v>217</v>
      </c>
      <c r="B137" s="76"/>
      <c r="C137" s="76"/>
      <c r="D137" s="76"/>
      <c r="E137" s="76"/>
      <c r="F137" s="76"/>
      <c r="G137" s="76"/>
      <c r="H137" s="77"/>
    </row>
    <row r="138" spans="1:14" s="2" customFormat="1" ht="15.6" customHeight="1" x14ac:dyDescent="0.3">
      <c r="A138" s="70" t="s">
        <v>214</v>
      </c>
      <c r="B138" s="70"/>
      <c r="C138" s="70"/>
      <c r="D138" s="70"/>
      <c r="E138" s="70"/>
      <c r="F138" s="70"/>
      <c r="G138" s="70"/>
      <c r="H138" s="70"/>
      <c r="I138" s="32"/>
      <c r="L138" s="71"/>
      <c r="M138" s="71"/>
    </row>
    <row r="139" spans="1:14" s="2" customFormat="1" ht="15.6" customHeight="1" x14ac:dyDescent="0.3">
      <c r="A139" s="70" t="s">
        <v>215</v>
      </c>
      <c r="B139" s="70"/>
      <c r="C139" s="70"/>
      <c r="D139" s="70"/>
      <c r="E139" s="70"/>
      <c r="F139" s="70"/>
      <c r="G139" s="70"/>
      <c r="H139" s="70"/>
      <c r="I139" s="32"/>
      <c r="L139" s="71"/>
      <c r="M139" s="71"/>
    </row>
    <row r="140" spans="1:14" s="2" customFormat="1" ht="15.6" customHeight="1" x14ac:dyDescent="0.3">
      <c r="A140" s="70" t="s">
        <v>216</v>
      </c>
      <c r="B140" s="70"/>
      <c r="C140" s="70"/>
      <c r="D140" s="70"/>
      <c r="E140" s="70"/>
      <c r="F140" s="70"/>
      <c r="G140" s="70"/>
      <c r="H140" s="70"/>
      <c r="I140" s="32"/>
      <c r="L140" s="71"/>
      <c r="M140" s="71"/>
    </row>
    <row r="141" spans="1:14" s="2" customFormat="1" ht="15.75" customHeight="1" x14ac:dyDescent="0.3">
      <c r="A141" s="69">
        <v>1</v>
      </c>
      <c r="B141" s="69"/>
      <c r="C141" s="18" t="s">
        <v>208</v>
      </c>
      <c r="D141" s="18">
        <f>46.08*10.764</f>
        <v>496.00511999999998</v>
      </c>
      <c r="E141" s="18">
        <v>0</v>
      </c>
      <c r="F141" s="18">
        <f t="shared" ref="F141:F142" si="6">D141*(($F$115)+1)+E141</f>
        <v>793.60819200000003</v>
      </c>
      <c r="G141" s="109" t="str">
        <f>A140</f>
        <v>3rd Podium Floor Residental &amp; Amenities</v>
      </c>
      <c r="H141" s="110"/>
      <c r="I141" s="32"/>
      <c r="N141" s="32"/>
    </row>
    <row r="142" spans="1:14" s="2" customFormat="1" ht="15.75" customHeight="1" x14ac:dyDescent="0.3">
      <c r="A142" s="69">
        <f>A141+1</f>
        <v>2</v>
      </c>
      <c r="B142" s="69"/>
      <c r="C142" s="18" t="s">
        <v>208</v>
      </c>
      <c r="D142" s="18">
        <f>46.08*10.764</f>
        <v>496.00511999999998</v>
      </c>
      <c r="E142" s="18">
        <v>0</v>
      </c>
      <c r="F142" s="18">
        <f t="shared" si="6"/>
        <v>793.60819200000003</v>
      </c>
      <c r="G142" s="113"/>
      <c r="H142" s="114"/>
      <c r="I142" s="32"/>
      <c r="N142" s="32"/>
    </row>
    <row r="143" spans="1:14" s="2" customFormat="1" x14ac:dyDescent="0.3">
      <c r="A143" s="70" t="s">
        <v>210</v>
      </c>
      <c r="B143" s="70"/>
      <c r="C143" s="70"/>
      <c r="D143" s="70"/>
      <c r="E143" s="70"/>
      <c r="F143" s="70"/>
      <c r="G143" s="70"/>
      <c r="H143" s="70"/>
      <c r="I143" s="32"/>
      <c r="L143" s="71"/>
      <c r="M143" s="71"/>
    </row>
    <row r="144" spans="1:14" s="2" customFormat="1" ht="15.75" customHeight="1" x14ac:dyDescent="0.3">
      <c r="A144" s="69">
        <v>1</v>
      </c>
      <c r="B144" s="69"/>
      <c r="C144" s="18" t="s">
        <v>208</v>
      </c>
      <c r="D144" s="18">
        <f>47.08*10.764</f>
        <v>506.76911999999993</v>
      </c>
      <c r="E144" s="18">
        <v>0</v>
      </c>
      <c r="F144" s="18">
        <f t="shared" ref="F144:F145" si="7">D144*(($F$115)+1)+E144</f>
        <v>810.83059199999991</v>
      </c>
      <c r="G144" s="109" t="str">
        <f>A143</f>
        <v>Stilt Floor For Residential &amp; Amenities</v>
      </c>
      <c r="H144" s="110"/>
      <c r="I144" s="32"/>
      <c r="N144" s="32"/>
    </row>
    <row r="145" spans="1:16" s="2" customFormat="1" ht="15.75" customHeight="1" x14ac:dyDescent="0.3">
      <c r="A145" s="69">
        <f>A144+1</f>
        <v>2</v>
      </c>
      <c r="B145" s="69"/>
      <c r="C145" s="18" t="s">
        <v>208</v>
      </c>
      <c r="D145" s="18">
        <f>47.08*10.764</f>
        <v>506.76911999999993</v>
      </c>
      <c r="E145" s="18">
        <v>0</v>
      </c>
      <c r="F145" s="18">
        <f t="shared" si="7"/>
        <v>810.83059199999991</v>
      </c>
      <c r="G145" s="111"/>
      <c r="H145" s="112"/>
      <c r="I145" s="32"/>
      <c r="N145" s="32"/>
    </row>
    <row r="146" spans="1:16" s="2" customFormat="1" ht="15.75" customHeight="1" x14ac:dyDescent="0.3">
      <c r="A146" s="69">
        <v>3</v>
      </c>
      <c r="B146" s="69"/>
      <c r="C146" s="18" t="s">
        <v>208</v>
      </c>
      <c r="D146" s="18">
        <f>55.51*10.764</f>
        <v>597.50963999999999</v>
      </c>
      <c r="E146" s="18">
        <v>0</v>
      </c>
      <c r="F146" s="18">
        <f t="shared" ref="F146:F147" si="8">D146*(($F$115)+1)+E146</f>
        <v>956.01542400000005</v>
      </c>
      <c r="G146" s="111"/>
      <c r="H146" s="112"/>
      <c r="I146" s="32"/>
      <c r="N146" s="32"/>
    </row>
    <row r="147" spans="1:16" s="2" customFormat="1" ht="15.75" customHeight="1" x14ac:dyDescent="0.3">
      <c r="A147" s="69">
        <f>A146+1</f>
        <v>4</v>
      </c>
      <c r="B147" s="69"/>
      <c r="C147" s="18" t="s">
        <v>207</v>
      </c>
      <c r="D147" s="18">
        <f>49.38*10.764</f>
        <v>531.52631999999994</v>
      </c>
      <c r="E147" s="18">
        <v>0</v>
      </c>
      <c r="F147" s="18">
        <f t="shared" si="8"/>
        <v>850.44211199999995</v>
      </c>
      <c r="G147" s="113"/>
      <c r="H147" s="114"/>
      <c r="I147" s="32"/>
      <c r="N147" s="32"/>
    </row>
    <row r="148" spans="1:16" s="2" customFormat="1" ht="15.75" customHeight="1" x14ac:dyDescent="0.3">
      <c r="A148" s="75" t="s">
        <v>227</v>
      </c>
      <c r="B148" s="76"/>
      <c r="C148" s="76"/>
      <c r="D148" s="76"/>
      <c r="E148" s="76"/>
      <c r="F148" s="76"/>
      <c r="G148" s="76"/>
      <c r="H148" s="77"/>
      <c r="I148" s="32"/>
    </row>
    <row r="149" spans="1:16" s="2" customFormat="1" ht="15.75" customHeight="1" x14ac:dyDescent="0.3">
      <c r="A149" s="72">
        <v>1</v>
      </c>
      <c r="B149" s="74"/>
      <c r="C149" s="18" t="s">
        <v>208</v>
      </c>
      <c r="D149" s="18">
        <f t="shared" ref="D149:D150" si="9">47.08*10.764</f>
        <v>506.76911999999993</v>
      </c>
      <c r="E149" s="18">
        <v>0</v>
      </c>
      <c r="F149" s="18">
        <f t="shared" ref="F149:F152" si="10">D149*(($F$115)+1)+E149</f>
        <v>810.83059199999991</v>
      </c>
      <c r="G149" s="109" t="str">
        <f>A148</f>
        <v>1st to 4th, 6th to 11th, 13th to 18th Floor</v>
      </c>
      <c r="H149" s="110"/>
      <c r="I149" s="32"/>
      <c r="N149" s="2" t="str">
        <f t="shared" ref="N149:N152" ca="1" si="11">O149&amp;""&amp;",..,"&amp;""&amp;P149</f>
        <v>101,..,1801</v>
      </c>
      <c r="O149" s="2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10^ROW(INDIRECT("1:"&amp;LEN((LEFT(A148,SUM(LEN(A148)-LEN(SUBSTITUTE(A148,{"0","1","2"},""))))))))/10))*100+1</f>
        <v>101</v>
      </c>
      <c r="P149" s="2">
        <f ca="1">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1801</v>
      </c>
    </row>
    <row r="150" spans="1:16" s="2" customFormat="1" ht="15.75" customHeight="1" x14ac:dyDescent="0.3">
      <c r="A150" s="72">
        <v>2</v>
      </c>
      <c r="B150" s="74"/>
      <c r="C150" s="18" t="s">
        <v>208</v>
      </c>
      <c r="D150" s="18">
        <f t="shared" si="9"/>
        <v>506.76911999999993</v>
      </c>
      <c r="E150" s="18">
        <v>0</v>
      </c>
      <c r="F150" s="18">
        <f t="shared" si="10"/>
        <v>810.83059199999991</v>
      </c>
      <c r="G150" s="111"/>
      <c r="H150" s="112"/>
      <c r="I150" s="32"/>
      <c r="N150" s="2" t="str">
        <f t="shared" ca="1" si="11"/>
        <v>102,..,1802</v>
      </c>
      <c r="O150" s="2">
        <f t="shared" ref="O150:P151" ca="1" si="12">O149+1</f>
        <v>102</v>
      </c>
      <c r="P150" s="2">
        <f t="shared" ca="1" si="12"/>
        <v>1802</v>
      </c>
    </row>
    <row r="151" spans="1:16" s="2" customFormat="1" ht="15.75" customHeight="1" x14ac:dyDescent="0.3">
      <c r="A151" s="72">
        <v>3</v>
      </c>
      <c r="B151" s="74"/>
      <c r="C151" s="18" t="s">
        <v>208</v>
      </c>
      <c r="D151" s="18">
        <f>55.51*10.764</f>
        <v>597.50963999999999</v>
      </c>
      <c r="E151" s="18">
        <v>0</v>
      </c>
      <c r="F151" s="18">
        <f t="shared" si="10"/>
        <v>956.01542400000005</v>
      </c>
      <c r="G151" s="111"/>
      <c r="H151" s="112"/>
      <c r="I151" s="32"/>
      <c r="N151" s="2" t="str">
        <f t="shared" ca="1" si="11"/>
        <v>103,..,1803</v>
      </c>
      <c r="O151" s="2">
        <f t="shared" ca="1" si="12"/>
        <v>103</v>
      </c>
      <c r="P151" s="2">
        <f t="shared" ca="1" si="12"/>
        <v>1803</v>
      </c>
    </row>
    <row r="152" spans="1:16" s="2" customFormat="1" ht="15.75" customHeight="1" x14ac:dyDescent="0.3">
      <c r="A152" s="72">
        <v>4</v>
      </c>
      <c r="B152" s="74"/>
      <c r="C152" s="18" t="s">
        <v>208</v>
      </c>
      <c r="D152" s="18">
        <f>55.51*10.764</f>
        <v>597.50963999999999</v>
      </c>
      <c r="E152" s="18">
        <v>0</v>
      </c>
      <c r="F152" s="18">
        <f t="shared" si="10"/>
        <v>956.01542400000005</v>
      </c>
      <c r="G152" s="113"/>
      <c r="H152" s="114"/>
      <c r="I152" s="32"/>
      <c r="N152" s="2" t="str">
        <f t="shared" ca="1" si="11"/>
        <v>104,..,1804</v>
      </c>
      <c r="O152" s="2">
        <f ca="1">O151+1</f>
        <v>104</v>
      </c>
      <c r="P152" s="2">
        <f ca="1">P151+1</f>
        <v>1804</v>
      </c>
    </row>
    <row r="153" spans="1:16" s="2" customFormat="1" x14ac:dyDescent="0.3">
      <c r="A153" s="70" t="s">
        <v>228</v>
      </c>
      <c r="B153" s="70"/>
      <c r="C153" s="70"/>
      <c r="D153" s="70"/>
      <c r="E153" s="70"/>
      <c r="F153" s="70"/>
      <c r="G153" s="70"/>
      <c r="H153" s="70"/>
      <c r="I153" s="32"/>
      <c r="L153" s="71"/>
      <c r="M153" s="71"/>
    </row>
    <row r="154" spans="1:16" s="2" customFormat="1" ht="15.75" customHeight="1" x14ac:dyDescent="0.3">
      <c r="A154" s="69">
        <v>1</v>
      </c>
      <c r="B154" s="69"/>
      <c r="C154" s="18" t="s">
        <v>208</v>
      </c>
      <c r="D154" s="18">
        <f>47.08*10.764</f>
        <v>506.76911999999993</v>
      </c>
      <c r="E154" s="18">
        <v>0</v>
      </c>
      <c r="F154" s="18">
        <f>D154*(($F$115)+1)+E154</f>
        <v>810.83059199999991</v>
      </c>
      <c r="G154" s="109" t="str">
        <f>A153</f>
        <v>5th &amp; 12th Floor (Part Refuge Area)</v>
      </c>
      <c r="H154" s="110"/>
      <c r="I154" s="32"/>
      <c r="N154" s="32"/>
    </row>
    <row r="155" spans="1:16" s="2" customFormat="1" ht="15.75" customHeight="1" x14ac:dyDescent="0.3">
      <c r="A155" s="69">
        <v>2</v>
      </c>
      <c r="B155" s="69"/>
      <c r="C155" s="72" t="s">
        <v>209</v>
      </c>
      <c r="D155" s="73"/>
      <c r="E155" s="73"/>
      <c r="F155" s="74"/>
      <c r="G155" s="111"/>
      <c r="H155" s="112"/>
      <c r="I155" s="32"/>
      <c r="N155" s="32"/>
    </row>
    <row r="156" spans="1:16" s="2" customFormat="1" ht="15.75" customHeight="1" x14ac:dyDescent="0.3">
      <c r="A156" s="69">
        <f>A155+1</f>
        <v>3</v>
      </c>
      <c r="B156" s="69"/>
      <c r="C156" s="18" t="s">
        <v>208</v>
      </c>
      <c r="D156" s="18">
        <f>55.51*10.764</f>
        <v>597.50963999999999</v>
      </c>
      <c r="E156" s="18">
        <v>0</v>
      </c>
      <c r="F156" s="18">
        <f>D156*(($F$115)+1)+E156</f>
        <v>956.01542400000005</v>
      </c>
      <c r="G156" s="111"/>
      <c r="H156" s="112"/>
      <c r="I156" s="32">
        <f>17500000/F156</f>
        <v>18305.143997342035</v>
      </c>
      <c r="N156" s="32"/>
    </row>
    <row r="157" spans="1:16" s="2" customFormat="1" ht="15.75" customHeight="1" x14ac:dyDescent="0.3">
      <c r="A157" s="69">
        <f>A156+1</f>
        <v>4</v>
      </c>
      <c r="B157" s="69"/>
      <c r="C157" s="18" t="s">
        <v>208</v>
      </c>
      <c r="D157" s="18">
        <f>55.51*10.764</f>
        <v>597.50963999999999</v>
      </c>
      <c r="E157" s="18">
        <v>0</v>
      </c>
      <c r="F157" s="18">
        <f>D157*(($F$115)+1)+E157</f>
        <v>956.01542400000005</v>
      </c>
      <c r="G157" s="113"/>
      <c r="H157" s="114"/>
      <c r="I157" s="32"/>
      <c r="N157" s="32"/>
    </row>
    <row r="158" spans="1:16" s="2" customFormat="1" x14ac:dyDescent="0.3">
      <c r="A158" s="75"/>
      <c r="B158" s="76"/>
      <c r="C158" s="76"/>
      <c r="D158" s="76"/>
      <c r="E158" s="76"/>
      <c r="F158" s="76"/>
      <c r="G158" s="76"/>
      <c r="H158" s="77"/>
      <c r="I158" s="32"/>
    </row>
    <row r="159" spans="1:16" s="1" customFormat="1" x14ac:dyDescent="0.3">
      <c r="A159" s="192" t="s">
        <v>76</v>
      </c>
      <c r="B159" s="192"/>
      <c r="C159" s="192"/>
      <c r="D159" s="192"/>
      <c r="E159" s="192"/>
      <c r="F159" s="192"/>
      <c r="G159" s="192"/>
      <c r="H159" s="192"/>
    </row>
    <row r="160" spans="1:16" s="1" customFormat="1" ht="46.8" customHeight="1" x14ac:dyDescent="0.3">
      <c r="A160" s="39">
        <v>1</v>
      </c>
      <c r="B160" s="66" t="s">
        <v>258</v>
      </c>
      <c r="C160" s="67"/>
      <c r="D160" s="67"/>
      <c r="E160" s="67"/>
      <c r="F160" s="67"/>
      <c r="G160" s="67"/>
      <c r="H160" s="68"/>
      <c r="I160" s="65" t="s">
        <v>252</v>
      </c>
    </row>
    <row r="161" spans="1:8" s="1" customFormat="1" x14ac:dyDescent="0.3">
      <c r="A161" s="39">
        <f t="shared" ref="A161:A170" si="13">A160+1</f>
        <v>2</v>
      </c>
      <c r="B161" s="66" t="s">
        <v>199</v>
      </c>
      <c r="C161" s="67"/>
      <c r="D161" s="67"/>
      <c r="E161" s="67"/>
      <c r="F161" s="67"/>
      <c r="G161" s="67"/>
      <c r="H161" s="68"/>
    </row>
    <row r="162" spans="1:8" s="1" customFormat="1" x14ac:dyDescent="0.3">
      <c r="A162" s="39">
        <f t="shared" si="13"/>
        <v>3</v>
      </c>
      <c r="B162" s="66" t="s">
        <v>160</v>
      </c>
      <c r="C162" s="67"/>
      <c r="D162" s="67"/>
      <c r="E162" s="67"/>
      <c r="F162" s="67"/>
      <c r="G162" s="67"/>
      <c r="H162" s="68"/>
    </row>
    <row r="163" spans="1:8" s="1" customFormat="1" x14ac:dyDescent="0.3">
      <c r="A163" s="39">
        <f t="shared" si="13"/>
        <v>4</v>
      </c>
      <c r="B163" s="66" t="s">
        <v>231</v>
      </c>
      <c r="C163" s="67"/>
      <c r="D163" s="67"/>
      <c r="E163" s="67"/>
      <c r="F163" s="67"/>
      <c r="G163" s="67"/>
      <c r="H163" s="68"/>
    </row>
    <row r="164" spans="1:8" s="1" customFormat="1" x14ac:dyDescent="0.3">
      <c r="A164" s="39">
        <f t="shared" si="13"/>
        <v>5</v>
      </c>
      <c r="B164" s="66" t="s">
        <v>161</v>
      </c>
      <c r="C164" s="67"/>
      <c r="D164" s="67"/>
      <c r="E164" s="67"/>
      <c r="F164" s="67"/>
      <c r="G164" s="67"/>
      <c r="H164" s="68"/>
    </row>
    <row r="165" spans="1:8" s="1" customFormat="1" x14ac:dyDescent="0.3">
      <c r="A165" s="39">
        <f t="shared" si="13"/>
        <v>6</v>
      </c>
      <c r="B165" s="66" t="s">
        <v>162</v>
      </c>
      <c r="C165" s="67"/>
      <c r="D165" s="67"/>
      <c r="E165" s="67"/>
      <c r="F165" s="67"/>
      <c r="G165" s="67"/>
      <c r="H165" s="68"/>
    </row>
    <row r="166" spans="1:8" s="62" customFormat="1" x14ac:dyDescent="0.3">
      <c r="A166" s="39">
        <f t="shared" si="13"/>
        <v>7</v>
      </c>
      <c r="B166" s="189" t="s">
        <v>218</v>
      </c>
      <c r="C166" s="190"/>
      <c r="D166" s="190"/>
      <c r="E166" s="190"/>
      <c r="F166" s="190"/>
      <c r="G166" s="190"/>
      <c r="H166" s="191"/>
    </row>
    <row r="167" spans="1:8" x14ac:dyDescent="0.3">
      <c r="A167" s="39">
        <f t="shared" si="13"/>
        <v>8</v>
      </c>
      <c r="B167" s="168" t="s">
        <v>244</v>
      </c>
      <c r="C167" s="169"/>
      <c r="D167" s="169"/>
      <c r="E167" s="169"/>
      <c r="F167" s="169"/>
      <c r="G167" s="169"/>
      <c r="H167" s="170"/>
    </row>
    <row r="168" spans="1:8" s="62" customFormat="1" x14ac:dyDescent="0.3">
      <c r="A168" s="39">
        <f t="shared" si="13"/>
        <v>9</v>
      </c>
      <c r="B168" s="66" t="s">
        <v>247</v>
      </c>
      <c r="C168" s="67"/>
      <c r="D168" s="67"/>
      <c r="E168" s="67"/>
      <c r="F168" s="67"/>
      <c r="G168" s="67"/>
      <c r="H168" s="68"/>
    </row>
    <row r="169" spans="1:8" s="62" customFormat="1" x14ac:dyDescent="0.3">
      <c r="A169" s="39">
        <f t="shared" si="13"/>
        <v>10</v>
      </c>
      <c r="B169" s="66" t="s">
        <v>254</v>
      </c>
      <c r="C169" s="67"/>
      <c r="D169" s="67"/>
      <c r="E169" s="67"/>
      <c r="F169" s="67"/>
      <c r="G169" s="67"/>
      <c r="H169" s="68"/>
    </row>
    <row r="170" spans="1:8" s="62" customFormat="1" ht="32.25" hidden="1" customHeight="1" x14ac:dyDescent="0.3">
      <c r="A170" s="39">
        <f t="shared" si="13"/>
        <v>11</v>
      </c>
      <c r="B170" s="188" t="s">
        <v>255</v>
      </c>
      <c r="C170" s="67"/>
      <c r="D170" s="67"/>
      <c r="E170" s="67"/>
      <c r="F170" s="67"/>
      <c r="G170" s="67"/>
      <c r="H170" s="68"/>
    </row>
    <row r="171" spans="1:8" x14ac:dyDescent="0.3">
      <c r="A171" s="158" t="s">
        <v>69</v>
      </c>
      <c r="B171" s="158"/>
      <c r="C171" s="158"/>
      <c r="D171" s="158"/>
      <c r="E171" s="158"/>
      <c r="F171" s="158"/>
      <c r="G171" s="158"/>
      <c r="H171" s="158"/>
    </row>
    <row r="172" spans="1:8" x14ac:dyDescent="0.3">
      <c r="A172" s="89" t="s">
        <v>70</v>
      </c>
      <c r="B172" s="89"/>
      <c r="C172" s="89"/>
      <c r="D172" s="89"/>
      <c r="E172" s="89"/>
      <c r="F172" s="89"/>
      <c r="G172" s="89"/>
      <c r="H172" s="89"/>
    </row>
    <row r="173" spans="1:8" ht="15.75" customHeight="1" x14ac:dyDescent="0.3">
      <c r="A173" s="159" t="s">
        <v>71</v>
      </c>
      <c r="B173" s="159"/>
      <c r="C173" s="159"/>
      <c r="D173" s="159"/>
      <c r="E173" s="159"/>
      <c r="F173" s="159"/>
      <c r="G173" s="159"/>
      <c r="H173" s="159"/>
    </row>
    <row r="174" spans="1:8" x14ac:dyDescent="0.3">
      <c r="A174" s="89" t="s">
        <v>72</v>
      </c>
      <c r="B174" s="89"/>
      <c r="C174" s="89"/>
      <c r="D174" s="89"/>
      <c r="E174" s="89"/>
      <c r="F174" s="89"/>
      <c r="G174" s="89"/>
      <c r="H174" s="89"/>
    </row>
    <row r="175" spans="1:8" x14ac:dyDescent="0.3">
      <c r="A175" s="89" t="s">
        <v>73</v>
      </c>
      <c r="B175" s="89"/>
      <c r="C175" s="89"/>
      <c r="D175" s="89"/>
      <c r="E175" s="89"/>
      <c r="F175" s="89"/>
      <c r="G175" s="89"/>
      <c r="H175" s="89"/>
    </row>
    <row r="176" spans="1:8" hidden="1" x14ac:dyDescent="0.3">
      <c r="A176" s="89" t="s">
        <v>163</v>
      </c>
      <c r="B176" s="89"/>
      <c r="C176" s="89"/>
      <c r="D176" s="89"/>
      <c r="E176" s="89"/>
      <c r="F176" s="89"/>
      <c r="G176" s="89"/>
      <c r="H176" s="89"/>
    </row>
    <row r="177" spans="1:8" ht="35.25" hidden="1" customHeight="1" x14ac:dyDescent="0.3">
      <c r="A177" s="155" t="s">
        <v>164</v>
      </c>
      <c r="B177" s="155"/>
      <c r="C177" s="155"/>
      <c r="D177" s="155"/>
      <c r="E177" s="155"/>
      <c r="F177" s="155"/>
      <c r="G177" s="155"/>
      <c r="H177" s="155"/>
    </row>
    <row r="178" spans="1:8" x14ac:dyDescent="0.3">
      <c r="A178" s="148" t="s">
        <v>108</v>
      </c>
      <c r="B178" s="148"/>
      <c r="C178" s="148" t="s">
        <v>248</v>
      </c>
      <c r="D178" s="148"/>
      <c r="E178" s="148" t="s">
        <v>141</v>
      </c>
      <c r="F178" s="148"/>
      <c r="G178" s="148" t="s">
        <v>256</v>
      </c>
      <c r="H178" s="148"/>
    </row>
    <row r="179" spans="1:8" x14ac:dyDescent="0.3">
      <c r="A179" s="147" t="s">
        <v>110</v>
      </c>
      <c r="B179" s="147"/>
      <c r="C179" s="147"/>
      <c r="D179" s="147"/>
      <c r="E179" s="147"/>
      <c r="F179" s="147"/>
      <c r="G179" s="147"/>
      <c r="H179" s="147"/>
    </row>
    <row r="180" spans="1:8" x14ac:dyDescent="0.3">
      <c r="A180" s="147"/>
      <c r="B180" s="147"/>
      <c r="C180" s="147"/>
      <c r="D180" s="147"/>
      <c r="E180" s="147"/>
      <c r="F180" s="147"/>
      <c r="G180" s="147"/>
      <c r="H180" s="147"/>
    </row>
    <row r="181" spans="1:8" x14ac:dyDescent="0.3">
      <c r="A181" s="147"/>
      <c r="B181" s="147"/>
      <c r="C181" s="147"/>
      <c r="D181" s="147"/>
      <c r="E181" s="147"/>
      <c r="F181" s="147"/>
      <c r="G181" s="147"/>
      <c r="H181" s="147"/>
    </row>
    <row r="182" spans="1:8" x14ac:dyDescent="0.3">
      <c r="A182" s="147"/>
      <c r="B182" s="147"/>
      <c r="C182" s="147"/>
      <c r="D182" s="147"/>
      <c r="E182" s="147"/>
      <c r="F182" s="147"/>
      <c r="G182" s="147"/>
      <c r="H182" s="147"/>
    </row>
    <row r="183" spans="1:8" x14ac:dyDescent="0.3">
      <c r="A183" s="13" t="s">
        <v>74</v>
      </c>
      <c r="B183" s="14"/>
      <c r="C183" s="14"/>
      <c r="D183" s="13" t="str">
        <f>E8</f>
        <v>Veridian at Emerald Isle (T 13A &amp; T 13B)</v>
      </c>
      <c r="F183" s="14"/>
      <c r="G183" s="14"/>
      <c r="H183" s="14"/>
    </row>
    <row r="184" spans="1:8" x14ac:dyDescent="0.3">
      <c r="A184" s="16"/>
    </row>
    <row r="221" spans="1:1" x14ac:dyDescent="0.3">
      <c r="A221" s="8"/>
    </row>
    <row r="224" spans="1:1" x14ac:dyDescent="0.3">
      <c r="A224" s="8"/>
    </row>
    <row r="225" spans="1:1" x14ac:dyDescent="0.3">
      <c r="A225" s="16" t="s">
        <v>75</v>
      </c>
    </row>
  </sheetData>
  <mergeCells count="316">
    <mergeCell ref="B163:H163"/>
    <mergeCell ref="A156:B156"/>
    <mergeCell ref="B164:H164"/>
    <mergeCell ref="A153:H153"/>
    <mergeCell ref="A114:A115"/>
    <mergeCell ref="A121:B121"/>
    <mergeCell ref="A152:B152"/>
    <mergeCell ref="A149:B149"/>
    <mergeCell ref="C114:C115"/>
    <mergeCell ref="A72:B72"/>
    <mergeCell ref="A65:B65"/>
    <mergeCell ref="A68:B68"/>
    <mergeCell ref="A73:B73"/>
    <mergeCell ref="A66:B66"/>
    <mergeCell ref="G65:H65"/>
    <mergeCell ref="A64:B64"/>
    <mergeCell ref="A80:B80"/>
    <mergeCell ref="E80:F89"/>
    <mergeCell ref="A75:B75"/>
    <mergeCell ref="D59:H59"/>
    <mergeCell ref="D55:H55"/>
    <mergeCell ref="A55:C55"/>
    <mergeCell ref="A47:B47"/>
    <mergeCell ref="A52:H52"/>
    <mergeCell ref="A53:C53"/>
    <mergeCell ref="A54:C54"/>
    <mergeCell ref="D54:H54"/>
    <mergeCell ref="A50:B50"/>
    <mergeCell ref="C50:E50"/>
    <mergeCell ref="G50:H50"/>
    <mergeCell ref="A78:B78"/>
    <mergeCell ref="A46:B46"/>
    <mergeCell ref="C46:E46"/>
    <mergeCell ref="C49:E49"/>
    <mergeCell ref="G49:H49"/>
    <mergeCell ref="G46:H46"/>
    <mergeCell ref="G48:H48"/>
    <mergeCell ref="D53:H53"/>
    <mergeCell ref="C48:E48"/>
    <mergeCell ref="A56:C57"/>
    <mergeCell ref="D56:H56"/>
    <mergeCell ref="D57:H57"/>
    <mergeCell ref="C47:E47"/>
    <mergeCell ref="A51:B51"/>
    <mergeCell ref="C51:E51"/>
    <mergeCell ref="C78:H78"/>
    <mergeCell ref="A62:B62"/>
    <mergeCell ref="C62:H62"/>
    <mergeCell ref="A60:C60"/>
    <mergeCell ref="D60:H60"/>
    <mergeCell ref="G47:H47"/>
    <mergeCell ref="A48:B49"/>
    <mergeCell ref="A59:C59"/>
    <mergeCell ref="D58:H58"/>
    <mergeCell ref="A84:B84"/>
    <mergeCell ref="A85:B85"/>
    <mergeCell ref="A86:B86"/>
    <mergeCell ref="F94:H94"/>
    <mergeCell ref="A91:H91"/>
    <mergeCell ref="A92:B92"/>
    <mergeCell ref="A110:B110"/>
    <mergeCell ref="C110:D110"/>
    <mergeCell ref="A131:B131"/>
    <mergeCell ref="A122:H122"/>
    <mergeCell ref="A113:H113"/>
    <mergeCell ref="A103:E103"/>
    <mergeCell ref="E110:F110"/>
    <mergeCell ref="G110:H110"/>
    <mergeCell ref="A111:B111"/>
    <mergeCell ref="G120:H121"/>
    <mergeCell ref="G123:H126"/>
    <mergeCell ref="A117:H117"/>
    <mergeCell ref="A93:E93"/>
    <mergeCell ref="A172:H172"/>
    <mergeCell ref="E108:F108"/>
    <mergeCell ref="A176:H176"/>
    <mergeCell ref="A173:H173"/>
    <mergeCell ref="A120:B120"/>
    <mergeCell ref="A108:B108"/>
    <mergeCell ref="D114:D115"/>
    <mergeCell ref="E114:E115"/>
    <mergeCell ref="G114:H115"/>
    <mergeCell ref="B167:H167"/>
    <mergeCell ref="B170:H170"/>
    <mergeCell ref="B168:H168"/>
    <mergeCell ref="G141:H142"/>
    <mergeCell ref="G144:H147"/>
    <mergeCell ref="G149:H152"/>
    <mergeCell ref="G154:H157"/>
    <mergeCell ref="B166:H166"/>
    <mergeCell ref="A157:B157"/>
    <mergeCell ref="A132:H132"/>
    <mergeCell ref="A159:H159"/>
    <mergeCell ref="B165:H165"/>
    <mergeCell ref="B160:H160"/>
    <mergeCell ref="B161:H161"/>
    <mergeCell ref="B162:H162"/>
    <mergeCell ref="G66:H75"/>
    <mergeCell ref="A74:B74"/>
    <mergeCell ref="A70:B70"/>
    <mergeCell ref="A179:H182"/>
    <mergeCell ref="A178:B178"/>
    <mergeCell ref="E178:F178"/>
    <mergeCell ref="C178:D178"/>
    <mergeCell ref="G178:H178"/>
    <mergeCell ref="A105:E105"/>
    <mergeCell ref="F105:H105"/>
    <mergeCell ref="A106:E106"/>
    <mergeCell ref="F106:H106"/>
    <mergeCell ref="A119:H119"/>
    <mergeCell ref="A109:B109"/>
    <mergeCell ref="A151:B151"/>
    <mergeCell ref="A174:H174"/>
    <mergeCell ref="A107:H107"/>
    <mergeCell ref="A177:H177"/>
    <mergeCell ref="A175:H175"/>
    <mergeCell ref="B114:B115"/>
    <mergeCell ref="A158:H158"/>
    <mergeCell ref="A148:H148"/>
    <mergeCell ref="A171:H171"/>
    <mergeCell ref="A112:H1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F34:H34"/>
    <mergeCell ref="A36:B36"/>
    <mergeCell ref="A45:H45"/>
    <mergeCell ref="A37:B37"/>
    <mergeCell ref="C37:H37"/>
    <mergeCell ref="E40:H40"/>
    <mergeCell ref="A40:D40"/>
    <mergeCell ref="E36:F36"/>
    <mergeCell ref="C36:D36"/>
    <mergeCell ref="G36:H36"/>
    <mergeCell ref="A39:D39"/>
    <mergeCell ref="E39:H39"/>
    <mergeCell ref="A41:D41"/>
    <mergeCell ref="E41:H41"/>
    <mergeCell ref="E42:H42"/>
    <mergeCell ref="E43:H43"/>
    <mergeCell ref="E44:H44"/>
    <mergeCell ref="A42:D42"/>
    <mergeCell ref="L153:M153"/>
    <mergeCell ref="A154:B154"/>
    <mergeCell ref="A95:E95"/>
    <mergeCell ref="A104:E104"/>
    <mergeCell ref="A96:E96"/>
    <mergeCell ref="C108:D108"/>
    <mergeCell ref="G108:H108"/>
    <mergeCell ref="A98:E98"/>
    <mergeCell ref="F98:H98"/>
    <mergeCell ref="F96:H96"/>
    <mergeCell ref="F101:H101"/>
    <mergeCell ref="F97:H97"/>
    <mergeCell ref="F104:H104"/>
    <mergeCell ref="F102:H102"/>
    <mergeCell ref="G128:H131"/>
    <mergeCell ref="G133:H136"/>
    <mergeCell ref="C109:D109"/>
    <mergeCell ref="E109:F109"/>
    <mergeCell ref="E111:F111"/>
    <mergeCell ref="G111:H111"/>
    <mergeCell ref="L119:M119"/>
    <mergeCell ref="L117:M117"/>
    <mergeCell ref="A118:H118"/>
    <mergeCell ref="L118:M118"/>
    <mergeCell ref="A116:H116"/>
    <mergeCell ref="A43:D43"/>
    <mergeCell ref="A44:D44"/>
    <mergeCell ref="G51:H51"/>
    <mergeCell ref="A61:C61"/>
    <mergeCell ref="D61:H61"/>
    <mergeCell ref="A58:C58"/>
    <mergeCell ref="A79:B79"/>
    <mergeCell ref="E79:F79"/>
    <mergeCell ref="G79:H79"/>
    <mergeCell ref="A76:B76"/>
    <mergeCell ref="C76:H76"/>
    <mergeCell ref="A71:B71"/>
    <mergeCell ref="C64:H64"/>
    <mergeCell ref="A67:B67"/>
    <mergeCell ref="A69:B69"/>
    <mergeCell ref="E65:F65"/>
    <mergeCell ref="E66:F75"/>
    <mergeCell ref="A137:H137"/>
    <mergeCell ref="A87:B87"/>
    <mergeCell ref="A88:B88"/>
    <mergeCell ref="A89:B89"/>
    <mergeCell ref="G80:H89"/>
    <mergeCell ref="A81:B81"/>
    <mergeCell ref="A82:B82"/>
    <mergeCell ref="A83:B83"/>
    <mergeCell ref="F103:H103"/>
    <mergeCell ref="A97:E97"/>
    <mergeCell ref="A99:E99"/>
    <mergeCell ref="F99:H99"/>
    <mergeCell ref="A100:E100"/>
    <mergeCell ref="A102:E102"/>
    <mergeCell ref="A90:E90"/>
    <mergeCell ref="F90:H90"/>
    <mergeCell ref="A101:E101"/>
    <mergeCell ref="C92:H92"/>
    <mergeCell ref="F95:H95"/>
    <mergeCell ref="A94:E94"/>
    <mergeCell ref="F93:H93"/>
    <mergeCell ref="G109:H109"/>
    <mergeCell ref="F100:H100"/>
    <mergeCell ref="C111:D111"/>
    <mergeCell ref="L122:M122"/>
    <mergeCell ref="A125:B125"/>
    <mergeCell ref="A126:B126"/>
    <mergeCell ref="A127:H127"/>
    <mergeCell ref="L127:M127"/>
    <mergeCell ref="A128:B128"/>
    <mergeCell ref="A123:B123"/>
    <mergeCell ref="A124:B124"/>
    <mergeCell ref="A129:B129"/>
    <mergeCell ref="B169:H169"/>
    <mergeCell ref="A130:B130"/>
    <mergeCell ref="A142:B142"/>
    <mergeCell ref="A143:H143"/>
    <mergeCell ref="L143:M143"/>
    <mergeCell ref="A144:B144"/>
    <mergeCell ref="L138:M138"/>
    <mergeCell ref="A139:H139"/>
    <mergeCell ref="L139:M139"/>
    <mergeCell ref="A135:B135"/>
    <mergeCell ref="A136:B136"/>
    <mergeCell ref="L132:M132"/>
    <mergeCell ref="A134:B134"/>
    <mergeCell ref="A133:B133"/>
    <mergeCell ref="A138:H138"/>
    <mergeCell ref="A155:B155"/>
    <mergeCell ref="A140:H140"/>
    <mergeCell ref="L140:M140"/>
    <mergeCell ref="A141:B141"/>
    <mergeCell ref="A145:B145"/>
    <mergeCell ref="C155:F155"/>
    <mergeCell ref="A146:B146"/>
    <mergeCell ref="A147:B147"/>
    <mergeCell ref="A150:B150"/>
  </mergeCells>
  <dataValidations disablePrompts="1" count="1">
    <dataValidation type="list" allowBlank="1" showInputMessage="1" showErrorMessage="1" sqref="F93:H93" xr:uid="{00000000-0002-0000-0000-000000000000}">
      <formula1>"On Saleable Area,On Builtup Area,On Carpet Area,On Plot Area"</formula1>
    </dataValidation>
  </dataValidation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scale="95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&amp;P</oddFooter>
  </headerFooter>
  <rowBreaks count="3" manualBreakCount="3">
    <brk id="182" max="7" man="1"/>
    <brk id="224" max="7" man="1"/>
    <brk id="26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77</v>
      </c>
      <c r="C2" s="193"/>
      <c r="D2" s="193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78</v>
      </c>
      <c r="B4" s="5" t="s">
        <v>79</v>
      </c>
      <c r="C4" s="194" t="s">
        <v>80</v>
      </c>
      <c r="D4" s="194"/>
      <c r="E4" s="194"/>
      <c r="F4" s="6"/>
      <c r="G4" s="194" t="s">
        <v>81</v>
      </c>
      <c r="H4" s="194"/>
      <c r="I4" s="194"/>
      <c r="J4" s="194" t="s">
        <v>82</v>
      </c>
      <c r="K4" s="194"/>
      <c r="L4" s="194"/>
    </row>
    <row r="5" spans="1:12" x14ac:dyDescent="0.3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6" sqref="D6"/>
    </sheetView>
  </sheetViews>
  <sheetFormatPr defaultColWidth="8.6640625" defaultRowHeight="14.4" x14ac:dyDescent="0.3"/>
  <cols>
    <col min="1" max="1" width="8.6640625" style="19"/>
    <col min="2" max="2" width="22.109375" style="19" customWidth="1"/>
    <col min="3" max="3" width="37" style="19" customWidth="1"/>
    <col min="4" max="5" width="11.44140625" style="19" customWidth="1"/>
    <col min="6" max="6" width="14" style="19" customWidth="1"/>
    <col min="7" max="7" width="20" style="19" customWidth="1"/>
    <col min="8" max="8" width="16.44140625" style="19" customWidth="1"/>
    <col min="9" max="16384" width="8.6640625" style="19"/>
  </cols>
  <sheetData>
    <row r="1" spans="1:9" ht="15" customHeight="1" x14ac:dyDescent="0.3"/>
    <row r="2" spans="1:9" ht="15" customHeight="1" x14ac:dyDescent="0.3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3">
      <c r="A3" s="20"/>
      <c r="B3" s="195" t="s">
        <v>142</v>
      </c>
      <c r="C3" s="195"/>
      <c r="D3" s="195"/>
      <c r="E3" s="195"/>
      <c r="F3" s="195"/>
      <c r="G3" s="195"/>
      <c r="H3" s="195"/>
    </row>
    <row r="4" spans="1:9" x14ac:dyDescent="0.3">
      <c r="A4" s="20"/>
      <c r="B4" s="21" t="s">
        <v>143</v>
      </c>
      <c r="C4" s="21" t="s">
        <v>144</v>
      </c>
      <c r="D4" s="21" t="s">
        <v>78</v>
      </c>
      <c r="E4" s="21" t="s">
        <v>145</v>
      </c>
      <c r="F4" s="21" t="s">
        <v>151</v>
      </c>
      <c r="G4" s="21" t="s">
        <v>152</v>
      </c>
      <c r="H4" s="21" t="s">
        <v>146</v>
      </c>
    </row>
    <row r="5" spans="1:9" ht="15" customHeight="1" x14ac:dyDescent="0.3">
      <c r="A5" s="20"/>
      <c r="B5" s="23" t="s">
        <v>147</v>
      </c>
      <c r="C5" s="24"/>
      <c r="D5" s="23" t="s">
        <v>208</v>
      </c>
      <c r="E5" s="23">
        <v>1106</v>
      </c>
      <c r="F5" s="25">
        <f>E5*1.6</f>
        <v>1769.6000000000001</v>
      </c>
      <c r="G5" s="25">
        <f>H5/F5</f>
        <v>31532.549728752259</v>
      </c>
      <c r="H5" s="26">
        <v>55800000</v>
      </c>
    </row>
    <row r="6" spans="1:9" x14ac:dyDescent="0.3">
      <c r="A6" s="20"/>
      <c r="B6" s="23" t="s">
        <v>147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3">
      <c r="A7" s="20"/>
      <c r="B7" s="23" t="s">
        <v>147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3">
      <c r="A8" s="20"/>
      <c r="B8" s="23" t="s">
        <v>147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3">
      <c r="A9" s="20"/>
      <c r="B9" s="23" t="s">
        <v>147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3">
      <c r="A10" s="20"/>
      <c r="B10" s="23" t="s">
        <v>148</v>
      </c>
      <c r="C10" s="24"/>
      <c r="D10" s="23"/>
      <c r="E10" s="23"/>
      <c r="F10" s="25">
        <f t="shared" si="0"/>
        <v>0</v>
      </c>
      <c r="G10" s="25" t="e">
        <f t="shared" si="1"/>
        <v>#DIV/0!</v>
      </c>
      <c r="H10" s="26"/>
    </row>
    <row r="11" spans="1:9" ht="15" customHeight="1" x14ac:dyDescent="0.3">
      <c r="A11" s="20"/>
      <c r="B11" s="23" t="s">
        <v>148</v>
      </c>
      <c r="C11" s="24"/>
      <c r="D11" s="23"/>
      <c r="E11" s="23"/>
      <c r="F11" s="25">
        <f t="shared" si="0"/>
        <v>0</v>
      </c>
      <c r="G11" s="25" t="e">
        <f t="shared" si="1"/>
        <v>#DIV/0!</v>
      </c>
      <c r="H11" s="26"/>
    </row>
    <row r="12" spans="1:9" ht="15" customHeight="1" x14ac:dyDescent="0.3">
      <c r="A12" s="20"/>
      <c r="B12" s="28" t="s">
        <v>149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3">
      <c r="B13" s="28" t="s">
        <v>150</v>
      </c>
      <c r="C13" s="23"/>
      <c r="D13" s="23"/>
      <c r="E13" s="23"/>
      <c r="F13" s="30"/>
      <c r="G13" s="28"/>
      <c r="H13" s="28"/>
      <c r="I13" s="22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2025-09-19T10:40:03Z</cp:lastPrinted>
  <dcterms:created xsi:type="dcterms:W3CDTF">2019-07-16T09:29:46Z</dcterms:created>
  <dcterms:modified xsi:type="dcterms:W3CDTF">2025-09-19T10:41:36Z</dcterms:modified>
</cp:coreProperties>
</file>