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730DC8E3-DE2C-47C4-94DB-A160DFC59B8B}" xr6:coauthVersionLast="47" xr6:coauthVersionMax="47" xr10:uidLastSave="{00000000-0000-0000-0000-000000000000}"/>
  <bookViews>
    <workbookView xWindow="-108" yWindow="-108" windowWidth="23256" windowHeight="12456" tabRatio="753" xr2:uid="{00000000-000D-0000-FFFF-FFFF00000000}"/>
  </bookViews>
  <sheets>
    <sheet name="Report" sheetId="17" r:id="rId1"/>
    <sheet name="C%" sheetId="18" r:id="rId2"/>
    <sheet name="Wing A" sheetId="11" r:id="rId3"/>
    <sheet name="VALUATION" sheetId="19" r:id="rId4"/>
  </sheets>
  <definedNames>
    <definedName name="_xlnm.Print_Area" localSheetId="0">Report!$A$1:$J$319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2" i="17" l="1"/>
  <c r="F3" i="17" l="1"/>
  <c r="C65" i="17" l="1"/>
  <c r="L69" i="17" l="1"/>
  <c r="L68" i="17"/>
  <c r="L67" i="17"/>
  <c r="L66" i="17"/>
  <c r="I59" i="17"/>
  <c r="L62" i="17" l="1"/>
  <c r="D71" i="17"/>
  <c r="D69" i="17"/>
  <c r="D67" i="17"/>
  <c r="D65" i="17"/>
  <c r="L63" i="17"/>
  <c r="C62" i="17" s="1"/>
  <c r="D62" i="17" s="1"/>
  <c r="L61" i="17"/>
  <c r="L64" i="17"/>
  <c r="L65" i="17" s="1"/>
  <c r="L70" i="17" s="1"/>
  <c r="L71" i="17" s="1"/>
  <c r="C63" i="17" s="1"/>
  <c r="D70" i="17"/>
  <c r="D68" i="17"/>
  <c r="D66" i="17"/>
  <c r="D64" i="17"/>
  <c r="F7" i="19"/>
  <c r="G7" i="19"/>
  <c r="F6" i="19"/>
  <c r="G6" i="19"/>
  <c r="F5" i="19"/>
  <c r="G5" i="19" s="1"/>
  <c r="I215" i="17"/>
  <c r="I202" i="17"/>
  <c r="C165" i="17"/>
  <c r="B7" i="18"/>
  <c r="D7" i="18" s="1"/>
  <c r="A91" i="17"/>
  <c r="D148" i="17"/>
  <c r="G148" i="17" s="1"/>
  <c r="D147" i="17"/>
  <c r="G147" i="17" s="1"/>
  <c r="D146" i="17"/>
  <c r="G146" i="17" s="1"/>
  <c r="D145" i="17"/>
  <c r="G145" i="17" s="1"/>
  <c r="D144" i="17"/>
  <c r="G144" i="17" s="1"/>
  <c r="D143" i="17"/>
  <c r="G143" i="17" s="1"/>
  <c r="D142" i="17"/>
  <c r="G142" i="17" s="1"/>
  <c r="D141" i="17"/>
  <c r="G141" i="17" s="1"/>
  <c r="D140" i="17"/>
  <c r="G140" i="17" s="1"/>
  <c r="D139" i="17"/>
  <c r="G139" i="17" s="1"/>
  <c r="D138" i="17"/>
  <c r="G138" i="17" s="1"/>
  <c r="I137" i="17"/>
  <c r="D137" i="17"/>
  <c r="G137" i="17" s="1"/>
  <c r="D187" i="17"/>
  <c r="G187" i="17" s="1"/>
  <c r="D186" i="17"/>
  <c r="G186" i="17" s="1"/>
  <c r="D185" i="17"/>
  <c r="G185" i="17" s="1"/>
  <c r="D184" i="17"/>
  <c r="G184" i="17" s="1"/>
  <c r="D183" i="17"/>
  <c r="G183" i="17" s="1"/>
  <c r="D182" i="17"/>
  <c r="G182" i="17" s="1"/>
  <c r="D181" i="17"/>
  <c r="G181" i="17" s="1"/>
  <c r="D180" i="17"/>
  <c r="G180" i="17" s="1"/>
  <c r="D179" i="17"/>
  <c r="G179" i="17" s="1"/>
  <c r="D178" i="17"/>
  <c r="G178" i="17" s="1"/>
  <c r="D177" i="17"/>
  <c r="G177" i="17" s="1"/>
  <c r="I176" i="17"/>
  <c r="D176" i="17"/>
  <c r="G176" i="17" s="1"/>
  <c r="D213" i="17"/>
  <c r="G213" i="17" s="1"/>
  <c r="D212" i="17"/>
  <c r="G212" i="17" s="1"/>
  <c r="D211" i="17"/>
  <c r="G211" i="17" s="1"/>
  <c r="D210" i="17"/>
  <c r="G210" i="17" s="1"/>
  <c r="D209" i="17"/>
  <c r="G209" i="17" s="1"/>
  <c r="D208" i="17"/>
  <c r="G208" i="17" s="1"/>
  <c r="D207" i="17"/>
  <c r="G207" i="17" s="1"/>
  <c r="D206" i="17"/>
  <c r="G206" i="17" s="1"/>
  <c r="D205" i="17"/>
  <c r="G205" i="17" s="1"/>
  <c r="D202" i="17"/>
  <c r="G202" i="17" s="1"/>
  <c r="D226" i="17"/>
  <c r="G226" i="17" s="1"/>
  <c r="D225" i="17"/>
  <c r="G225" i="17" s="1"/>
  <c r="D224" i="17"/>
  <c r="G224" i="17" s="1"/>
  <c r="D223" i="17"/>
  <c r="G223" i="17" s="1"/>
  <c r="D222" i="17"/>
  <c r="G222" i="17" s="1"/>
  <c r="D221" i="17"/>
  <c r="G221" i="17" s="1"/>
  <c r="D220" i="17"/>
  <c r="G220" i="17" s="1"/>
  <c r="D219" i="17"/>
  <c r="G219" i="17" s="1"/>
  <c r="D218" i="17"/>
  <c r="G218" i="17" s="1"/>
  <c r="D215" i="17"/>
  <c r="G215" i="17" s="1"/>
  <c r="D174" i="17"/>
  <c r="G174" i="17" s="1"/>
  <c r="D173" i="17"/>
  <c r="G173" i="17" s="1"/>
  <c r="D172" i="17"/>
  <c r="G172" i="17" s="1"/>
  <c r="D171" i="17"/>
  <c r="G171" i="17" s="1"/>
  <c r="D170" i="17"/>
  <c r="G170" i="17" s="1"/>
  <c r="D169" i="17"/>
  <c r="G169" i="17" s="1"/>
  <c r="D168" i="17"/>
  <c r="G168" i="17" s="1"/>
  <c r="D167" i="17"/>
  <c r="G167" i="17" s="1"/>
  <c r="D166" i="17"/>
  <c r="G166" i="17" s="1"/>
  <c r="D163" i="17"/>
  <c r="G163" i="17" s="1"/>
  <c r="D200" i="17"/>
  <c r="G200" i="17" s="1"/>
  <c r="D199" i="17"/>
  <c r="G199" i="17" s="1"/>
  <c r="D198" i="17"/>
  <c r="G198" i="17" s="1"/>
  <c r="D197" i="17"/>
  <c r="G197" i="17" s="1"/>
  <c r="D196" i="17"/>
  <c r="G196" i="17" s="1"/>
  <c r="D195" i="17"/>
  <c r="G195" i="17" s="1"/>
  <c r="D194" i="17"/>
  <c r="G194" i="17" s="1"/>
  <c r="D193" i="17"/>
  <c r="G193" i="17" s="1"/>
  <c r="D192" i="17"/>
  <c r="G192" i="17" s="1"/>
  <c r="D191" i="17"/>
  <c r="G191" i="17" s="1"/>
  <c r="D190" i="17"/>
  <c r="G190" i="17" s="1"/>
  <c r="I189" i="17"/>
  <c r="D189" i="17"/>
  <c r="G189" i="17" s="1"/>
  <c r="D161" i="17"/>
  <c r="G161" i="17" s="1"/>
  <c r="D160" i="17"/>
  <c r="G160" i="17" s="1"/>
  <c r="D159" i="17"/>
  <c r="G159" i="17" s="1"/>
  <c r="D158" i="17"/>
  <c r="G158" i="17" s="1"/>
  <c r="D157" i="17"/>
  <c r="G157" i="17" s="1"/>
  <c r="D156" i="17"/>
  <c r="G156" i="17" s="1"/>
  <c r="D155" i="17"/>
  <c r="G155" i="17" s="1"/>
  <c r="D154" i="17"/>
  <c r="G154" i="17" s="1"/>
  <c r="D153" i="17"/>
  <c r="G153" i="17" s="1"/>
  <c r="D152" i="17"/>
  <c r="G152" i="17" s="1"/>
  <c r="D151" i="17"/>
  <c r="G151" i="17" s="1"/>
  <c r="I150" i="17"/>
  <c r="D150" i="17"/>
  <c r="G150" i="17" s="1"/>
  <c r="D135" i="17"/>
  <c r="G135" i="17" s="1"/>
  <c r="D128" i="17"/>
  <c r="G128" i="17" s="1"/>
  <c r="D127" i="17"/>
  <c r="G127" i="17" s="1"/>
  <c r="D126" i="17"/>
  <c r="G126" i="17" s="1"/>
  <c r="D125" i="17"/>
  <c r="G125" i="17" s="1"/>
  <c r="I124" i="17"/>
  <c r="D124" i="17"/>
  <c r="G124" i="17" s="1"/>
  <c r="D122" i="17"/>
  <c r="G122" i="17" s="1"/>
  <c r="D115" i="17"/>
  <c r="G115" i="17" s="1"/>
  <c r="D114" i="17"/>
  <c r="G114" i="17" s="1"/>
  <c r="D113" i="17"/>
  <c r="G113" i="17" s="1"/>
  <c r="D112" i="17"/>
  <c r="G112" i="17" s="1"/>
  <c r="I111" i="17"/>
  <c r="D111" i="17"/>
  <c r="G111" i="17" s="1"/>
  <c r="D109" i="17"/>
  <c r="G109" i="17" s="1"/>
  <c r="D102" i="17"/>
  <c r="G102" i="17" s="1"/>
  <c r="D101" i="17"/>
  <c r="G101" i="17" s="1"/>
  <c r="D99" i="17"/>
  <c r="G99" i="17" s="1"/>
  <c r="I98" i="17"/>
  <c r="D98" i="17"/>
  <c r="G98" i="17" s="1"/>
  <c r="G15" i="18"/>
  <c r="G16" i="18" s="1"/>
  <c r="C15" i="18" s="1"/>
  <c r="D6" i="18"/>
  <c r="C5" i="18"/>
  <c r="B10" i="18" s="1"/>
  <c r="F44" i="17"/>
  <c r="F45" i="17" s="1"/>
  <c r="D54" i="17" s="1"/>
  <c r="H50" i="17"/>
  <c r="D52" i="17" s="1"/>
  <c r="H49" i="17"/>
  <c r="C49" i="17"/>
  <c r="G88" i="17"/>
  <c r="M21" i="11"/>
  <c r="M22" i="11"/>
  <c r="M23" i="11"/>
  <c r="M24" i="11"/>
  <c r="M25" i="11"/>
  <c r="M26" i="11"/>
  <c r="M27" i="11"/>
  <c r="M28" i="11"/>
  <c r="M29" i="11"/>
  <c r="J21" i="11"/>
  <c r="J22" i="11"/>
  <c r="J23" i="11"/>
  <c r="J24" i="11"/>
  <c r="J25" i="11"/>
  <c r="J26" i="11"/>
  <c r="J27" i="11"/>
  <c r="J28" i="11"/>
  <c r="J29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M33" i="11"/>
  <c r="J33" i="11"/>
  <c r="M32" i="11"/>
  <c r="J32" i="11"/>
  <c r="M31" i="11"/>
  <c r="J31" i="11"/>
  <c r="M30" i="11"/>
  <c r="J30" i="11"/>
  <c r="M6" i="11"/>
  <c r="J6" i="11"/>
  <c r="F6" i="11"/>
  <c r="B9" i="18"/>
  <c r="J16" i="18" s="1"/>
  <c r="C18" i="18" s="1"/>
  <c r="D9" i="18"/>
  <c r="H16" i="18"/>
  <c r="C16" i="18"/>
  <c r="H15" i="18" l="1"/>
  <c r="B16" i="18" s="1"/>
  <c r="M34" i="11"/>
  <c r="L34" i="11" s="1"/>
  <c r="G8" i="19"/>
  <c r="F34" i="11"/>
  <c r="E34" i="11" s="1"/>
  <c r="J34" i="11"/>
  <c r="I34" i="11" s="1"/>
  <c r="D10" i="18"/>
  <c r="K15" i="18"/>
  <c r="B19" i="18" s="1"/>
  <c r="K16" i="18"/>
  <c r="C19" i="18" s="1"/>
  <c r="J15" i="18"/>
  <c r="B18" i="18" s="1"/>
  <c r="B11" i="18"/>
  <c r="B8" i="18"/>
  <c r="B15" i="18"/>
  <c r="B12" i="18"/>
  <c r="C91" i="17"/>
  <c r="I54" i="17" s="1"/>
  <c r="D91" i="17"/>
  <c r="G91" i="17"/>
  <c r="F62" i="17"/>
  <c r="K58" i="17" s="1"/>
  <c r="C60" i="17" s="1"/>
  <c r="D63" i="17"/>
  <c r="H62" i="17"/>
  <c r="I15" i="18" l="1"/>
  <c r="B17" i="18" s="1"/>
  <c r="D8" i="18"/>
  <c r="I16" i="18"/>
  <c r="C17" i="18" s="1"/>
  <c r="L16" i="18"/>
  <c r="C20" i="18" s="1"/>
  <c r="D11" i="18"/>
  <c r="L15" i="18"/>
  <c r="B20" i="18" s="1"/>
  <c r="D12" i="18"/>
  <c r="M15" i="18"/>
  <c r="B21" i="18" s="1"/>
  <c r="M16" i="18"/>
  <c r="C21" i="18" s="1"/>
  <c r="C22" i="18" l="1"/>
  <c r="B22" i="18"/>
</calcChain>
</file>

<file path=xl/sharedStrings.xml><?xml version="1.0" encoding="utf-8"?>
<sst xmlns="http://schemas.openxmlformats.org/spreadsheetml/2006/main" count="643" uniqueCount="287">
  <si>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</si>
  <si>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</si>
  <si>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</si>
  <si>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</si>
  <si>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</si>
  <si>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</si>
  <si>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</si>
  <si>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Road</t>
  </si>
  <si>
    <t>City</t>
  </si>
  <si>
    <t>Does the property have electricity/water/Drainage Connection</t>
  </si>
  <si>
    <t>Class of locality</t>
  </si>
  <si>
    <t>Nature of land with topographical condtion</t>
  </si>
  <si>
    <t xml:space="preserve">Nature of the locality </t>
  </si>
  <si>
    <t>Boundaries</t>
  </si>
  <si>
    <t>East</t>
  </si>
  <si>
    <t>West</t>
  </si>
  <si>
    <t>North</t>
  </si>
  <si>
    <t>As per deed</t>
  </si>
  <si>
    <t>At site</t>
  </si>
  <si>
    <t>Approval details:</t>
  </si>
  <si>
    <t>Permissible FSI</t>
  </si>
  <si>
    <t>Permissible TDR/Paid FSI</t>
  </si>
  <si>
    <t>Total FSI availaible for the project</t>
  </si>
  <si>
    <t>Total number of Buildings</t>
  </si>
  <si>
    <t>Building wise Construction details</t>
  </si>
  <si>
    <t>Recommended Rates of the Property :</t>
  </si>
  <si>
    <t>Building details floor wise</t>
  </si>
  <si>
    <t>Undertaking :</t>
  </si>
  <si>
    <t>Authorized Signatory
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&amp; Seal of the agency</t>
  </si>
  <si>
    <t>2) I/We have no direct or Indirect Interest in the property being valued</t>
  </si>
  <si>
    <t>Quality of infrastructure in vicinity</t>
  </si>
  <si>
    <t>Description</t>
  </si>
  <si>
    <t>Attached Terrace area</t>
  </si>
  <si>
    <t>PLC Y/N</t>
  </si>
  <si>
    <t>1) We have personally visited the property &amp; identified the same based on the documents provided</t>
  </si>
  <si>
    <t>Type of Work</t>
  </si>
  <si>
    <t>Plinth</t>
  </si>
  <si>
    <t>RCC</t>
  </si>
  <si>
    <t>Plaster</t>
  </si>
  <si>
    <t>3) The information furnished above is true and correct to my/our knowledge.</t>
  </si>
  <si>
    <t>5) Legal title of the property is not verified by us.</t>
  </si>
  <si>
    <t>6) Gross carpet area =  Net Carpet area + Fungible area.</t>
  </si>
  <si>
    <t>7) Fungible Area= Enclosed Balcony + Flower Bed + Covered Balcony + Service Slab + Duct + Chajja + Wheather Shed area.</t>
  </si>
  <si>
    <t>Gross Carpet area</t>
  </si>
  <si>
    <t xml:space="preserve">Latitude &amp; Longitude </t>
  </si>
  <si>
    <t>Flooring</t>
  </si>
  <si>
    <t>Finishing</t>
  </si>
  <si>
    <t xml:space="preserve">Valuation Report </t>
  </si>
  <si>
    <t xml:space="preserve">Details of Flats in Building   </t>
  </si>
  <si>
    <t>Yes</t>
  </si>
  <si>
    <t xml:space="preserve">Residential </t>
  </si>
  <si>
    <t>Type of Structure : RCC Framed Structure</t>
  </si>
  <si>
    <t>Approved usage of the Property: Residential                                                                                                                                                      (Restrictive convenants in regards to land use , if any)</t>
  </si>
  <si>
    <t>Expiry date: One year from date of issue</t>
  </si>
  <si>
    <t>Violations Observed if any : NA</t>
  </si>
  <si>
    <t>NA</t>
  </si>
  <si>
    <t>South</t>
  </si>
  <si>
    <t xml:space="preserve">Distance from city centre: </t>
  </si>
  <si>
    <t>Plane</t>
  </si>
  <si>
    <t>Accessibility of the project from the city:(Proximities to civic amenities like school, hospital &amp; market,etc.)</t>
  </si>
  <si>
    <t>Expiry date: NA</t>
  </si>
  <si>
    <t xml:space="preserve">4)  The saleable area is as per Our Calculation.  </t>
  </si>
  <si>
    <t>Does the boundaries at site match, as mentioned in the Docoumentation: NA</t>
  </si>
  <si>
    <t>Dated</t>
  </si>
  <si>
    <t xml:space="preserve">Project location details       </t>
  </si>
  <si>
    <t>Locality</t>
  </si>
  <si>
    <t>District</t>
  </si>
  <si>
    <t>Pin Code</t>
  </si>
  <si>
    <t>Near by Landmark</t>
  </si>
  <si>
    <t>Good</t>
  </si>
  <si>
    <t>Total land area of the project in Sq. Mt.</t>
  </si>
  <si>
    <t>Total Approved Builtup area of the project in Sq. Mt.</t>
  </si>
  <si>
    <t xml:space="preserve">Layout Approval No     </t>
  </si>
  <si>
    <t xml:space="preserve">Approval Detail : Plan approval </t>
  </si>
  <si>
    <t xml:space="preserve">Building plan approval No    </t>
  </si>
  <si>
    <t xml:space="preserve">C.certificate No  </t>
  </si>
  <si>
    <t>Expected Completion</t>
  </si>
  <si>
    <t>Approved no of Floors</t>
  </si>
  <si>
    <t>Distress valuation of the property Per Sq. Ft.</t>
  </si>
  <si>
    <r>
      <t xml:space="preserve">Proposed Amenities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1.  Vitrified tiles flooring 2. Granite Kitchen Platform  3. Decorative Enternace  etc.   </t>
    </r>
    <r>
      <rPr>
        <b/>
        <sz val="11"/>
        <rFont val="Times New Roman"/>
        <family val="1"/>
      </rPr>
      <t xml:space="preserve">                                               </t>
    </r>
  </si>
  <si>
    <t xml:space="preserve">Commencement date of construction </t>
  </si>
  <si>
    <t>Society formation charges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</si>
  <si>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</si>
  <si>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</si>
  <si>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</si>
  <si>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</si>
  <si>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</si>
  <si>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</si>
  <si>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</si>
  <si>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</si>
  <si>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Bed1</t>
  </si>
  <si>
    <t>Bed2</t>
  </si>
  <si>
    <t>kitch</t>
  </si>
  <si>
    <t>passage1</t>
  </si>
  <si>
    <t>passage2</t>
  </si>
  <si>
    <t>passage3</t>
  </si>
  <si>
    <t>passage4</t>
  </si>
  <si>
    <t>toilet1</t>
  </si>
  <si>
    <t>toilet2</t>
  </si>
  <si>
    <t>toilet3</t>
  </si>
  <si>
    <t>Total</t>
  </si>
  <si>
    <t xml:space="preserve">Floor No </t>
  </si>
  <si>
    <t>Flat</t>
  </si>
  <si>
    <t>CB</t>
  </si>
  <si>
    <t>FB</t>
  </si>
  <si>
    <t>DB</t>
  </si>
  <si>
    <t>Approved area of the building in Sq.Mt</t>
  </si>
  <si>
    <t>Middle class</t>
  </si>
  <si>
    <t xml:space="preserve">O. Certificate No.: </t>
  </si>
  <si>
    <t xml:space="preserve">Date of approval: </t>
  </si>
  <si>
    <t>1. Copy of Plans. 2. Copy of CC.</t>
  </si>
  <si>
    <t>Axis Sanpada</t>
  </si>
  <si>
    <t>M/s. The Wadhwa Group</t>
  </si>
  <si>
    <t>M/s. Wadhwa Construction &amp; Infrastructure Pvt. Ltd.</t>
  </si>
  <si>
    <t>Miss.Preeti (08291920124)</t>
  </si>
  <si>
    <t>S No</t>
  </si>
  <si>
    <t>40 &amp; Other</t>
  </si>
  <si>
    <t>Wardoli</t>
  </si>
  <si>
    <t>Raigad</t>
  </si>
  <si>
    <t>Village-Wardoli Road</t>
  </si>
  <si>
    <t>410 206.</t>
  </si>
  <si>
    <t>Navi Mumbai</t>
  </si>
  <si>
    <t>Village-Wardoli</t>
  </si>
  <si>
    <t>About 7.6 Km from Chikhale Railway Station</t>
  </si>
  <si>
    <t>all available at 2 to 3 km.</t>
  </si>
  <si>
    <t>Open Land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</si>
  <si>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</si>
  <si>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</si>
  <si>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</si>
  <si>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</si>
  <si>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</si>
  <si>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</si>
  <si>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</si>
  <si>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</si>
  <si>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</si>
  <si>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</si>
  <si>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</si>
  <si>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</si>
  <si>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>Google Map :</t>
  </si>
  <si>
    <t>5000/-</t>
  </si>
  <si>
    <t>Saleable area</t>
  </si>
  <si>
    <t>1,00,000/-</t>
  </si>
  <si>
    <t>Club Membership Charges</t>
  </si>
  <si>
    <t>50,000/-</t>
  </si>
  <si>
    <t>Recommended rate of the flat Per Sq. Ft. (on Saleable area)</t>
  </si>
  <si>
    <t>20/05/2019.</t>
  </si>
  <si>
    <t>Floor</t>
  </si>
  <si>
    <t>N</t>
  </si>
  <si>
    <t>Building &amp; Wing</t>
  </si>
  <si>
    <t>No. of Units</t>
  </si>
  <si>
    <t>Total Carpet Area</t>
  </si>
  <si>
    <t>Total Saleable Area</t>
  </si>
  <si>
    <t>Inspected By :</t>
  </si>
  <si>
    <t>Report Prepared By :</t>
  </si>
  <si>
    <t>Name of Wing &amp; RERA Number</t>
  </si>
  <si>
    <t>Building Name as per RERA</t>
  </si>
  <si>
    <t>Name as per Builder</t>
  </si>
  <si>
    <t>RERA Registration No.</t>
  </si>
  <si>
    <t>01 Building (01 Wing)</t>
  </si>
  <si>
    <t>CIDCO/NAINA/PANVEL/VARDOLI/TP/BP-236/AMENDED PERM/2019/585/SAP/162</t>
  </si>
  <si>
    <t>Basement</t>
  </si>
  <si>
    <t>Podium</t>
  </si>
  <si>
    <t>Ground</t>
  </si>
  <si>
    <t>Upper Floor</t>
  </si>
  <si>
    <t xml:space="preserve">total floor 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</si>
  <si>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</si>
  <si>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</si>
  <si>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</si>
  <si>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</si>
  <si>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</si>
  <si>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</si>
  <si>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</si>
  <si>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</si>
  <si>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</si>
  <si>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</si>
  <si>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</si>
  <si>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</si>
  <si>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</si>
  <si>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</si>
  <si>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</si>
  <si>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</si>
  <si>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</si>
  <si>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Excavation in process</t>
  </si>
  <si>
    <t>Thane - G + 25</t>
  </si>
  <si>
    <t>600000/-</t>
  </si>
  <si>
    <t>Excavation Completed</t>
  </si>
  <si>
    <t>Footing in Process</t>
  </si>
  <si>
    <t>Footing Completed</t>
  </si>
  <si>
    <t>Plinth in process</t>
  </si>
  <si>
    <t>Plinth completed</t>
  </si>
  <si>
    <t>Approved no of units</t>
  </si>
  <si>
    <t>Refuge Area</t>
  </si>
  <si>
    <t>8th Floor</t>
  </si>
  <si>
    <t>Tulip D4</t>
  </si>
  <si>
    <t>P52000017051</t>
  </si>
  <si>
    <t>CIDCO/NAINA/PANVEL/VARDOLI/TP/BP-236/AMENDED PERM/2019/585/SAP/162
Validity : Building No.5 (Type A)-Wing D4 = G + 25th Floor</t>
  </si>
  <si>
    <t>Building No.5 (Type A)-Wing D4 = G + 25th Floor</t>
  </si>
  <si>
    <t>Wing D4 (Type A)</t>
  </si>
  <si>
    <t>1 RK</t>
  </si>
  <si>
    <t>1 BHK</t>
  </si>
  <si>
    <t>Entrance Lobby</t>
  </si>
  <si>
    <t>1st(Level - 2) &amp; 2nd(Level - 3), 3rd(Level - 4) Floor</t>
  </si>
  <si>
    <t>Ground(Level - 1) Floor</t>
  </si>
  <si>
    <t>Flat No.</t>
  </si>
  <si>
    <t>LIG/EWS Units</t>
  </si>
  <si>
    <t>LIG</t>
  </si>
  <si>
    <t>-</t>
  </si>
  <si>
    <t>4th(Level - 5) Floor</t>
  </si>
  <si>
    <t>18th &amp; 23rd Floor</t>
  </si>
  <si>
    <t>13th Floor</t>
  </si>
  <si>
    <t>12th, 16th Floor</t>
  </si>
  <si>
    <t>20th &amp; 24th Floor</t>
  </si>
  <si>
    <t>17th, 19th, 21st, 22nd &amp; 25th Floor</t>
  </si>
  <si>
    <t>5th(Level - 6), 6th, 7th, 9th to 11th, 14th, 15th Floor</t>
  </si>
  <si>
    <t>Plot No.RZ-8</t>
  </si>
  <si>
    <t>Building No.5 (Tulip D4)</t>
  </si>
  <si>
    <t>Plot, Building &amp; Wing No. as per RERA &amp; Pervious Plans</t>
  </si>
  <si>
    <t>Plot, Building &amp; Wing No. as per Revised Approved Plans</t>
  </si>
  <si>
    <t>Plot RZ8 : Building No.5 - Wing D4 (Type A)</t>
  </si>
  <si>
    <t>Plot RZ9 : Building No.1 - Wing D4 (Type A)</t>
  </si>
  <si>
    <t>Wise City, South Block Phase I, Plot RZ9 : Building 1 Wing D4</t>
  </si>
  <si>
    <t>Tulip D4-Wise City, South Block Phase I, Plot RZ9 : Building 1 Wing D4, Survey No.40 &amp; Other, Village-Wardoli, Tal-Panvel, Dist-Raigad.</t>
  </si>
  <si>
    <t>Plot No</t>
  </si>
  <si>
    <t>Old - RZ9 &amp; New - RZ8</t>
  </si>
  <si>
    <t>Quality of construction: Good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</si>
  <si>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</si>
  <si>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</si>
  <si>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</si>
  <si>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</si>
  <si>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</si>
  <si>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</si>
  <si>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</si>
  <si>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99 Acres</t>
  </si>
  <si>
    <t>Wise City</t>
  </si>
  <si>
    <t>1RK</t>
  </si>
  <si>
    <t>1BHK</t>
  </si>
  <si>
    <t>2BHK</t>
  </si>
  <si>
    <t>Average</t>
  </si>
  <si>
    <t xml:space="preserve">Valuation Adopted </t>
  </si>
  <si>
    <t>Construction details: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</si>
  <si>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</si>
  <si>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</si>
  <si>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</si>
  <si>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</si>
  <si>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</si>
  <si>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</si>
  <si>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</si>
  <si>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</si>
  <si>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</si>
  <si>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</si>
  <si>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</si>
  <si>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</si>
  <si>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</si>
  <si>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</si>
  <si>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</si>
  <si>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</si>
  <si>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</si>
  <si>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</si>
  <si>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</si>
  <si>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</si>
  <si>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</si>
  <si>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</si>
  <si>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</si>
  <si>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Township Maintenance charges for 12 months, 
Cluster &amp; Building Maintenance charges for 12 months &amp;
Development charges</t>
  </si>
  <si>
    <t>2,50,000/-</t>
  </si>
  <si>
    <t>Recommended Car Parking</t>
  </si>
  <si>
    <t>3,00,000/-</t>
  </si>
  <si>
    <t>Building No.5 (Type A)-Wing D4 = G + 1st to 25th Floor</t>
  </si>
  <si>
    <t>Tulip D4 - Wise City (Plot RZ9 : Building 1 Wing D4)</t>
  </si>
  <si>
    <t>Location Link</t>
  </si>
  <si>
    <t>https://goo.gl/maps/PzcYfkb9cstqZAF18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</si>
  <si>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</si>
  <si>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Contact Details ( Name &amp; Contact No.)</t>
  </si>
  <si>
    <t>Site Meet Person Contact Details ( Name &amp; Contact No.)</t>
  </si>
  <si>
    <t>18.96542,73.1928313</t>
  </si>
  <si>
    <t>`</t>
  </si>
  <si>
    <t>MSEB/MJP/Electric Meter Charges</t>
  </si>
  <si>
    <t xml:space="preserve">Mr. Rohan 8108147059
</t>
  </si>
  <si>
    <t xml:space="preserve">Nitesh patil </t>
  </si>
  <si>
    <t xml:space="preserve"> Wise City (Tulip D4)</t>
  </si>
  <si>
    <t xml:space="preserve">NA
</t>
  </si>
  <si>
    <t>Completed</t>
  </si>
  <si>
    <t>Material laying at Site: Nothing</t>
  </si>
  <si>
    <t>Wheather the construction is as per approved Building plan : Yes</t>
  </si>
  <si>
    <t>Kunal Kadam</t>
  </si>
  <si>
    <t xml:space="preserve">Remarks:  
1. All work completed. Please provide OC.
2. We considered Saleable area as per our calculation.
3. We considered Carpet area as per Approved Plan.
4. We considered Gross carpet area = Net carpet + Enclose balcony + C.B Area + F.B Area.
5. We have considered rate by verifying it from market inquire.
6. Recommended rate should be considered as all inclusive rate if other charges are not mentioned. (Excluding GST &amp; other government Taxes)
7. We have considered Other charges from cost sheet.
8. Car parking is subjected to authentic documentation.
9. The project has received first CC on 20/05/2019, But construction work of is not yet completed.
site, we meet Mr. Amit - 7506774456.
</t>
  </si>
  <si>
    <t xml:space="preserve">Projected life of the structure: 60 Years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</si>
</sst>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b/>
      <sz val="12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/>
    <xf numFmtId="9" fontId="5" fillId="0" borderId="0" applyFont="0" applyFill="0" applyBorder="0" applyAlignment="0" applyProtection="0"/>
    <xf numFmtId="0" fontId="10" fillId="0" borderId="0"/>
    <xf numFmtId="0" fontId="24" fillId="0" borderId="0" applyNumberFormat="0" applyFill="0" applyBorder="0" applyAlignment="0" applyProtection="0"/>
  </cellStyleXfs>
  <cellXfs count="249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0" fillId="0" borderId="2" xfId="0" applyBorder="1"/>
    <xf numFmtId="0" fontId="11" fillId="0" borderId="2" xfId="0" applyFont="1" applyBorder="1"/>
    <xf numFmtId="0" fontId="0" fillId="0" borderId="3" xfId="0" applyBorder="1"/>
    <xf numFmtId="0" fontId="0" fillId="2" borderId="2" xfId="0" applyFill="1" applyBorder="1"/>
    <xf numFmtId="0" fontId="11" fillId="0" borderId="2" xfId="0" applyFont="1" applyBorder="1" applyAlignment="1">
      <alignment horizontal="center"/>
    </xf>
    <xf numFmtId="0" fontId="14" fillId="0" borderId="2" xfId="0" applyFont="1" applyBorder="1"/>
    <xf numFmtId="0" fontId="14" fillId="0" borderId="0" xfId="0" applyFont="1"/>
    <xf numFmtId="0" fontId="14" fillId="2" borderId="2" xfId="0" applyFont="1" applyFill="1" applyBorder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9" fontId="14" fillId="0" borderId="0" xfId="5" applyFont="1" applyBorder="1"/>
    <xf numFmtId="0" fontId="15" fillId="0" borderId="2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wrapText="1"/>
    </xf>
    <xf numFmtId="0" fontId="14" fillId="0" borderId="4" xfId="0" applyFont="1" applyBorder="1"/>
    <xf numFmtId="0" fontId="14" fillId="0" borderId="2" xfId="0" applyFont="1" applyBorder="1" applyAlignment="1">
      <alignment wrapText="1"/>
    </xf>
    <xf numFmtId="9" fontId="14" fillId="0" borderId="2" xfId="5" applyFont="1" applyBorder="1"/>
    <xf numFmtId="9" fontId="14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left" vertical="center"/>
    </xf>
    <xf numFmtId="0" fontId="17" fillId="0" borderId="0" xfId="0" applyFont="1"/>
    <xf numFmtId="0" fontId="4" fillId="0" borderId="0" xfId="2" applyFont="1"/>
    <xf numFmtId="0" fontId="16" fillId="0" borderId="0" xfId="0" applyFont="1" applyAlignment="1">
      <alignment vertical="center"/>
    </xf>
    <xf numFmtId="0" fontId="8" fillId="0" borderId="0" xfId="0" applyFont="1"/>
    <xf numFmtId="2" fontId="8" fillId="0" borderId="0" xfId="0" applyNumberFormat="1" applyFont="1"/>
    <xf numFmtId="0" fontId="8" fillId="0" borderId="0" xfId="2" applyFont="1"/>
    <xf numFmtId="0" fontId="2" fillId="0" borderId="0" xfId="2"/>
    <xf numFmtId="0" fontId="18" fillId="0" borderId="0" xfId="0" applyFont="1"/>
    <xf numFmtId="0" fontId="3" fillId="0" borderId="2" xfId="0" applyFont="1" applyBorder="1" applyAlignment="1">
      <alignment horizontal="left" vertical="top"/>
    </xf>
    <xf numFmtId="0" fontId="19" fillId="0" borderId="0" xfId="0" applyFont="1"/>
    <xf numFmtId="0" fontId="1" fillId="0" borderId="0" xfId="2" applyFont="1"/>
    <xf numFmtId="0" fontId="4" fillId="0" borderId="2" xfId="0" applyFont="1" applyBorder="1" applyAlignment="1">
      <alignment horizontal="right" vertical="top"/>
    </xf>
    <xf numFmtId="0" fontId="1" fillId="0" borderId="0" xfId="3"/>
    <xf numFmtId="0" fontId="10" fillId="0" borderId="0" xfId="4"/>
    <xf numFmtId="0" fontId="11" fillId="0" borderId="2" xfId="4" applyFont="1" applyBorder="1" applyAlignment="1">
      <alignment horizontal="center" vertical="top" wrapText="1"/>
    </xf>
    <xf numFmtId="0" fontId="10" fillId="0" borderId="2" xfId="4" applyBorder="1" applyAlignment="1">
      <alignment horizontal="center" vertical="center"/>
    </xf>
    <xf numFmtId="0" fontId="10" fillId="0" borderId="2" xfId="4" applyBorder="1" applyAlignment="1">
      <alignment horizontal="left" vertical="center"/>
    </xf>
    <xf numFmtId="1" fontId="10" fillId="0" borderId="2" xfId="4" applyNumberFormat="1" applyBorder="1" applyAlignment="1">
      <alignment horizontal="center" vertical="center"/>
    </xf>
    <xf numFmtId="165" fontId="10" fillId="0" borderId="2" xfId="1" applyNumberFormat="1" applyFont="1" applyBorder="1" applyAlignment="1">
      <alignment horizontal="right" vertical="center"/>
    </xf>
    <xf numFmtId="0" fontId="11" fillId="0" borderId="2" xfId="4" applyFont="1" applyBorder="1" applyAlignment="1">
      <alignment horizontal="center" vertical="center"/>
    </xf>
    <xf numFmtId="1" fontId="12" fillId="0" borderId="2" xfId="4" applyNumberFormat="1" applyFont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20" fillId="0" borderId="0" xfId="3" applyFont="1"/>
    <xf numFmtId="0" fontId="21" fillId="0" borderId="19" xfId="6" applyFont="1" applyBorder="1" applyProtection="1">
      <protection hidden="1"/>
    </xf>
    <xf numFmtId="0" fontId="21" fillId="0" borderId="20" xfId="6" applyFont="1" applyBorder="1" applyProtection="1">
      <protection hidden="1"/>
    </xf>
    <xf numFmtId="0" fontId="22" fillId="0" borderId="21" xfId="6" applyFont="1" applyBorder="1" applyAlignment="1" applyProtection="1">
      <alignment horizontal="center" vertical="top"/>
      <protection locked="0"/>
    </xf>
    <xf numFmtId="0" fontId="22" fillId="0" borderId="2" xfId="6" applyFont="1" applyBorder="1" applyAlignment="1" applyProtection="1">
      <alignment horizontal="center" vertical="top"/>
      <protection locked="0"/>
    </xf>
    <xf numFmtId="0" fontId="21" fillId="0" borderId="0" xfId="6" applyFont="1" applyProtection="1">
      <protection hidden="1"/>
    </xf>
    <xf numFmtId="0" fontId="21" fillId="0" borderId="23" xfId="6" applyFont="1" applyBorder="1" applyProtection="1">
      <protection hidden="1"/>
    </xf>
    <xf numFmtId="0" fontId="14" fillId="0" borderId="0" xfId="0" applyFont="1" applyProtection="1">
      <protection hidden="1"/>
    </xf>
    <xf numFmtId="0" fontId="21" fillId="0" borderId="23" xfId="6" applyFont="1" applyBorder="1"/>
    <xf numFmtId="0" fontId="14" fillId="0" borderId="23" xfId="0" applyFont="1" applyBorder="1" applyProtection="1">
      <protection hidden="1"/>
    </xf>
    <xf numFmtId="1" fontId="0" fillId="0" borderId="23" xfId="0" applyNumberFormat="1" applyBorder="1"/>
    <xf numFmtId="1" fontId="0" fillId="0" borderId="23" xfId="0" applyNumberFormat="1" applyBorder="1" applyAlignment="1">
      <alignment horizontal="right"/>
    </xf>
    <xf numFmtId="0" fontId="14" fillId="0" borderId="32" xfId="0" applyFont="1" applyBorder="1" applyProtection="1">
      <protection hidden="1"/>
    </xf>
    <xf numFmtId="1" fontId="0" fillId="0" borderId="33" xfId="0" applyNumberFormat="1" applyBorder="1"/>
    <xf numFmtId="1" fontId="9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22" fillId="0" borderId="2" xfId="6" applyFont="1" applyBorder="1" applyAlignment="1" applyProtection="1">
      <alignment horizontal="center" vertical="top" wrapText="1"/>
      <protection locked="0"/>
    </xf>
    <xf numFmtId="0" fontId="22" fillId="0" borderId="2" xfId="6" applyFont="1" applyBorder="1" applyAlignment="1" applyProtection="1">
      <alignment horizontal="center" wrapText="1"/>
      <protection locked="0"/>
    </xf>
    <xf numFmtId="1" fontId="22" fillId="0" borderId="2" xfId="6" applyNumberFormat="1" applyFont="1" applyBorder="1" applyAlignment="1" applyProtection="1">
      <alignment horizontal="center" wrapText="1"/>
      <protection locked="0"/>
    </xf>
    <xf numFmtId="0" fontId="22" fillId="0" borderId="28" xfId="6" applyFont="1" applyBorder="1" applyAlignment="1" applyProtection="1">
      <alignment horizontal="center" wrapText="1"/>
      <protection locked="0"/>
    </xf>
    <xf numFmtId="0" fontId="13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1" fontId="9" fillId="0" borderId="2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3" fontId="8" fillId="0" borderId="1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1" fontId="4" fillId="0" borderId="2" xfId="0" applyNumberFormat="1" applyFont="1" applyBorder="1" applyAlignment="1">
      <alignment horizontal="center" vertical="top"/>
    </xf>
    <xf numFmtId="1" fontId="9" fillId="0" borderId="1" xfId="0" applyNumberFormat="1" applyFont="1" applyBorder="1" applyAlignment="1">
      <alignment horizontal="center" vertical="top" wrapText="1"/>
    </xf>
    <xf numFmtId="1" fontId="9" fillId="0" borderId="6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3" fontId="13" fillId="0" borderId="1" xfId="0" applyNumberFormat="1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9" fontId="22" fillId="0" borderId="29" xfId="6" applyNumberFormat="1" applyFont="1" applyBorder="1" applyAlignment="1" applyProtection="1">
      <alignment horizontal="center" vertical="center" wrapText="1"/>
      <protection hidden="1"/>
    </xf>
    <xf numFmtId="9" fontId="22" fillId="0" borderId="27" xfId="6" applyNumberFormat="1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10" xfId="2" applyFont="1" applyBorder="1" applyAlignment="1">
      <alignment horizontal="left" vertical="top" wrapText="1"/>
    </xf>
    <xf numFmtId="0" fontId="7" fillId="0" borderId="3" xfId="2" applyFont="1" applyBorder="1" applyAlignment="1">
      <alignment horizontal="left" vertical="top" wrapText="1"/>
    </xf>
    <xf numFmtId="0" fontId="7" fillId="0" borderId="11" xfId="2" applyFont="1" applyBorder="1" applyAlignment="1">
      <alignment horizontal="left" vertical="top" wrapText="1"/>
    </xf>
    <xf numFmtId="9" fontId="22" fillId="0" borderId="1" xfId="6" applyNumberFormat="1" applyFont="1" applyBorder="1" applyAlignment="1" applyProtection="1">
      <alignment horizontal="center" vertical="center" wrapText="1"/>
      <protection hidden="1"/>
    </xf>
    <xf numFmtId="9" fontId="22" fillId="0" borderId="6" xfId="6" applyNumberFormat="1" applyFont="1" applyBorder="1" applyAlignment="1" applyProtection="1">
      <alignment horizontal="center" vertical="center" wrapText="1"/>
      <protection hidden="1"/>
    </xf>
    <xf numFmtId="0" fontId="22" fillId="0" borderId="26" xfId="6" applyFont="1" applyBorder="1" applyAlignment="1" applyProtection="1">
      <alignment horizontal="center" vertical="top" wrapText="1"/>
      <protection locked="0"/>
    </xf>
    <xf numFmtId="0" fontId="22" fillId="0" borderId="27" xfId="6" applyFont="1" applyBorder="1" applyAlignment="1" applyProtection="1">
      <alignment horizontal="center" vertical="top" wrapText="1"/>
      <protection locked="0"/>
    </xf>
    <xf numFmtId="0" fontId="22" fillId="0" borderId="24" xfId="6" applyFont="1" applyBorder="1" applyAlignment="1" applyProtection="1">
      <alignment horizontal="center" vertical="top" wrapText="1"/>
      <protection locked="0"/>
    </xf>
    <xf numFmtId="0" fontId="22" fillId="0" borderId="6" xfId="6" applyFont="1" applyBorder="1" applyAlignment="1" applyProtection="1">
      <alignment horizontal="center" vertical="top" wrapText="1"/>
      <protection locked="0"/>
    </xf>
    <xf numFmtId="0" fontId="22" fillId="0" borderId="1" xfId="6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23" fillId="0" borderId="14" xfId="6" applyFont="1" applyBorder="1" applyAlignment="1" applyProtection="1">
      <alignment horizontal="center" vertical="top" wrapText="1"/>
      <protection locked="0"/>
    </xf>
    <xf numFmtId="0" fontId="23" fillId="0" borderId="15" xfId="6" applyFont="1" applyBorder="1" applyAlignment="1" applyProtection="1">
      <alignment horizontal="center" vertical="top" wrapText="1"/>
      <protection locked="0"/>
    </xf>
    <xf numFmtId="0" fontId="23" fillId="0" borderId="16" xfId="6" applyFont="1" applyBorder="1" applyAlignment="1" applyProtection="1">
      <alignment horizontal="left" vertical="top" wrapText="1"/>
      <protection locked="0"/>
    </xf>
    <xf numFmtId="0" fontId="23" fillId="0" borderId="17" xfId="6" applyFont="1" applyBorder="1" applyAlignment="1" applyProtection="1">
      <alignment horizontal="left" vertical="top" wrapText="1"/>
      <protection locked="0"/>
    </xf>
    <xf numFmtId="0" fontId="23" fillId="0" borderId="18" xfId="6" applyFont="1" applyBorder="1" applyAlignment="1" applyProtection="1">
      <alignment horizontal="left" vertical="top" wrapText="1"/>
      <protection locked="0"/>
    </xf>
    <xf numFmtId="0" fontId="22" fillId="0" borderId="1" xfId="6" applyFont="1" applyBorder="1" applyAlignment="1" applyProtection="1">
      <alignment horizontal="center" vertical="top"/>
      <protection locked="0"/>
    </xf>
    <xf numFmtId="0" fontId="22" fillId="0" borderId="6" xfId="6" applyFont="1" applyBorder="1" applyAlignment="1" applyProtection="1">
      <alignment horizontal="center" vertical="top"/>
      <protection locked="0"/>
    </xf>
    <xf numFmtId="0" fontId="22" fillId="0" borderId="22" xfId="6" applyFont="1" applyBorder="1" applyAlignment="1" applyProtection="1">
      <alignment horizontal="center" vertical="top"/>
      <protection locked="0"/>
    </xf>
    <xf numFmtId="0" fontId="23" fillId="0" borderId="24" xfId="6" applyFont="1" applyBorder="1" applyAlignment="1" applyProtection="1">
      <alignment horizontal="left" vertical="top"/>
      <protection locked="0"/>
    </xf>
    <xf numFmtId="0" fontId="23" fillId="0" borderId="6" xfId="6" applyFont="1" applyBorder="1" applyAlignment="1" applyProtection="1">
      <alignment horizontal="left" vertical="top"/>
      <protection locked="0"/>
    </xf>
    <xf numFmtId="0" fontId="23" fillId="0" borderId="1" xfId="6" applyFont="1" applyBorder="1" applyAlignment="1" applyProtection="1">
      <alignment horizontal="left" vertical="top" wrapText="1"/>
      <protection locked="0"/>
    </xf>
    <xf numFmtId="0" fontId="23" fillId="0" borderId="5" xfId="6" applyFont="1" applyBorder="1" applyAlignment="1" applyProtection="1">
      <alignment horizontal="left" vertical="top" wrapText="1"/>
      <protection locked="0"/>
    </xf>
    <xf numFmtId="0" fontId="23" fillId="0" borderId="22" xfId="6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/>
    </xf>
    <xf numFmtId="0" fontId="16" fillId="0" borderId="6" xfId="0" applyFont="1" applyBorder="1" applyAlignment="1">
      <alignment horizontal="left"/>
    </xf>
    <xf numFmtId="0" fontId="3" fillId="0" borderId="1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0" fontId="24" fillId="0" borderId="1" xfId="7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left" vertical="top"/>
    </xf>
    <xf numFmtId="14" fontId="4" fillId="0" borderId="5" xfId="0" applyNumberFormat="1" applyFont="1" applyBorder="1" applyAlignment="1">
      <alignment horizontal="left" vertical="top"/>
    </xf>
    <xf numFmtId="14" fontId="4" fillId="0" borderId="6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2" fillId="0" borderId="5" xfId="6" applyFont="1" applyBorder="1" applyAlignment="1" applyProtection="1">
      <alignment horizontal="center" vertical="top" wrapText="1"/>
      <protection locked="0"/>
    </xf>
    <xf numFmtId="0" fontId="22" fillId="0" borderId="22" xfId="6" applyFont="1" applyBorder="1" applyAlignment="1" applyProtection="1">
      <alignment horizontal="center" vertical="top" wrapText="1"/>
      <protection locked="0"/>
    </xf>
    <xf numFmtId="9" fontId="22" fillId="0" borderId="7" xfId="6" applyNumberFormat="1" applyFont="1" applyBorder="1" applyAlignment="1" applyProtection="1">
      <alignment horizontal="center" vertical="center" wrapText="1"/>
      <protection hidden="1"/>
    </xf>
    <xf numFmtId="9" fontId="22" fillId="0" borderId="9" xfId="6" applyNumberFormat="1" applyFont="1" applyBorder="1" applyAlignment="1" applyProtection="1">
      <alignment horizontal="center" vertical="center" wrapText="1"/>
      <protection hidden="1"/>
    </xf>
    <xf numFmtId="9" fontId="22" fillId="0" borderId="12" xfId="6" applyNumberFormat="1" applyFont="1" applyBorder="1" applyAlignment="1" applyProtection="1">
      <alignment horizontal="center" vertical="center" wrapText="1"/>
      <protection hidden="1"/>
    </xf>
    <xf numFmtId="9" fontId="22" fillId="0" borderId="13" xfId="6" applyNumberFormat="1" applyFont="1" applyBorder="1" applyAlignment="1" applyProtection="1">
      <alignment horizontal="center" vertical="center" wrapText="1"/>
      <protection hidden="1"/>
    </xf>
    <xf numFmtId="9" fontId="22" fillId="0" borderId="30" xfId="6" applyNumberFormat="1" applyFont="1" applyBorder="1" applyAlignment="1" applyProtection="1">
      <alignment horizontal="center" vertical="center" wrapText="1"/>
      <protection hidden="1"/>
    </xf>
    <xf numFmtId="9" fontId="22" fillId="0" borderId="31" xfId="6" applyNumberFormat="1" applyFont="1" applyBorder="1" applyAlignment="1" applyProtection="1">
      <alignment horizontal="center" vertical="center" wrapText="1"/>
      <protection hidden="1"/>
    </xf>
    <xf numFmtId="9" fontId="22" fillId="0" borderId="8" xfId="6" applyNumberFormat="1" applyFont="1" applyBorder="1" applyAlignment="1" applyProtection="1">
      <alignment horizontal="center" vertical="center" wrapText="1"/>
      <protection hidden="1"/>
    </xf>
    <xf numFmtId="9" fontId="22" fillId="0" borderId="25" xfId="6" applyNumberFormat="1" applyFont="1" applyBorder="1" applyAlignment="1" applyProtection="1">
      <alignment horizontal="center" vertical="center" wrapText="1"/>
      <protection hidden="1"/>
    </xf>
    <xf numFmtId="9" fontId="22" fillId="0" borderId="0" xfId="6" applyNumberFormat="1" applyFont="1" applyAlignment="1" applyProtection="1">
      <alignment horizontal="center" vertical="center" wrapText="1"/>
      <protection hidden="1"/>
    </xf>
    <xf numFmtId="9" fontId="22" fillId="0" borderId="23" xfId="6" applyNumberFormat="1" applyFont="1" applyBorder="1" applyAlignment="1" applyProtection="1">
      <alignment horizontal="center" vertical="center" wrapText="1"/>
      <protection hidden="1"/>
    </xf>
    <xf numFmtId="9" fontId="22" fillId="0" borderId="32" xfId="6" applyNumberFormat="1" applyFont="1" applyBorder="1" applyAlignment="1" applyProtection="1">
      <alignment horizontal="center" vertical="center" wrapText="1"/>
      <protection hidden="1"/>
    </xf>
    <xf numFmtId="9" fontId="22" fillId="0" borderId="33" xfId="6" applyNumberFormat="1" applyFont="1" applyBorder="1" applyAlignment="1" applyProtection="1">
      <alignment horizontal="center" vertical="center" wrapText="1"/>
      <protection hidden="1"/>
    </xf>
    <xf numFmtId="0" fontId="22" fillId="0" borderId="24" xfId="6" applyFont="1" applyBorder="1" applyAlignment="1" applyProtection="1">
      <alignment horizontal="center" vertical="top"/>
      <protection locked="0"/>
    </xf>
    <xf numFmtId="0" fontId="14" fillId="0" borderId="2" xfId="0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0" fillId="2" borderId="2" xfId="0" applyFill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2" xfId="4" applyFont="1" applyBorder="1" applyAlignment="1">
      <alignment horizontal="left"/>
    </xf>
  </cellXfs>
  <cellStyles count="8">
    <cellStyle name="Comma 2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Hyperlink" xfId="7" builtinId="8"/>
    <cellStyle name="Normal" xfId="0" builtinId="0"/>
    <cellStyle name="Normal 3" xfId="6" xr:uid="{00000000-0005-0000-0000-000005000000}"/>
    <cellStyle name="Normal 4" xfId="4" xr:uid="{00000000-0005-0000-0000-000006000000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710759</xdr:colOff>
      <xdr:row>285</xdr:row>
      <xdr:rowOff>14771</xdr:rowOff>
    </xdr:from>
    <xdr:to>
      <xdr:col>7</xdr:col>
      <xdr:colOff>226664</xdr:colOff>
      <xdr:row>300</xdr:row>
      <xdr:rowOff>37271</xdr:rowOff>
    </xdr:to>
    <xdr:pic>
      <xdr:nvPicPr>
        <xdr:cNvPr id="9529" name="Picture 44">
          <a:extLst>
            <a:ext uri="{FF2B5EF4-FFF2-40B4-BE49-F238E27FC236}">
              <a16:creationId xmlns:a16="http://schemas.microsoft.com/office/drawing/2014/main" id="{00000000-0008-0000-0000-000039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0918" y="60108862"/>
          <a:ext cx="3698246" cy="28800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699552</xdr:colOff>
      <xdr:row>301</xdr:row>
      <xdr:rowOff>50630</xdr:rowOff>
    </xdr:from>
    <xdr:to>
      <xdr:col>7</xdr:col>
      <xdr:colOff>237870</xdr:colOff>
      <xdr:row>316</xdr:row>
      <xdr:rowOff>73130</xdr:rowOff>
    </xdr:to>
    <xdr:pic>
      <xdr:nvPicPr>
        <xdr:cNvPr id="9530" name="Picture 45">
          <a:extLst>
            <a:ext uri="{FF2B5EF4-FFF2-40B4-BE49-F238E27FC236}">
              <a16:creationId xmlns:a16="http://schemas.microsoft.com/office/drawing/2014/main" id="{00000000-0008-0000-0000-00003A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9711" y="63192721"/>
          <a:ext cx="3720659" cy="28800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497205</xdr:colOff>
      <xdr:row>241</xdr:row>
      <xdr:rowOff>7620</xdr:rowOff>
    </xdr:from>
    <xdr:to>
      <xdr:col>22</xdr:col>
      <xdr:colOff>444363</xdr:colOff>
      <xdr:row>279</xdr:row>
      <xdr:rowOff>62580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D4B8E60D-C461-4501-B414-EC32E94A8305}"/>
            </a:ext>
          </a:extLst>
        </xdr:cNvPr>
        <xdr:cNvGrpSpPr/>
      </xdr:nvGrpSpPr>
      <xdr:grpSpPr>
        <a:xfrm>
          <a:off x="8917305" y="50276760"/>
          <a:ext cx="5570718" cy="6714840"/>
          <a:chOff x="423862" y="342900"/>
          <a:chExt cx="5404983" cy="7309200"/>
        </a:xfrm>
      </xdr:grpSpPr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8EB3F300-80DE-4DEB-AEA9-3C6FCBC3C0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3862" y="342900"/>
            <a:ext cx="5404983" cy="54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3F3F2-FCAA-465F-8355-A2EAAFAEE6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3862" y="5852100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ACA1133A-3791-40FB-88F9-CE1C2031EC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76562" y="5852100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B11898E5-5335-4AB8-B7AF-19E0BD5880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80720" y="5852100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1</xdr:col>
      <xdr:colOff>0</xdr:colOff>
      <xdr:row>243</xdr:row>
      <xdr:rowOff>0</xdr:rowOff>
    </xdr:from>
    <xdr:to>
      <xdr:col>8</xdr:col>
      <xdr:colOff>286884</xdr:colOff>
      <xdr:row>281</xdr:row>
      <xdr:rowOff>48920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2BA3D29-7F8B-6A24-E80E-45DC7CD0C06A}"/>
            </a:ext>
          </a:extLst>
        </xdr:cNvPr>
        <xdr:cNvGrpSpPr/>
      </xdr:nvGrpSpPr>
      <xdr:grpSpPr>
        <a:xfrm>
          <a:off x="594360" y="50619660"/>
          <a:ext cx="5277984" cy="6708800"/>
          <a:chOff x="149867" y="172720"/>
          <a:chExt cx="5277984" cy="6708800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237E902F-89CA-3761-53B6-A1259FA45779}"/>
              </a:ext>
            </a:extLst>
          </xdr:cNvPr>
          <xdr:cNvGrpSpPr/>
        </xdr:nvGrpSpPr>
        <xdr:grpSpPr>
          <a:xfrm>
            <a:off x="149867" y="5080000"/>
            <a:ext cx="5277984" cy="1801520"/>
            <a:chOff x="149867" y="5080000"/>
            <a:chExt cx="5277984" cy="180152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B499091B-9C8E-1ECA-97C0-A8126106966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079726" y="5081520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23D31C19-CE57-5C0B-D39B-84EEBEAC171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639067" y="5080000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3D238F92-4751-8905-6708-BA4B25A374B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9867" y="5080000"/>
              <a:ext cx="23966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AF76DC7C-7E18-0B13-085F-B5908CA769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8859" y="172720"/>
            <a:ext cx="3600000" cy="4806676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21</xdr:col>
      <xdr:colOff>333375</xdr:colOff>
      <xdr:row>38</xdr:row>
      <xdr:rowOff>76200</xdr:rowOff>
    </xdr:to>
    <xdr:pic>
      <xdr:nvPicPr>
        <xdr:cNvPr id="1194" name="Picture 1">
          <a:extLst>
            <a:ext uri="{FF2B5EF4-FFF2-40B4-BE49-F238E27FC236}">
              <a16:creationId xmlns:a16="http://schemas.microsoft.com/office/drawing/2014/main" id="{00000000-0008-0000-02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2</xdr:col>
      <xdr:colOff>1781175</xdr:colOff>
      <xdr:row>28</xdr:row>
      <xdr:rowOff>171450</xdr:rowOff>
    </xdr:to>
    <xdr:pic>
      <xdr:nvPicPr>
        <xdr:cNvPr id="8385" name="Picture 1">
          <a:extLst>
            <a:ext uri="{FF2B5EF4-FFF2-40B4-BE49-F238E27FC236}">
              <a16:creationId xmlns:a16="http://schemas.microsoft.com/office/drawing/2014/main" id="{00000000-0008-0000-0300-0000C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1914525"/>
          <a:ext cx="3257550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19050</xdr:rowOff>
    </xdr:from>
    <xdr:to>
      <xdr:col>2</xdr:col>
      <xdr:colOff>1781175</xdr:colOff>
      <xdr:row>49</xdr:row>
      <xdr:rowOff>0</xdr:rowOff>
    </xdr:to>
    <xdr:pic>
      <xdr:nvPicPr>
        <xdr:cNvPr id="8386" name="Picture 2">
          <a:extLst>
            <a:ext uri="{FF2B5EF4-FFF2-40B4-BE49-F238E27FC236}">
              <a16:creationId xmlns:a16="http://schemas.microsoft.com/office/drawing/2014/main" id="{00000000-0008-0000-0300-0000C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5743575"/>
          <a:ext cx="3257550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2095500</xdr:colOff>
      <xdr:row>30</xdr:row>
      <xdr:rowOff>19050</xdr:rowOff>
    </xdr:from>
    <xdr:to>
      <xdr:col>8</xdr:col>
      <xdr:colOff>276225</xdr:colOff>
      <xdr:row>49</xdr:row>
      <xdr:rowOff>0</xdr:rowOff>
    </xdr:to>
    <xdr:pic>
      <xdr:nvPicPr>
        <xdr:cNvPr id="8387" name="Picture 3">
          <a:extLst>
            <a:ext uri="{FF2B5EF4-FFF2-40B4-BE49-F238E27FC236}">
              <a16:creationId xmlns:a16="http://schemas.microsoft.com/office/drawing/2014/main" id="{00000000-0008-0000-0300-0000C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52900" y="5743575"/>
          <a:ext cx="5534025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zcYfkb9cstqZAF18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5"/>
  <sheetViews>
    <sheetView tabSelected="1" view="pageBreakPreview" topLeftCell="A66" zoomScaleNormal="100" zoomScaleSheetLayoutView="100" workbookViewId="0">
      <selection activeCell="L52" sqref="L52"/>
    </sheetView>
  </sheetViews>
  <sheetFormatPr defaultColWidth="9.109375" defaultRowHeight="13.8" x14ac:dyDescent="0.25"/>
  <cols>
    <col min="1" max="1" width="8.6640625" style="23" customWidth="1"/>
    <col min="2" max="2" width="15.33203125" style="23" customWidth="1"/>
    <col min="3" max="3" width="14.44140625" style="23" customWidth="1"/>
    <col min="4" max="4" width="7.33203125" style="23" customWidth="1"/>
    <col min="5" max="5" width="6.88671875" style="23" customWidth="1"/>
    <col min="6" max="6" width="9" style="23" customWidth="1"/>
    <col min="7" max="8" width="9.88671875" style="23" customWidth="1"/>
    <col min="9" max="9" width="10.6640625" style="23" customWidth="1"/>
    <col min="10" max="10" width="3.33203125" style="23" customWidth="1"/>
    <col min="11" max="16384" width="9.109375" style="23"/>
  </cols>
  <sheetData>
    <row r="1" spans="1:15" ht="43.95" customHeight="1" x14ac:dyDescent="0.25">
      <c r="A1" s="219" t="s">
        <v>271</v>
      </c>
      <c r="B1" s="220"/>
      <c r="C1" s="220"/>
      <c r="D1" s="220"/>
      <c r="E1" s="220"/>
      <c r="F1" s="220"/>
      <c r="G1" s="220"/>
      <c r="H1" s="220"/>
      <c r="I1" s="220"/>
      <c r="J1" s="221"/>
    </row>
    <row r="2" spans="1:15" x14ac:dyDescent="0.25">
      <c r="A2" s="104" t="s">
        <v>47</v>
      </c>
      <c r="B2" s="105"/>
      <c r="C2" s="105"/>
      <c r="D2" s="105"/>
      <c r="E2" s="105"/>
      <c r="F2" s="105"/>
      <c r="G2" s="105"/>
      <c r="H2" s="105"/>
      <c r="I2" s="105"/>
      <c r="J2" s="106"/>
    </row>
    <row r="3" spans="1:15" x14ac:dyDescent="0.25">
      <c r="A3" s="146" t="s">
        <v>0</v>
      </c>
      <c r="B3" s="73"/>
      <c r="C3" s="73"/>
      <c r="D3" s="73"/>
      <c r="E3" s="74"/>
      <c r="F3" s="222" t="str">
        <f ca="1">TEXT(TODAY(),"DD/MM/YYYY")</f>
        <v>09/09/2025</v>
      </c>
      <c r="G3" s="223"/>
      <c r="H3" s="223"/>
      <c r="I3" s="223"/>
      <c r="J3" s="224"/>
    </row>
    <row r="4" spans="1:15" x14ac:dyDescent="0.25">
      <c r="A4" s="146" t="s">
        <v>1</v>
      </c>
      <c r="B4" s="73"/>
      <c r="C4" s="73"/>
      <c r="D4" s="73"/>
      <c r="E4" s="74"/>
      <c r="F4" s="146" t="s">
        <v>111</v>
      </c>
      <c r="G4" s="73"/>
      <c r="H4" s="73"/>
      <c r="I4" s="73"/>
      <c r="J4" s="74"/>
    </row>
    <row r="5" spans="1:15" x14ac:dyDescent="0.25">
      <c r="A5" s="146" t="s">
        <v>2</v>
      </c>
      <c r="B5" s="73"/>
      <c r="C5" s="73"/>
      <c r="D5" s="73"/>
      <c r="E5" s="74"/>
      <c r="F5" s="222">
        <v>45907</v>
      </c>
      <c r="G5" s="223"/>
      <c r="H5" s="223"/>
      <c r="I5" s="223"/>
      <c r="J5" s="224"/>
    </row>
    <row r="6" spans="1:15" ht="16.5" customHeight="1" x14ac:dyDescent="0.25">
      <c r="A6" s="146" t="s">
        <v>3</v>
      </c>
      <c r="B6" s="73"/>
      <c r="C6" s="73"/>
      <c r="D6" s="73"/>
      <c r="E6" s="74"/>
      <c r="F6" s="72" t="s">
        <v>112</v>
      </c>
      <c r="G6" s="164"/>
      <c r="H6" s="164"/>
      <c r="I6" s="164"/>
      <c r="J6" s="165"/>
    </row>
    <row r="7" spans="1:15" x14ac:dyDescent="0.25">
      <c r="A7" s="146" t="s">
        <v>4</v>
      </c>
      <c r="B7" s="73"/>
      <c r="C7" s="73"/>
      <c r="D7" s="73"/>
      <c r="E7" s="74"/>
      <c r="F7" s="72" t="s">
        <v>113</v>
      </c>
      <c r="G7" s="164"/>
      <c r="H7" s="164"/>
      <c r="I7" s="164"/>
      <c r="J7" s="165"/>
    </row>
    <row r="8" spans="1:15" ht="30.75" customHeight="1" x14ac:dyDescent="0.25">
      <c r="A8" s="146" t="s">
        <v>5</v>
      </c>
      <c r="B8" s="73"/>
      <c r="C8" s="73"/>
      <c r="D8" s="73"/>
      <c r="E8" s="74"/>
      <c r="F8" s="216" t="s">
        <v>268</v>
      </c>
      <c r="G8" s="217"/>
      <c r="H8" s="217"/>
      <c r="I8" s="217"/>
      <c r="J8" s="218"/>
      <c r="L8" s="23" t="s">
        <v>279</v>
      </c>
    </row>
    <row r="9" spans="1:15" x14ac:dyDescent="0.25">
      <c r="A9" s="146" t="s">
        <v>272</v>
      </c>
      <c r="B9" s="73"/>
      <c r="C9" s="73"/>
      <c r="D9" s="73"/>
      <c r="E9" s="74"/>
      <c r="F9" s="146" t="s">
        <v>114</v>
      </c>
      <c r="G9" s="73"/>
      <c r="H9" s="73"/>
      <c r="I9" s="73"/>
      <c r="J9" s="74"/>
    </row>
    <row r="10" spans="1:15" x14ac:dyDescent="0.25">
      <c r="A10" s="146" t="s">
        <v>273</v>
      </c>
      <c r="B10" s="73"/>
      <c r="C10" s="73"/>
      <c r="D10" s="73"/>
      <c r="E10" s="74"/>
      <c r="F10" s="72" t="s">
        <v>280</v>
      </c>
      <c r="G10" s="73"/>
      <c r="H10" s="73"/>
      <c r="I10" s="73"/>
      <c r="J10" s="74"/>
      <c r="K10" s="72" t="s">
        <v>277</v>
      </c>
      <c r="L10" s="73"/>
      <c r="M10" s="73"/>
      <c r="N10" s="73"/>
      <c r="O10" s="74"/>
    </row>
    <row r="11" spans="1:15" x14ac:dyDescent="0.25">
      <c r="A11" s="146" t="s">
        <v>6</v>
      </c>
      <c r="B11" s="73"/>
      <c r="C11" s="73"/>
      <c r="D11" s="73"/>
      <c r="E11" s="74"/>
      <c r="F11" s="146" t="s">
        <v>110</v>
      </c>
      <c r="G11" s="73"/>
      <c r="H11" s="73"/>
      <c r="I11" s="73"/>
      <c r="J11" s="74"/>
    </row>
    <row r="12" spans="1:15" s="27" customFormat="1" x14ac:dyDescent="0.3">
      <c r="A12" s="214"/>
      <c r="B12" s="214"/>
      <c r="C12" s="214"/>
      <c r="D12" s="214"/>
      <c r="E12" s="214"/>
      <c r="F12" s="214"/>
      <c r="G12" s="214"/>
      <c r="H12" s="214"/>
      <c r="I12" s="214"/>
      <c r="J12" s="214"/>
    </row>
    <row r="13" spans="1:15" s="27" customFormat="1" ht="29.25" customHeight="1" x14ac:dyDescent="0.3">
      <c r="A13" s="84" t="s">
        <v>216</v>
      </c>
      <c r="B13" s="84"/>
      <c r="C13" s="84"/>
      <c r="D13" s="84"/>
      <c r="E13" s="84"/>
      <c r="F13" s="84" t="s">
        <v>217</v>
      </c>
      <c r="G13" s="84"/>
      <c r="H13" s="84"/>
      <c r="I13" s="84"/>
      <c r="J13" s="84"/>
    </row>
    <row r="14" spans="1:15" s="27" customFormat="1" ht="19.5" customHeight="1" x14ac:dyDescent="0.3">
      <c r="A14" s="214" t="s">
        <v>219</v>
      </c>
      <c r="B14" s="214"/>
      <c r="C14" s="214"/>
      <c r="D14" s="214"/>
      <c r="E14" s="214"/>
      <c r="F14" s="214" t="s">
        <v>218</v>
      </c>
      <c r="G14" s="214"/>
      <c r="H14" s="214"/>
      <c r="I14" s="214"/>
      <c r="J14" s="214"/>
    </row>
    <row r="15" spans="1:15" s="27" customFormat="1" x14ac:dyDescent="0.3">
      <c r="A15" s="214"/>
      <c r="B15" s="214"/>
      <c r="C15" s="214"/>
      <c r="D15" s="214"/>
      <c r="E15" s="214"/>
      <c r="F15" s="214"/>
      <c r="G15" s="214"/>
      <c r="H15" s="214"/>
      <c r="I15" s="214"/>
      <c r="J15" s="214"/>
    </row>
    <row r="16" spans="1:15" x14ac:dyDescent="0.25">
      <c r="A16" s="185" t="s">
        <v>154</v>
      </c>
      <c r="B16" s="185"/>
      <c r="C16" s="84" t="s">
        <v>155</v>
      </c>
      <c r="D16" s="84"/>
      <c r="E16" s="84"/>
      <c r="F16" s="80" t="s">
        <v>156</v>
      </c>
      <c r="G16" s="80"/>
      <c r="H16" s="80" t="s">
        <v>157</v>
      </c>
      <c r="I16" s="80"/>
      <c r="J16" s="80"/>
    </row>
    <row r="17" spans="1:10" ht="31.5" customHeight="1" x14ac:dyDescent="0.25">
      <c r="A17" s="185"/>
      <c r="B17" s="185"/>
      <c r="C17" s="225" t="s">
        <v>220</v>
      </c>
      <c r="D17" s="225"/>
      <c r="E17" s="225"/>
      <c r="F17" s="214" t="s">
        <v>193</v>
      </c>
      <c r="G17" s="214"/>
      <c r="H17" s="214" t="s">
        <v>194</v>
      </c>
      <c r="I17" s="214"/>
      <c r="J17" s="214"/>
    </row>
    <row r="18" spans="1:10" s="27" customFormat="1" x14ac:dyDescent="0.3">
      <c r="A18" s="215"/>
      <c r="B18" s="215"/>
      <c r="C18" s="215"/>
      <c r="D18" s="215"/>
      <c r="E18" s="215"/>
      <c r="F18" s="215"/>
      <c r="G18" s="215"/>
      <c r="H18" s="215"/>
      <c r="I18" s="215"/>
      <c r="J18" s="215"/>
    </row>
    <row r="19" spans="1:10" ht="31.5" customHeight="1" x14ac:dyDescent="0.25">
      <c r="A19" s="186" t="s">
        <v>64</v>
      </c>
      <c r="B19" s="186"/>
      <c r="C19" s="72" t="s">
        <v>221</v>
      </c>
      <c r="D19" s="164"/>
      <c r="E19" s="164"/>
      <c r="F19" s="164"/>
      <c r="G19" s="164"/>
      <c r="H19" s="164"/>
      <c r="I19" s="164"/>
      <c r="J19" s="165"/>
    </row>
    <row r="20" spans="1:10" x14ac:dyDescent="0.25">
      <c r="A20" s="1" t="s">
        <v>115</v>
      </c>
      <c r="B20" s="1" t="s">
        <v>116</v>
      </c>
      <c r="C20" s="36" t="s">
        <v>222</v>
      </c>
      <c r="D20" s="85" t="s">
        <v>223</v>
      </c>
      <c r="E20" s="85"/>
      <c r="F20" s="85"/>
      <c r="G20" s="2" t="s">
        <v>65</v>
      </c>
      <c r="H20" s="207" t="s">
        <v>117</v>
      </c>
      <c r="I20" s="207"/>
      <c r="J20" s="207"/>
    </row>
    <row r="21" spans="1:10" x14ac:dyDescent="0.25">
      <c r="A21" s="66" t="s">
        <v>7</v>
      </c>
      <c r="B21" s="146" t="s">
        <v>119</v>
      </c>
      <c r="C21" s="73"/>
      <c r="D21" s="73"/>
      <c r="E21" s="74"/>
      <c r="F21" s="1" t="s">
        <v>66</v>
      </c>
      <c r="G21" s="146" t="s">
        <v>118</v>
      </c>
      <c r="H21" s="73"/>
      <c r="I21" s="73"/>
      <c r="J21" s="74"/>
    </row>
    <row r="22" spans="1:10" x14ac:dyDescent="0.25">
      <c r="A22" s="66" t="s">
        <v>8</v>
      </c>
      <c r="B22" s="146" t="s">
        <v>121</v>
      </c>
      <c r="C22" s="73"/>
      <c r="D22" s="73"/>
      <c r="E22" s="74"/>
      <c r="F22" s="1" t="s">
        <v>67</v>
      </c>
      <c r="G22" s="146" t="s">
        <v>120</v>
      </c>
      <c r="H22" s="73"/>
      <c r="I22" s="73"/>
      <c r="J22" s="74"/>
    </row>
    <row r="23" spans="1:10" ht="32.25" customHeight="1" x14ac:dyDescent="0.25">
      <c r="A23" s="186" t="s">
        <v>68</v>
      </c>
      <c r="B23" s="186"/>
      <c r="C23" s="186" t="s">
        <v>122</v>
      </c>
      <c r="D23" s="186"/>
      <c r="E23" s="186"/>
      <c r="F23" s="207" t="s">
        <v>57</v>
      </c>
      <c r="G23" s="207"/>
      <c r="H23" s="164" t="s">
        <v>123</v>
      </c>
      <c r="I23" s="164"/>
      <c r="J23" s="165"/>
    </row>
    <row r="24" spans="1:10" ht="15" customHeight="1" x14ac:dyDescent="0.25">
      <c r="A24" s="195" t="s">
        <v>59</v>
      </c>
      <c r="B24" s="196"/>
      <c r="C24" s="196"/>
      <c r="D24" s="196"/>
      <c r="E24" s="197"/>
      <c r="F24" s="208" t="s">
        <v>124</v>
      </c>
      <c r="G24" s="209"/>
      <c r="H24" s="209"/>
      <c r="I24" s="209"/>
      <c r="J24" s="210"/>
    </row>
    <row r="25" spans="1:10" x14ac:dyDescent="0.25">
      <c r="A25" s="198"/>
      <c r="B25" s="199"/>
      <c r="C25" s="199"/>
      <c r="D25" s="199"/>
      <c r="E25" s="200"/>
      <c r="F25" s="211"/>
      <c r="G25" s="212"/>
      <c r="H25" s="212"/>
      <c r="I25" s="212"/>
      <c r="J25" s="213"/>
    </row>
    <row r="26" spans="1:10" ht="15" customHeight="1" x14ac:dyDescent="0.25">
      <c r="A26" s="195" t="s">
        <v>9</v>
      </c>
      <c r="B26" s="196"/>
      <c r="C26" s="196"/>
      <c r="D26" s="196"/>
      <c r="E26" s="197"/>
      <c r="F26" s="195" t="s">
        <v>49</v>
      </c>
      <c r="G26" s="196"/>
      <c r="H26" s="196"/>
      <c r="I26" s="196"/>
      <c r="J26" s="197"/>
    </row>
    <row r="27" spans="1:10" x14ac:dyDescent="0.25">
      <c r="A27" s="146" t="s">
        <v>10</v>
      </c>
      <c r="B27" s="73"/>
      <c r="C27" s="73"/>
      <c r="D27" s="73"/>
      <c r="E27" s="74"/>
      <c r="F27" s="143" t="s">
        <v>107</v>
      </c>
      <c r="G27" s="144"/>
      <c r="H27" s="144"/>
      <c r="I27" s="144"/>
      <c r="J27" s="145"/>
    </row>
    <row r="28" spans="1:10" x14ac:dyDescent="0.25">
      <c r="A28" s="146" t="s">
        <v>11</v>
      </c>
      <c r="B28" s="73"/>
      <c r="C28" s="73"/>
      <c r="D28" s="73"/>
      <c r="E28" s="74"/>
      <c r="F28" s="143" t="s">
        <v>58</v>
      </c>
      <c r="G28" s="144"/>
      <c r="H28" s="144"/>
      <c r="I28" s="144"/>
      <c r="J28" s="145"/>
    </row>
    <row r="29" spans="1:10" x14ac:dyDescent="0.25">
      <c r="A29" s="146" t="s">
        <v>12</v>
      </c>
      <c r="B29" s="73"/>
      <c r="C29" s="73"/>
      <c r="D29" s="73"/>
      <c r="E29" s="74"/>
      <c r="F29" s="143" t="s">
        <v>50</v>
      </c>
      <c r="G29" s="144"/>
      <c r="H29" s="144"/>
      <c r="I29" s="144"/>
      <c r="J29" s="145"/>
    </row>
    <row r="30" spans="1:10" x14ac:dyDescent="0.25">
      <c r="A30" s="146" t="s">
        <v>30</v>
      </c>
      <c r="B30" s="73"/>
      <c r="C30" s="73"/>
      <c r="D30" s="73"/>
      <c r="E30" s="74"/>
      <c r="F30" s="143" t="s">
        <v>69</v>
      </c>
      <c r="G30" s="144"/>
      <c r="H30" s="144"/>
      <c r="I30" s="144"/>
      <c r="J30" s="145"/>
    </row>
    <row r="31" spans="1:10" x14ac:dyDescent="0.25">
      <c r="A31" s="191" t="s">
        <v>13</v>
      </c>
      <c r="B31" s="192"/>
      <c r="C31" s="191" t="s">
        <v>14</v>
      </c>
      <c r="D31" s="192"/>
      <c r="E31" s="191" t="s">
        <v>15</v>
      </c>
      <c r="F31" s="192"/>
      <c r="G31" s="191" t="s">
        <v>56</v>
      </c>
      <c r="H31" s="192"/>
      <c r="I31" s="191" t="s">
        <v>16</v>
      </c>
      <c r="J31" s="192"/>
    </row>
    <row r="32" spans="1:10" x14ac:dyDescent="0.25">
      <c r="A32" s="191" t="s">
        <v>17</v>
      </c>
      <c r="B32" s="192"/>
      <c r="C32" s="191" t="s">
        <v>55</v>
      </c>
      <c r="D32" s="192"/>
      <c r="E32" s="191" t="s">
        <v>55</v>
      </c>
      <c r="F32" s="192"/>
      <c r="G32" s="191" t="s">
        <v>55</v>
      </c>
      <c r="H32" s="192"/>
      <c r="I32" s="191" t="s">
        <v>55</v>
      </c>
      <c r="J32" s="192"/>
    </row>
    <row r="33" spans="1:10" x14ac:dyDescent="0.25">
      <c r="A33" s="191" t="s">
        <v>18</v>
      </c>
      <c r="B33" s="192"/>
      <c r="C33" s="191" t="s">
        <v>125</v>
      </c>
      <c r="D33" s="192"/>
      <c r="E33" s="191" t="s">
        <v>7</v>
      </c>
      <c r="F33" s="192"/>
      <c r="G33" s="191" t="s">
        <v>125</v>
      </c>
      <c r="H33" s="192"/>
      <c r="I33" s="191" t="s">
        <v>125</v>
      </c>
      <c r="J33" s="192"/>
    </row>
    <row r="34" spans="1:10" x14ac:dyDescent="0.25">
      <c r="A34" s="146" t="s">
        <v>62</v>
      </c>
      <c r="B34" s="73"/>
      <c r="C34" s="73"/>
      <c r="D34" s="73"/>
      <c r="E34" s="73"/>
      <c r="F34" s="73"/>
      <c r="G34" s="73"/>
      <c r="H34" s="73"/>
      <c r="I34" s="73"/>
      <c r="J34" s="74"/>
    </row>
    <row r="35" spans="1:10" x14ac:dyDescent="0.25">
      <c r="A35" s="146" t="s">
        <v>51</v>
      </c>
      <c r="B35" s="73"/>
      <c r="C35" s="73"/>
      <c r="D35" s="73"/>
      <c r="E35" s="73"/>
      <c r="F35" s="73"/>
      <c r="G35" s="73"/>
      <c r="H35" s="73"/>
      <c r="I35" s="73"/>
      <c r="J35" s="74"/>
    </row>
    <row r="36" spans="1:10" customFormat="1" ht="14.4" x14ac:dyDescent="0.3">
      <c r="A36" s="146" t="s">
        <v>44</v>
      </c>
      <c r="B36" s="74"/>
      <c r="C36" s="146" t="s">
        <v>274</v>
      </c>
      <c r="D36" s="73"/>
      <c r="E36" s="73"/>
      <c r="F36" s="73"/>
      <c r="G36" s="73"/>
      <c r="H36" s="73"/>
      <c r="I36" s="73"/>
      <c r="J36" s="74"/>
    </row>
    <row r="37" spans="1:10" customFormat="1" ht="14.4" x14ac:dyDescent="0.3">
      <c r="A37" s="146" t="s">
        <v>269</v>
      </c>
      <c r="B37" s="74"/>
      <c r="C37" s="194" t="s">
        <v>270</v>
      </c>
      <c r="D37" s="73"/>
      <c r="E37" s="73"/>
      <c r="F37" s="73"/>
      <c r="G37" s="73"/>
      <c r="H37" s="73"/>
      <c r="I37" s="73"/>
      <c r="J37" s="74"/>
    </row>
    <row r="38" spans="1:10" x14ac:dyDescent="0.25">
      <c r="A38" s="92" t="s">
        <v>19</v>
      </c>
      <c r="B38" s="93"/>
      <c r="C38" s="93"/>
      <c r="D38" s="93"/>
      <c r="E38" s="93"/>
      <c r="F38" s="93"/>
      <c r="G38" s="93"/>
      <c r="H38" s="93"/>
      <c r="I38" s="93"/>
      <c r="J38" s="94"/>
    </row>
    <row r="39" spans="1:10" ht="17.25" customHeight="1" x14ac:dyDescent="0.25">
      <c r="A39" s="195" t="s">
        <v>52</v>
      </c>
      <c r="B39" s="196"/>
      <c r="C39" s="196"/>
      <c r="D39" s="196"/>
      <c r="E39" s="196"/>
      <c r="F39" s="196"/>
      <c r="G39" s="196"/>
      <c r="H39" s="196"/>
      <c r="I39" s="196"/>
      <c r="J39" s="197"/>
    </row>
    <row r="40" spans="1:10" ht="17.25" customHeight="1" x14ac:dyDescent="0.25">
      <c r="A40" s="198"/>
      <c r="B40" s="199"/>
      <c r="C40" s="199"/>
      <c r="D40" s="199"/>
      <c r="E40" s="199"/>
      <c r="F40" s="199"/>
      <c r="G40" s="199"/>
      <c r="H40" s="199"/>
      <c r="I40" s="199"/>
      <c r="J40" s="200"/>
    </row>
    <row r="41" spans="1:10" s="24" customFormat="1" x14ac:dyDescent="0.3">
      <c r="A41" s="201" t="s">
        <v>70</v>
      </c>
      <c r="B41" s="202"/>
      <c r="C41" s="202"/>
      <c r="D41" s="202"/>
      <c r="E41" s="203"/>
      <c r="F41" s="204">
        <v>556880.97</v>
      </c>
      <c r="G41" s="205"/>
      <c r="H41" s="205"/>
      <c r="I41" s="205"/>
      <c r="J41" s="206"/>
    </row>
    <row r="42" spans="1:10" x14ac:dyDescent="0.25">
      <c r="A42" s="146" t="s">
        <v>20</v>
      </c>
      <c r="B42" s="73"/>
      <c r="C42" s="73"/>
      <c r="D42" s="73"/>
      <c r="E42" s="74"/>
      <c r="F42" s="147">
        <v>1</v>
      </c>
      <c r="G42" s="148"/>
      <c r="H42" s="148"/>
      <c r="I42" s="148"/>
      <c r="J42" s="149"/>
    </row>
    <row r="43" spans="1:10" x14ac:dyDescent="0.25">
      <c r="A43" s="146" t="s">
        <v>21</v>
      </c>
      <c r="B43" s="73"/>
      <c r="C43" s="73"/>
      <c r="D43" s="73"/>
      <c r="E43" s="74"/>
      <c r="F43" s="147">
        <v>0.7</v>
      </c>
      <c r="G43" s="148"/>
      <c r="H43" s="148"/>
      <c r="I43" s="148"/>
      <c r="J43" s="149"/>
    </row>
    <row r="44" spans="1:10" x14ac:dyDescent="0.25">
      <c r="A44" s="146" t="s">
        <v>22</v>
      </c>
      <c r="B44" s="73"/>
      <c r="C44" s="73"/>
      <c r="D44" s="73"/>
      <c r="E44" s="74"/>
      <c r="F44" s="147">
        <f>F42+F43</f>
        <v>1.7</v>
      </c>
      <c r="G44" s="148"/>
      <c r="H44" s="148"/>
      <c r="I44" s="148"/>
      <c r="J44" s="149"/>
    </row>
    <row r="45" spans="1:10" x14ac:dyDescent="0.25">
      <c r="A45" s="146" t="s">
        <v>71</v>
      </c>
      <c r="B45" s="73"/>
      <c r="C45" s="73"/>
      <c r="D45" s="73"/>
      <c r="E45" s="74"/>
      <c r="F45" s="147">
        <f>F41*F44</f>
        <v>946697.64899999998</v>
      </c>
      <c r="G45" s="148"/>
      <c r="H45" s="148">
        <v>41635.328000000001</v>
      </c>
      <c r="I45" s="148"/>
      <c r="J45" s="149"/>
    </row>
    <row r="46" spans="1:10" x14ac:dyDescent="0.25">
      <c r="A46" s="76" t="s">
        <v>23</v>
      </c>
      <c r="B46" s="77"/>
      <c r="C46" s="77"/>
      <c r="D46" s="77"/>
      <c r="E46" s="78"/>
      <c r="F46" s="146" t="s">
        <v>158</v>
      </c>
      <c r="G46" s="73"/>
      <c r="H46" s="73"/>
      <c r="I46" s="73"/>
      <c r="J46" s="74"/>
    </row>
    <row r="47" spans="1:10" x14ac:dyDescent="0.25">
      <c r="A47" s="92" t="s">
        <v>73</v>
      </c>
      <c r="B47" s="93"/>
      <c r="C47" s="93"/>
      <c r="D47" s="93"/>
      <c r="E47" s="93"/>
      <c r="F47" s="93"/>
      <c r="G47" s="93"/>
      <c r="H47" s="93"/>
      <c r="I47" s="93"/>
      <c r="J47" s="94"/>
    </row>
    <row r="48" spans="1:10" ht="31.5" customHeight="1" x14ac:dyDescent="0.25">
      <c r="A48" s="207" t="s">
        <v>72</v>
      </c>
      <c r="B48" s="207"/>
      <c r="C48" s="72" t="s">
        <v>159</v>
      </c>
      <c r="D48" s="164"/>
      <c r="E48" s="164"/>
      <c r="F48" s="165"/>
      <c r="G48" s="1" t="s">
        <v>63</v>
      </c>
      <c r="H48" s="146" t="s">
        <v>145</v>
      </c>
      <c r="I48" s="73"/>
      <c r="J48" s="74"/>
    </row>
    <row r="49" spans="1:12" ht="31.5" customHeight="1" x14ac:dyDescent="0.25">
      <c r="A49" s="72" t="s">
        <v>74</v>
      </c>
      <c r="B49" s="165"/>
      <c r="C49" s="72" t="str">
        <f>C48</f>
        <v>CIDCO/NAINA/PANVEL/VARDOLI/TP/BP-236/AMENDED PERM/2019/585/SAP/162</v>
      </c>
      <c r="D49" s="164"/>
      <c r="E49" s="164"/>
      <c r="F49" s="165"/>
      <c r="G49" s="1" t="s">
        <v>63</v>
      </c>
      <c r="H49" s="146" t="str">
        <f>H48</f>
        <v>20/05/2019.</v>
      </c>
      <c r="I49" s="73"/>
      <c r="J49" s="74"/>
    </row>
    <row r="50" spans="1:12" ht="61.8" customHeight="1" x14ac:dyDescent="0.25">
      <c r="A50" s="72" t="s">
        <v>75</v>
      </c>
      <c r="B50" s="165"/>
      <c r="C50" s="72" t="s">
        <v>195</v>
      </c>
      <c r="D50" s="164"/>
      <c r="E50" s="164"/>
      <c r="F50" s="165"/>
      <c r="G50" s="1" t="s">
        <v>63</v>
      </c>
      <c r="H50" s="1" t="str">
        <f>H48</f>
        <v>20/05/2019.</v>
      </c>
      <c r="I50" s="185" t="s">
        <v>53</v>
      </c>
      <c r="J50" s="185"/>
    </row>
    <row r="51" spans="1:12" x14ac:dyDescent="0.25">
      <c r="A51" s="72" t="s">
        <v>108</v>
      </c>
      <c r="B51" s="165"/>
      <c r="C51" s="72" t="s">
        <v>55</v>
      </c>
      <c r="D51" s="164"/>
      <c r="E51" s="164"/>
      <c r="F51" s="165" t="s">
        <v>109</v>
      </c>
      <c r="G51" s="1" t="s">
        <v>63</v>
      </c>
      <c r="H51" s="146" t="s">
        <v>55</v>
      </c>
      <c r="I51" s="73" t="s">
        <v>60</v>
      </c>
      <c r="J51" s="74"/>
    </row>
    <row r="52" spans="1:12" x14ac:dyDescent="0.25">
      <c r="A52" s="186" t="s">
        <v>80</v>
      </c>
      <c r="B52" s="186"/>
      <c r="C52" s="186"/>
      <c r="D52" s="85" t="str">
        <f>H50</f>
        <v>20/05/2019.</v>
      </c>
      <c r="E52" s="85"/>
      <c r="F52" s="146" t="s">
        <v>76</v>
      </c>
      <c r="G52" s="187"/>
      <c r="H52" s="146" t="s">
        <v>281</v>
      </c>
      <c r="I52" s="73"/>
      <c r="J52" s="74"/>
    </row>
    <row r="53" spans="1:12" x14ac:dyDescent="0.25">
      <c r="A53" s="188" t="s">
        <v>24</v>
      </c>
      <c r="B53" s="189"/>
      <c r="C53" s="189"/>
      <c r="D53" s="189"/>
      <c r="E53" s="189"/>
      <c r="F53" s="189"/>
      <c r="G53" s="189"/>
      <c r="H53" s="189"/>
      <c r="I53" s="189"/>
      <c r="J53" s="190"/>
    </row>
    <row r="54" spans="1:12" x14ac:dyDescent="0.25">
      <c r="A54" s="146" t="s">
        <v>106</v>
      </c>
      <c r="B54" s="73"/>
      <c r="C54" s="74"/>
      <c r="D54" s="191">
        <f>F45</f>
        <v>946697.64899999998</v>
      </c>
      <c r="E54" s="192"/>
      <c r="F54" s="193" t="s">
        <v>190</v>
      </c>
      <c r="G54" s="193"/>
      <c r="H54" s="193"/>
      <c r="I54" s="150">
        <f>C91</f>
        <v>273</v>
      </c>
      <c r="J54" s="150"/>
    </row>
    <row r="55" spans="1:12" s="27" customFormat="1" ht="16.5" customHeight="1" x14ac:dyDescent="0.3">
      <c r="A55" s="179" t="s">
        <v>77</v>
      </c>
      <c r="B55" s="180"/>
      <c r="C55" s="181"/>
      <c r="D55" s="182" t="s">
        <v>196</v>
      </c>
      <c r="E55" s="183"/>
      <c r="F55" s="183"/>
      <c r="G55" s="183"/>
      <c r="H55" s="183"/>
      <c r="I55" s="183"/>
      <c r="J55" s="184"/>
    </row>
    <row r="56" spans="1:12" ht="29.25" customHeight="1" x14ac:dyDescent="0.25">
      <c r="A56" s="146" t="s">
        <v>224</v>
      </c>
      <c r="B56" s="73"/>
      <c r="C56" s="73"/>
      <c r="D56" s="73"/>
      <c r="E56" s="74"/>
      <c r="F56" s="72" t="s">
        <v>286</v>
      </c>
      <c r="G56" s="164"/>
      <c r="H56" s="164"/>
      <c r="I56" s="164"/>
      <c r="J56" s="165"/>
    </row>
    <row r="57" spans="1:12" ht="14.4" thickBot="1" x14ac:dyDescent="0.3">
      <c r="A57" s="146" t="s">
        <v>282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2" ht="15" customHeight="1" x14ac:dyDescent="0.3">
      <c r="A58" s="166" t="s">
        <v>239</v>
      </c>
      <c r="B58" s="167"/>
      <c r="C58" s="168" t="s">
        <v>267</v>
      </c>
      <c r="D58" s="169"/>
      <c r="E58" s="169"/>
      <c r="F58" s="169"/>
      <c r="G58" s="169"/>
      <c r="H58" s="169"/>
      <c r="I58" s="169"/>
      <c r="J58" s="170"/>
      <c r="K58" s="48" t="str">
        <f ca="1">(IF(F62&gt;99%,"All work completed. Please provide OC.",IF(F62&gt;89.8%,"Plinth, RCC, Brick, Plaster, Flooring, Painting work Completed. Finishing work is in process.",IF(F62&lt;94%,(IF(C62=0,"Work not yet Started.",IF(D62=25%,"Piling work in process",IF(D62=50%,"Excavation work in process",IF(D62=100%,"Excavation work Completed. ","0")))&amp;(IF(C63=0%,"",IF(C63=L64,"Footing work is process",IF(C63=L65,"Footing work Completed",IF(C63=L66,"1st Basement Completed",IF(C63=L67,"1st &amp; 2nd Basement Completed",IF(C63=L68,"1st to 3rd Basement Completed",IF(C63=L69,"1st to 4th Basement Completed",IF(C63=L70,"Plinth work is process",IF(C63=L71,"Plinth work completed","0")))))))))))&amp;(IF(C64=(D59+G59+I59),", RCC Slab",IF(C64&gt;0,", RCC upto "&amp;C64&amp;" Slab",""))&amp;(IF(C65=I59,", Brickwork",IF(C65&gt;0,", Brickwork upto "&amp;C65&amp;" Floor",""))&amp;(IF(C66=I59,", Internal Plaster",IF(C66&gt;0,", Internal Plaster upto "&amp;C66&amp;" Floor",""))&amp;(IF(C67=I59,", External Plaster",IF(C67&gt;0,", External Plaster upto "&amp;C67&amp;" Floor",""))&amp;(IF(C68=I59,", Flooring",IF(C68&gt;0,", Flooring upto "&amp;C68&amp;" Floor",""))&amp;(IF(C69=I59,", Painting",IF(C69&gt;0,", Painting upto "&amp;C69&amp;" Floor",""))&amp;(IF(C70&gt;0,", Finishing upto "&amp;C70&amp;" Floor","")&amp;(IF(C64&gt;0.5," Completed",""))))))))))))))</f>
        <v>All work completed. Please provide OC.</v>
      </c>
      <c r="L58" s="49"/>
    </row>
    <row r="59" spans="1:12" s="25" customFormat="1" ht="15.6" x14ac:dyDescent="0.3">
      <c r="A59" s="50" t="s">
        <v>160</v>
      </c>
      <c r="B59" s="51">
        <v>0</v>
      </c>
      <c r="C59" s="51" t="s">
        <v>162</v>
      </c>
      <c r="D59" s="51">
        <v>1</v>
      </c>
      <c r="E59" s="171" t="s">
        <v>161</v>
      </c>
      <c r="F59" s="172"/>
      <c r="G59" s="51">
        <v>0</v>
      </c>
      <c r="H59" s="51" t="s">
        <v>240</v>
      </c>
      <c r="I59" s="171">
        <f ca="1">--TRIM(RIGHT(SUBSTITUTE(LEFT(C58,_xlfn.AGGREGATE(16,6,FIND({0,1,2,3,4,5,6,7,8,9},C58,ROW(INDIRECT("1:"&amp;LEN(C58)))),1))," ",REPT(" ",LEN(C58))),LEN(C58)))</f>
        <v>25</v>
      </c>
      <c r="J59" s="173"/>
      <c r="K59" s="52"/>
      <c r="L59" s="53"/>
    </row>
    <row r="60" spans="1:12" s="25" customFormat="1" ht="15.6" x14ac:dyDescent="0.3">
      <c r="A60" s="174" t="s">
        <v>241</v>
      </c>
      <c r="B60" s="175"/>
      <c r="C60" s="176" t="str">
        <f ca="1">K58</f>
        <v>All work completed. Please provide OC.</v>
      </c>
      <c r="D60" s="177"/>
      <c r="E60" s="177"/>
      <c r="F60" s="177"/>
      <c r="G60" s="177"/>
      <c r="H60" s="177"/>
      <c r="I60" s="177"/>
      <c r="J60" s="178"/>
      <c r="K60" s="52" t="s">
        <v>242</v>
      </c>
      <c r="L60" s="53"/>
    </row>
    <row r="61" spans="1:12" s="25" customFormat="1" ht="15.6" x14ac:dyDescent="0.3">
      <c r="A61" s="161" t="s">
        <v>35</v>
      </c>
      <c r="B61" s="162"/>
      <c r="C61" s="67" t="s">
        <v>243</v>
      </c>
      <c r="D61" s="163" t="s">
        <v>244</v>
      </c>
      <c r="E61" s="162"/>
      <c r="F61" s="163" t="s">
        <v>245</v>
      </c>
      <c r="G61" s="162"/>
      <c r="H61" s="163" t="s">
        <v>246</v>
      </c>
      <c r="I61" s="227"/>
      <c r="J61" s="228"/>
      <c r="K61" s="54" t="s">
        <v>247</v>
      </c>
      <c r="L61" s="55">
        <f ca="1">I59*25%</f>
        <v>6.25</v>
      </c>
    </row>
    <row r="62" spans="1:12" s="25" customFormat="1" ht="15.6" x14ac:dyDescent="0.3">
      <c r="A62" s="161" t="s">
        <v>248</v>
      </c>
      <c r="B62" s="162"/>
      <c r="C62" s="68">
        <f ca="1">L63</f>
        <v>25</v>
      </c>
      <c r="D62" s="157">
        <f ca="1">((100/I59)*C62)/100</f>
        <v>1</v>
      </c>
      <c r="E62" s="158"/>
      <c r="F62" s="229">
        <f ca="1">(((C63/I59*10)+(40/(D59+G59+I59)*C64)+(7.5/(I59)*C65)+(7.5/(I59)*C66)+(10/I59*C67)+(10/I59*C68)+(5/I59*C69)+(5/I59*C70)+(5/I59*C71))/100)</f>
        <v>1</v>
      </c>
      <c r="G62" s="230"/>
      <c r="H62" s="229">
        <f ca="1">((((C62/I59)*20)+((C63/I59)*25)+(30/(I59+G59+D59)*C64)+(5/I59*C65)+(5/I59*C66)+(5/I59*C67)+(5/I59*C68)+(0/I59*C69)+(0/I59*C70)+(5/I59*C71))/100)</f>
        <v>1</v>
      </c>
      <c r="I62" s="235"/>
      <c r="J62" s="236"/>
      <c r="K62" s="54" t="s">
        <v>182</v>
      </c>
      <c r="L62" s="56">
        <f ca="1">I59*50%</f>
        <v>12.5</v>
      </c>
    </row>
    <row r="63" spans="1:12" s="25" customFormat="1" ht="15.6" x14ac:dyDescent="0.3">
      <c r="A63" s="241" t="s">
        <v>36</v>
      </c>
      <c r="B63" s="172"/>
      <c r="C63" s="69">
        <f ca="1">L71</f>
        <v>25</v>
      </c>
      <c r="D63" s="157">
        <f ca="1">((100/I59)*C63)/100</f>
        <v>1</v>
      </c>
      <c r="E63" s="158"/>
      <c r="F63" s="231"/>
      <c r="G63" s="232"/>
      <c r="H63" s="231"/>
      <c r="I63" s="237"/>
      <c r="J63" s="238"/>
      <c r="K63" s="54" t="s">
        <v>185</v>
      </c>
      <c r="L63" s="56">
        <f ca="1">I59</f>
        <v>25</v>
      </c>
    </row>
    <row r="64" spans="1:12" s="25" customFormat="1" ht="15.6" x14ac:dyDescent="0.3">
      <c r="A64" s="241" t="s">
        <v>249</v>
      </c>
      <c r="B64" s="172"/>
      <c r="C64" s="69">
        <v>26</v>
      </c>
      <c r="D64" s="157">
        <f ca="1">((100/(D59+G59+I59))*C64)/100</f>
        <v>1</v>
      </c>
      <c r="E64" s="158"/>
      <c r="F64" s="231"/>
      <c r="G64" s="232"/>
      <c r="H64" s="231"/>
      <c r="I64" s="237"/>
      <c r="J64" s="238"/>
      <c r="K64" s="54" t="s">
        <v>186</v>
      </c>
      <c r="L64" s="57">
        <f ca="1">(IF(B59&gt;1,(I59/(B59+2)),I59/4))</f>
        <v>6.25</v>
      </c>
    </row>
    <row r="65" spans="1:12" s="25" customFormat="1" ht="15.6" x14ac:dyDescent="0.3">
      <c r="A65" s="161" t="s">
        <v>250</v>
      </c>
      <c r="B65" s="162" t="s">
        <v>251</v>
      </c>
      <c r="C65" s="69">
        <f>C64-1</f>
        <v>25</v>
      </c>
      <c r="D65" s="157">
        <f ca="1">((100/I59)*C65)/100</f>
        <v>1</v>
      </c>
      <c r="E65" s="158"/>
      <c r="F65" s="231"/>
      <c r="G65" s="232"/>
      <c r="H65" s="231"/>
      <c r="I65" s="237"/>
      <c r="J65" s="238"/>
      <c r="K65" s="54" t="s">
        <v>187</v>
      </c>
      <c r="L65" s="57">
        <f ca="1">(IF(B59&gt;1,(I59/(B59+2)+L64),I59/4+L64))</f>
        <v>12.5</v>
      </c>
    </row>
    <row r="66" spans="1:12" s="25" customFormat="1" ht="15.6" x14ac:dyDescent="0.3">
      <c r="A66" s="161" t="s">
        <v>252</v>
      </c>
      <c r="B66" s="162" t="s">
        <v>251</v>
      </c>
      <c r="C66" s="69">
        <v>25</v>
      </c>
      <c r="D66" s="157">
        <f ca="1">((100/I59)*C66)/100</f>
        <v>1</v>
      </c>
      <c r="E66" s="158"/>
      <c r="F66" s="231"/>
      <c r="G66" s="232"/>
      <c r="H66" s="231"/>
      <c r="I66" s="237"/>
      <c r="J66" s="238"/>
      <c r="K66" s="54" t="s">
        <v>253</v>
      </c>
      <c r="L66" s="57">
        <f>(IF(B59&gt;1,(I59/(B59+2)+L65),0))</f>
        <v>0</v>
      </c>
    </row>
    <row r="67" spans="1:12" s="25" customFormat="1" ht="15.6" x14ac:dyDescent="0.3">
      <c r="A67" s="161" t="s">
        <v>254</v>
      </c>
      <c r="B67" s="162" t="s">
        <v>255</v>
      </c>
      <c r="C67" s="69">
        <v>25</v>
      </c>
      <c r="D67" s="157">
        <f ca="1">((100/(I59))*C67)/100</f>
        <v>1</v>
      </c>
      <c r="E67" s="158"/>
      <c r="F67" s="231"/>
      <c r="G67" s="232"/>
      <c r="H67" s="231"/>
      <c r="I67" s="237"/>
      <c r="J67" s="238"/>
      <c r="K67" s="54" t="s">
        <v>256</v>
      </c>
      <c r="L67" s="57">
        <f>(IF(B59&gt;2,(I59/(B59+2)+L66),0))</f>
        <v>0</v>
      </c>
    </row>
    <row r="68" spans="1:12" s="25" customFormat="1" ht="15.6" x14ac:dyDescent="0.3">
      <c r="A68" s="161" t="s">
        <v>257</v>
      </c>
      <c r="B68" s="162" t="s">
        <v>257</v>
      </c>
      <c r="C68" s="68">
        <v>25</v>
      </c>
      <c r="D68" s="157">
        <f ca="1">((100/I59)*C68)/100</f>
        <v>1</v>
      </c>
      <c r="E68" s="158"/>
      <c r="F68" s="231"/>
      <c r="G68" s="232"/>
      <c r="H68" s="231"/>
      <c r="I68" s="237"/>
      <c r="J68" s="238"/>
      <c r="K68" s="54" t="s">
        <v>258</v>
      </c>
      <c r="L68" s="58">
        <f>(IF(B59&gt;3,(I59/(B59+2)+L67),0))</f>
        <v>0</v>
      </c>
    </row>
    <row r="69" spans="1:12" s="25" customFormat="1" ht="15" customHeight="1" x14ac:dyDescent="0.3">
      <c r="A69" s="161" t="s">
        <v>259</v>
      </c>
      <c r="B69" s="162"/>
      <c r="C69" s="68">
        <v>25</v>
      </c>
      <c r="D69" s="157">
        <f ca="1">((100/I59)*C69)/100</f>
        <v>1</v>
      </c>
      <c r="E69" s="158"/>
      <c r="F69" s="231"/>
      <c r="G69" s="232"/>
      <c r="H69" s="231"/>
      <c r="I69" s="237"/>
      <c r="J69" s="238"/>
      <c r="K69" s="54" t="s">
        <v>260</v>
      </c>
      <c r="L69" s="57">
        <f>(IF(B59&gt;4,(I59/(B59+2)+L68),0))</f>
        <v>0</v>
      </c>
    </row>
    <row r="70" spans="1:12" s="25" customFormat="1" ht="15.6" x14ac:dyDescent="0.3">
      <c r="A70" s="161" t="s">
        <v>261</v>
      </c>
      <c r="B70" s="162" t="s">
        <v>261</v>
      </c>
      <c r="C70" s="68">
        <v>25</v>
      </c>
      <c r="D70" s="157">
        <f ca="1">((100/(I59))*C70)/100</f>
        <v>1</v>
      </c>
      <c r="E70" s="158"/>
      <c r="F70" s="231"/>
      <c r="G70" s="232"/>
      <c r="H70" s="231"/>
      <c r="I70" s="237"/>
      <c r="J70" s="238"/>
      <c r="K70" s="54" t="s">
        <v>188</v>
      </c>
      <c r="L70" s="57">
        <f ca="1">(IF(B59=1,(I59/(B59+3)+L65),IF(B59=0,(I59/4+L65),IF(B59&gt;1,0))))</f>
        <v>18.75</v>
      </c>
    </row>
    <row r="71" spans="1:12" s="25" customFormat="1" ht="16.2" thickBot="1" x14ac:dyDescent="0.35">
      <c r="A71" s="159" t="s">
        <v>262</v>
      </c>
      <c r="B71" s="160"/>
      <c r="C71" s="70">
        <v>25</v>
      </c>
      <c r="D71" s="132">
        <f ca="1">((100/(I59))*C71)/100</f>
        <v>1</v>
      </c>
      <c r="E71" s="133"/>
      <c r="F71" s="233"/>
      <c r="G71" s="234"/>
      <c r="H71" s="233"/>
      <c r="I71" s="239"/>
      <c r="J71" s="240"/>
      <c r="K71" s="59" t="s">
        <v>189</v>
      </c>
      <c r="L71" s="60">
        <f ca="1">(IF(B59&gt;1.5,(I59/(B59+2)+L65+MAX(0,L66-L65)+MAX(0,L67-L66)+MAX(0,L68-L67)+MAX(0,L69-L68)+MAX(0,L70-L69)),IF(B59=1,(I59/(B59+3)+L70),IF(B59=0,I59/4+L70))))</f>
        <v>25</v>
      </c>
    </row>
    <row r="72" spans="1:12" x14ac:dyDescent="0.25">
      <c r="A72" s="146" t="s">
        <v>283</v>
      </c>
      <c r="B72" s="73"/>
      <c r="C72" s="73"/>
      <c r="D72" s="73"/>
      <c r="E72" s="73"/>
      <c r="F72" s="73"/>
      <c r="G72" s="73"/>
      <c r="H72" s="73"/>
      <c r="I72" s="73"/>
      <c r="J72" s="74"/>
    </row>
    <row r="73" spans="1:12" x14ac:dyDescent="0.25">
      <c r="A73" s="146" t="s">
        <v>54</v>
      </c>
      <c r="B73" s="73"/>
      <c r="C73" s="73"/>
      <c r="D73" s="73"/>
      <c r="E73" s="73"/>
      <c r="F73" s="73"/>
      <c r="G73" s="73"/>
      <c r="H73" s="73"/>
      <c r="I73" s="73"/>
      <c r="J73" s="74"/>
    </row>
    <row r="74" spans="1:12" ht="15" customHeight="1" x14ac:dyDescent="0.25">
      <c r="A74" s="120" t="s">
        <v>79</v>
      </c>
      <c r="B74" s="121"/>
      <c r="C74" s="121"/>
      <c r="D74" s="121"/>
      <c r="E74" s="121"/>
      <c r="F74" s="121"/>
      <c r="G74" s="121"/>
      <c r="H74" s="121"/>
      <c r="I74" s="121"/>
      <c r="J74" s="122"/>
    </row>
    <row r="75" spans="1:12" x14ac:dyDescent="0.25">
      <c r="A75" s="123"/>
      <c r="B75" s="124"/>
      <c r="C75" s="124"/>
      <c r="D75" s="124"/>
      <c r="E75" s="124"/>
      <c r="F75" s="124"/>
      <c r="G75" s="124"/>
      <c r="H75" s="124"/>
      <c r="I75" s="124"/>
      <c r="J75" s="125"/>
    </row>
    <row r="76" spans="1:12" ht="2.25" customHeight="1" x14ac:dyDescent="0.25">
      <c r="A76" s="123"/>
      <c r="B76" s="124"/>
      <c r="C76" s="124"/>
      <c r="D76" s="124"/>
      <c r="E76" s="124"/>
      <c r="F76" s="124"/>
      <c r="G76" s="124"/>
      <c r="H76" s="124"/>
      <c r="I76" s="124"/>
      <c r="J76" s="125"/>
    </row>
    <row r="77" spans="1:12" ht="15" hidden="1" customHeight="1" x14ac:dyDescent="0.25">
      <c r="A77" s="123"/>
      <c r="B77" s="124"/>
      <c r="C77" s="124"/>
      <c r="D77" s="124"/>
      <c r="E77" s="124"/>
      <c r="F77" s="124"/>
      <c r="G77" s="124"/>
      <c r="H77" s="124"/>
      <c r="I77" s="124"/>
      <c r="J77" s="125"/>
    </row>
    <row r="78" spans="1:12" ht="15" hidden="1" customHeight="1" x14ac:dyDescent="0.25">
      <c r="A78" s="123"/>
      <c r="B78" s="124"/>
      <c r="C78" s="124"/>
      <c r="D78" s="124"/>
      <c r="E78" s="124"/>
      <c r="F78" s="124"/>
      <c r="G78" s="124"/>
      <c r="H78" s="124"/>
      <c r="I78" s="124"/>
      <c r="J78" s="125"/>
    </row>
    <row r="79" spans="1:12" ht="15" hidden="1" customHeight="1" x14ac:dyDescent="0.25">
      <c r="A79" s="123"/>
      <c r="B79" s="124"/>
      <c r="C79" s="124"/>
      <c r="D79" s="124"/>
      <c r="E79" s="124"/>
      <c r="F79" s="124"/>
      <c r="G79" s="124"/>
      <c r="H79" s="124"/>
      <c r="I79" s="124"/>
      <c r="J79" s="125"/>
    </row>
    <row r="80" spans="1:12" ht="15" hidden="1" customHeight="1" x14ac:dyDescent="0.25">
      <c r="A80" s="126"/>
      <c r="B80" s="127"/>
      <c r="C80" s="127"/>
      <c r="D80" s="127"/>
      <c r="E80" s="127"/>
      <c r="F80" s="127"/>
      <c r="G80" s="127"/>
      <c r="H80" s="127"/>
      <c r="I80" s="127"/>
      <c r="J80" s="128"/>
    </row>
    <row r="81" spans="1:11" x14ac:dyDescent="0.25">
      <c r="A81" s="92" t="s">
        <v>25</v>
      </c>
      <c r="B81" s="93"/>
      <c r="C81" s="93"/>
      <c r="D81" s="93"/>
      <c r="E81" s="93"/>
      <c r="F81" s="93"/>
      <c r="G81" s="93"/>
      <c r="H81" s="93"/>
      <c r="I81" s="93"/>
      <c r="J81" s="94"/>
    </row>
    <row r="82" spans="1:11" s="25" customFormat="1" x14ac:dyDescent="0.25">
      <c r="A82" s="76" t="s">
        <v>144</v>
      </c>
      <c r="B82" s="77"/>
      <c r="C82" s="77"/>
      <c r="D82" s="77"/>
      <c r="E82" s="77"/>
      <c r="F82" s="78"/>
      <c r="G82" s="129">
        <v>6900</v>
      </c>
      <c r="H82" s="130"/>
      <c r="I82" s="130"/>
      <c r="J82" s="131"/>
    </row>
    <row r="83" spans="1:11" s="28" customFormat="1" ht="47.25" customHeight="1" x14ac:dyDescent="0.25">
      <c r="A83" s="147" t="s">
        <v>263</v>
      </c>
      <c r="B83" s="77"/>
      <c r="C83" s="77"/>
      <c r="D83" s="77"/>
      <c r="E83" s="77"/>
      <c r="F83" s="78"/>
      <c r="G83" s="147" t="s">
        <v>264</v>
      </c>
      <c r="H83" s="148"/>
      <c r="I83" s="148"/>
      <c r="J83" s="149"/>
      <c r="K83" s="29"/>
    </row>
    <row r="84" spans="1:11" s="28" customFormat="1" x14ac:dyDescent="0.25">
      <c r="A84" s="76" t="s">
        <v>276</v>
      </c>
      <c r="B84" s="77"/>
      <c r="C84" s="77"/>
      <c r="D84" s="77"/>
      <c r="E84" s="77"/>
      <c r="F84" s="78"/>
      <c r="G84" s="147" t="s">
        <v>141</v>
      </c>
      <c r="H84" s="148"/>
      <c r="I84" s="148"/>
      <c r="J84" s="149"/>
    </row>
    <row r="85" spans="1:11" s="28" customFormat="1" x14ac:dyDescent="0.25">
      <c r="A85" s="76" t="s">
        <v>81</v>
      </c>
      <c r="B85" s="77"/>
      <c r="C85" s="77"/>
      <c r="D85" s="77"/>
      <c r="E85" s="77"/>
      <c r="F85" s="78"/>
      <c r="G85" s="147" t="s">
        <v>139</v>
      </c>
      <c r="H85" s="148"/>
      <c r="I85" s="148"/>
      <c r="J85" s="149"/>
    </row>
    <row r="86" spans="1:11" s="28" customFormat="1" x14ac:dyDescent="0.25">
      <c r="A86" s="76" t="s">
        <v>142</v>
      </c>
      <c r="B86" s="77"/>
      <c r="C86" s="77"/>
      <c r="D86" s="77"/>
      <c r="E86" s="77"/>
      <c r="F86" s="78"/>
      <c r="G86" s="147" t="s">
        <v>143</v>
      </c>
      <c r="H86" s="148"/>
      <c r="I86" s="148"/>
      <c r="J86" s="149"/>
    </row>
    <row r="87" spans="1:11" s="28" customFormat="1" x14ac:dyDescent="0.25">
      <c r="A87" s="76" t="s">
        <v>265</v>
      </c>
      <c r="B87" s="77"/>
      <c r="C87" s="77"/>
      <c r="D87" s="77"/>
      <c r="E87" s="77"/>
      <c r="F87" s="78"/>
      <c r="G87" s="79" t="s">
        <v>266</v>
      </c>
      <c r="H87" s="77"/>
      <c r="I87" s="77"/>
      <c r="J87" s="78"/>
    </row>
    <row r="88" spans="1:11" s="30" customFormat="1" ht="14.4" customHeight="1" x14ac:dyDescent="0.25">
      <c r="A88" s="89" t="s">
        <v>78</v>
      </c>
      <c r="B88" s="90"/>
      <c r="C88" s="90"/>
      <c r="D88" s="90"/>
      <c r="E88" s="90"/>
      <c r="F88" s="91"/>
      <c r="G88" s="79">
        <f>G82*0.8</f>
        <v>5520</v>
      </c>
      <c r="H88" s="77"/>
      <c r="I88" s="77"/>
      <c r="J88" s="78"/>
    </row>
    <row r="89" spans="1:11" s="26" customFormat="1" x14ac:dyDescent="0.25">
      <c r="A89" s="92" t="s">
        <v>26</v>
      </c>
      <c r="B89" s="93"/>
      <c r="C89" s="93"/>
      <c r="D89" s="93"/>
      <c r="E89" s="93"/>
      <c r="F89" s="93"/>
      <c r="G89" s="93"/>
      <c r="H89" s="93"/>
      <c r="I89" s="93"/>
      <c r="J89" s="94"/>
    </row>
    <row r="90" spans="1:11" s="31" customFormat="1" ht="14.4" x14ac:dyDescent="0.3">
      <c r="A90" s="80" t="s">
        <v>148</v>
      </c>
      <c r="B90" s="80"/>
      <c r="C90" s="33" t="s">
        <v>149</v>
      </c>
      <c r="D90" s="80" t="s">
        <v>150</v>
      </c>
      <c r="E90" s="80"/>
      <c r="F90" s="80"/>
      <c r="G90" s="80" t="s">
        <v>151</v>
      </c>
      <c r="H90" s="80"/>
      <c r="I90" s="80"/>
      <c r="J90" s="80"/>
    </row>
    <row r="91" spans="1:11" s="35" customFormat="1" ht="14.4" x14ac:dyDescent="0.3">
      <c r="A91" s="85" t="str">
        <f>A96</f>
        <v>Wing D4 (Type A)</v>
      </c>
      <c r="B91" s="85"/>
      <c r="C91" s="64">
        <f>COUNT(D98:E109)+COUNT(D111:E122)*3+COUNT(D124:E135)+COUNT(D150:E161)*13+COUNT(D189:E200)*4+1+COUNT(D166:E174)+1*3+COUNT(D218:E226)*3</f>
        <v>273</v>
      </c>
      <c r="D91" s="86">
        <f>SUM(D98:E109)+SUM(D111:E122)*3+SUM(D124:E135)+SUM(D150:E161)*13+SUM(D189:E200)*4+D163+SUM(D166:E174)+D215*3+SUM(D218:E226)*3</f>
        <v>91401.155117999995</v>
      </c>
      <c r="E91" s="86"/>
      <c r="F91" s="86"/>
      <c r="G91" s="86">
        <f>SUM(G98:G109)+SUM(G111:G122)*3+SUM(G124:G135)+SUM(G150:G161)*13+SUM(G189:G200)*4+G163+SUM(G166:G174)+G215*3+SUM(G218:G226)*3</f>
        <v>137101.73267699999</v>
      </c>
      <c r="H91" s="86"/>
      <c r="I91" s="86"/>
      <c r="J91" s="86"/>
    </row>
    <row r="92" spans="1:11" customFormat="1" ht="14.4" x14ac:dyDescent="0.3">
      <c r="A92" s="104" t="s">
        <v>48</v>
      </c>
      <c r="B92" s="105"/>
      <c r="C92" s="105"/>
      <c r="D92" s="105"/>
      <c r="E92" s="105"/>
      <c r="F92" s="105"/>
      <c r="G92" s="105"/>
      <c r="H92" s="105"/>
      <c r="I92" s="105"/>
      <c r="J92" s="106"/>
    </row>
    <row r="93" spans="1:11" customFormat="1" ht="44.25" customHeight="1" x14ac:dyDescent="0.3">
      <c r="A93" s="63" t="s">
        <v>203</v>
      </c>
      <c r="B93" s="63" t="s">
        <v>204</v>
      </c>
      <c r="C93" s="62" t="s">
        <v>31</v>
      </c>
      <c r="D93" s="84" t="s">
        <v>43</v>
      </c>
      <c r="E93" s="84"/>
      <c r="F93" s="63" t="s">
        <v>32</v>
      </c>
      <c r="G93" s="63" t="s">
        <v>140</v>
      </c>
      <c r="H93" s="62" t="s">
        <v>33</v>
      </c>
      <c r="I93" s="80" t="s">
        <v>146</v>
      </c>
      <c r="J93" s="80"/>
    </row>
    <row r="94" spans="1:11" customFormat="1" ht="15.6" x14ac:dyDescent="0.3">
      <c r="A94" s="117" t="s">
        <v>214</v>
      </c>
      <c r="B94" s="118"/>
      <c r="C94" s="118"/>
      <c r="D94" s="118"/>
      <c r="E94" s="118"/>
      <c r="F94" s="118"/>
      <c r="G94" s="118"/>
      <c r="H94" s="118"/>
      <c r="I94" s="118"/>
      <c r="J94" s="119"/>
    </row>
    <row r="95" spans="1:11" s="34" customFormat="1" ht="15.6" x14ac:dyDescent="0.3">
      <c r="A95" s="81" t="s">
        <v>215</v>
      </c>
      <c r="B95" s="82"/>
      <c r="C95" s="82"/>
      <c r="D95" s="82"/>
      <c r="E95" s="82"/>
      <c r="F95" s="82"/>
      <c r="G95" s="82"/>
      <c r="H95" s="82"/>
      <c r="I95" s="82"/>
      <c r="J95" s="83"/>
    </row>
    <row r="96" spans="1:11" s="34" customFormat="1" ht="15.6" x14ac:dyDescent="0.3">
      <c r="A96" s="81" t="s">
        <v>197</v>
      </c>
      <c r="B96" s="82"/>
      <c r="C96" s="82"/>
      <c r="D96" s="82"/>
      <c r="E96" s="82"/>
      <c r="F96" s="82"/>
      <c r="G96" s="82"/>
      <c r="H96" s="82"/>
      <c r="I96" s="82"/>
      <c r="J96" s="83"/>
    </row>
    <row r="97" spans="1:10" s="34" customFormat="1" ht="15.6" x14ac:dyDescent="0.3">
      <c r="A97" s="81" t="s">
        <v>202</v>
      </c>
      <c r="B97" s="82"/>
      <c r="C97" s="82"/>
      <c r="D97" s="82"/>
      <c r="E97" s="82"/>
      <c r="F97" s="82"/>
      <c r="G97" s="82"/>
      <c r="H97" s="82"/>
      <c r="I97" s="82"/>
      <c r="J97" s="83"/>
    </row>
    <row r="98" spans="1:10" s="32" customFormat="1" ht="15.6" x14ac:dyDescent="0.3">
      <c r="A98" s="65">
        <v>1</v>
      </c>
      <c r="B98" s="65" t="s">
        <v>205</v>
      </c>
      <c r="C98" s="65" t="s">
        <v>198</v>
      </c>
      <c r="D98" s="75">
        <f>26.294*10.764</f>
        <v>283.028616</v>
      </c>
      <c r="E98" s="75"/>
      <c r="F98" s="61">
        <v>0</v>
      </c>
      <c r="G98" s="61">
        <f>D98*1.5</f>
        <v>424.54292399999997</v>
      </c>
      <c r="H98" s="65" t="s">
        <v>147</v>
      </c>
      <c r="I98" s="111" t="str">
        <f>A97</f>
        <v>Ground(Level - 1) Floor</v>
      </c>
      <c r="J98" s="112"/>
    </row>
    <row r="99" spans="1:10" s="32" customFormat="1" ht="15.6" x14ac:dyDescent="0.3">
      <c r="A99" s="65">
        <v>2</v>
      </c>
      <c r="B99" s="65" t="s">
        <v>205</v>
      </c>
      <c r="C99" s="65" t="s">
        <v>199</v>
      </c>
      <c r="D99" s="75">
        <f>34.964*10.764</f>
        <v>376.35249599999997</v>
      </c>
      <c r="E99" s="75"/>
      <c r="F99" s="61">
        <v>0</v>
      </c>
      <c r="G99" s="61">
        <f>D99*1.5</f>
        <v>564.52874399999996</v>
      </c>
      <c r="H99" s="65" t="s">
        <v>147</v>
      </c>
      <c r="I99" s="113"/>
      <c r="J99" s="114"/>
    </row>
    <row r="100" spans="1:10" s="32" customFormat="1" ht="15.6" x14ac:dyDescent="0.3">
      <c r="A100" s="65">
        <v>3</v>
      </c>
      <c r="B100" s="65" t="s">
        <v>206</v>
      </c>
      <c r="C100" s="108" t="s">
        <v>200</v>
      </c>
      <c r="D100" s="109"/>
      <c r="E100" s="109"/>
      <c r="F100" s="109"/>
      <c r="G100" s="109"/>
      <c r="H100" s="110"/>
      <c r="I100" s="113"/>
      <c r="J100" s="114"/>
    </row>
    <row r="101" spans="1:10" s="32" customFormat="1" ht="15.6" x14ac:dyDescent="0.3">
      <c r="A101" s="65">
        <v>4</v>
      </c>
      <c r="B101" s="65" t="s">
        <v>205</v>
      </c>
      <c r="C101" s="65" t="s">
        <v>199</v>
      </c>
      <c r="D101" s="75">
        <f>34.296*10.764</f>
        <v>369.16214399999996</v>
      </c>
      <c r="E101" s="75"/>
      <c r="F101" s="61">
        <v>0</v>
      </c>
      <c r="G101" s="61">
        <f>D101*1.5</f>
        <v>553.74321599999996</v>
      </c>
      <c r="H101" s="65" t="s">
        <v>147</v>
      </c>
      <c r="I101" s="113"/>
      <c r="J101" s="114"/>
    </row>
    <row r="102" spans="1:10" s="32" customFormat="1" ht="15.6" x14ac:dyDescent="0.3">
      <c r="A102" s="65">
        <v>5</v>
      </c>
      <c r="B102" s="65" t="s">
        <v>205</v>
      </c>
      <c r="C102" s="65" t="s">
        <v>199</v>
      </c>
      <c r="D102" s="75">
        <f>34.964*10.764</f>
        <v>376.35249599999997</v>
      </c>
      <c r="E102" s="75"/>
      <c r="F102" s="61">
        <v>0</v>
      </c>
      <c r="G102" s="61">
        <f>D102*1.5</f>
        <v>564.52874399999996</v>
      </c>
      <c r="H102" s="65" t="s">
        <v>147</v>
      </c>
      <c r="I102" s="113"/>
      <c r="J102" s="114"/>
    </row>
    <row r="103" spans="1:10" s="32" customFormat="1" ht="15.6" x14ac:dyDescent="0.3">
      <c r="A103" s="65">
        <v>6</v>
      </c>
      <c r="B103" s="65" t="s">
        <v>206</v>
      </c>
      <c r="C103" s="95" t="s">
        <v>165</v>
      </c>
      <c r="D103" s="96"/>
      <c r="E103" s="96"/>
      <c r="F103" s="96"/>
      <c r="G103" s="96"/>
      <c r="H103" s="97"/>
      <c r="I103" s="113"/>
      <c r="J103" s="114"/>
    </row>
    <row r="104" spans="1:10" s="32" customFormat="1" ht="15.6" x14ac:dyDescent="0.3">
      <c r="A104" s="65">
        <v>7</v>
      </c>
      <c r="B104" s="65" t="s">
        <v>206</v>
      </c>
      <c r="C104" s="98"/>
      <c r="D104" s="99"/>
      <c r="E104" s="99"/>
      <c r="F104" s="99"/>
      <c r="G104" s="99"/>
      <c r="H104" s="100"/>
      <c r="I104" s="113"/>
      <c r="J104" s="114"/>
    </row>
    <row r="105" spans="1:10" s="32" customFormat="1" ht="15.6" x14ac:dyDescent="0.3">
      <c r="A105" s="65">
        <v>8</v>
      </c>
      <c r="B105" s="65" t="s">
        <v>206</v>
      </c>
      <c r="C105" s="98"/>
      <c r="D105" s="99"/>
      <c r="E105" s="99"/>
      <c r="F105" s="99"/>
      <c r="G105" s="99"/>
      <c r="H105" s="100"/>
      <c r="I105" s="113"/>
      <c r="J105" s="114"/>
    </row>
    <row r="106" spans="1:10" s="32" customFormat="1" ht="15.6" x14ac:dyDescent="0.3">
      <c r="A106" s="65">
        <v>9</v>
      </c>
      <c r="B106" s="65" t="s">
        <v>206</v>
      </c>
      <c r="C106" s="98"/>
      <c r="D106" s="99"/>
      <c r="E106" s="99"/>
      <c r="F106" s="99"/>
      <c r="G106" s="99"/>
      <c r="H106" s="100"/>
      <c r="I106" s="113"/>
      <c r="J106" s="114"/>
    </row>
    <row r="107" spans="1:10" s="32" customFormat="1" ht="15.6" x14ac:dyDescent="0.3">
      <c r="A107" s="65">
        <v>10</v>
      </c>
      <c r="B107" s="65" t="s">
        <v>206</v>
      </c>
      <c r="C107" s="98"/>
      <c r="D107" s="99"/>
      <c r="E107" s="99"/>
      <c r="F107" s="99"/>
      <c r="G107" s="99"/>
      <c r="H107" s="100"/>
      <c r="I107" s="113"/>
      <c r="J107" s="114"/>
    </row>
    <row r="108" spans="1:10" s="32" customFormat="1" ht="15.6" x14ac:dyDescent="0.3">
      <c r="A108" s="65">
        <v>11</v>
      </c>
      <c r="B108" s="65" t="s">
        <v>206</v>
      </c>
      <c r="C108" s="101"/>
      <c r="D108" s="102"/>
      <c r="E108" s="102"/>
      <c r="F108" s="102"/>
      <c r="G108" s="102"/>
      <c r="H108" s="103"/>
      <c r="I108" s="113"/>
      <c r="J108" s="114"/>
    </row>
    <row r="109" spans="1:10" s="32" customFormat="1" ht="15.6" x14ac:dyDescent="0.3">
      <c r="A109" s="65">
        <v>12</v>
      </c>
      <c r="B109" s="65" t="s">
        <v>205</v>
      </c>
      <c r="C109" s="65" t="s">
        <v>198</v>
      </c>
      <c r="D109" s="75">
        <f>26.294*10.764</f>
        <v>283.028616</v>
      </c>
      <c r="E109" s="75"/>
      <c r="F109" s="61">
        <v>0</v>
      </c>
      <c r="G109" s="61">
        <f>D109*1.5</f>
        <v>424.54292399999997</v>
      </c>
      <c r="H109" s="65" t="s">
        <v>147</v>
      </c>
      <c r="I109" s="115"/>
      <c r="J109" s="116"/>
    </row>
    <row r="110" spans="1:10" s="34" customFormat="1" ht="15.6" x14ac:dyDescent="0.3">
      <c r="A110" s="81" t="s">
        <v>201</v>
      </c>
      <c r="B110" s="82"/>
      <c r="C110" s="82"/>
      <c r="D110" s="82"/>
      <c r="E110" s="82"/>
      <c r="F110" s="82"/>
      <c r="G110" s="82"/>
      <c r="H110" s="82"/>
      <c r="I110" s="82"/>
      <c r="J110" s="83"/>
    </row>
    <row r="111" spans="1:10" s="32" customFormat="1" ht="15.6" x14ac:dyDescent="0.3">
      <c r="A111" s="65">
        <v>1</v>
      </c>
      <c r="B111" s="65" t="s">
        <v>205</v>
      </c>
      <c r="C111" s="65" t="s">
        <v>198</v>
      </c>
      <c r="D111" s="75">
        <f>26.294*10.764</f>
        <v>283.028616</v>
      </c>
      <c r="E111" s="75"/>
      <c r="F111" s="61">
        <v>0</v>
      </c>
      <c r="G111" s="61">
        <f t="shared" ref="G111:G122" si="0">D111*1.5</f>
        <v>424.54292399999997</v>
      </c>
      <c r="H111" s="65" t="s">
        <v>147</v>
      </c>
      <c r="I111" s="111" t="str">
        <f>A110</f>
        <v>1st(Level - 2) &amp; 2nd(Level - 3), 3rd(Level - 4) Floor</v>
      </c>
      <c r="J111" s="112"/>
    </row>
    <row r="112" spans="1:10" s="32" customFormat="1" ht="15.6" x14ac:dyDescent="0.3">
      <c r="A112" s="65">
        <v>2</v>
      </c>
      <c r="B112" s="65" t="s">
        <v>205</v>
      </c>
      <c r="C112" s="65" t="s">
        <v>199</v>
      </c>
      <c r="D112" s="87">
        <f>(34.964+0.781)*10.764</f>
        <v>384.75917999999996</v>
      </c>
      <c r="E112" s="88"/>
      <c r="F112" s="61">
        <v>0</v>
      </c>
      <c r="G112" s="61">
        <f t="shared" si="0"/>
        <v>577.13876999999991</v>
      </c>
      <c r="H112" s="65" t="s">
        <v>147</v>
      </c>
      <c r="I112" s="113"/>
      <c r="J112" s="114"/>
    </row>
    <row r="113" spans="1:10" s="32" customFormat="1" ht="15.6" x14ac:dyDescent="0.3">
      <c r="A113" s="65">
        <v>3</v>
      </c>
      <c r="B113" s="65" t="s">
        <v>205</v>
      </c>
      <c r="C113" s="65" t="s">
        <v>199</v>
      </c>
      <c r="D113" s="87">
        <f>(34.296+0.743)*10.764</f>
        <v>377.15979599999997</v>
      </c>
      <c r="E113" s="88"/>
      <c r="F113" s="61">
        <v>0</v>
      </c>
      <c r="G113" s="61">
        <f t="shared" si="0"/>
        <v>565.73969399999999</v>
      </c>
      <c r="H113" s="65" t="s">
        <v>147</v>
      </c>
      <c r="I113" s="113"/>
      <c r="J113" s="114"/>
    </row>
    <row r="114" spans="1:10" s="32" customFormat="1" ht="15.6" x14ac:dyDescent="0.3">
      <c r="A114" s="65">
        <v>4</v>
      </c>
      <c r="B114" s="65" t="s">
        <v>205</v>
      </c>
      <c r="C114" s="65" t="s">
        <v>199</v>
      </c>
      <c r="D114" s="87">
        <f>(34.296+0.743)*10.764</f>
        <v>377.15979599999997</v>
      </c>
      <c r="E114" s="88"/>
      <c r="F114" s="61">
        <v>0</v>
      </c>
      <c r="G114" s="61">
        <f t="shared" si="0"/>
        <v>565.73969399999999</v>
      </c>
      <c r="H114" s="65" t="s">
        <v>147</v>
      </c>
      <c r="I114" s="113"/>
      <c r="J114" s="114"/>
    </row>
    <row r="115" spans="1:10" s="32" customFormat="1" ht="15.6" x14ac:dyDescent="0.3">
      <c r="A115" s="65">
        <v>5</v>
      </c>
      <c r="B115" s="65" t="s">
        <v>205</v>
      </c>
      <c r="C115" s="65" t="s">
        <v>199</v>
      </c>
      <c r="D115" s="75">
        <f>(34.964+0.781)*10.764</f>
        <v>384.75917999999996</v>
      </c>
      <c r="E115" s="75"/>
      <c r="F115" s="61">
        <v>0</v>
      </c>
      <c r="G115" s="61">
        <f t="shared" si="0"/>
        <v>577.13876999999991</v>
      </c>
      <c r="H115" s="65" t="s">
        <v>147</v>
      </c>
      <c r="I115" s="113"/>
      <c r="J115" s="114"/>
    </row>
    <row r="116" spans="1:10" s="32" customFormat="1" ht="15.6" x14ac:dyDescent="0.3">
      <c r="A116" s="65">
        <v>6</v>
      </c>
      <c r="B116" s="65" t="s">
        <v>206</v>
      </c>
      <c r="C116" s="95" t="s">
        <v>165</v>
      </c>
      <c r="D116" s="96"/>
      <c r="E116" s="96"/>
      <c r="F116" s="96"/>
      <c r="G116" s="96"/>
      <c r="H116" s="97"/>
      <c r="I116" s="113"/>
      <c r="J116" s="114"/>
    </row>
    <row r="117" spans="1:10" s="32" customFormat="1" ht="15.6" x14ac:dyDescent="0.3">
      <c r="A117" s="65">
        <v>7</v>
      </c>
      <c r="B117" s="65" t="s">
        <v>206</v>
      </c>
      <c r="C117" s="98"/>
      <c r="D117" s="99"/>
      <c r="E117" s="99"/>
      <c r="F117" s="99"/>
      <c r="G117" s="99"/>
      <c r="H117" s="100"/>
      <c r="I117" s="113"/>
      <c r="J117" s="114"/>
    </row>
    <row r="118" spans="1:10" s="32" customFormat="1" ht="15.6" x14ac:dyDescent="0.3">
      <c r="A118" s="65">
        <v>8</v>
      </c>
      <c r="B118" s="65" t="s">
        <v>206</v>
      </c>
      <c r="C118" s="98"/>
      <c r="D118" s="99"/>
      <c r="E118" s="99"/>
      <c r="F118" s="99"/>
      <c r="G118" s="99"/>
      <c r="H118" s="100"/>
      <c r="I118" s="113"/>
      <c r="J118" s="114"/>
    </row>
    <row r="119" spans="1:10" s="32" customFormat="1" ht="15.6" x14ac:dyDescent="0.3">
      <c r="A119" s="65">
        <v>9</v>
      </c>
      <c r="B119" s="65" t="s">
        <v>206</v>
      </c>
      <c r="C119" s="98"/>
      <c r="D119" s="99"/>
      <c r="E119" s="99"/>
      <c r="F119" s="99"/>
      <c r="G119" s="99"/>
      <c r="H119" s="100"/>
      <c r="I119" s="113"/>
      <c r="J119" s="114"/>
    </row>
    <row r="120" spans="1:10" s="32" customFormat="1" ht="15.6" x14ac:dyDescent="0.3">
      <c r="A120" s="65">
        <v>10</v>
      </c>
      <c r="B120" s="65" t="s">
        <v>206</v>
      </c>
      <c r="C120" s="98"/>
      <c r="D120" s="99"/>
      <c r="E120" s="99"/>
      <c r="F120" s="99"/>
      <c r="G120" s="99"/>
      <c r="H120" s="100"/>
      <c r="I120" s="113"/>
      <c r="J120" s="114"/>
    </row>
    <row r="121" spans="1:10" s="32" customFormat="1" ht="15.6" x14ac:dyDescent="0.3">
      <c r="A121" s="65">
        <v>11</v>
      </c>
      <c r="B121" s="65" t="s">
        <v>206</v>
      </c>
      <c r="C121" s="101"/>
      <c r="D121" s="102"/>
      <c r="E121" s="102"/>
      <c r="F121" s="102"/>
      <c r="G121" s="102"/>
      <c r="H121" s="103"/>
      <c r="I121" s="113"/>
      <c r="J121" s="114"/>
    </row>
    <row r="122" spans="1:10" s="32" customFormat="1" ht="15.6" x14ac:dyDescent="0.3">
      <c r="A122" s="65">
        <v>12</v>
      </c>
      <c r="B122" s="65"/>
      <c r="C122" s="65" t="s">
        <v>198</v>
      </c>
      <c r="D122" s="75">
        <f>26.294*10.764</f>
        <v>283.028616</v>
      </c>
      <c r="E122" s="75"/>
      <c r="F122" s="61">
        <v>0</v>
      </c>
      <c r="G122" s="61">
        <f t="shared" si="0"/>
        <v>424.54292399999997</v>
      </c>
      <c r="H122" s="65" t="s">
        <v>147</v>
      </c>
      <c r="I122" s="115"/>
      <c r="J122" s="116"/>
    </row>
    <row r="123" spans="1:10" s="34" customFormat="1" ht="15.6" x14ac:dyDescent="0.3">
      <c r="A123" s="81" t="s">
        <v>207</v>
      </c>
      <c r="B123" s="82"/>
      <c r="C123" s="82"/>
      <c r="D123" s="82"/>
      <c r="E123" s="82"/>
      <c r="F123" s="82"/>
      <c r="G123" s="82"/>
      <c r="H123" s="82"/>
      <c r="I123" s="82"/>
      <c r="J123" s="83"/>
    </row>
    <row r="124" spans="1:10" s="32" customFormat="1" ht="15.75" customHeight="1" x14ac:dyDescent="0.3">
      <c r="A124" s="65">
        <v>1</v>
      </c>
      <c r="B124" s="65" t="s">
        <v>205</v>
      </c>
      <c r="C124" s="65" t="s">
        <v>198</v>
      </c>
      <c r="D124" s="75">
        <f>26.294*10.764</f>
        <v>283.028616</v>
      </c>
      <c r="E124" s="75"/>
      <c r="F124" s="61">
        <v>0</v>
      </c>
      <c r="G124" s="61">
        <f t="shared" ref="G124:G135" si="1">D124*1.5</f>
        <v>424.54292399999997</v>
      </c>
      <c r="H124" s="65" t="s">
        <v>147</v>
      </c>
      <c r="I124" s="111" t="str">
        <f>A123</f>
        <v>4th(Level - 5) Floor</v>
      </c>
      <c r="J124" s="112"/>
    </row>
    <row r="125" spans="1:10" s="32" customFormat="1" ht="15.6" x14ac:dyDescent="0.3">
      <c r="A125" s="65">
        <v>2</v>
      </c>
      <c r="B125" s="65" t="s">
        <v>205</v>
      </c>
      <c r="C125" s="65" t="s">
        <v>199</v>
      </c>
      <c r="D125" s="87">
        <f>(34.964+0.781+3.1725)*10.764</f>
        <v>418.90796999999992</v>
      </c>
      <c r="E125" s="88"/>
      <c r="F125" s="61">
        <v>0</v>
      </c>
      <c r="G125" s="61">
        <f t="shared" si="1"/>
        <v>628.36195499999985</v>
      </c>
      <c r="H125" s="65" t="s">
        <v>147</v>
      </c>
      <c r="I125" s="113"/>
      <c r="J125" s="114"/>
    </row>
    <row r="126" spans="1:10" s="32" customFormat="1" ht="15.6" x14ac:dyDescent="0.3">
      <c r="A126" s="65">
        <v>3</v>
      </c>
      <c r="B126" s="65" t="s">
        <v>205</v>
      </c>
      <c r="C126" s="65" t="s">
        <v>199</v>
      </c>
      <c r="D126" s="87">
        <f>(34.296+0.743)*10.764</f>
        <v>377.15979599999997</v>
      </c>
      <c r="E126" s="88"/>
      <c r="F126" s="61">
        <v>0</v>
      </c>
      <c r="G126" s="61">
        <f t="shared" si="1"/>
        <v>565.73969399999999</v>
      </c>
      <c r="H126" s="65" t="s">
        <v>147</v>
      </c>
      <c r="I126" s="113"/>
      <c r="J126" s="114"/>
    </row>
    <row r="127" spans="1:10" s="32" customFormat="1" ht="15.6" x14ac:dyDescent="0.3">
      <c r="A127" s="65">
        <v>4</v>
      </c>
      <c r="B127" s="65" t="s">
        <v>205</v>
      </c>
      <c r="C127" s="65" t="s">
        <v>199</v>
      </c>
      <c r="D127" s="87">
        <f>(34.296+0.743)*10.764</f>
        <v>377.15979599999997</v>
      </c>
      <c r="E127" s="88"/>
      <c r="F127" s="61">
        <v>0</v>
      </c>
      <c r="G127" s="61">
        <f t="shared" si="1"/>
        <v>565.73969399999999</v>
      </c>
      <c r="H127" s="65" t="s">
        <v>147</v>
      </c>
      <c r="I127" s="113"/>
      <c r="J127" s="114"/>
    </row>
    <row r="128" spans="1:10" s="32" customFormat="1" ht="15.6" x14ac:dyDescent="0.3">
      <c r="A128" s="65">
        <v>5</v>
      </c>
      <c r="B128" s="65" t="s">
        <v>205</v>
      </c>
      <c r="C128" s="65" t="s">
        <v>199</v>
      </c>
      <c r="D128" s="87">
        <f>(34.964+0.781+3.1725)*10.764</f>
        <v>418.90796999999992</v>
      </c>
      <c r="E128" s="88"/>
      <c r="F128" s="61">
        <v>0</v>
      </c>
      <c r="G128" s="61">
        <f t="shared" si="1"/>
        <v>628.36195499999985</v>
      </c>
      <c r="H128" s="65" t="s">
        <v>147</v>
      </c>
      <c r="I128" s="113"/>
      <c r="J128" s="114"/>
    </row>
    <row r="129" spans="1:10" s="32" customFormat="1" ht="15.6" x14ac:dyDescent="0.3">
      <c r="A129" s="65">
        <v>6</v>
      </c>
      <c r="B129" s="65" t="s">
        <v>206</v>
      </c>
      <c r="C129" s="95" t="s">
        <v>165</v>
      </c>
      <c r="D129" s="96"/>
      <c r="E129" s="96"/>
      <c r="F129" s="96"/>
      <c r="G129" s="96"/>
      <c r="H129" s="97"/>
      <c r="I129" s="113"/>
      <c r="J129" s="114"/>
    </row>
    <row r="130" spans="1:10" s="32" customFormat="1" ht="15.75" customHeight="1" x14ac:dyDescent="0.3">
      <c r="A130" s="65">
        <v>7</v>
      </c>
      <c r="B130" s="65" t="s">
        <v>206</v>
      </c>
      <c r="C130" s="98"/>
      <c r="D130" s="99"/>
      <c r="E130" s="99"/>
      <c r="F130" s="99"/>
      <c r="G130" s="99"/>
      <c r="H130" s="100"/>
      <c r="I130" s="113"/>
      <c r="J130" s="114"/>
    </row>
    <row r="131" spans="1:10" s="32" customFormat="1" ht="15.75" customHeight="1" x14ac:dyDescent="0.3">
      <c r="A131" s="65">
        <v>8</v>
      </c>
      <c r="B131" s="65" t="s">
        <v>206</v>
      </c>
      <c r="C131" s="98"/>
      <c r="D131" s="99"/>
      <c r="E131" s="99"/>
      <c r="F131" s="99"/>
      <c r="G131" s="99"/>
      <c r="H131" s="100"/>
      <c r="I131" s="113"/>
      <c r="J131" s="114"/>
    </row>
    <row r="132" spans="1:10" s="32" customFormat="1" ht="15.75" customHeight="1" x14ac:dyDescent="0.3">
      <c r="A132" s="65">
        <v>9</v>
      </c>
      <c r="B132" s="65" t="s">
        <v>206</v>
      </c>
      <c r="C132" s="101"/>
      <c r="D132" s="102"/>
      <c r="E132" s="102"/>
      <c r="F132" s="102"/>
      <c r="G132" s="102"/>
      <c r="H132" s="103"/>
      <c r="I132" s="113"/>
      <c r="J132" s="114"/>
    </row>
    <row r="133" spans="1:10" s="32" customFormat="1" ht="15.75" customHeight="1" x14ac:dyDescent="0.3">
      <c r="A133" s="65">
        <v>10</v>
      </c>
      <c r="B133" s="65" t="s">
        <v>206</v>
      </c>
      <c r="C133" s="95" t="s">
        <v>165</v>
      </c>
      <c r="D133" s="96"/>
      <c r="E133" s="96"/>
      <c r="F133" s="96"/>
      <c r="G133" s="96"/>
      <c r="H133" s="97"/>
      <c r="I133" s="113"/>
      <c r="J133" s="114"/>
    </row>
    <row r="134" spans="1:10" s="32" customFormat="1" ht="15.6" x14ac:dyDescent="0.3">
      <c r="A134" s="65">
        <v>11</v>
      </c>
      <c r="B134" s="65" t="s">
        <v>206</v>
      </c>
      <c r="C134" s="101"/>
      <c r="D134" s="102"/>
      <c r="E134" s="102"/>
      <c r="F134" s="102"/>
      <c r="G134" s="102"/>
      <c r="H134" s="103"/>
      <c r="I134" s="113"/>
      <c r="J134" s="114"/>
    </row>
    <row r="135" spans="1:10" s="32" customFormat="1" ht="15.6" x14ac:dyDescent="0.3">
      <c r="A135" s="65">
        <v>12</v>
      </c>
      <c r="B135" s="65" t="s">
        <v>205</v>
      </c>
      <c r="C135" s="65" t="s">
        <v>198</v>
      </c>
      <c r="D135" s="75">
        <f>26.294*10.764</f>
        <v>283.028616</v>
      </c>
      <c r="E135" s="75"/>
      <c r="F135" s="61">
        <v>0</v>
      </c>
      <c r="G135" s="61">
        <f t="shared" si="1"/>
        <v>424.54292399999997</v>
      </c>
      <c r="H135" s="65" t="s">
        <v>147</v>
      </c>
      <c r="I135" s="115"/>
      <c r="J135" s="116"/>
    </row>
    <row r="136" spans="1:10" s="34" customFormat="1" ht="15.6" x14ac:dyDescent="0.3">
      <c r="A136" s="81" t="s">
        <v>213</v>
      </c>
      <c r="B136" s="82"/>
      <c r="C136" s="82"/>
      <c r="D136" s="82"/>
      <c r="E136" s="82"/>
      <c r="F136" s="82"/>
      <c r="G136" s="82"/>
      <c r="H136" s="82"/>
      <c r="I136" s="82"/>
      <c r="J136" s="83"/>
    </row>
    <row r="137" spans="1:10" s="32" customFormat="1" ht="15.6" x14ac:dyDescent="0.3">
      <c r="A137" s="65">
        <v>1</v>
      </c>
      <c r="B137" s="65" t="s">
        <v>206</v>
      </c>
      <c r="C137" s="65" t="s">
        <v>198</v>
      </c>
      <c r="D137" s="75">
        <f>26.294*10.764</f>
        <v>283.028616</v>
      </c>
      <c r="E137" s="75"/>
      <c r="F137" s="61">
        <v>0</v>
      </c>
      <c r="G137" s="61">
        <f>D137*1.5</f>
        <v>424.54292399999997</v>
      </c>
      <c r="H137" s="65" t="s">
        <v>147</v>
      </c>
      <c r="I137" s="111" t="str">
        <f>A136</f>
        <v>5th(Level - 6), 6th, 7th, 9th to 11th, 14th, 15th Floor</v>
      </c>
      <c r="J137" s="112"/>
    </row>
    <row r="138" spans="1:10" s="32" customFormat="1" ht="15.6" x14ac:dyDescent="0.3">
      <c r="A138" s="65">
        <v>2</v>
      </c>
      <c r="B138" s="65" t="s">
        <v>206</v>
      </c>
      <c r="C138" s="65" t="s">
        <v>199</v>
      </c>
      <c r="D138" s="87">
        <f>(34.964+0.781)*10.764</f>
        <v>384.75917999999996</v>
      </c>
      <c r="E138" s="88"/>
      <c r="F138" s="61">
        <v>0</v>
      </c>
      <c r="G138" s="61">
        <f t="shared" ref="G138:G148" si="2">D138*1.5</f>
        <v>577.13876999999991</v>
      </c>
      <c r="H138" s="65" t="s">
        <v>147</v>
      </c>
      <c r="I138" s="113"/>
      <c r="J138" s="114"/>
    </row>
    <row r="139" spans="1:10" s="32" customFormat="1" ht="15.6" x14ac:dyDescent="0.3">
      <c r="A139" s="65">
        <v>3</v>
      </c>
      <c r="B139" s="65" t="s">
        <v>206</v>
      </c>
      <c r="C139" s="65" t="s">
        <v>199</v>
      </c>
      <c r="D139" s="87">
        <f>(34.296+0.743)*10.764</f>
        <v>377.15979599999997</v>
      </c>
      <c r="E139" s="88"/>
      <c r="F139" s="61">
        <v>0</v>
      </c>
      <c r="G139" s="61">
        <f t="shared" si="2"/>
        <v>565.73969399999999</v>
      </c>
      <c r="H139" s="65" t="s">
        <v>147</v>
      </c>
      <c r="I139" s="113"/>
      <c r="J139" s="114"/>
    </row>
    <row r="140" spans="1:10" s="32" customFormat="1" ht="15.6" x14ac:dyDescent="0.3">
      <c r="A140" s="65">
        <v>4</v>
      </c>
      <c r="B140" s="65" t="s">
        <v>206</v>
      </c>
      <c r="C140" s="65" t="s">
        <v>199</v>
      </c>
      <c r="D140" s="87">
        <f>(34.296+0.743)*10.764</f>
        <v>377.15979599999997</v>
      </c>
      <c r="E140" s="88"/>
      <c r="F140" s="61">
        <v>0</v>
      </c>
      <c r="G140" s="61">
        <f t="shared" si="2"/>
        <v>565.73969399999999</v>
      </c>
      <c r="H140" s="65" t="s">
        <v>147</v>
      </c>
      <c r="I140" s="113"/>
      <c r="J140" s="114"/>
    </row>
    <row r="141" spans="1:10" s="32" customFormat="1" ht="15.6" x14ac:dyDescent="0.3">
      <c r="A141" s="65">
        <v>5</v>
      </c>
      <c r="B141" s="65" t="s">
        <v>205</v>
      </c>
      <c r="C141" s="65" t="s">
        <v>199</v>
      </c>
      <c r="D141" s="75">
        <f>(34.964+0.781)*10.764</f>
        <v>384.75917999999996</v>
      </c>
      <c r="E141" s="75"/>
      <c r="F141" s="61">
        <v>0</v>
      </c>
      <c r="G141" s="61">
        <f t="shared" si="2"/>
        <v>577.13876999999991</v>
      </c>
      <c r="H141" s="65" t="s">
        <v>147</v>
      </c>
      <c r="I141" s="113"/>
      <c r="J141" s="114"/>
    </row>
    <row r="142" spans="1:10" s="32" customFormat="1" ht="15.6" x14ac:dyDescent="0.3">
      <c r="A142" s="65">
        <v>6</v>
      </c>
      <c r="B142" s="65" t="s">
        <v>206</v>
      </c>
      <c r="C142" s="65" t="s">
        <v>198</v>
      </c>
      <c r="D142" s="75">
        <f>26.294*10.764</f>
        <v>283.028616</v>
      </c>
      <c r="E142" s="75"/>
      <c r="F142" s="61">
        <v>0</v>
      </c>
      <c r="G142" s="61">
        <f t="shared" si="2"/>
        <v>424.54292399999997</v>
      </c>
      <c r="H142" s="65" t="s">
        <v>147</v>
      </c>
      <c r="I142" s="113"/>
      <c r="J142" s="114"/>
    </row>
    <row r="143" spans="1:10" s="32" customFormat="1" ht="15.6" x14ac:dyDescent="0.3">
      <c r="A143" s="65">
        <v>7</v>
      </c>
      <c r="B143" s="65" t="s">
        <v>206</v>
      </c>
      <c r="C143" s="65" t="s">
        <v>198</v>
      </c>
      <c r="D143" s="75">
        <f>26.294*10.764</f>
        <v>283.028616</v>
      </c>
      <c r="E143" s="75"/>
      <c r="F143" s="61">
        <v>0</v>
      </c>
      <c r="G143" s="61">
        <f t="shared" si="2"/>
        <v>424.54292399999997</v>
      </c>
      <c r="H143" s="65" t="s">
        <v>147</v>
      </c>
      <c r="I143" s="113"/>
      <c r="J143" s="114"/>
    </row>
    <row r="144" spans="1:10" s="32" customFormat="1" ht="15.6" x14ac:dyDescent="0.3">
      <c r="A144" s="65">
        <v>8</v>
      </c>
      <c r="B144" s="65" t="s">
        <v>205</v>
      </c>
      <c r="C144" s="65" t="s">
        <v>199</v>
      </c>
      <c r="D144" s="75">
        <f>(34.964+0.781)*10.764</f>
        <v>384.75917999999996</v>
      </c>
      <c r="E144" s="75"/>
      <c r="F144" s="61">
        <v>0</v>
      </c>
      <c r="G144" s="61">
        <f t="shared" si="2"/>
        <v>577.13876999999991</v>
      </c>
      <c r="H144" s="65" t="s">
        <v>147</v>
      </c>
      <c r="I144" s="113"/>
      <c r="J144" s="114"/>
    </row>
    <row r="145" spans="1:10" s="32" customFormat="1" ht="15.6" x14ac:dyDescent="0.3">
      <c r="A145" s="65">
        <v>9</v>
      </c>
      <c r="B145" s="65" t="s">
        <v>206</v>
      </c>
      <c r="C145" s="65" t="s">
        <v>198</v>
      </c>
      <c r="D145" s="75">
        <f>(25.989*10.764)</f>
        <v>279.74559599999998</v>
      </c>
      <c r="E145" s="75"/>
      <c r="F145" s="61">
        <v>0</v>
      </c>
      <c r="G145" s="61">
        <f t="shared" si="2"/>
        <v>419.61839399999997</v>
      </c>
      <c r="H145" s="65" t="s">
        <v>147</v>
      </c>
      <c r="I145" s="113"/>
      <c r="J145" s="114"/>
    </row>
    <row r="146" spans="1:10" s="32" customFormat="1" ht="15.6" x14ac:dyDescent="0.3">
      <c r="A146" s="65">
        <v>10</v>
      </c>
      <c r="B146" s="65" t="s">
        <v>206</v>
      </c>
      <c r="C146" s="65" t="s">
        <v>198</v>
      </c>
      <c r="D146" s="75">
        <f>(25.989*10.764)</f>
        <v>279.74559599999998</v>
      </c>
      <c r="E146" s="75"/>
      <c r="F146" s="61">
        <v>0</v>
      </c>
      <c r="G146" s="61">
        <f t="shared" si="2"/>
        <v>419.61839399999997</v>
      </c>
      <c r="H146" s="65" t="s">
        <v>147</v>
      </c>
      <c r="I146" s="113"/>
      <c r="J146" s="114"/>
    </row>
    <row r="147" spans="1:10" s="32" customFormat="1" ht="15.6" x14ac:dyDescent="0.3">
      <c r="A147" s="65">
        <v>11</v>
      </c>
      <c r="B147" s="65" t="s">
        <v>205</v>
      </c>
      <c r="C147" s="65" t="s">
        <v>199</v>
      </c>
      <c r="D147" s="75">
        <f>(34.964+0.781)*10.764</f>
        <v>384.75917999999996</v>
      </c>
      <c r="E147" s="75"/>
      <c r="F147" s="61">
        <v>0</v>
      </c>
      <c r="G147" s="61">
        <f t="shared" si="2"/>
        <v>577.13876999999991</v>
      </c>
      <c r="H147" s="65" t="s">
        <v>147</v>
      </c>
      <c r="I147" s="113"/>
      <c r="J147" s="114"/>
    </row>
    <row r="148" spans="1:10" s="32" customFormat="1" ht="15.6" x14ac:dyDescent="0.3">
      <c r="A148" s="65">
        <v>12</v>
      </c>
      <c r="B148" s="65" t="s">
        <v>206</v>
      </c>
      <c r="C148" s="65" t="s">
        <v>198</v>
      </c>
      <c r="D148" s="75">
        <f>26.294*10.764</f>
        <v>283.028616</v>
      </c>
      <c r="E148" s="75"/>
      <c r="F148" s="61">
        <v>0</v>
      </c>
      <c r="G148" s="61">
        <f t="shared" si="2"/>
        <v>424.54292399999997</v>
      </c>
      <c r="H148" s="65" t="s">
        <v>147</v>
      </c>
      <c r="I148" s="115"/>
      <c r="J148" s="116"/>
    </row>
    <row r="149" spans="1:10" s="34" customFormat="1" ht="15.6" x14ac:dyDescent="0.3">
      <c r="A149" s="81" t="s">
        <v>212</v>
      </c>
      <c r="B149" s="82"/>
      <c r="C149" s="82"/>
      <c r="D149" s="82"/>
      <c r="E149" s="82"/>
      <c r="F149" s="82"/>
      <c r="G149" s="82"/>
      <c r="H149" s="82"/>
      <c r="I149" s="82"/>
      <c r="J149" s="83"/>
    </row>
    <row r="150" spans="1:10" s="32" customFormat="1" ht="15.6" x14ac:dyDescent="0.3">
      <c r="A150" s="65">
        <v>1</v>
      </c>
      <c r="B150" s="65" t="s">
        <v>206</v>
      </c>
      <c r="C150" s="65" t="s">
        <v>198</v>
      </c>
      <c r="D150" s="75">
        <f>26.294*10.764</f>
        <v>283.028616</v>
      </c>
      <c r="E150" s="75"/>
      <c r="F150" s="61">
        <v>0</v>
      </c>
      <c r="G150" s="61">
        <f>D150*1.5</f>
        <v>424.54292399999997</v>
      </c>
      <c r="H150" s="65" t="s">
        <v>147</v>
      </c>
      <c r="I150" s="111" t="str">
        <f>A149</f>
        <v>17th, 19th, 21st, 22nd &amp; 25th Floor</v>
      </c>
      <c r="J150" s="112"/>
    </row>
    <row r="151" spans="1:10" s="32" customFormat="1" ht="15.6" x14ac:dyDescent="0.3">
      <c r="A151" s="65">
        <v>2</v>
      </c>
      <c r="B151" s="65" t="s">
        <v>206</v>
      </c>
      <c r="C151" s="65" t="s">
        <v>199</v>
      </c>
      <c r="D151" s="87">
        <f>(34.964+0.781)*10.764</f>
        <v>384.75917999999996</v>
      </c>
      <c r="E151" s="88"/>
      <c r="F151" s="61">
        <v>0</v>
      </c>
      <c r="G151" s="61">
        <f t="shared" ref="G151:G161" si="3">D151*1.5</f>
        <v>577.13876999999991</v>
      </c>
      <c r="H151" s="65" t="s">
        <v>147</v>
      </c>
      <c r="I151" s="113"/>
      <c r="J151" s="114"/>
    </row>
    <row r="152" spans="1:10" s="32" customFormat="1" ht="15.6" x14ac:dyDescent="0.3">
      <c r="A152" s="65">
        <v>3</v>
      </c>
      <c r="B152" s="65" t="s">
        <v>206</v>
      </c>
      <c r="C152" s="65" t="s">
        <v>199</v>
      </c>
      <c r="D152" s="87">
        <f>(34.296+0.743)*10.764</f>
        <v>377.15979599999997</v>
      </c>
      <c r="E152" s="88"/>
      <c r="F152" s="61">
        <v>0</v>
      </c>
      <c r="G152" s="61">
        <f t="shared" si="3"/>
        <v>565.73969399999999</v>
      </c>
      <c r="H152" s="65" t="s">
        <v>147</v>
      </c>
      <c r="I152" s="113"/>
      <c r="J152" s="114"/>
    </row>
    <row r="153" spans="1:10" s="32" customFormat="1" ht="15.6" x14ac:dyDescent="0.3">
      <c r="A153" s="65">
        <v>4</v>
      </c>
      <c r="B153" s="65" t="s">
        <v>206</v>
      </c>
      <c r="C153" s="65" t="s">
        <v>199</v>
      </c>
      <c r="D153" s="87">
        <f>(34.296+0.743)*10.764</f>
        <v>377.15979599999997</v>
      </c>
      <c r="E153" s="88"/>
      <c r="F153" s="61">
        <v>0</v>
      </c>
      <c r="G153" s="61">
        <f t="shared" si="3"/>
        <v>565.73969399999999</v>
      </c>
      <c r="H153" s="65" t="s">
        <v>147</v>
      </c>
      <c r="I153" s="113"/>
      <c r="J153" s="114"/>
    </row>
    <row r="154" spans="1:10" s="32" customFormat="1" ht="15.6" x14ac:dyDescent="0.3">
      <c r="A154" s="65">
        <v>5</v>
      </c>
      <c r="B154" s="65" t="s">
        <v>206</v>
      </c>
      <c r="C154" s="65" t="s">
        <v>199</v>
      </c>
      <c r="D154" s="75">
        <f>(34.964+0.781)*10.764</f>
        <v>384.75917999999996</v>
      </c>
      <c r="E154" s="75"/>
      <c r="F154" s="61">
        <v>0</v>
      </c>
      <c r="G154" s="61">
        <f t="shared" si="3"/>
        <v>577.13876999999991</v>
      </c>
      <c r="H154" s="65" t="s">
        <v>147</v>
      </c>
      <c r="I154" s="113"/>
      <c r="J154" s="114"/>
    </row>
    <row r="155" spans="1:10" s="32" customFormat="1" ht="15.6" x14ac:dyDescent="0.3">
      <c r="A155" s="65">
        <v>6</v>
      </c>
      <c r="B155" s="65" t="s">
        <v>206</v>
      </c>
      <c r="C155" s="65" t="s">
        <v>198</v>
      </c>
      <c r="D155" s="75">
        <f>26.294*10.764</f>
        <v>283.028616</v>
      </c>
      <c r="E155" s="75"/>
      <c r="F155" s="61">
        <v>0</v>
      </c>
      <c r="G155" s="61">
        <f t="shared" si="3"/>
        <v>424.54292399999997</v>
      </c>
      <c r="H155" s="65" t="s">
        <v>147</v>
      </c>
      <c r="I155" s="113"/>
      <c r="J155" s="114"/>
    </row>
    <row r="156" spans="1:10" s="32" customFormat="1" ht="15.6" x14ac:dyDescent="0.3">
      <c r="A156" s="65">
        <v>7</v>
      </c>
      <c r="B156" s="65" t="s">
        <v>206</v>
      </c>
      <c r="C156" s="65" t="s">
        <v>198</v>
      </c>
      <c r="D156" s="75">
        <f>26.294*10.764</f>
        <v>283.028616</v>
      </c>
      <c r="E156" s="75"/>
      <c r="F156" s="61">
        <v>0</v>
      </c>
      <c r="G156" s="61">
        <f t="shared" si="3"/>
        <v>424.54292399999997</v>
      </c>
      <c r="H156" s="65" t="s">
        <v>147</v>
      </c>
      <c r="I156" s="113"/>
      <c r="J156" s="114"/>
    </row>
    <row r="157" spans="1:10" s="32" customFormat="1" ht="15.6" x14ac:dyDescent="0.3">
      <c r="A157" s="65">
        <v>8</v>
      </c>
      <c r="B157" s="65" t="s">
        <v>205</v>
      </c>
      <c r="C157" s="65" t="s">
        <v>199</v>
      </c>
      <c r="D157" s="75">
        <f>(34.964+0.781)*10.764</f>
        <v>384.75917999999996</v>
      </c>
      <c r="E157" s="75"/>
      <c r="F157" s="61">
        <v>0</v>
      </c>
      <c r="G157" s="61">
        <f t="shared" si="3"/>
        <v>577.13876999999991</v>
      </c>
      <c r="H157" s="65" t="s">
        <v>147</v>
      </c>
      <c r="I157" s="113"/>
      <c r="J157" s="114"/>
    </row>
    <row r="158" spans="1:10" s="32" customFormat="1" ht="15.6" x14ac:dyDescent="0.3">
      <c r="A158" s="65">
        <v>9</v>
      </c>
      <c r="B158" s="65" t="s">
        <v>206</v>
      </c>
      <c r="C158" s="65" t="s">
        <v>198</v>
      </c>
      <c r="D158" s="75">
        <f>(25.989*10.764)</f>
        <v>279.74559599999998</v>
      </c>
      <c r="E158" s="75"/>
      <c r="F158" s="61">
        <v>0</v>
      </c>
      <c r="G158" s="61">
        <f t="shared" si="3"/>
        <v>419.61839399999997</v>
      </c>
      <c r="H158" s="65" t="s">
        <v>147</v>
      </c>
      <c r="I158" s="113"/>
      <c r="J158" s="114"/>
    </row>
    <row r="159" spans="1:10" s="32" customFormat="1" ht="15.6" x14ac:dyDescent="0.3">
      <c r="A159" s="65">
        <v>10</v>
      </c>
      <c r="B159" s="65" t="s">
        <v>206</v>
      </c>
      <c r="C159" s="65" t="s">
        <v>198</v>
      </c>
      <c r="D159" s="75">
        <f>(25.989*10.764)</f>
        <v>279.74559599999998</v>
      </c>
      <c r="E159" s="75"/>
      <c r="F159" s="61">
        <v>0</v>
      </c>
      <c r="G159" s="61">
        <f t="shared" si="3"/>
        <v>419.61839399999997</v>
      </c>
      <c r="H159" s="65" t="s">
        <v>147</v>
      </c>
      <c r="I159" s="113"/>
      <c r="J159" s="114"/>
    </row>
    <row r="160" spans="1:10" s="32" customFormat="1" ht="15.6" x14ac:dyDescent="0.3">
      <c r="A160" s="65">
        <v>11</v>
      </c>
      <c r="B160" s="65" t="s">
        <v>205</v>
      </c>
      <c r="C160" s="65" t="s">
        <v>199</v>
      </c>
      <c r="D160" s="75">
        <f>(34.964+0.781)*10.764</f>
        <v>384.75917999999996</v>
      </c>
      <c r="E160" s="75"/>
      <c r="F160" s="61">
        <v>0</v>
      </c>
      <c r="G160" s="61">
        <f t="shared" si="3"/>
        <v>577.13876999999991</v>
      </c>
      <c r="H160" s="65" t="s">
        <v>147</v>
      </c>
      <c r="I160" s="113"/>
      <c r="J160" s="114"/>
    </row>
    <row r="161" spans="1:10" s="32" customFormat="1" ht="15.6" x14ac:dyDescent="0.3">
      <c r="A161" s="65">
        <v>12</v>
      </c>
      <c r="B161" s="65" t="s">
        <v>206</v>
      </c>
      <c r="C161" s="65" t="s">
        <v>198</v>
      </c>
      <c r="D161" s="75">
        <f>26.294*10.764</f>
        <v>283.028616</v>
      </c>
      <c r="E161" s="75"/>
      <c r="F161" s="61">
        <v>0</v>
      </c>
      <c r="G161" s="61">
        <f t="shared" si="3"/>
        <v>424.54292399999997</v>
      </c>
      <c r="H161" s="65" t="s">
        <v>147</v>
      </c>
      <c r="I161" s="115"/>
      <c r="J161" s="116"/>
    </row>
    <row r="162" spans="1:10" s="34" customFormat="1" ht="15.6" x14ac:dyDescent="0.3">
      <c r="A162" s="81" t="s">
        <v>192</v>
      </c>
      <c r="B162" s="82"/>
      <c r="C162" s="82"/>
      <c r="D162" s="82"/>
      <c r="E162" s="82"/>
      <c r="F162" s="82"/>
      <c r="G162" s="82"/>
      <c r="H162" s="82"/>
      <c r="I162" s="82"/>
      <c r="J162" s="83"/>
    </row>
    <row r="163" spans="1:10" s="32" customFormat="1" ht="15.6" x14ac:dyDescent="0.3">
      <c r="A163" s="107">
        <v>1</v>
      </c>
      <c r="B163" s="107"/>
      <c r="C163" s="65" t="s">
        <v>198</v>
      </c>
      <c r="D163" s="75">
        <f>26.294*10.764</f>
        <v>283.028616</v>
      </c>
      <c r="E163" s="75"/>
      <c r="F163" s="61">
        <v>0</v>
      </c>
      <c r="G163" s="61">
        <f>D163*1.5</f>
        <v>424.54292399999997</v>
      </c>
      <c r="H163" s="65" t="s">
        <v>147</v>
      </c>
      <c r="I163" s="111" t="s">
        <v>192</v>
      </c>
      <c r="J163" s="112"/>
    </row>
    <row r="164" spans="1:10" s="32" customFormat="1" ht="15.6" x14ac:dyDescent="0.3">
      <c r="A164" s="107">
        <v>2</v>
      </c>
      <c r="B164" s="107"/>
      <c r="C164" s="226" t="s">
        <v>191</v>
      </c>
      <c r="D164" s="226"/>
      <c r="E164" s="226"/>
      <c r="F164" s="226"/>
      <c r="G164" s="226"/>
      <c r="H164" s="226"/>
      <c r="I164" s="113"/>
      <c r="J164" s="114"/>
    </row>
    <row r="165" spans="1:10" s="32" customFormat="1" ht="15.6" x14ac:dyDescent="0.3">
      <c r="A165" s="107">
        <v>3</v>
      </c>
      <c r="B165" s="107"/>
      <c r="C165" s="226" t="str">
        <f>C164</f>
        <v>Refuge Area</v>
      </c>
      <c r="D165" s="226"/>
      <c r="E165" s="226"/>
      <c r="F165" s="226"/>
      <c r="G165" s="226"/>
      <c r="H165" s="226"/>
      <c r="I165" s="113"/>
      <c r="J165" s="114"/>
    </row>
    <row r="166" spans="1:10" s="32" customFormat="1" ht="15.6" x14ac:dyDescent="0.3">
      <c r="A166" s="107">
        <v>4</v>
      </c>
      <c r="B166" s="107"/>
      <c r="C166" s="65" t="s">
        <v>199</v>
      </c>
      <c r="D166" s="87">
        <f>(34.296+0.743)*10.764</f>
        <v>377.15979599999997</v>
      </c>
      <c r="E166" s="88"/>
      <c r="F166" s="61">
        <v>0</v>
      </c>
      <c r="G166" s="61">
        <f t="shared" ref="G166:G174" si="4">D166*1.5</f>
        <v>565.73969399999999</v>
      </c>
      <c r="H166" s="65" t="s">
        <v>147</v>
      </c>
      <c r="I166" s="113"/>
      <c r="J166" s="114"/>
    </row>
    <row r="167" spans="1:10" s="32" customFormat="1" ht="15.6" x14ac:dyDescent="0.3">
      <c r="A167" s="107">
        <v>5</v>
      </c>
      <c r="B167" s="107"/>
      <c r="C167" s="65" t="s">
        <v>199</v>
      </c>
      <c r="D167" s="87">
        <f>(34.964+3.1725+0.781)*10.764</f>
        <v>418.90796999999992</v>
      </c>
      <c r="E167" s="88"/>
      <c r="F167" s="61">
        <v>0</v>
      </c>
      <c r="G167" s="61">
        <f t="shared" si="4"/>
        <v>628.36195499999985</v>
      </c>
      <c r="H167" s="65" t="s">
        <v>147</v>
      </c>
      <c r="I167" s="113"/>
      <c r="J167" s="114"/>
    </row>
    <row r="168" spans="1:10" s="32" customFormat="1" ht="15.6" x14ac:dyDescent="0.3">
      <c r="A168" s="107">
        <v>6</v>
      </c>
      <c r="B168" s="107"/>
      <c r="C168" s="65" t="s">
        <v>198</v>
      </c>
      <c r="D168" s="75">
        <f>26.294*10.764</f>
        <v>283.028616</v>
      </c>
      <c r="E168" s="75"/>
      <c r="F168" s="61">
        <v>0</v>
      </c>
      <c r="G168" s="61">
        <f t="shared" si="4"/>
        <v>424.54292399999997</v>
      </c>
      <c r="H168" s="65" t="s">
        <v>147</v>
      </c>
      <c r="I168" s="113"/>
      <c r="J168" s="114"/>
    </row>
    <row r="169" spans="1:10" s="32" customFormat="1" ht="15.6" x14ac:dyDescent="0.3">
      <c r="A169" s="107">
        <v>7</v>
      </c>
      <c r="B169" s="107"/>
      <c r="C169" s="65" t="s">
        <v>198</v>
      </c>
      <c r="D169" s="75">
        <f>26.294*10.764</f>
        <v>283.028616</v>
      </c>
      <c r="E169" s="75"/>
      <c r="F169" s="61">
        <v>0</v>
      </c>
      <c r="G169" s="61">
        <f t="shared" si="4"/>
        <v>424.54292399999997</v>
      </c>
      <c r="H169" s="65" t="s">
        <v>147</v>
      </c>
      <c r="I169" s="113"/>
      <c r="J169" s="114"/>
    </row>
    <row r="170" spans="1:10" s="32" customFormat="1" ht="15.6" x14ac:dyDescent="0.3">
      <c r="A170" s="107">
        <v>8</v>
      </c>
      <c r="B170" s="107"/>
      <c r="C170" s="65" t="s">
        <v>199</v>
      </c>
      <c r="D170" s="87">
        <f>(34.964+3.1725+0.781)*10.764</f>
        <v>418.90796999999992</v>
      </c>
      <c r="E170" s="88"/>
      <c r="F170" s="61">
        <v>0</v>
      </c>
      <c r="G170" s="61">
        <f t="shared" si="4"/>
        <v>628.36195499999985</v>
      </c>
      <c r="H170" s="65" t="s">
        <v>147</v>
      </c>
      <c r="I170" s="113"/>
      <c r="J170" s="114"/>
    </row>
    <row r="171" spans="1:10" s="32" customFormat="1" ht="15.6" x14ac:dyDescent="0.3">
      <c r="A171" s="107">
        <v>9</v>
      </c>
      <c r="B171" s="107"/>
      <c r="C171" s="65" t="s">
        <v>198</v>
      </c>
      <c r="D171" s="75">
        <f>(25.989*10.764)</f>
        <v>279.74559599999998</v>
      </c>
      <c r="E171" s="75"/>
      <c r="F171" s="61">
        <v>0</v>
      </c>
      <c r="G171" s="61">
        <f t="shared" si="4"/>
        <v>419.61839399999997</v>
      </c>
      <c r="H171" s="65" t="s">
        <v>147</v>
      </c>
      <c r="I171" s="113"/>
      <c r="J171" s="114"/>
    </row>
    <row r="172" spans="1:10" s="32" customFormat="1" ht="15.6" x14ac:dyDescent="0.3">
      <c r="A172" s="107">
        <v>10</v>
      </c>
      <c r="B172" s="107"/>
      <c r="C172" s="65" t="s">
        <v>198</v>
      </c>
      <c r="D172" s="75">
        <f>(25.989*10.764)</f>
        <v>279.74559599999998</v>
      </c>
      <c r="E172" s="75"/>
      <c r="F172" s="61">
        <v>0</v>
      </c>
      <c r="G172" s="61">
        <f t="shared" si="4"/>
        <v>419.61839399999997</v>
      </c>
      <c r="H172" s="65" t="s">
        <v>147</v>
      </c>
      <c r="I172" s="113"/>
      <c r="J172" s="114"/>
    </row>
    <row r="173" spans="1:10" s="32" customFormat="1" ht="15.6" x14ac:dyDescent="0.3">
      <c r="A173" s="107">
        <v>11</v>
      </c>
      <c r="B173" s="107"/>
      <c r="C173" s="65" t="s">
        <v>199</v>
      </c>
      <c r="D173" s="87">
        <f>(34.964+3.1725+0.781)*10.764</f>
        <v>418.90796999999992</v>
      </c>
      <c r="E173" s="88"/>
      <c r="F173" s="61">
        <v>0</v>
      </c>
      <c r="G173" s="61">
        <f t="shared" si="4"/>
        <v>628.36195499999985</v>
      </c>
      <c r="H173" s="65" t="s">
        <v>147</v>
      </c>
      <c r="I173" s="113"/>
      <c r="J173" s="114"/>
    </row>
    <row r="174" spans="1:10" s="32" customFormat="1" ht="15.6" x14ac:dyDescent="0.3">
      <c r="A174" s="107">
        <v>12</v>
      </c>
      <c r="B174" s="107"/>
      <c r="C174" s="65" t="s">
        <v>198</v>
      </c>
      <c r="D174" s="75">
        <f>26.294*10.764</f>
        <v>283.028616</v>
      </c>
      <c r="E174" s="75"/>
      <c r="F174" s="61">
        <v>0</v>
      </c>
      <c r="G174" s="61">
        <f t="shared" si="4"/>
        <v>424.54292399999997</v>
      </c>
      <c r="H174" s="65" t="s">
        <v>147</v>
      </c>
      <c r="I174" s="115"/>
      <c r="J174" s="116"/>
    </row>
    <row r="175" spans="1:10" s="34" customFormat="1" ht="15.6" x14ac:dyDescent="0.3">
      <c r="A175" s="81" t="s">
        <v>210</v>
      </c>
      <c r="B175" s="82"/>
      <c r="C175" s="82"/>
      <c r="D175" s="82"/>
      <c r="E175" s="82"/>
      <c r="F175" s="82"/>
      <c r="G175" s="82"/>
      <c r="H175" s="82"/>
      <c r="I175" s="82"/>
      <c r="J175" s="83"/>
    </row>
    <row r="176" spans="1:10" s="32" customFormat="1" ht="15.75" customHeight="1" x14ac:dyDescent="0.3">
      <c r="A176" s="65">
        <v>1</v>
      </c>
      <c r="B176" s="65" t="s">
        <v>206</v>
      </c>
      <c r="C176" s="65" t="s">
        <v>198</v>
      </c>
      <c r="D176" s="75">
        <f>26.294*10.764</f>
        <v>283.028616</v>
      </c>
      <c r="E176" s="75"/>
      <c r="F176" s="61">
        <v>0</v>
      </c>
      <c r="G176" s="61">
        <f>D176*1.5</f>
        <v>424.54292399999997</v>
      </c>
      <c r="H176" s="65" t="s">
        <v>147</v>
      </c>
      <c r="I176" s="111" t="str">
        <f>A175</f>
        <v>12th, 16th Floor</v>
      </c>
      <c r="J176" s="112"/>
    </row>
    <row r="177" spans="1:10" s="32" customFormat="1" ht="15.6" x14ac:dyDescent="0.3">
      <c r="A177" s="65">
        <v>2</v>
      </c>
      <c r="B177" s="65" t="s">
        <v>206</v>
      </c>
      <c r="C177" s="65" t="s">
        <v>199</v>
      </c>
      <c r="D177" s="87">
        <f>(34.964+3.1725+0.781)*10.764</f>
        <v>418.90796999999992</v>
      </c>
      <c r="E177" s="88"/>
      <c r="F177" s="61">
        <v>0</v>
      </c>
      <c r="G177" s="61">
        <f t="shared" ref="G177:G187" si="5">D177*1.5</f>
        <v>628.36195499999985</v>
      </c>
      <c r="H177" s="65" t="s">
        <v>147</v>
      </c>
      <c r="I177" s="113"/>
      <c r="J177" s="114"/>
    </row>
    <row r="178" spans="1:10" s="32" customFormat="1" ht="15.75" customHeight="1" x14ac:dyDescent="0.3">
      <c r="A178" s="65">
        <v>3</v>
      </c>
      <c r="B178" s="65" t="s">
        <v>206</v>
      </c>
      <c r="C178" s="65" t="s">
        <v>199</v>
      </c>
      <c r="D178" s="87">
        <f>(34.296+0.743)*10.764</f>
        <v>377.15979599999997</v>
      </c>
      <c r="E178" s="88"/>
      <c r="F178" s="61">
        <v>0</v>
      </c>
      <c r="G178" s="61">
        <f t="shared" si="5"/>
        <v>565.73969399999999</v>
      </c>
      <c r="H178" s="65" t="s">
        <v>147</v>
      </c>
      <c r="I178" s="113"/>
      <c r="J178" s="114"/>
    </row>
    <row r="179" spans="1:10" s="32" customFormat="1" ht="15.6" x14ac:dyDescent="0.3">
      <c r="A179" s="65">
        <v>4</v>
      </c>
      <c r="B179" s="65" t="s">
        <v>206</v>
      </c>
      <c r="C179" s="65" t="s">
        <v>199</v>
      </c>
      <c r="D179" s="87">
        <f>(34.296+0.743)*10.764</f>
        <v>377.15979599999997</v>
      </c>
      <c r="E179" s="88"/>
      <c r="F179" s="61">
        <v>0</v>
      </c>
      <c r="G179" s="61">
        <f t="shared" si="5"/>
        <v>565.73969399999999</v>
      </c>
      <c r="H179" s="65" t="s">
        <v>147</v>
      </c>
      <c r="I179" s="113"/>
      <c r="J179" s="114"/>
    </row>
    <row r="180" spans="1:10" s="32" customFormat="1" ht="15.6" x14ac:dyDescent="0.3">
      <c r="A180" s="65">
        <v>5</v>
      </c>
      <c r="B180" s="65" t="s">
        <v>205</v>
      </c>
      <c r="C180" s="65" t="s">
        <v>199</v>
      </c>
      <c r="D180" s="87">
        <f>(34.964+3.1725+0.781)*10.764</f>
        <v>418.90796999999992</v>
      </c>
      <c r="E180" s="88"/>
      <c r="F180" s="61">
        <v>0</v>
      </c>
      <c r="G180" s="61">
        <f t="shared" si="5"/>
        <v>628.36195499999985</v>
      </c>
      <c r="H180" s="65" t="s">
        <v>147</v>
      </c>
      <c r="I180" s="113"/>
      <c r="J180" s="114"/>
    </row>
    <row r="181" spans="1:10" s="32" customFormat="1" ht="15.6" x14ac:dyDescent="0.3">
      <c r="A181" s="65">
        <v>6</v>
      </c>
      <c r="B181" s="65" t="s">
        <v>206</v>
      </c>
      <c r="C181" s="65" t="s">
        <v>198</v>
      </c>
      <c r="D181" s="75">
        <f>26.294*10.764</f>
        <v>283.028616</v>
      </c>
      <c r="E181" s="75"/>
      <c r="F181" s="61">
        <v>0</v>
      </c>
      <c r="G181" s="61">
        <f t="shared" si="5"/>
        <v>424.54292399999997</v>
      </c>
      <c r="H181" s="65" t="s">
        <v>147</v>
      </c>
      <c r="I181" s="113"/>
      <c r="J181" s="114"/>
    </row>
    <row r="182" spans="1:10" s="32" customFormat="1" ht="15.6" x14ac:dyDescent="0.3">
      <c r="A182" s="65">
        <v>7</v>
      </c>
      <c r="B182" s="65" t="s">
        <v>206</v>
      </c>
      <c r="C182" s="65" t="s">
        <v>198</v>
      </c>
      <c r="D182" s="75">
        <f>26.294*10.764</f>
        <v>283.028616</v>
      </c>
      <c r="E182" s="75"/>
      <c r="F182" s="61">
        <v>0</v>
      </c>
      <c r="G182" s="61">
        <f t="shared" si="5"/>
        <v>424.54292399999997</v>
      </c>
      <c r="H182" s="65" t="s">
        <v>147</v>
      </c>
      <c r="I182" s="113"/>
      <c r="J182" s="114"/>
    </row>
    <row r="183" spans="1:10" s="32" customFormat="1" ht="15.6" x14ac:dyDescent="0.3">
      <c r="A183" s="65">
        <v>8</v>
      </c>
      <c r="B183" s="65" t="s">
        <v>205</v>
      </c>
      <c r="C183" s="65" t="s">
        <v>199</v>
      </c>
      <c r="D183" s="87">
        <f>(34.964+3.1725+0.781)*10.764</f>
        <v>418.90796999999992</v>
      </c>
      <c r="E183" s="88"/>
      <c r="F183" s="61">
        <v>0</v>
      </c>
      <c r="G183" s="61">
        <f t="shared" si="5"/>
        <v>628.36195499999985</v>
      </c>
      <c r="H183" s="65" t="s">
        <v>147</v>
      </c>
      <c r="I183" s="113"/>
      <c r="J183" s="114"/>
    </row>
    <row r="184" spans="1:10" s="32" customFormat="1" ht="15.6" x14ac:dyDescent="0.3">
      <c r="A184" s="65">
        <v>9</v>
      </c>
      <c r="B184" s="65" t="s">
        <v>206</v>
      </c>
      <c r="C184" s="65" t="s">
        <v>198</v>
      </c>
      <c r="D184" s="75">
        <f>(25.989*10.764)</f>
        <v>279.74559599999998</v>
      </c>
      <c r="E184" s="75"/>
      <c r="F184" s="61">
        <v>0</v>
      </c>
      <c r="G184" s="61">
        <f t="shared" si="5"/>
        <v>419.61839399999997</v>
      </c>
      <c r="H184" s="65" t="s">
        <v>147</v>
      </c>
      <c r="I184" s="113"/>
      <c r="J184" s="114"/>
    </row>
    <row r="185" spans="1:10" s="32" customFormat="1" ht="15.6" x14ac:dyDescent="0.3">
      <c r="A185" s="65">
        <v>10</v>
      </c>
      <c r="B185" s="65" t="s">
        <v>206</v>
      </c>
      <c r="C185" s="65" t="s">
        <v>198</v>
      </c>
      <c r="D185" s="75">
        <f>(25.989*10.764)</f>
        <v>279.74559599999998</v>
      </c>
      <c r="E185" s="75"/>
      <c r="F185" s="61">
        <v>0</v>
      </c>
      <c r="G185" s="61">
        <f t="shared" si="5"/>
        <v>419.61839399999997</v>
      </c>
      <c r="H185" s="65" t="s">
        <v>147</v>
      </c>
      <c r="I185" s="113"/>
      <c r="J185" s="114"/>
    </row>
    <row r="186" spans="1:10" s="32" customFormat="1" ht="15.6" x14ac:dyDescent="0.3">
      <c r="A186" s="65">
        <v>11</v>
      </c>
      <c r="B186" s="65" t="s">
        <v>205</v>
      </c>
      <c r="C186" s="65" t="s">
        <v>199</v>
      </c>
      <c r="D186" s="87">
        <f>(34.964+3.1725+0.781)*10.764</f>
        <v>418.90796999999992</v>
      </c>
      <c r="E186" s="88"/>
      <c r="F186" s="61">
        <v>0</v>
      </c>
      <c r="G186" s="61">
        <f t="shared" si="5"/>
        <v>628.36195499999985</v>
      </c>
      <c r="H186" s="65" t="s">
        <v>147</v>
      </c>
      <c r="I186" s="113"/>
      <c r="J186" s="114"/>
    </row>
    <row r="187" spans="1:10" s="32" customFormat="1" ht="15.6" x14ac:dyDescent="0.3">
      <c r="A187" s="65">
        <v>12</v>
      </c>
      <c r="B187" s="65" t="s">
        <v>206</v>
      </c>
      <c r="C187" s="65" t="s">
        <v>198</v>
      </c>
      <c r="D187" s="75">
        <f>26.294*10.764</f>
        <v>283.028616</v>
      </c>
      <c r="E187" s="75"/>
      <c r="F187" s="61">
        <v>0</v>
      </c>
      <c r="G187" s="61">
        <f t="shared" si="5"/>
        <v>424.54292399999997</v>
      </c>
      <c r="H187" s="65" t="s">
        <v>147</v>
      </c>
      <c r="I187" s="115"/>
      <c r="J187" s="116"/>
    </row>
    <row r="188" spans="1:10" s="34" customFormat="1" ht="15.6" x14ac:dyDescent="0.3">
      <c r="A188" s="81" t="s">
        <v>211</v>
      </c>
      <c r="B188" s="82"/>
      <c r="C188" s="82"/>
      <c r="D188" s="82"/>
      <c r="E188" s="82"/>
      <c r="F188" s="82"/>
      <c r="G188" s="82"/>
      <c r="H188" s="82"/>
      <c r="I188" s="82"/>
      <c r="J188" s="83"/>
    </row>
    <row r="189" spans="1:10" s="32" customFormat="1" ht="15.6" x14ac:dyDescent="0.3">
      <c r="A189" s="65">
        <v>1</v>
      </c>
      <c r="B189" s="65" t="s">
        <v>206</v>
      </c>
      <c r="C189" s="65" t="s">
        <v>198</v>
      </c>
      <c r="D189" s="75">
        <f>26.294*10.764</f>
        <v>283.028616</v>
      </c>
      <c r="E189" s="75"/>
      <c r="F189" s="61">
        <v>0</v>
      </c>
      <c r="G189" s="61">
        <f>D189*1.5</f>
        <v>424.54292399999997</v>
      </c>
      <c r="H189" s="65" t="s">
        <v>147</v>
      </c>
      <c r="I189" s="111" t="str">
        <f>A188</f>
        <v>20th &amp; 24th Floor</v>
      </c>
      <c r="J189" s="112"/>
    </row>
    <row r="190" spans="1:10" s="32" customFormat="1" ht="15.6" x14ac:dyDescent="0.3">
      <c r="A190" s="65">
        <v>2</v>
      </c>
      <c r="B190" s="65" t="s">
        <v>206</v>
      </c>
      <c r="C190" s="65" t="s">
        <v>199</v>
      </c>
      <c r="D190" s="87">
        <f>(34.964+3.1725+0.781)*10.764</f>
        <v>418.90796999999992</v>
      </c>
      <c r="E190" s="88"/>
      <c r="F190" s="61">
        <v>0</v>
      </c>
      <c r="G190" s="61">
        <f t="shared" ref="G190:G200" si="6">D190*1.5</f>
        <v>628.36195499999985</v>
      </c>
      <c r="H190" s="65" t="s">
        <v>147</v>
      </c>
      <c r="I190" s="113"/>
      <c r="J190" s="114"/>
    </row>
    <row r="191" spans="1:10" s="32" customFormat="1" ht="15.6" x14ac:dyDescent="0.3">
      <c r="A191" s="65">
        <v>3</v>
      </c>
      <c r="B191" s="65" t="s">
        <v>206</v>
      </c>
      <c r="C191" s="65" t="s">
        <v>199</v>
      </c>
      <c r="D191" s="87">
        <f>(34.296+0.743)*10.764</f>
        <v>377.15979599999997</v>
      </c>
      <c r="E191" s="88"/>
      <c r="F191" s="61">
        <v>0</v>
      </c>
      <c r="G191" s="61">
        <f t="shared" si="6"/>
        <v>565.73969399999999</v>
      </c>
      <c r="H191" s="65" t="s">
        <v>147</v>
      </c>
      <c r="I191" s="113"/>
      <c r="J191" s="114"/>
    </row>
    <row r="192" spans="1:10" s="32" customFormat="1" ht="15.6" x14ac:dyDescent="0.3">
      <c r="A192" s="65">
        <v>4</v>
      </c>
      <c r="B192" s="65" t="s">
        <v>206</v>
      </c>
      <c r="C192" s="65" t="s">
        <v>199</v>
      </c>
      <c r="D192" s="87">
        <f>(34.296+0.743)*10.764</f>
        <v>377.15979599999997</v>
      </c>
      <c r="E192" s="88"/>
      <c r="F192" s="61">
        <v>0</v>
      </c>
      <c r="G192" s="61">
        <f t="shared" si="6"/>
        <v>565.73969399999999</v>
      </c>
      <c r="H192" s="65" t="s">
        <v>147</v>
      </c>
      <c r="I192" s="113"/>
      <c r="J192" s="114"/>
    </row>
    <row r="193" spans="1:10" s="32" customFormat="1" ht="15.6" x14ac:dyDescent="0.3">
      <c r="A193" s="65">
        <v>5</v>
      </c>
      <c r="B193" s="65" t="s">
        <v>206</v>
      </c>
      <c r="C193" s="65" t="s">
        <v>199</v>
      </c>
      <c r="D193" s="87">
        <f>(34.964+3.1725+0.781)*10.764</f>
        <v>418.90796999999992</v>
      </c>
      <c r="E193" s="88"/>
      <c r="F193" s="61">
        <v>0</v>
      </c>
      <c r="G193" s="61">
        <f t="shared" si="6"/>
        <v>628.36195499999985</v>
      </c>
      <c r="H193" s="65" t="s">
        <v>147</v>
      </c>
      <c r="I193" s="113"/>
      <c r="J193" s="114"/>
    </row>
    <row r="194" spans="1:10" s="32" customFormat="1" ht="15.6" x14ac:dyDescent="0.3">
      <c r="A194" s="65">
        <v>6</v>
      </c>
      <c r="B194" s="65" t="s">
        <v>206</v>
      </c>
      <c r="C194" s="65" t="s">
        <v>198</v>
      </c>
      <c r="D194" s="75">
        <f>26.294*10.764</f>
        <v>283.028616</v>
      </c>
      <c r="E194" s="75"/>
      <c r="F194" s="61">
        <v>0</v>
      </c>
      <c r="G194" s="61">
        <f t="shared" si="6"/>
        <v>424.54292399999997</v>
      </c>
      <c r="H194" s="65" t="s">
        <v>147</v>
      </c>
      <c r="I194" s="113"/>
      <c r="J194" s="114"/>
    </row>
    <row r="195" spans="1:10" s="32" customFormat="1" ht="15.6" x14ac:dyDescent="0.3">
      <c r="A195" s="65">
        <v>7</v>
      </c>
      <c r="B195" s="65" t="s">
        <v>206</v>
      </c>
      <c r="C195" s="65" t="s">
        <v>198</v>
      </c>
      <c r="D195" s="75">
        <f>26.294*10.764</f>
        <v>283.028616</v>
      </c>
      <c r="E195" s="75"/>
      <c r="F195" s="61">
        <v>0</v>
      </c>
      <c r="G195" s="61">
        <f t="shared" si="6"/>
        <v>424.54292399999997</v>
      </c>
      <c r="H195" s="65" t="s">
        <v>147</v>
      </c>
      <c r="I195" s="113"/>
      <c r="J195" s="114"/>
    </row>
    <row r="196" spans="1:10" s="32" customFormat="1" ht="15.6" x14ac:dyDescent="0.3">
      <c r="A196" s="65">
        <v>8</v>
      </c>
      <c r="B196" s="65" t="s">
        <v>205</v>
      </c>
      <c r="C196" s="65" t="s">
        <v>199</v>
      </c>
      <c r="D196" s="87">
        <f>(34.964+3.1725+0.781)*10.764</f>
        <v>418.90796999999992</v>
      </c>
      <c r="E196" s="88"/>
      <c r="F196" s="61">
        <v>0</v>
      </c>
      <c r="G196" s="61">
        <f t="shared" si="6"/>
        <v>628.36195499999985</v>
      </c>
      <c r="H196" s="65" t="s">
        <v>147</v>
      </c>
      <c r="I196" s="113"/>
      <c r="J196" s="114"/>
    </row>
    <row r="197" spans="1:10" s="32" customFormat="1" ht="15.6" x14ac:dyDescent="0.3">
      <c r="A197" s="65">
        <v>9</v>
      </c>
      <c r="B197" s="65" t="s">
        <v>206</v>
      </c>
      <c r="C197" s="65" t="s">
        <v>198</v>
      </c>
      <c r="D197" s="75">
        <f>(25.989*10.764)</f>
        <v>279.74559599999998</v>
      </c>
      <c r="E197" s="75"/>
      <c r="F197" s="61">
        <v>0</v>
      </c>
      <c r="G197" s="61">
        <f t="shared" si="6"/>
        <v>419.61839399999997</v>
      </c>
      <c r="H197" s="65" t="s">
        <v>147</v>
      </c>
      <c r="I197" s="113"/>
      <c r="J197" s="114"/>
    </row>
    <row r="198" spans="1:10" s="32" customFormat="1" ht="15.6" x14ac:dyDescent="0.3">
      <c r="A198" s="65">
        <v>10</v>
      </c>
      <c r="B198" s="65" t="s">
        <v>206</v>
      </c>
      <c r="C198" s="65" t="s">
        <v>198</v>
      </c>
      <c r="D198" s="75">
        <f>(25.989*10.764)</f>
        <v>279.74559599999998</v>
      </c>
      <c r="E198" s="75"/>
      <c r="F198" s="61">
        <v>0</v>
      </c>
      <c r="G198" s="61">
        <f t="shared" si="6"/>
        <v>419.61839399999997</v>
      </c>
      <c r="H198" s="65" t="s">
        <v>147</v>
      </c>
      <c r="I198" s="113"/>
      <c r="J198" s="114"/>
    </row>
    <row r="199" spans="1:10" s="32" customFormat="1" ht="15.6" x14ac:dyDescent="0.3">
      <c r="A199" s="65">
        <v>11</v>
      </c>
      <c r="B199" s="65" t="s">
        <v>205</v>
      </c>
      <c r="C199" s="65" t="s">
        <v>199</v>
      </c>
      <c r="D199" s="87">
        <f>(34.964+3.1725+0.781)*10.764</f>
        <v>418.90796999999992</v>
      </c>
      <c r="E199" s="88"/>
      <c r="F199" s="61">
        <v>0</v>
      </c>
      <c r="G199" s="61">
        <f t="shared" si="6"/>
        <v>628.36195499999985</v>
      </c>
      <c r="H199" s="65" t="s">
        <v>147</v>
      </c>
      <c r="I199" s="113"/>
      <c r="J199" s="114"/>
    </row>
    <row r="200" spans="1:10" s="32" customFormat="1" ht="15.6" x14ac:dyDescent="0.3">
      <c r="A200" s="65">
        <v>12</v>
      </c>
      <c r="B200" s="65" t="s">
        <v>206</v>
      </c>
      <c r="C200" s="65" t="s">
        <v>198</v>
      </c>
      <c r="D200" s="75">
        <f>26.294*10.764</f>
        <v>283.028616</v>
      </c>
      <c r="E200" s="75"/>
      <c r="F200" s="61">
        <v>0</v>
      </c>
      <c r="G200" s="61">
        <f t="shared" si="6"/>
        <v>424.54292399999997</v>
      </c>
      <c r="H200" s="65" t="s">
        <v>147</v>
      </c>
      <c r="I200" s="115"/>
      <c r="J200" s="116"/>
    </row>
    <row r="201" spans="1:10" s="34" customFormat="1" ht="15.6" x14ac:dyDescent="0.3">
      <c r="A201" s="81" t="s">
        <v>209</v>
      </c>
      <c r="B201" s="82"/>
      <c r="C201" s="82"/>
      <c r="D201" s="82"/>
      <c r="E201" s="82"/>
      <c r="F201" s="82"/>
      <c r="G201" s="82"/>
      <c r="H201" s="82"/>
      <c r="I201" s="82"/>
      <c r="J201" s="83"/>
    </row>
    <row r="202" spans="1:10" s="32" customFormat="1" ht="15.75" customHeight="1" x14ac:dyDescent="0.3">
      <c r="A202" s="65">
        <v>1</v>
      </c>
      <c r="B202" s="65" t="s">
        <v>206</v>
      </c>
      <c r="C202" s="65" t="s">
        <v>198</v>
      </c>
      <c r="D202" s="75">
        <f>26.294*10.764</f>
        <v>283.028616</v>
      </c>
      <c r="E202" s="75"/>
      <c r="F202" s="61">
        <v>0</v>
      </c>
      <c r="G202" s="61">
        <f>D202*1.5</f>
        <v>424.54292399999997</v>
      </c>
      <c r="H202" s="65" t="s">
        <v>147</v>
      </c>
      <c r="I202" s="111" t="str">
        <f>A201</f>
        <v>13th Floor</v>
      </c>
      <c r="J202" s="112"/>
    </row>
    <row r="203" spans="1:10" s="32" customFormat="1" ht="15.6" x14ac:dyDescent="0.3">
      <c r="A203" s="65">
        <v>2</v>
      </c>
      <c r="B203" s="65" t="s">
        <v>206</v>
      </c>
      <c r="C203" s="95" t="s">
        <v>191</v>
      </c>
      <c r="D203" s="96"/>
      <c r="E203" s="96"/>
      <c r="F203" s="96"/>
      <c r="G203" s="96"/>
      <c r="H203" s="97"/>
      <c r="I203" s="113"/>
      <c r="J203" s="114"/>
    </row>
    <row r="204" spans="1:10" s="32" customFormat="1" ht="15.6" x14ac:dyDescent="0.3">
      <c r="A204" s="65">
        <v>3</v>
      </c>
      <c r="B204" s="65" t="s">
        <v>206</v>
      </c>
      <c r="C204" s="101"/>
      <c r="D204" s="102"/>
      <c r="E204" s="102"/>
      <c r="F204" s="102"/>
      <c r="G204" s="102"/>
      <c r="H204" s="103"/>
      <c r="I204" s="113"/>
      <c r="J204" s="114"/>
    </row>
    <row r="205" spans="1:10" s="32" customFormat="1" ht="15.6" x14ac:dyDescent="0.3">
      <c r="A205" s="65">
        <v>4</v>
      </c>
      <c r="B205" s="65" t="s">
        <v>206</v>
      </c>
      <c r="C205" s="65" t="s">
        <v>199</v>
      </c>
      <c r="D205" s="87">
        <f>(34.296+0.743)*10.764</f>
        <v>377.15979599999997</v>
      </c>
      <c r="E205" s="88"/>
      <c r="F205" s="61">
        <v>0</v>
      </c>
      <c r="G205" s="61">
        <f t="shared" ref="G205:G213" si="7">D205*1.5</f>
        <v>565.73969399999999</v>
      </c>
      <c r="H205" s="65" t="s">
        <v>147</v>
      </c>
      <c r="I205" s="113"/>
      <c r="J205" s="114"/>
    </row>
    <row r="206" spans="1:10" s="32" customFormat="1" ht="15.6" x14ac:dyDescent="0.3">
      <c r="A206" s="65">
        <v>5</v>
      </c>
      <c r="B206" s="65" t="s">
        <v>205</v>
      </c>
      <c r="C206" s="65" t="s">
        <v>199</v>
      </c>
      <c r="D206" s="75">
        <f>(34.964+0.781)*10.764</f>
        <v>384.75917999999996</v>
      </c>
      <c r="E206" s="75"/>
      <c r="F206" s="61">
        <v>0</v>
      </c>
      <c r="G206" s="61">
        <f t="shared" si="7"/>
        <v>577.13876999999991</v>
      </c>
      <c r="H206" s="65" t="s">
        <v>147</v>
      </c>
      <c r="I206" s="113"/>
      <c r="J206" s="114"/>
    </row>
    <row r="207" spans="1:10" s="32" customFormat="1" ht="15.75" customHeight="1" x14ac:dyDescent="0.3">
      <c r="A207" s="65">
        <v>6</v>
      </c>
      <c r="B207" s="65" t="s">
        <v>206</v>
      </c>
      <c r="C207" s="65" t="s">
        <v>198</v>
      </c>
      <c r="D207" s="75">
        <f>26.294*10.764</f>
        <v>283.028616</v>
      </c>
      <c r="E207" s="75"/>
      <c r="F207" s="61">
        <v>0</v>
      </c>
      <c r="G207" s="61">
        <f t="shared" si="7"/>
        <v>424.54292399999997</v>
      </c>
      <c r="H207" s="65" t="s">
        <v>147</v>
      </c>
      <c r="I207" s="113"/>
      <c r="J207" s="114"/>
    </row>
    <row r="208" spans="1:10" s="32" customFormat="1" ht="15.6" x14ac:dyDescent="0.3">
      <c r="A208" s="65">
        <v>7</v>
      </c>
      <c r="B208" s="65" t="s">
        <v>206</v>
      </c>
      <c r="C208" s="65" t="s">
        <v>198</v>
      </c>
      <c r="D208" s="75">
        <f>26.294*10.764</f>
        <v>283.028616</v>
      </c>
      <c r="E208" s="75"/>
      <c r="F208" s="61">
        <v>0</v>
      </c>
      <c r="G208" s="61">
        <f t="shared" si="7"/>
        <v>424.54292399999997</v>
      </c>
      <c r="H208" s="65" t="s">
        <v>147</v>
      </c>
      <c r="I208" s="113"/>
      <c r="J208" s="114"/>
    </row>
    <row r="209" spans="1:10" s="32" customFormat="1" ht="15.6" x14ac:dyDescent="0.3">
      <c r="A209" s="65">
        <v>8</v>
      </c>
      <c r="B209" s="65" t="s">
        <v>205</v>
      </c>
      <c r="C209" s="65" t="s">
        <v>199</v>
      </c>
      <c r="D209" s="75">
        <f>(34.964+0.781)*10.764</f>
        <v>384.75917999999996</v>
      </c>
      <c r="E209" s="75"/>
      <c r="F209" s="61">
        <v>0</v>
      </c>
      <c r="G209" s="61">
        <f t="shared" si="7"/>
        <v>577.13876999999991</v>
      </c>
      <c r="H209" s="65" t="s">
        <v>147</v>
      </c>
      <c r="I209" s="113"/>
      <c r="J209" s="114"/>
    </row>
    <row r="210" spans="1:10" s="32" customFormat="1" ht="15.6" x14ac:dyDescent="0.3">
      <c r="A210" s="65">
        <v>9</v>
      </c>
      <c r="B210" s="65" t="s">
        <v>206</v>
      </c>
      <c r="C210" s="65" t="s">
        <v>198</v>
      </c>
      <c r="D210" s="75">
        <f>(25.989*10.764)</f>
        <v>279.74559599999998</v>
      </c>
      <c r="E210" s="75"/>
      <c r="F210" s="61">
        <v>0</v>
      </c>
      <c r="G210" s="61">
        <f t="shared" si="7"/>
        <v>419.61839399999997</v>
      </c>
      <c r="H210" s="65" t="s">
        <v>147</v>
      </c>
      <c r="I210" s="113"/>
      <c r="J210" s="114"/>
    </row>
    <row r="211" spans="1:10" s="32" customFormat="1" ht="15.6" x14ac:dyDescent="0.3">
      <c r="A211" s="65">
        <v>10</v>
      </c>
      <c r="B211" s="65" t="s">
        <v>206</v>
      </c>
      <c r="C211" s="65" t="s">
        <v>198</v>
      </c>
      <c r="D211" s="75">
        <f>(25.989*10.764)</f>
        <v>279.74559599999998</v>
      </c>
      <c r="E211" s="75"/>
      <c r="F211" s="61">
        <v>0</v>
      </c>
      <c r="G211" s="61">
        <f t="shared" si="7"/>
        <v>419.61839399999997</v>
      </c>
      <c r="H211" s="65" t="s">
        <v>147</v>
      </c>
      <c r="I211" s="113"/>
      <c r="J211" s="114"/>
    </row>
    <row r="212" spans="1:10" s="32" customFormat="1" ht="15.6" x14ac:dyDescent="0.3">
      <c r="A212" s="65">
        <v>11</v>
      </c>
      <c r="B212" s="65" t="s">
        <v>205</v>
      </c>
      <c r="C212" s="65" t="s">
        <v>199</v>
      </c>
      <c r="D212" s="75">
        <f>(34.964+0.781)*10.764</f>
        <v>384.75917999999996</v>
      </c>
      <c r="E212" s="75"/>
      <c r="F212" s="61">
        <v>0</v>
      </c>
      <c r="G212" s="61">
        <f t="shared" si="7"/>
        <v>577.13876999999991</v>
      </c>
      <c r="H212" s="65" t="s">
        <v>147</v>
      </c>
      <c r="I212" s="113"/>
      <c r="J212" s="114"/>
    </row>
    <row r="213" spans="1:10" s="32" customFormat="1" ht="15.6" x14ac:dyDescent="0.3">
      <c r="A213" s="65">
        <v>12</v>
      </c>
      <c r="B213" s="65" t="s">
        <v>206</v>
      </c>
      <c r="C213" s="65" t="s">
        <v>198</v>
      </c>
      <c r="D213" s="75">
        <f>26.294*10.764</f>
        <v>283.028616</v>
      </c>
      <c r="E213" s="75"/>
      <c r="F213" s="61">
        <v>0</v>
      </c>
      <c r="G213" s="61">
        <f t="shared" si="7"/>
        <v>424.54292399999997</v>
      </c>
      <c r="H213" s="65" t="s">
        <v>147</v>
      </c>
      <c r="I213" s="115"/>
      <c r="J213" s="116"/>
    </row>
    <row r="214" spans="1:10" s="34" customFormat="1" ht="15.6" x14ac:dyDescent="0.3">
      <c r="A214" s="81" t="s">
        <v>208</v>
      </c>
      <c r="B214" s="82"/>
      <c r="C214" s="82"/>
      <c r="D214" s="82"/>
      <c r="E214" s="82"/>
      <c r="F214" s="82"/>
      <c r="G214" s="82"/>
      <c r="H214" s="82"/>
      <c r="I214" s="82"/>
      <c r="J214" s="83"/>
    </row>
    <row r="215" spans="1:10" s="32" customFormat="1" ht="15.6" customHeight="1" x14ac:dyDescent="0.3">
      <c r="A215" s="65">
        <v>1</v>
      </c>
      <c r="B215" s="65" t="s">
        <v>206</v>
      </c>
      <c r="C215" s="65" t="s">
        <v>198</v>
      </c>
      <c r="D215" s="75">
        <f>26.294*10.764</f>
        <v>283.028616</v>
      </c>
      <c r="E215" s="75"/>
      <c r="F215" s="61">
        <v>0</v>
      </c>
      <c r="G215" s="61">
        <f>D215*1.5</f>
        <v>424.54292399999997</v>
      </c>
      <c r="H215" s="65" t="s">
        <v>147</v>
      </c>
      <c r="I215" s="111" t="str">
        <f>A214</f>
        <v>18th &amp; 23rd Floor</v>
      </c>
      <c r="J215" s="112"/>
    </row>
    <row r="216" spans="1:10" s="32" customFormat="1" ht="15.6" x14ac:dyDescent="0.3">
      <c r="A216" s="65">
        <v>2</v>
      </c>
      <c r="B216" s="65" t="s">
        <v>206</v>
      </c>
      <c r="C216" s="95" t="s">
        <v>191</v>
      </c>
      <c r="D216" s="96"/>
      <c r="E216" s="96"/>
      <c r="F216" s="96"/>
      <c r="G216" s="96"/>
      <c r="H216" s="97"/>
      <c r="I216" s="113"/>
      <c r="J216" s="114"/>
    </row>
    <row r="217" spans="1:10" s="32" customFormat="1" ht="15.6" x14ac:dyDescent="0.3">
      <c r="A217" s="65">
        <v>3</v>
      </c>
      <c r="B217" s="65" t="s">
        <v>206</v>
      </c>
      <c r="C217" s="101"/>
      <c r="D217" s="102"/>
      <c r="E217" s="102"/>
      <c r="F217" s="102"/>
      <c r="G217" s="102"/>
      <c r="H217" s="103"/>
      <c r="I217" s="113"/>
      <c r="J217" s="114"/>
    </row>
    <row r="218" spans="1:10" s="32" customFormat="1" ht="15.6" x14ac:dyDescent="0.3">
      <c r="A218" s="65">
        <v>4</v>
      </c>
      <c r="B218" s="65" t="s">
        <v>206</v>
      </c>
      <c r="C218" s="65" t="s">
        <v>199</v>
      </c>
      <c r="D218" s="87">
        <f>(34.296+0.743)*10.764</f>
        <v>377.15979599999997</v>
      </c>
      <c r="E218" s="88"/>
      <c r="F218" s="61">
        <v>0</v>
      </c>
      <c r="G218" s="61">
        <f t="shared" ref="G218:G226" si="8">D218*1.5</f>
        <v>565.73969399999999</v>
      </c>
      <c r="H218" s="65" t="s">
        <v>147</v>
      </c>
      <c r="I218" s="113"/>
      <c r="J218" s="114"/>
    </row>
    <row r="219" spans="1:10" s="32" customFormat="1" ht="15.6" x14ac:dyDescent="0.3">
      <c r="A219" s="65">
        <v>5</v>
      </c>
      <c r="B219" s="65" t="s">
        <v>206</v>
      </c>
      <c r="C219" s="65" t="s">
        <v>199</v>
      </c>
      <c r="D219" s="75">
        <f>(34.964+0.781)*10.764</f>
        <v>384.75917999999996</v>
      </c>
      <c r="E219" s="75"/>
      <c r="F219" s="61">
        <v>0</v>
      </c>
      <c r="G219" s="61">
        <f t="shared" si="8"/>
        <v>577.13876999999991</v>
      </c>
      <c r="H219" s="65" t="s">
        <v>147</v>
      </c>
      <c r="I219" s="113"/>
      <c r="J219" s="114"/>
    </row>
    <row r="220" spans="1:10" s="32" customFormat="1" ht="15.75" customHeight="1" x14ac:dyDescent="0.3">
      <c r="A220" s="65">
        <v>6</v>
      </c>
      <c r="B220" s="65" t="s">
        <v>206</v>
      </c>
      <c r="C220" s="65" t="s">
        <v>198</v>
      </c>
      <c r="D220" s="75">
        <f>26.294*10.764</f>
        <v>283.028616</v>
      </c>
      <c r="E220" s="75"/>
      <c r="F220" s="61">
        <v>0</v>
      </c>
      <c r="G220" s="61">
        <f t="shared" si="8"/>
        <v>424.54292399999997</v>
      </c>
      <c r="H220" s="65" t="s">
        <v>147</v>
      </c>
      <c r="I220" s="113"/>
      <c r="J220" s="114"/>
    </row>
    <row r="221" spans="1:10" s="32" customFormat="1" ht="15.6" x14ac:dyDescent="0.3">
      <c r="A221" s="65">
        <v>7</v>
      </c>
      <c r="B221" s="65" t="s">
        <v>206</v>
      </c>
      <c r="C221" s="65" t="s">
        <v>198</v>
      </c>
      <c r="D221" s="75">
        <f>26.294*10.764</f>
        <v>283.028616</v>
      </c>
      <c r="E221" s="75"/>
      <c r="F221" s="61">
        <v>0</v>
      </c>
      <c r="G221" s="61">
        <f t="shared" si="8"/>
        <v>424.54292399999997</v>
      </c>
      <c r="H221" s="65" t="s">
        <v>147</v>
      </c>
      <c r="I221" s="113"/>
      <c r="J221" s="114"/>
    </row>
    <row r="222" spans="1:10" s="32" customFormat="1" ht="15.6" x14ac:dyDescent="0.3">
      <c r="A222" s="65">
        <v>8</v>
      </c>
      <c r="B222" s="65" t="s">
        <v>205</v>
      </c>
      <c r="C222" s="65" t="s">
        <v>199</v>
      </c>
      <c r="D222" s="75">
        <f>(34.964+0.781)*10.764</f>
        <v>384.75917999999996</v>
      </c>
      <c r="E222" s="75"/>
      <c r="F222" s="61">
        <v>0</v>
      </c>
      <c r="G222" s="61">
        <f t="shared" si="8"/>
        <v>577.13876999999991</v>
      </c>
      <c r="H222" s="65" t="s">
        <v>147</v>
      </c>
      <c r="I222" s="113"/>
      <c r="J222" s="114"/>
    </row>
    <row r="223" spans="1:10" s="32" customFormat="1" ht="15.75" customHeight="1" x14ac:dyDescent="0.3">
      <c r="A223" s="65">
        <v>9</v>
      </c>
      <c r="B223" s="65" t="s">
        <v>206</v>
      </c>
      <c r="C223" s="65" t="s">
        <v>198</v>
      </c>
      <c r="D223" s="75">
        <f>(25.989*10.764)</f>
        <v>279.74559599999998</v>
      </c>
      <c r="E223" s="75"/>
      <c r="F223" s="61">
        <v>0</v>
      </c>
      <c r="G223" s="61">
        <f t="shared" si="8"/>
        <v>419.61839399999997</v>
      </c>
      <c r="H223" s="65" t="s">
        <v>147</v>
      </c>
      <c r="I223" s="113"/>
      <c r="J223" s="114"/>
    </row>
    <row r="224" spans="1:10" s="32" customFormat="1" ht="15.6" x14ac:dyDescent="0.3">
      <c r="A224" s="65">
        <v>10</v>
      </c>
      <c r="B224" s="65" t="s">
        <v>206</v>
      </c>
      <c r="C224" s="65" t="s">
        <v>198</v>
      </c>
      <c r="D224" s="75">
        <f>(25.989*10.764)</f>
        <v>279.74559599999998</v>
      </c>
      <c r="E224" s="75"/>
      <c r="F224" s="61">
        <v>0</v>
      </c>
      <c r="G224" s="61">
        <f t="shared" si="8"/>
        <v>419.61839399999997</v>
      </c>
      <c r="H224" s="65" t="s">
        <v>147</v>
      </c>
      <c r="I224" s="113"/>
      <c r="J224" s="114"/>
    </row>
    <row r="225" spans="1:10" s="32" customFormat="1" ht="15.6" x14ac:dyDescent="0.3">
      <c r="A225" s="65">
        <v>11</v>
      </c>
      <c r="B225" s="65" t="s">
        <v>205</v>
      </c>
      <c r="C225" s="65" t="s">
        <v>199</v>
      </c>
      <c r="D225" s="75">
        <f>(34.964+0.781)*10.764</f>
        <v>384.75917999999996</v>
      </c>
      <c r="E225" s="75"/>
      <c r="F225" s="61">
        <v>0</v>
      </c>
      <c r="G225" s="61">
        <f t="shared" si="8"/>
        <v>577.13876999999991</v>
      </c>
      <c r="H225" s="65" t="s">
        <v>147</v>
      </c>
      <c r="I225" s="113"/>
      <c r="J225" s="114"/>
    </row>
    <row r="226" spans="1:10" s="32" customFormat="1" ht="15.6" x14ac:dyDescent="0.3">
      <c r="A226" s="65">
        <v>12</v>
      </c>
      <c r="B226" s="65" t="s">
        <v>206</v>
      </c>
      <c r="C226" s="65" t="s">
        <v>198</v>
      </c>
      <c r="D226" s="75">
        <f>26.294*10.764</f>
        <v>283.028616</v>
      </c>
      <c r="E226" s="75"/>
      <c r="F226" s="61">
        <v>0</v>
      </c>
      <c r="G226" s="61">
        <f t="shared" si="8"/>
        <v>424.54292399999997</v>
      </c>
      <c r="H226" s="65" t="s">
        <v>147</v>
      </c>
      <c r="I226" s="115"/>
      <c r="J226" s="116"/>
    </row>
    <row r="227" spans="1:10" ht="103.5" customHeight="1" x14ac:dyDescent="0.25">
      <c r="A227" s="151" t="s">
        <v>285</v>
      </c>
      <c r="B227" s="152"/>
      <c r="C227" s="152"/>
      <c r="D227" s="152"/>
      <c r="E227" s="152"/>
      <c r="F227" s="152"/>
      <c r="G227" s="152"/>
      <c r="H227" s="152"/>
      <c r="I227" s="152"/>
      <c r="J227" s="153"/>
    </row>
    <row r="228" spans="1:10" ht="38.4" customHeight="1" x14ac:dyDescent="0.25">
      <c r="A228" s="154"/>
      <c r="B228" s="155"/>
      <c r="C228" s="155"/>
      <c r="D228" s="155"/>
      <c r="E228" s="155"/>
      <c r="F228" s="155"/>
      <c r="G228" s="155"/>
      <c r="H228" s="155"/>
      <c r="I228" s="155"/>
      <c r="J228" s="156"/>
    </row>
    <row r="229" spans="1:10" x14ac:dyDescent="0.25">
      <c r="A229" s="143" t="s">
        <v>27</v>
      </c>
      <c r="B229" s="144"/>
      <c r="C229" s="144"/>
      <c r="D229" s="144"/>
      <c r="E229" s="144"/>
      <c r="F229" s="144"/>
      <c r="G229" s="144"/>
      <c r="H229" s="144"/>
      <c r="I229" s="144"/>
      <c r="J229" s="145"/>
    </row>
    <row r="230" spans="1:10" x14ac:dyDescent="0.25">
      <c r="A230" s="146" t="s">
        <v>34</v>
      </c>
      <c r="B230" s="73"/>
      <c r="C230" s="73"/>
      <c r="D230" s="73"/>
      <c r="E230" s="73"/>
      <c r="F230" s="73"/>
      <c r="G230" s="73"/>
      <c r="H230" s="73"/>
      <c r="I230" s="73"/>
      <c r="J230" s="74"/>
    </row>
    <row r="231" spans="1:10" x14ac:dyDescent="0.25">
      <c r="A231" s="143" t="s">
        <v>29</v>
      </c>
      <c r="B231" s="144"/>
      <c r="C231" s="144"/>
      <c r="D231" s="144"/>
      <c r="E231" s="144"/>
      <c r="F231" s="144"/>
      <c r="G231" s="144"/>
      <c r="H231" s="144"/>
      <c r="I231" s="144"/>
      <c r="J231" s="145"/>
    </row>
    <row r="232" spans="1:10" x14ac:dyDescent="0.25">
      <c r="A232" s="146" t="s">
        <v>39</v>
      </c>
      <c r="B232" s="73"/>
      <c r="C232" s="73"/>
      <c r="D232" s="73"/>
      <c r="E232" s="73"/>
      <c r="F232" s="73"/>
      <c r="G232" s="73"/>
      <c r="H232" s="73"/>
      <c r="I232" s="73"/>
      <c r="J232" s="74"/>
    </row>
    <row r="233" spans="1:10" ht="16.5" customHeight="1" x14ac:dyDescent="0.25">
      <c r="A233" s="147" t="s">
        <v>61</v>
      </c>
      <c r="B233" s="148"/>
      <c r="C233" s="148"/>
      <c r="D233" s="148"/>
      <c r="E233" s="148"/>
      <c r="F233" s="148"/>
      <c r="G233" s="148"/>
      <c r="H233" s="148"/>
      <c r="I233" s="148"/>
      <c r="J233" s="149"/>
    </row>
    <row r="234" spans="1:10" x14ac:dyDescent="0.25">
      <c r="A234" s="146" t="s">
        <v>40</v>
      </c>
      <c r="B234" s="73"/>
      <c r="C234" s="73"/>
      <c r="D234" s="73"/>
      <c r="E234" s="73"/>
      <c r="F234" s="73"/>
      <c r="G234" s="73"/>
      <c r="H234" s="73"/>
      <c r="I234" s="73"/>
      <c r="J234" s="74"/>
    </row>
    <row r="235" spans="1:10" x14ac:dyDescent="0.25">
      <c r="A235" s="146" t="s">
        <v>41</v>
      </c>
      <c r="B235" s="73"/>
      <c r="C235" s="73"/>
      <c r="D235" s="73"/>
      <c r="E235" s="73"/>
      <c r="F235" s="73"/>
      <c r="G235" s="73"/>
      <c r="H235" s="73"/>
      <c r="I235" s="73"/>
      <c r="J235" s="74"/>
    </row>
    <row r="236" spans="1:10" ht="30.75" customHeight="1" x14ac:dyDescent="0.25">
      <c r="A236" s="147" t="s">
        <v>42</v>
      </c>
      <c r="B236" s="148"/>
      <c r="C236" s="148"/>
      <c r="D236" s="148"/>
      <c r="E236" s="148"/>
      <c r="F236" s="148"/>
      <c r="G236" s="148"/>
      <c r="H236" s="148"/>
      <c r="I236" s="148"/>
      <c r="J236" s="149"/>
    </row>
    <row r="237" spans="1:10" ht="15.75" customHeight="1" x14ac:dyDescent="0.25">
      <c r="A237" s="150" t="s">
        <v>152</v>
      </c>
      <c r="B237" s="150"/>
      <c r="C237" s="150" t="s">
        <v>278</v>
      </c>
      <c r="D237" s="150"/>
      <c r="E237" s="150" t="s">
        <v>153</v>
      </c>
      <c r="F237" s="150"/>
      <c r="G237" s="150"/>
      <c r="H237" s="150" t="s">
        <v>284</v>
      </c>
      <c r="I237" s="150"/>
      <c r="J237" s="150"/>
    </row>
    <row r="238" spans="1:10" ht="15" customHeight="1" x14ac:dyDescent="0.25">
      <c r="A238" s="134" t="s">
        <v>28</v>
      </c>
      <c r="B238" s="135"/>
      <c r="C238" s="135"/>
      <c r="D238" s="135"/>
      <c r="E238" s="135"/>
      <c r="F238" s="135"/>
      <c r="G238" s="135"/>
      <c r="H238" s="135"/>
      <c r="I238" s="135"/>
      <c r="J238" s="136"/>
    </row>
    <row r="239" spans="1:10" x14ac:dyDescent="0.25">
      <c r="A239" s="137"/>
      <c r="B239" s="138"/>
      <c r="C239" s="138"/>
      <c r="D239" s="138"/>
      <c r="E239" s="138"/>
      <c r="F239" s="138"/>
      <c r="G239" s="138"/>
      <c r="H239" s="138"/>
      <c r="I239" s="138"/>
      <c r="J239" s="139"/>
    </row>
    <row r="240" spans="1:10" x14ac:dyDescent="0.25">
      <c r="A240" s="137"/>
      <c r="B240" s="138"/>
      <c r="C240" s="138"/>
      <c r="D240" s="138"/>
      <c r="E240" s="138"/>
      <c r="F240" s="138"/>
      <c r="G240" s="138"/>
      <c r="H240" s="138"/>
      <c r="I240" s="138"/>
      <c r="J240" s="139"/>
    </row>
    <row r="241" spans="1:10" x14ac:dyDescent="0.25">
      <c r="A241" s="140"/>
      <c r="B241" s="141"/>
      <c r="C241" s="141"/>
      <c r="D241" s="141"/>
      <c r="E241" s="141"/>
      <c r="F241" s="141"/>
      <c r="G241" s="141"/>
      <c r="H241" s="141"/>
      <c r="I241" s="141"/>
      <c r="J241" s="142"/>
    </row>
    <row r="242" spans="1:10" x14ac:dyDescent="0.25">
      <c r="A242" s="71" t="str">
        <f>F8</f>
        <v>Tulip D4 - Wise City (Plot RZ9 : Building 1 Wing D4)</v>
      </c>
      <c r="D242" s="71"/>
    </row>
    <row r="285" spans="1:16" x14ac:dyDescent="0.25">
      <c r="A285" s="23" t="s">
        <v>138</v>
      </c>
      <c r="P285" s="23" t="s">
        <v>275</v>
      </c>
    </row>
  </sheetData>
  <mergeCells count="334">
    <mergeCell ref="D173:E173"/>
    <mergeCell ref="A171:B171"/>
    <mergeCell ref="D171:E171"/>
    <mergeCell ref="I163:J174"/>
    <mergeCell ref="H61:J61"/>
    <mergeCell ref="A62:B62"/>
    <mergeCell ref="D62:E62"/>
    <mergeCell ref="F62:G71"/>
    <mergeCell ref="H62:J71"/>
    <mergeCell ref="A63:B63"/>
    <mergeCell ref="D63:E63"/>
    <mergeCell ref="A64:B64"/>
    <mergeCell ref="D64:E64"/>
    <mergeCell ref="A65:B65"/>
    <mergeCell ref="D65:E65"/>
    <mergeCell ref="A66:B66"/>
    <mergeCell ref="D66:E66"/>
    <mergeCell ref="A67:B67"/>
    <mergeCell ref="D67:E67"/>
    <mergeCell ref="A68:B68"/>
    <mergeCell ref="C165:H165"/>
    <mergeCell ref="A167:B167"/>
    <mergeCell ref="A169:B169"/>
    <mergeCell ref="D169:E169"/>
    <mergeCell ref="B21:E21"/>
    <mergeCell ref="G21:J21"/>
    <mergeCell ref="A28:E28"/>
    <mergeCell ref="F28:J28"/>
    <mergeCell ref="A29:E29"/>
    <mergeCell ref="F29:J29"/>
    <mergeCell ref="D148:E148"/>
    <mergeCell ref="C133:H134"/>
    <mergeCell ref="D68:E68"/>
    <mergeCell ref="A69:B69"/>
    <mergeCell ref="D69:E69"/>
    <mergeCell ref="A70:B70"/>
    <mergeCell ref="I137:J148"/>
    <mergeCell ref="D138:E138"/>
    <mergeCell ref="D141:E141"/>
    <mergeCell ref="D125:E125"/>
    <mergeCell ref="I124:J135"/>
    <mergeCell ref="B22:E22"/>
    <mergeCell ref="G22:J22"/>
    <mergeCell ref="A23:B23"/>
    <mergeCell ref="C23:E23"/>
    <mergeCell ref="F23:G23"/>
    <mergeCell ref="H23:J23"/>
    <mergeCell ref="A30:E30"/>
    <mergeCell ref="D179:E179"/>
    <mergeCell ref="D213:E213"/>
    <mergeCell ref="D193:E193"/>
    <mergeCell ref="D160:E160"/>
    <mergeCell ref="D161:E161"/>
    <mergeCell ref="A188:J188"/>
    <mergeCell ref="D177:E177"/>
    <mergeCell ref="D178:E178"/>
    <mergeCell ref="D187:E187"/>
    <mergeCell ref="D167:E167"/>
    <mergeCell ref="D168:E168"/>
    <mergeCell ref="A163:B163"/>
    <mergeCell ref="D163:E163"/>
    <mergeCell ref="A164:B164"/>
    <mergeCell ref="A165:B165"/>
    <mergeCell ref="A166:B166"/>
    <mergeCell ref="C164:H164"/>
    <mergeCell ref="D183:E183"/>
    <mergeCell ref="D184:E184"/>
    <mergeCell ref="A174:B174"/>
    <mergeCell ref="D174:E174"/>
    <mergeCell ref="A172:B172"/>
    <mergeCell ref="D172:E172"/>
    <mergeCell ref="A173:B173"/>
    <mergeCell ref="D176:E176"/>
    <mergeCell ref="A175:J175"/>
    <mergeCell ref="D182:E182"/>
    <mergeCell ref="D180:E180"/>
    <mergeCell ref="I215:J226"/>
    <mergeCell ref="I202:J213"/>
    <mergeCell ref="D206:E206"/>
    <mergeCell ref="D207:E207"/>
    <mergeCell ref="D208:E208"/>
    <mergeCell ref="D197:E197"/>
    <mergeCell ref="D181:E181"/>
    <mergeCell ref="D185:E185"/>
    <mergeCell ref="D209:E209"/>
    <mergeCell ref="I176:J187"/>
    <mergeCell ref="D226:E226"/>
    <mergeCell ref="D211:E211"/>
    <mergeCell ref="D212:E212"/>
    <mergeCell ref="D200:E200"/>
    <mergeCell ref="D189:E189"/>
    <mergeCell ref="D196:E196"/>
    <mergeCell ref="D224:E224"/>
    <mergeCell ref="D220:E220"/>
    <mergeCell ref="D190:E190"/>
    <mergeCell ref="D210:E210"/>
    <mergeCell ref="D198:E198"/>
    <mergeCell ref="D199:E199"/>
    <mergeCell ref="D194:E194"/>
    <mergeCell ref="D195:E195"/>
    <mergeCell ref="D225:E225"/>
    <mergeCell ref="D191:E191"/>
    <mergeCell ref="D192:E192"/>
    <mergeCell ref="D222:E222"/>
    <mergeCell ref="D223:E223"/>
    <mergeCell ref="D218:E218"/>
    <mergeCell ref="D219:E219"/>
    <mergeCell ref="A201:J201"/>
    <mergeCell ref="D202:E202"/>
    <mergeCell ref="C203:H204"/>
    <mergeCell ref="D205:E205"/>
    <mergeCell ref="I189:J200"/>
    <mergeCell ref="D221:E221"/>
    <mergeCell ref="A214:J214"/>
    <mergeCell ref="D215:E215"/>
    <mergeCell ref="C216:H217"/>
    <mergeCell ref="A170:B170"/>
    <mergeCell ref="D170:E170"/>
    <mergeCell ref="D166:E166"/>
    <mergeCell ref="I150:J161"/>
    <mergeCell ref="A1:J1"/>
    <mergeCell ref="A2:J2"/>
    <mergeCell ref="A3:E3"/>
    <mergeCell ref="F3:J3"/>
    <mergeCell ref="A4:E4"/>
    <mergeCell ref="F4:J4"/>
    <mergeCell ref="A6:E6"/>
    <mergeCell ref="F6:J6"/>
    <mergeCell ref="A7:E7"/>
    <mergeCell ref="A5:E5"/>
    <mergeCell ref="F5:J5"/>
    <mergeCell ref="A12:J12"/>
    <mergeCell ref="A13:E13"/>
    <mergeCell ref="F13:J13"/>
    <mergeCell ref="A14:E14"/>
    <mergeCell ref="F14:J14"/>
    <mergeCell ref="C17:E17"/>
    <mergeCell ref="F7:J7"/>
    <mergeCell ref="H20:J20"/>
    <mergeCell ref="A8:E8"/>
    <mergeCell ref="F8:J8"/>
    <mergeCell ref="A11:E11"/>
    <mergeCell ref="F11:J11"/>
    <mergeCell ref="F17:G17"/>
    <mergeCell ref="H17:J17"/>
    <mergeCell ref="A16:B17"/>
    <mergeCell ref="C16:E16"/>
    <mergeCell ref="F16:G16"/>
    <mergeCell ref="H16:J16"/>
    <mergeCell ref="A19:B19"/>
    <mergeCell ref="C19:J19"/>
    <mergeCell ref="A15:J15"/>
    <mergeCell ref="A18:J18"/>
    <mergeCell ref="A9:E9"/>
    <mergeCell ref="F9:J9"/>
    <mergeCell ref="A10:E10"/>
    <mergeCell ref="F10:J10"/>
    <mergeCell ref="D20:F20"/>
    <mergeCell ref="F30:J30"/>
    <mergeCell ref="A24:E25"/>
    <mergeCell ref="F24:J25"/>
    <mergeCell ref="A26:E26"/>
    <mergeCell ref="F26:J26"/>
    <mergeCell ref="A27:E27"/>
    <mergeCell ref="F27:J27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5:J35"/>
    <mergeCell ref="A33:B33"/>
    <mergeCell ref="C33:D33"/>
    <mergeCell ref="E33:F33"/>
    <mergeCell ref="G33:H33"/>
    <mergeCell ref="I33:J33"/>
    <mergeCell ref="A34:J34"/>
    <mergeCell ref="A36:B36"/>
    <mergeCell ref="C36:J36"/>
    <mergeCell ref="A37:B37"/>
    <mergeCell ref="C37:J37"/>
    <mergeCell ref="A38:J38"/>
    <mergeCell ref="A39:J40"/>
    <mergeCell ref="A41:E41"/>
    <mergeCell ref="F41:J41"/>
    <mergeCell ref="A51:B51"/>
    <mergeCell ref="C51:F51"/>
    <mergeCell ref="H51:J51"/>
    <mergeCell ref="A42:E42"/>
    <mergeCell ref="F42:J42"/>
    <mergeCell ref="A43:E43"/>
    <mergeCell ref="A47:J47"/>
    <mergeCell ref="F45:J45"/>
    <mergeCell ref="A48:B48"/>
    <mergeCell ref="C48:F48"/>
    <mergeCell ref="A49:B49"/>
    <mergeCell ref="C49:F49"/>
    <mergeCell ref="H48:J48"/>
    <mergeCell ref="H49:J49"/>
    <mergeCell ref="F43:J43"/>
    <mergeCell ref="A44:E44"/>
    <mergeCell ref="F44:J44"/>
    <mergeCell ref="A45:E45"/>
    <mergeCell ref="A46:E46"/>
    <mergeCell ref="F46:J46"/>
    <mergeCell ref="A53:J53"/>
    <mergeCell ref="A54:C54"/>
    <mergeCell ref="D54:E54"/>
    <mergeCell ref="F54:H54"/>
    <mergeCell ref="I54:J54"/>
    <mergeCell ref="A55:C55"/>
    <mergeCell ref="D55:J55"/>
    <mergeCell ref="A50:B50"/>
    <mergeCell ref="C50:F50"/>
    <mergeCell ref="I50:J50"/>
    <mergeCell ref="A52:C52"/>
    <mergeCell ref="D52:E52"/>
    <mergeCell ref="F52:G52"/>
    <mergeCell ref="H52:J52"/>
    <mergeCell ref="A86:F86"/>
    <mergeCell ref="G86:J86"/>
    <mergeCell ref="D70:E70"/>
    <mergeCell ref="A71:B71"/>
    <mergeCell ref="A61:B61"/>
    <mergeCell ref="D61:E61"/>
    <mergeCell ref="A56:E56"/>
    <mergeCell ref="F56:J56"/>
    <mergeCell ref="A57:J57"/>
    <mergeCell ref="A58:B58"/>
    <mergeCell ref="C58:J58"/>
    <mergeCell ref="E59:F59"/>
    <mergeCell ref="I59:J59"/>
    <mergeCell ref="A60:B60"/>
    <mergeCell ref="C60:J60"/>
    <mergeCell ref="A85:F85"/>
    <mergeCell ref="G85:J85"/>
    <mergeCell ref="A83:F83"/>
    <mergeCell ref="G83:J83"/>
    <mergeCell ref="A84:F84"/>
    <mergeCell ref="G84:J84"/>
    <mergeCell ref="F61:G61"/>
    <mergeCell ref="A72:J72"/>
    <mergeCell ref="A73:J73"/>
    <mergeCell ref="A74:J80"/>
    <mergeCell ref="A81:J81"/>
    <mergeCell ref="A82:F82"/>
    <mergeCell ref="G82:J82"/>
    <mergeCell ref="D71:E71"/>
    <mergeCell ref="A238:J241"/>
    <mergeCell ref="A229:J229"/>
    <mergeCell ref="A230:J230"/>
    <mergeCell ref="A231:J231"/>
    <mergeCell ref="A232:J232"/>
    <mergeCell ref="A233:J233"/>
    <mergeCell ref="A234:J234"/>
    <mergeCell ref="H237:J237"/>
    <mergeCell ref="A237:B237"/>
    <mergeCell ref="C237:D237"/>
    <mergeCell ref="E237:G237"/>
    <mergeCell ref="A236:J236"/>
    <mergeCell ref="A235:J235"/>
    <mergeCell ref="A95:J95"/>
    <mergeCell ref="A227:J228"/>
    <mergeCell ref="A90:B90"/>
    <mergeCell ref="D90:F90"/>
    <mergeCell ref="D144:E144"/>
    <mergeCell ref="D98:E98"/>
    <mergeCell ref="G91:J91"/>
    <mergeCell ref="D111:E111"/>
    <mergeCell ref="C100:H100"/>
    <mergeCell ref="I111:J122"/>
    <mergeCell ref="D112:E112"/>
    <mergeCell ref="D113:E113"/>
    <mergeCell ref="I98:J109"/>
    <mergeCell ref="D99:E99"/>
    <mergeCell ref="D101:E101"/>
    <mergeCell ref="D102:E102"/>
    <mergeCell ref="D109:E109"/>
    <mergeCell ref="A97:J97"/>
    <mergeCell ref="A94:J94"/>
    <mergeCell ref="C116:H121"/>
    <mergeCell ref="D186:E186"/>
    <mergeCell ref="D139:E139"/>
    <mergeCell ref="A149:J149"/>
    <mergeCell ref="D150:E150"/>
    <mergeCell ref="A92:J92"/>
    <mergeCell ref="D153:E153"/>
    <mergeCell ref="D157:E157"/>
    <mergeCell ref="A168:B168"/>
    <mergeCell ref="A162:J162"/>
    <mergeCell ref="D127:E127"/>
    <mergeCell ref="D128:E128"/>
    <mergeCell ref="D135:E135"/>
    <mergeCell ref="C129:H132"/>
    <mergeCell ref="D147:E147"/>
    <mergeCell ref="A136:J136"/>
    <mergeCell ref="D143:E143"/>
    <mergeCell ref="D152:E152"/>
    <mergeCell ref="D140:E140"/>
    <mergeCell ref="D159:E159"/>
    <mergeCell ref="D154:E154"/>
    <mergeCell ref="D155:E155"/>
    <mergeCell ref="D156:E156"/>
    <mergeCell ref="D145:E145"/>
    <mergeCell ref="D146:E146"/>
    <mergeCell ref="K10:O10"/>
    <mergeCell ref="D137:E137"/>
    <mergeCell ref="D158:E158"/>
    <mergeCell ref="A87:F87"/>
    <mergeCell ref="G87:J87"/>
    <mergeCell ref="G90:J90"/>
    <mergeCell ref="A96:J96"/>
    <mergeCell ref="D93:E93"/>
    <mergeCell ref="I93:J93"/>
    <mergeCell ref="A91:B91"/>
    <mergeCell ref="D91:F91"/>
    <mergeCell ref="D151:E151"/>
    <mergeCell ref="D142:E142"/>
    <mergeCell ref="D126:E126"/>
    <mergeCell ref="A123:J123"/>
    <mergeCell ref="D124:E124"/>
    <mergeCell ref="D114:E114"/>
    <mergeCell ref="D115:E115"/>
    <mergeCell ref="D122:E122"/>
    <mergeCell ref="A88:F88"/>
    <mergeCell ref="G88:J88"/>
    <mergeCell ref="A89:J89"/>
    <mergeCell ref="C103:H108"/>
    <mergeCell ref="A110:J110"/>
  </mergeCells>
  <hyperlinks>
    <hyperlink ref="C37" r:id="rId1" xr:uid="{00000000-0004-0000-0000-000000000000}"/>
  </hyperlinks>
  <printOptions horizontalCentered="1"/>
  <pageMargins left="0.43307086614173229" right="0.43307086614173229" top="0.78740157480314965" bottom="1.1811023622047245" header="0.19685039370078741" footer="0.19685039370078741"/>
  <pageSetup paperSize="2" fitToHeight="0" orientation="portrait" r:id="rId2"/>
  <headerFooter>
    <oddHeader>&amp;C&amp;G</oddHeader>
    <oddFooter>&amp;L&amp;"Times New Roman,Bold"Ref No: &amp;F&amp;C&amp;G&amp;R&amp;P</oddFooter>
  </headerFooter>
  <rowBreaks count="2" manualBreakCount="2">
    <brk id="241" max="16383" man="1"/>
    <brk id="28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9"/>
  <sheetViews>
    <sheetView topLeftCell="A7" workbookViewId="0">
      <selection activeCell="C8" sqref="C8"/>
    </sheetView>
  </sheetViews>
  <sheetFormatPr defaultColWidth="9.109375" defaultRowHeight="13.8" x14ac:dyDescent="0.25"/>
  <cols>
    <col min="1" max="1" width="20.5546875" style="9" customWidth="1"/>
    <col min="2" max="2" width="11.6640625" style="9" customWidth="1"/>
    <col min="3" max="4" width="9.109375" style="9"/>
    <col min="5" max="5" width="10.109375" style="9" customWidth="1"/>
    <col min="6" max="6" width="10.6640625" style="9" customWidth="1"/>
    <col min="7" max="7" width="9.109375" style="9"/>
    <col min="8" max="8" width="10.44140625" style="9" customWidth="1"/>
    <col min="9" max="9" width="15.44140625" style="9" customWidth="1"/>
    <col min="10" max="16384" width="9.109375" style="9"/>
  </cols>
  <sheetData>
    <row r="2" spans="1:13" x14ac:dyDescent="0.25">
      <c r="A2" s="8" t="s">
        <v>160</v>
      </c>
      <c r="B2" s="8" t="s">
        <v>161</v>
      </c>
      <c r="C2" s="8" t="s">
        <v>162</v>
      </c>
      <c r="D2" s="242" t="s">
        <v>163</v>
      </c>
      <c r="E2" s="242"/>
    </row>
    <row r="3" spans="1:13" x14ac:dyDescent="0.25">
      <c r="A3" s="10">
        <v>0</v>
      </c>
      <c r="B3" s="10">
        <v>0</v>
      </c>
      <c r="C3" s="10">
        <v>1</v>
      </c>
      <c r="D3" s="243">
        <v>25</v>
      </c>
      <c r="E3" s="243"/>
    </row>
    <row r="5" spans="1:13" hidden="1" x14ac:dyDescent="0.25">
      <c r="A5" s="9" t="s">
        <v>126</v>
      </c>
      <c r="B5" s="11" t="s">
        <v>164</v>
      </c>
      <c r="C5" s="11">
        <f>D3</f>
        <v>25</v>
      </c>
      <c r="D5" s="12"/>
    </row>
    <row r="6" spans="1:13" x14ac:dyDescent="0.25">
      <c r="A6" s="9" t="s">
        <v>127</v>
      </c>
      <c r="B6" s="13">
        <v>10</v>
      </c>
      <c r="C6" s="14">
        <v>10</v>
      </c>
      <c r="D6" s="15">
        <f>((100/B6)*C6)/100</f>
        <v>1</v>
      </c>
    </row>
    <row r="7" spans="1:13" x14ac:dyDescent="0.25">
      <c r="A7" s="9" t="s">
        <v>128</v>
      </c>
      <c r="B7" s="13">
        <f>A3+B3+C3+D3</f>
        <v>26</v>
      </c>
      <c r="C7" s="14">
        <v>0</v>
      </c>
      <c r="D7" s="15">
        <f t="shared" ref="D7:D12" si="0">((100/B7)*C7)/100</f>
        <v>0</v>
      </c>
      <c r="F7" s="244" t="s">
        <v>165</v>
      </c>
      <c r="G7" s="244"/>
      <c r="H7" s="16" t="s">
        <v>166</v>
      </c>
      <c r="J7" s="17"/>
    </row>
    <row r="8" spans="1:13" x14ac:dyDescent="0.25">
      <c r="A8" s="9" t="s">
        <v>133</v>
      </c>
      <c r="B8" s="13">
        <f>C5+1</f>
        <v>26</v>
      </c>
      <c r="C8" s="14">
        <v>0</v>
      </c>
      <c r="D8" s="15">
        <f t="shared" si="0"/>
        <v>0</v>
      </c>
      <c r="F8" s="245" t="s">
        <v>167</v>
      </c>
      <c r="G8" s="245"/>
      <c r="H8" s="13" t="s">
        <v>168</v>
      </c>
    </row>
    <row r="9" spans="1:13" x14ac:dyDescent="0.25">
      <c r="A9" s="9" t="s">
        <v>135</v>
      </c>
      <c r="B9" s="13">
        <f>C5+1</f>
        <v>26</v>
      </c>
      <c r="C9" s="14">
        <v>0</v>
      </c>
      <c r="D9" s="15">
        <f t="shared" si="0"/>
        <v>0</v>
      </c>
      <c r="F9" s="245" t="s">
        <v>169</v>
      </c>
      <c r="G9" s="245"/>
      <c r="H9" s="13" t="s">
        <v>170</v>
      </c>
    </row>
    <row r="10" spans="1:13" x14ac:dyDescent="0.25">
      <c r="A10" s="9" t="s">
        <v>45</v>
      </c>
      <c r="B10" s="13">
        <f>C5+1</f>
        <v>26</v>
      </c>
      <c r="C10" s="14">
        <v>0</v>
      </c>
      <c r="D10" s="15">
        <f t="shared" si="0"/>
        <v>0</v>
      </c>
      <c r="F10" s="245" t="s">
        <v>171</v>
      </c>
      <c r="G10" s="245"/>
      <c r="H10" s="13" t="s">
        <v>172</v>
      </c>
    </row>
    <row r="11" spans="1:13" x14ac:dyDescent="0.25">
      <c r="A11" s="18" t="s">
        <v>131</v>
      </c>
      <c r="B11" s="13">
        <f>C5+1</f>
        <v>26</v>
      </c>
      <c r="C11" s="14">
        <v>0</v>
      </c>
      <c r="D11" s="15">
        <f t="shared" si="0"/>
        <v>0</v>
      </c>
      <c r="F11" s="245" t="s">
        <v>173</v>
      </c>
      <c r="G11" s="245"/>
      <c r="H11" s="13" t="s">
        <v>174</v>
      </c>
    </row>
    <row r="12" spans="1:13" x14ac:dyDescent="0.25">
      <c r="A12" s="9" t="s">
        <v>46</v>
      </c>
      <c r="B12" s="13">
        <f>C5+1</f>
        <v>26</v>
      </c>
      <c r="C12" s="14">
        <v>0</v>
      </c>
      <c r="D12" s="15">
        <f t="shared" si="0"/>
        <v>0</v>
      </c>
      <c r="F12" s="245" t="s">
        <v>175</v>
      </c>
      <c r="G12" s="245"/>
      <c r="H12" s="13" t="s">
        <v>176</v>
      </c>
    </row>
    <row r="13" spans="1:13" x14ac:dyDescent="0.25">
      <c r="F13" s="245" t="s">
        <v>177</v>
      </c>
      <c r="G13" s="245"/>
      <c r="H13" s="13" t="s">
        <v>178</v>
      </c>
    </row>
    <row r="14" spans="1:13" hidden="1" x14ac:dyDescent="0.25">
      <c r="A14" s="8"/>
      <c r="B14" s="8" t="s">
        <v>132</v>
      </c>
      <c r="C14" s="8" t="s">
        <v>136</v>
      </c>
      <c r="G14" s="8" t="s">
        <v>127</v>
      </c>
      <c r="H14" s="8" t="s">
        <v>129</v>
      </c>
      <c r="I14" s="8" t="s">
        <v>130</v>
      </c>
      <c r="J14" s="8" t="s">
        <v>38</v>
      </c>
      <c r="K14" s="8" t="s">
        <v>45</v>
      </c>
      <c r="L14" s="8" t="s">
        <v>131</v>
      </c>
      <c r="M14" s="8" t="s">
        <v>46</v>
      </c>
    </row>
    <row r="15" spans="1:13" hidden="1" x14ac:dyDescent="0.25">
      <c r="A15" s="8" t="s">
        <v>36</v>
      </c>
      <c r="B15" s="8">
        <f>G15</f>
        <v>10</v>
      </c>
      <c r="C15" s="8">
        <f>G16</f>
        <v>30</v>
      </c>
      <c r="E15" s="242" t="s">
        <v>132</v>
      </c>
      <c r="F15" s="242"/>
      <c r="G15" s="19">
        <f>C6</f>
        <v>10</v>
      </c>
      <c r="H15" s="19">
        <f>40/B7*C7</f>
        <v>0</v>
      </c>
      <c r="I15" s="19">
        <f>15/B8*C8</f>
        <v>0</v>
      </c>
      <c r="J15" s="19">
        <f>10/B9*C9</f>
        <v>0</v>
      </c>
      <c r="K15" s="19">
        <f>10/B10*C10</f>
        <v>0</v>
      </c>
      <c r="L15" s="19">
        <f>5/B11*C11</f>
        <v>0</v>
      </c>
      <c r="M15" s="19">
        <f>5/B12*C12</f>
        <v>0</v>
      </c>
    </row>
    <row r="16" spans="1:13" hidden="1" x14ac:dyDescent="0.25">
      <c r="A16" s="8" t="s">
        <v>37</v>
      </c>
      <c r="B16" s="8">
        <f>H15</f>
        <v>0</v>
      </c>
      <c r="C16" s="8">
        <f>H16</f>
        <v>0</v>
      </c>
      <c r="E16" s="242" t="s">
        <v>134</v>
      </c>
      <c r="F16" s="242"/>
      <c r="G16" s="8">
        <f>G15+20</f>
        <v>30</v>
      </c>
      <c r="H16" s="8">
        <f>30/B7*C7</f>
        <v>0</v>
      </c>
      <c r="I16" s="8">
        <f>15/B8*C8</f>
        <v>0</v>
      </c>
      <c r="J16" s="8">
        <f>10/B9*C9</f>
        <v>0</v>
      </c>
      <c r="K16" s="8">
        <f>5/B10*C10</f>
        <v>0</v>
      </c>
      <c r="L16" s="8">
        <f>5/B11*C11</f>
        <v>0</v>
      </c>
      <c r="M16" s="8">
        <f>5/B12*C12</f>
        <v>0</v>
      </c>
    </row>
    <row r="17" spans="1:8" hidden="1" x14ac:dyDescent="0.25">
      <c r="A17" s="8" t="s">
        <v>130</v>
      </c>
      <c r="B17" s="8">
        <f>I15</f>
        <v>0</v>
      </c>
      <c r="C17" s="8">
        <f>I16</f>
        <v>0</v>
      </c>
    </row>
    <row r="18" spans="1:8" hidden="1" x14ac:dyDescent="0.25">
      <c r="A18" s="8" t="s">
        <v>38</v>
      </c>
      <c r="B18" s="8">
        <f>J15</f>
        <v>0</v>
      </c>
      <c r="C18" s="8">
        <f>J16</f>
        <v>0</v>
      </c>
    </row>
    <row r="19" spans="1:8" hidden="1" x14ac:dyDescent="0.25">
      <c r="A19" s="8" t="s">
        <v>45</v>
      </c>
      <c r="B19" s="8">
        <f>K15</f>
        <v>0</v>
      </c>
      <c r="C19" s="8">
        <f>K16</f>
        <v>0</v>
      </c>
    </row>
    <row r="20" spans="1:8" hidden="1" x14ac:dyDescent="0.25">
      <c r="A20" s="20" t="s">
        <v>131</v>
      </c>
      <c r="B20" s="8">
        <f>L15</f>
        <v>0</v>
      </c>
      <c r="C20" s="8">
        <f>L16</f>
        <v>0</v>
      </c>
    </row>
    <row r="21" spans="1:8" hidden="1" x14ac:dyDescent="0.25">
      <c r="A21" s="8" t="s">
        <v>46</v>
      </c>
      <c r="B21" s="8">
        <f>M15</f>
        <v>0</v>
      </c>
      <c r="C21" s="8">
        <f>M16</f>
        <v>0</v>
      </c>
    </row>
    <row r="22" spans="1:8" x14ac:dyDescent="0.25">
      <c r="A22" s="8" t="s">
        <v>137</v>
      </c>
      <c r="B22" s="21">
        <f>(B15+B16+B17+B18+B19+B20+B21)/100</f>
        <v>0.1</v>
      </c>
      <c r="C22" s="21">
        <f>(C15+C16+C17+C18+C19+C20+C21)/100</f>
        <v>0.3</v>
      </c>
      <c r="F22" s="245" t="s">
        <v>179</v>
      </c>
      <c r="G22" s="245"/>
      <c r="H22" s="13" t="s">
        <v>170</v>
      </c>
    </row>
    <row r="23" spans="1:8" x14ac:dyDescent="0.25">
      <c r="F23" s="245" t="s">
        <v>180</v>
      </c>
      <c r="G23" s="245"/>
      <c r="H23" s="13" t="s">
        <v>181</v>
      </c>
    </row>
    <row r="24" spans="1:8" x14ac:dyDescent="0.25">
      <c r="A24" s="9" t="s">
        <v>182</v>
      </c>
      <c r="B24" s="22">
        <v>0.01</v>
      </c>
      <c r="C24" s="22">
        <v>0.02</v>
      </c>
      <c r="F24" s="245" t="s">
        <v>183</v>
      </c>
      <c r="G24" s="245"/>
      <c r="H24" s="13" t="s">
        <v>184</v>
      </c>
    </row>
    <row r="25" spans="1:8" x14ac:dyDescent="0.25">
      <c r="A25" s="9" t="s">
        <v>185</v>
      </c>
      <c r="B25" s="22">
        <v>0.01</v>
      </c>
      <c r="C25" s="22">
        <v>0.03</v>
      </c>
    </row>
    <row r="26" spans="1:8" x14ac:dyDescent="0.25">
      <c r="A26" s="9" t="s">
        <v>186</v>
      </c>
      <c r="B26" s="22">
        <v>0.03</v>
      </c>
      <c r="C26" s="22">
        <v>0.08</v>
      </c>
    </row>
    <row r="27" spans="1:8" x14ac:dyDescent="0.25">
      <c r="A27" s="9" t="s">
        <v>187</v>
      </c>
      <c r="B27" s="22">
        <v>0.05</v>
      </c>
      <c r="C27" s="22">
        <v>0.15</v>
      </c>
    </row>
    <row r="28" spans="1:8" x14ac:dyDescent="0.25">
      <c r="A28" s="9" t="s">
        <v>188</v>
      </c>
      <c r="B28" s="22">
        <v>7.0000000000000007E-2</v>
      </c>
      <c r="C28" s="22">
        <v>0.2</v>
      </c>
    </row>
    <row r="29" spans="1:8" x14ac:dyDescent="0.25">
      <c r="A29" s="9" t="s">
        <v>189</v>
      </c>
      <c r="B29" s="22">
        <v>0.1</v>
      </c>
      <c r="C29" s="22">
        <v>0.3</v>
      </c>
    </row>
  </sheetData>
  <mergeCells count="14">
    <mergeCell ref="F10:G10"/>
    <mergeCell ref="F23:G23"/>
    <mergeCell ref="F24:G24"/>
    <mergeCell ref="F11:G11"/>
    <mergeCell ref="F12:G12"/>
    <mergeCell ref="F13:G13"/>
    <mergeCell ref="E15:F15"/>
    <mergeCell ref="E16:F16"/>
    <mergeCell ref="F22:G22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34"/>
  <sheetViews>
    <sheetView zoomScale="55" zoomScaleNormal="55" workbookViewId="0">
      <selection activeCell="N4" sqref="N4"/>
    </sheetView>
  </sheetViews>
  <sheetFormatPr defaultRowHeight="14.4" x14ac:dyDescent="0.3"/>
  <sheetData>
    <row r="2" spans="2:13" x14ac:dyDescent="0.3">
      <c r="C2" s="6" t="s">
        <v>101</v>
      </c>
      <c r="D2" s="246"/>
      <c r="E2" s="246"/>
    </row>
    <row r="3" spans="2:13" x14ac:dyDescent="0.3">
      <c r="E3" s="5"/>
      <c r="F3" s="5"/>
      <c r="G3" s="5"/>
      <c r="H3" s="5"/>
      <c r="I3" s="5"/>
      <c r="J3" s="5"/>
    </row>
    <row r="4" spans="2:13" x14ac:dyDescent="0.3">
      <c r="B4" s="6" t="s">
        <v>102</v>
      </c>
      <c r="C4" s="4" t="s">
        <v>82</v>
      </c>
      <c r="D4" s="247" t="s">
        <v>83</v>
      </c>
      <c r="E4" s="247"/>
      <c r="F4" s="247"/>
      <c r="G4" s="7"/>
      <c r="H4" s="247" t="s">
        <v>84</v>
      </c>
      <c r="I4" s="247"/>
      <c r="J4" s="247"/>
      <c r="K4" s="247" t="s">
        <v>85</v>
      </c>
      <c r="L4" s="247"/>
      <c r="M4" s="247"/>
    </row>
    <row r="5" spans="2:13" x14ac:dyDescent="0.3">
      <c r="B5" s="6">
        <v>1</v>
      </c>
      <c r="C5" s="4"/>
      <c r="D5" s="4" t="s">
        <v>86</v>
      </c>
      <c r="E5" s="4" t="s">
        <v>87</v>
      </c>
      <c r="F5" s="4" t="s">
        <v>88</v>
      </c>
      <c r="G5" s="4"/>
      <c r="H5" s="4" t="s">
        <v>86</v>
      </c>
      <c r="I5" s="4" t="s">
        <v>87</v>
      </c>
      <c r="J5" s="4" t="s">
        <v>88</v>
      </c>
      <c r="K5" s="4" t="s">
        <v>86</v>
      </c>
      <c r="L5" s="4" t="s">
        <v>87</v>
      </c>
      <c r="M5" s="4" t="s">
        <v>88</v>
      </c>
    </row>
    <row r="6" spans="2:13" x14ac:dyDescent="0.3">
      <c r="C6" s="3" t="s">
        <v>89</v>
      </c>
      <c r="D6" s="3"/>
      <c r="E6" s="3"/>
      <c r="F6" s="3">
        <f>D6*E6</f>
        <v>0</v>
      </c>
      <c r="G6" s="3" t="s">
        <v>103</v>
      </c>
      <c r="H6" s="3"/>
      <c r="I6" s="3"/>
      <c r="J6" s="3">
        <f>H6*I6</f>
        <v>0</v>
      </c>
      <c r="K6" s="3"/>
      <c r="L6" s="3"/>
      <c r="M6" s="3">
        <f>K6*L6</f>
        <v>0</v>
      </c>
    </row>
    <row r="7" spans="2:13" x14ac:dyDescent="0.3">
      <c r="C7" s="3"/>
      <c r="D7" s="3"/>
      <c r="E7" s="3"/>
      <c r="F7" s="3">
        <f t="shared" ref="F7:F33" si="0">D7*E7</f>
        <v>0</v>
      </c>
      <c r="G7" s="3" t="s">
        <v>104</v>
      </c>
      <c r="H7" s="3"/>
      <c r="I7" s="3"/>
      <c r="J7" s="3">
        <f t="shared" ref="J7:J29" si="1">H7*I7</f>
        <v>0</v>
      </c>
      <c r="K7" s="3"/>
      <c r="L7" s="3"/>
      <c r="M7" s="3">
        <f t="shared" ref="M7:M29" si="2">K7*L7</f>
        <v>0</v>
      </c>
    </row>
    <row r="8" spans="2:13" x14ac:dyDescent="0.3">
      <c r="C8" s="3"/>
      <c r="D8" s="3"/>
      <c r="E8" s="3"/>
      <c r="F8" s="3">
        <f t="shared" si="0"/>
        <v>0</v>
      </c>
      <c r="G8" s="3"/>
      <c r="H8" s="3"/>
      <c r="I8" s="3"/>
      <c r="J8" s="3">
        <f t="shared" si="1"/>
        <v>0</v>
      </c>
      <c r="K8" s="3"/>
      <c r="L8" s="3"/>
      <c r="M8" s="3">
        <f t="shared" si="2"/>
        <v>0</v>
      </c>
    </row>
    <row r="9" spans="2:13" x14ac:dyDescent="0.3">
      <c r="C9" s="3" t="s">
        <v>92</v>
      </c>
      <c r="D9" s="3"/>
      <c r="E9" s="3"/>
      <c r="F9" s="3">
        <f t="shared" si="0"/>
        <v>0</v>
      </c>
      <c r="G9" s="3" t="s">
        <v>103</v>
      </c>
      <c r="H9" s="3"/>
      <c r="I9" s="3"/>
      <c r="J9" s="3">
        <f t="shared" si="1"/>
        <v>0</v>
      </c>
      <c r="K9" s="3"/>
      <c r="L9" s="3"/>
      <c r="M9" s="3">
        <f t="shared" si="2"/>
        <v>0</v>
      </c>
    </row>
    <row r="10" spans="2:13" x14ac:dyDescent="0.3">
      <c r="C10" s="3"/>
      <c r="D10" s="3"/>
      <c r="E10" s="3"/>
      <c r="F10" s="3">
        <f t="shared" si="0"/>
        <v>0</v>
      </c>
      <c r="G10" s="3" t="s">
        <v>104</v>
      </c>
      <c r="H10" s="3"/>
      <c r="I10" s="3"/>
      <c r="J10" s="3">
        <f t="shared" si="1"/>
        <v>0</v>
      </c>
      <c r="K10" s="3"/>
      <c r="L10" s="3"/>
      <c r="M10" s="3">
        <f t="shared" si="2"/>
        <v>0</v>
      </c>
    </row>
    <row r="11" spans="2:13" x14ac:dyDescent="0.3">
      <c r="C11" s="3"/>
      <c r="D11" s="3"/>
      <c r="E11" s="3"/>
      <c r="F11" s="3">
        <f t="shared" si="0"/>
        <v>0</v>
      </c>
      <c r="G11" s="3"/>
      <c r="H11" s="3"/>
      <c r="I11" s="3"/>
      <c r="J11" s="3">
        <f t="shared" si="1"/>
        <v>0</v>
      </c>
      <c r="K11" s="3"/>
      <c r="L11" s="3"/>
      <c r="M11" s="3">
        <f t="shared" si="2"/>
        <v>0</v>
      </c>
    </row>
    <row r="12" spans="2:13" x14ac:dyDescent="0.3">
      <c r="C12" s="3"/>
      <c r="D12" s="3"/>
      <c r="E12" s="3"/>
      <c r="F12" s="3">
        <f t="shared" si="0"/>
        <v>0</v>
      </c>
      <c r="G12" s="3"/>
      <c r="H12" s="3"/>
      <c r="I12" s="3"/>
      <c r="J12" s="3">
        <f t="shared" si="1"/>
        <v>0</v>
      </c>
      <c r="K12" s="3"/>
      <c r="L12" s="3"/>
      <c r="M12" s="3">
        <f t="shared" si="2"/>
        <v>0</v>
      </c>
    </row>
    <row r="13" spans="2:13" x14ac:dyDescent="0.3">
      <c r="C13" s="3" t="s">
        <v>90</v>
      </c>
      <c r="D13" s="3"/>
      <c r="E13" s="3"/>
      <c r="F13" s="3">
        <f t="shared" si="0"/>
        <v>0</v>
      </c>
      <c r="G13" s="3" t="s">
        <v>103</v>
      </c>
      <c r="H13" s="3"/>
      <c r="I13" s="3"/>
      <c r="J13" s="3">
        <f t="shared" si="1"/>
        <v>0</v>
      </c>
      <c r="K13" s="3"/>
      <c r="L13" s="3"/>
      <c r="M13" s="3">
        <f t="shared" si="2"/>
        <v>0</v>
      </c>
    </row>
    <row r="14" spans="2:13" x14ac:dyDescent="0.3">
      <c r="C14" s="3"/>
      <c r="D14" s="3"/>
      <c r="E14" s="3"/>
      <c r="F14" s="3">
        <f t="shared" si="0"/>
        <v>0</v>
      </c>
      <c r="G14" s="3" t="s">
        <v>104</v>
      </c>
      <c r="H14" s="3"/>
      <c r="I14" s="3"/>
      <c r="J14" s="3">
        <f t="shared" si="1"/>
        <v>0</v>
      </c>
      <c r="K14" s="3"/>
      <c r="L14" s="3"/>
      <c r="M14" s="3">
        <f t="shared" si="2"/>
        <v>0</v>
      </c>
    </row>
    <row r="15" spans="2:13" x14ac:dyDescent="0.3">
      <c r="C15" s="3"/>
      <c r="D15" s="3"/>
      <c r="E15" s="3"/>
      <c r="F15" s="3">
        <f t="shared" si="0"/>
        <v>0</v>
      </c>
      <c r="G15" s="3"/>
      <c r="H15" s="3"/>
      <c r="I15" s="3"/>
      <c r="J15" s="3">
        <f t="shared" si="1"/>
        <v>0</v>
      </c>
      <c r="K15" s="3"/>
      <c r="L15" s="3"/>
      <c r="M15" s="3">
        <f t="shared" si="2"/>
        <v>0</v>
      </c>
    </row>
    <row r="16" spans="2:13" x14ac:dyDescent="0.3">
      <c r="C16" s="3"/>
      <c r="D16" s="3"/>
      <c r="E16" s="3"/>
      <c r="F16" s="3">
        <f t="shared" si="0"/>
        <v>0</v>
      </c>
      <c r="G16" s="3"/>
      <c r="H16" s="3"/>
      <c r="I16" s="3"/>
      <c r="J16" s="3">
        <f t="shared" si="1"/>
        <v>0</v>
      </c>
      <c r="K16" s="3"/>
      <c r="L16" s="3"/>
      <c r="M16" s="3">
        <f t="shared" si="2"/>
        <v>0</v>
      </c>
    </row>
    <row r="17" spans="3:13" x14ac:dyDescent="0.3">
      <c r="C17" s="3" t="s">
        <v>91</v>
      </c>
      <c r="D17" s="3"/>
      <c r="E17" s="3"/>
      <c r="F17" s="3">
        <f t="shared" si="0"/>
        <v>0</v>
      </c>
      <c r="G17" s="3" t="s">
        <v>103</v>
      </c>
      <c r="H17" s="3"/>
      <c r="I17" s="3"/>
      <c r="J17" s="3">
        <f t="shared" si="1"/>
        <v>0</v>
      </c>
      <c r="K17" s="3"/>
      <c r="L17" s="3"/>
      <c r="M17" s="3">
        <f t="shared" si="2"/>
        <v>0</v>
      </c>
    </row>
    <row r="18" spans="3:13" x14ac:dyDescent="0.3">
      <c r="C18" s="3"/>
      <c r="D18" s="3"/>
      <c r="E18" s="3"/>
      <c r="F18" s="3">
        <f t="shared" si="0"/>
        <v>0</v>
      </c>
      <c r="G18" s="3" t="s">
        <v>104</v>
      </c>
      <c r="H18" s="3"/>
      <c r="I18" s="3"/>
      <c r="J18" s="3">
        <f t="shared" si="1"/>
        <v>0</v>
      </c>
      <c r="K18" s="3"/>
      <c r="L18" s="3"/>
      <c r="M18" s="3">
        <f t="shared" si="2"/>
        <v>0</v>
      </c>
    </row>
    <row r="19" spans="3:13" x14ac:dyDescent="0.3">
      <c r="C19" s="3"/>
      <c r="D19" s="3"/>
      <c r="E19" s="3"/>
      <c r="F19" s="3">
        <f t="shared" si="0"/>
        <v>0</v>
      </c>
      <c r="G19" s="3"/>
      <c r="H19" s="3"/>
      <c r="I19" s="3"/>
      <c r="J19" s="3">
        <f t="shared" si="1"/>
        <v>0</v>
      </c>
      <c r="K19" s="3"/>
      <c r="L19" s="3"/>
      <c r="M19" s="3">
        <f t="shared" si="2"/>
        <v>0</v>
      </c>
    </row>
    <row r="20" spans="3:13" x14ac:dyDescent="0.3">
      <c r="C20" s="3" t="s">
        <v>91</v>
      </c>
      <c r="D20" s="3"/>
      <c r="E20" s="3"/>
      <c r="F20" s="3">
        <f t="shared" si="0"/>
        <v>0</v>
      </c>
      <c r="G20" s="3" t="s">
        <v>103</v>
      </c>
      <c r="H20" s="3"/>
      <c r="I20" s="3"/>
      <c r="J20" s="3">
        <f t="shared" si="1"/>
        <v>0</v>
      </c>
      <c r="K20" s="3"/>
      <c r="L20" s="3"/>
      <c r="M20" s="3">
        <f t="shared" si="2"/>
        <v>0</v>
      </c>
    </row>
    <row r="21" spans="3:13" x14ac:dyDescent="0.3">
      <c r="C21" s="3"/>
      <c r="D21" s="3"/>
      <c r="E21" s="3"/>
      <c r="F21" s="3">
        <f t="shared" si="0"/>
        <v>0</v>
      </c>
      <c r="G21" s="3" t="s">
        <v>104</v>
      </c>
      <c r="H21" s="3"/>
      <c r="I21" s="3"/>
      <c r="J21" s="3">
        <f t="shared" si="1"/>
        <v>0</v>
      </c>
      <c r="K21" s="3"/>
      <c r="L21" s="3"/>
      <c r="M21" s="3">
        <f t="shared" si="2"/>
        <v>0</v>
      </c>
    </row>
    <row r="22" spans="3:13" x14ac:dyDescent="0.3">
      <c r="C22" s="3"/>
      <c r="D22" s="3"/>
      <c r="E22" s="3"/>
      <c r="F22" s="3">
        <f t="shared" si="0"/>
        <v>0</v>
      </c>
      <c r="G22" s="3"/>
      <c r="H22" s="3"/>
      <c r="I22" s="3"/>
      <c r="J22" s="3">
        <f t="shared" si="1"/>
        <v>0</v>
      </c>
      <c r="K22" s="3"/>
      <c r="L22" s="3"/>
      <c r="M22" s="3">
        <f t="shared" si="2"/>
        <v>0</v>
      </c>
    </row>
    <row r="23" spans="3:13" x14ac:dyDescent="0.3">
      <c r="C23" s="3" t="s">
        <v>97</v>
      </c>
      <c r="D23" s="3"/>
      <c r="E23" s="3"/>
      <c r="F23" s="3">
        <f t="shared" si="0"/>
        <v>0</v>
      </c>
      <c r="G23" s="3" t="s">
        <v>105</v>
      </c>
      <c r="H23" s="3"/>
      <c r="I23" s="3"/>
      <c r="J23" s="3">
        <f t="shared" si="1"/>
        <v>0</v>
      </c>
      <c r="K23" s="3"/>
      <c r="L23" s="3"/>
      <c r="M23" s="3">
        <f t="shared" si="2"/>
        <v>0</v>
      </c>
    </row>
    <row r="24" spans="3:13" x14ac:dyDescent="0.3">
      <c r="C24" s="3" t="s">
        <v>98</v>
      </c>
      <c r="D24" s="3"/>
      <c r="E24" s="3"/>
      <c r="F24" s="3">
        <f t="shared" si="0"/>
        <v>0</v>
      </c>
      <c r="G24" s="3" t="s">
        <v>105</v>
      </c>
      <c r="H24" s="3"/>
      <c r="I24" s="3"/>
      <c r="J24" s="3">
        <f t="shared" si="1"/>
        <v>0</v>
      </c>
      <c r="K24" s="3"/>
      <c r="L24" s="3"/>
      <c r="M24" s="3">
        <f t="shared" si="2"/>
        <v>0</v>
      </c>
    </row>
    <row r="25" spans="3:13" x14ac:dyDescent="0.3">
      <c r="C25" s="3" t="s">
        <v>99</v>
      </c>
      <c r="D25" s="3"/>
      <c r="E25" s="3"/>
      <c r="F25" s="3">
        <f t="shared" si="0"/>
        <v>0</v>
      </c>
      <c r="G25" s="3" t="s">
        <v>105</v>
      </c>
      <c r="H25" s="3"/>
      <c r="I25" s="3"/>
      <c r="J25" s="3">
        <f t="shared" si="1"/>
        <v>0</v>
      </c>
      <c r="K25" s="3"/>
      <c r="L25" s="3"/>
      <c r="M25" s="3">
        <f t="shared" si="2"/>
        <v>0</v>
      </c>
    </row>
    <row r="26" spans="3:13" x14ac:dyDescent="0.3">
      <c r="C26" s="3"/>
      <c r="D26" s="3"/>
      <c r="E26" s="3"/>
      <c r="F26" s="3">
        <f t="shared" si="0"/>
        <v>0</v>
      </c>
      <c r="G26" s="3"/>
      <c r="H26" s="3"/>
      <c r="I26" s="3"/>
      <c r="J26" s="3">
        <f t="shared" si="1"/>
        <v>0</v>
      </c>
      <c r="K26" s="3"/>
      <c r="L26" s="3"/>
      <c r="M26" s="3">
        <f t="shared" si="2"/>
        <v>0</v>
      </c>
    </row>
    <row r="27" spans="3:13" x14ac:dyDescent="0.3">
      <c r="C27" s="3" t="s">
        <v>93</v>
      </c>
      <c r="D27" s="3"/>
      <c r="E27" s="3"/>
      <c r="F27" s="3">
        <f t="shared" si="0"/>
        <v>0</v>
      </c>
      <c r="G27" s="3"/>
      <c r="H27" s="3"/>
      <c r="I27" s="3"/>
      <c r="J27" s="3">
        <f t="shared" si="1"/>
        <v>0</v>
      </c>
      <c r="K27" s="3"/>
      <c r="L27" s="3"/>
      <c r="M27" s="3">
        <f t="shared" si="2"/>
        <v>0</v>
      </c>
    </row>
    <row r="28" spans="3:13" x14ac:dyDescent="0.3">
      <c r="C28" s="3" t="s">
        <v>94</v>
      </c>
      <c r="D28" s="3"/>
      <c r="E28" s="3"/>
      <c r="F28" s="3">
        <f t="shared" si="0"/>
        <v>0</v>
      </c>
      <c r="G28" s="3"/>
      <c r="H28" s="3"/>
      <c r="I28" s="3"/>
      <c r="J28" s="3">
        <f t="shared" si="1"/>
        <v>0</v>
      </c>
      <c r="K28" s="3"/>
      <c r="L28" s="3"/>
      <c r="M28" s="3">
        <f t="shared" si="2"/>
        <v>0</v>
      </c>
    </row>
    <row r="29" spans="3:13" x14ac:dyDescent="0.3">
      <c r="C29" s="3" t="s">
        <v>95</v>
      </c>
      <c r="D29" s="3"/>
      <c r="E29" s="3"/>
      <c r="F29" s="3">
        <f t="shared" si="0"/>
        <v>0</v>
      </c>
      <c r="G29" s="3"/>
      <c r="H29" s="3"/>
      <c r="I29" s="3"/>
      <c r="J29" s="3">
        <f t="shared" si="1"/>
        <v>0</v>
      </c>
      <c r="K29" s="3"/>
      <c r="L29" s="3"/>
      <c r="M29" s="3">
        <f t="shared" si="2"/>
        <v>0</v>
      </c>
    </row>
    <row r="30" spans="3:13" x14ac:dyDescent="0.3">
      <c r="C30" s="3" t="s">
        <v>96</v>
      </c>
      <c r="D30" s="3"/>
      <c r="E30" s="3"/>
      <c r="F30" s="3">
        <f t="shared" si="0"/>
        <v>0</v>
      </c>
      <c r="G30" s="3"/>
      <c r="H30" s="3"/>
      <c r="I30" s="3"/>
      <c r="J30" s="3">
        <f>H30*I30</f>
        <v>0</v>
      </c>
      <c r="K30" s="3"/>
      <c r="L30" s="3"/>
      <c r="M30" s="3">
        <f>K30*L30</f>
        <v>0</v>
      </c>
    </row>
    <row r="31" spans="3:13" x14ac:dyDescent="0.3">
      <c r="C31" s="3"/>
      <c r="D31" s="3"/>
      <c r="E31" s="3"/>
      <c r="F31" s="3">
        <f t="shared" si="0"/>
        <v>0</v>
      </c>
      <c r="G31" s="3"/>
      <c r="H31" s="3"/>
      <c r="I31" s="3"/>
      <c r="J31" s="3">
        <f>H31*I31</f>
        <v>0</v>
      </c>
      <c r="K31" s="3"/>
      <c r="L31" s="3"/>
      <c r="M31" s="3">
        <f>K31*L31</f>
        <v>0</v>
      </c>
    </row>
    <row r="32" spans="3:13" x14ac:dyDescent="0.3">
      <c r="C32" s="3"/>
      <c r="D32" s="3"/>
      <c r="E32" s="3"/>
      <c r="F32" s="3">
        <f t="shared" si="0"/>
        <v>0</v>
      </c>
      <c r="G32" s="3"/>
      <c r="H32" s="3"/>
      <c r="I32" s="3"/>
      <c r="J32" s="3">
        <f>H32*I32</f>
        <v>0</v>
      </c>
      <c r="K32" s="3"/>
      <c r="L32" s="3"/>
      <c r="M32" s="3">
        <f>K32*L32</f>
        <v>0</v>
      </c>
    </row>
    <row r="33" spans="3:13" x14ac:dyDescent="0.3">
      <c r="C33" s="3"/>
      <c r="D33" s="3"/>
      <c r="E33" s="3"/>
      <c r="F33" s="3">
        <f t="shared" si="0"/>
        <v>0</v>
      </c>
      <c r="G33" s="3"/>
      <c r="H33" s="3"/>
      <c r="I33" s="3"/>
      <c r="J33" s="3">
        <f>H33*I33</f>
        <v>0</v>
      </c>
      <c r="K33" s="3"/>
      <c r="L33" s="3"/>
      <c r="M33" s="3">
        <f>K33*L33</f>
        <v>0</v>
      </c>
    </row>
    <row r="34" spans="3:13" x14ac:dyDescent="0.3">
      <c r="C34" s="3" t="s">
        <v>100</v>
      </c>
      <c r="D34" s="3"/>
      <c r="E34" s="3">
        <f>F34*10.764</f>
        <v>0</v>
      </c>
      <c r="F34" s="3">
        <f>SUM(F6:F33)</f>
        <v>0</v>
      </c>
      <c r="G34" s="3"/>
      <c r="H34" s="3"/>
      <c r="I34" s="3">
        <f>J34*10.764</f>
        <v>0</v>
      </c>
      <c r="J34" s="3">
        <f>SUM(J6:J33)</f>
        <v>0</v>
      </c>
      <c r="K34" s="3"/>
      <c r="L34" s="3">
        <f>M34*10.764</f>
        <v>0</v>
      </c>
      <c r="M34" s="3">
        <f>SUM(M6:M33)</f>
        <v>0</v>
      </c>
    </row>
  </sheetData>
  <mergeCells count="4">
    <mergeCell ref="D2:E2"/>
    <mergeCell ref="D4:F4"/>
    <mergeCell ref="H4:J4"/>
    <mergeCell ref="K4:M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"/>
  <sheetViews>
    <sheetView topLeftCell="A26" workbookViewId="0">
      <selection activeCell="F28" sqref="F28"/>
    </sheetView>
  </sheetViews>
  <sheetFormatPr defaultColWidth="8.6640625" defaultRowHeight="14.4" x14ac:dyDescent="0.3"/>
  <cols>
    <col min="1" max="1" width="8.6640625" style="37"/>
    <col min="2" max="2" width="22.109375" style="37" customWidth="1"/>
    <col min="3" max="3" width="37" style="37" customWidth="1"/>
    <col min="4" max="5" width="11.44140625" style="37" customWidth="1"/>
    <col min="6" max="6" width="14" style="37" customWidth="1"/>
    <col min="7" max="7" width="20" style="37" customWidth="1"/>
    <col min="8" max="8" width="16.44140625" style="37" customWidth="1"/>
    <col min="9" max="16384" width="8.6640625" style="37"/>
  </cols>
  <sheetData>
    <row r="1" spans="1:9" ht="15" customHeight="1" x14ac:dyDescent="0.3"/>
    <row r="2" spans="1:9" ht="15" customHeight="1" x14ac:dyDescent="0.3">
      <c r="A2" s="38"/>
      <c r="B2" s="38"/>
      <c r="C2" s="38"/>
      <c r="D2" s="38"/>
      <c r="E2" s="38"/>
      <c r="F2" s="38"/>
      <c r="G2" s="38"/>
      <c r="H2" s="38"/>
    </row>
    <row r="3" spans="1:9" ht="15.75" customHeight="1" x14ac:dyDescent="0.3">
      <c r="A3" s="38"/>
      <c r="B3" s="248" t="s">
        <v>225</v>
      </c>
      <c r="C3" s="248"/>
      <c r="D3" s="248"/>
      <c r="E3" s="248"/>
      <c r="F3" s="248"/>
      <c r="G3" s="248"/>
      <c r="H3" s="248"/>
    </row>
    <row r="4" spans="1:9" x14ac:dyDescent="0.3">
      <c r="A4" s="38"/>
      <c r="B4" s="39" t="s">
        <v>226</v>
      </c>
      <c r="C4" s="39" t="s">
        <v>227</v>
      </c>
      <c r="D4" s="39" t="s">
        <v>102</v>
      </c>
      <c r="E4" s="39" t="s">
        <v>228</v>
      </c>
      <c r="F4" s="39" t="s">
        <v>229</v>
      </c>
      <c r="G4" s="39" t="s">
        <v>230</v>
      </c>
      <c r="H4" s="39" t="s">
        <v>231</v>
      </c>
    </row>
    <row r="5" spans="1:9" ht="15" customHeight="1" x14ac:dyDescent="0.3">
      <c r="A5" s="38"/>
      <c r="B5" s="40" t="s">
        <v>232</v>
      </c>
      <c r="C5" s="41" t="s">
        <v>233</v>
      </c>
      <c r="D5" s="40" t="s">
        <v>234</v>
      </c>
      <c r="E5" s="40">
        <v>289</v>
      </c>
      <c r="F5" s="42">
        <f>E5*1.5</f>
        <v>433.5</v>
      </c>
      <c r="G5" s="42">
        <f>H5/F5</f>
        <v>7843.1372549019607</v>
      </c>
      <c r="H5" s="43">
        <v>3400000</v>
      </c>
    </row>
    <row r="6" spans="1:9" x14ac:dyDescent="0.3">
      <c r="A6" s="38"/>
      <c r="B6" s="40" t="s">
        <v>232</v>
      </c>
      <c r="C6" s="41" t="s">
        <v>233</v>
      </c>
      <c r="D6" s="40" t="s">
        <v>235</v>
      </c>
      <c r="E6" s="40">
        <v>400</v>
      </c>
      <c r="F6" s="42">
        <f>E6*1.5</f>
        <v>600</v>
      </c>
      <c r="G6" s="42">
        <f>H6/F6</f>
        <v>7666.666666666667</v>
      </c>
      <c r="H6" s="43">
        <v>4600000</v>
      </c>
    </row>
    <row r="7" spans="1:9" ht="15" customHeight="1" x14ac:dyDescent="0.3">
      <c r="A7" s="38"/>
      <c r="B7" s="40" t="s">
        <v>232</v>
      </c>
      <c r="C7" s="41" t="s">
        <v>233</v>
      </c>
      <c r="D7" s="40" t="s">
        <v>236</v>
      </c>
      <c r="E7" s="40">
        <v>628</v>
      </c>
      <c r="F7" s="42">
        <f>E7*1.5</f>
        <v>942</v>
      </c>
      <c r="G7" s="42">
        <f>H7/F7</f>
        <v>8174.0976645435248</v>
      </c>
      <c r="H7" s="43">
        <v>7700000</v>
      </c>
    </row>
    <row r="8" spans="1:9" ht="15" customHeight="1" x14ac:dyDescent="0.3">
      <c r="A8" s="38"/>
      <c r="B8" s="44" t="s">
        <v>237</v>
      </c>
      <c r="C8" s="40"/>
      <c r="D8" s="40"/>
      <c r="E8" s="40"/>
      <c r="F8" s="40"/>
      <c r="G8" s="45">
        <f>AVERAGE(G5:G7)</f>
        <v>7894.6338620373836</v>
      </c>
      <c r="H8" s="40"/>
    </row>
    <row r="9" spans="1:9" ht="15" customHeight="1" x14ac:dyDescent="0.3">
      <c r="B9" s="44" t="s">
        <v>238</v>
      </c>
      <c r="C9" s="40"/>
      <c r="D9" s="40"/>
      <c r="E9" s="40"/>
      <c r="F9" s="46"/>
      <c r="G9" s="44">
        <v>7900</v>
      </c>
      <c r="H9" s="44"/>
      <c r="I9" s="47"/>
    </row>
    <row r="10" spans="1:9" ht="15" customHeight="1" x14ac:dyDescent="0.3"/>
    <row r="11" spans="1:9" ht="15" customHeight="1" x14ac:dyDescent="0.3"/>
    <row r="12" spans="1:9" ht="15" customHeight="1" x14ac:dyDescent="0.3"/>
  </sheetData>
  <mergeCells count="1">
    <mergeCell ref="B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C%</vt:lpstr>
      <vt:lpstr>Wing A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2025-09-09T11:15:25Z</cp:lastPrinted>
  <dcterms:created xsi:type="dcterms:W3CDTF">2013-11-23T05:32:33Z</dcterms:created>
  <dcterms:modified xsi:type="dcterms:W3CDTF">2025-09-09T11:15:30Z</dcterms:modified>
</cp:coreProperties>
</file>