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D:\Kunal\Sept 25\Axis\Dump\"/>
    </mc:Choice>
  </mc:AlternateContent>
  <xr:revisionPtr revIDLastSave="0" documentId="13_ncr:1_{5BED1812-5719-467C-9D8C-C5120AB362D8}" xr6:coauthVersionLast="47" xr6:coauthVersionMax="47" xr10:uidLastSave="{00000000-0000-0000-0000-000000000000}"/>
  <bookViews>
    <workbookView xWindow="-108" yWindow="-108" windowWidth="23256" windowHeight="12456" tabRatio="753" xr2:uid="{00000000-000D-0000-FFFF-FFFF00000000}"/>
  </bookViews>
  <sheets>
    <sheet name="Report" sheetId="17" r:id="rId1"/>
    <sheet name="C%" sheetId="18" r:id="rId2"/>
    <sheet name="Wing A" sheetId="11" r:id="rId3"/>
    <sheet name="Note" sheetId="19" r:id="rId4"/>
    <sheet name="VALUATION" sheetId="20" r:id="rId5"/>
  </sheets>
  <definedNames>
    <definedName name="_xlnm.Print_Area" localSheetId="0">Report!$A$1:$J$229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7" l="1"/>
  <c r="H46" i="17" l="1"/>
  <c r="C61" i="17"/>
  <c r="C63" i="17" l="1"/>
  <c r="F3" i="17" l="1"/>
  <c r="L65" i="17" l="1"/>
  <c r="L64" i="17"/>
  <c r="L63" i="17"/>
  <c r="L62" i="17"/>
  <c r="I55" i="17"/>
  <c r="F58" i="17" l="1"/>
  <c r="D67" i="17"/>
  <c r="D65" i="17"/>
  <c r="D63" i="17"/>
  <c r="D61" i="17"/>
  <c r="L59" i="17"/>
  <c r="C58" i="17" s="1"/>
  <c r="D58" i="17" s="1"/>
  <c r="L57" i="17"/>
  <c r="L60" i="17"/>
  <c r="L61" i="17" s="1"/>
  <c r="L66" i="17" s="1"/>
  <c r="D64" i="17"/>
  <c r="D66" i="17"/>
  <c r="D60" i="17"/>
  <c r="D62" i="17"/>
  <c r="L58" i="17"/>
  <c r="L67" i="17" l="1"/>
  <c r="H58" i="17"/>
  <c r="D59" i="17" l="1"/>
  <c r="K54" i="17"/>
  <c r="C56" i="17" s="1"/>
  <c r="F7" i="20" l="1"/>
  <c r="G7" i="20" s="1"/>
  <c r="F6" i="20"/>
  <c r="G6" i="20" s="1"/>
  <c r="F5" i="20"/>
  <c r="G5" i="20" s="1"/>
  <c r="B12" i="18"/>
  <c r="M15" i="18" s="1"/>
  <c r="B21" i="18" s="1"/>
  <c r="B11" i="18"/>
  <c r="L15" i="18" s="1"/>
  <c r="B20" i="18" s="1"/>
  <c r="B10" i="18"/>
  <c r="D10" i="18" s="1"/>
  <c r="B9" i="18"/>
  <c r="J15" i="18" s="1"/>
  <c r="B18" i="18" s="1"/>
  <c r="B8" i="18"/>
  <c r="I16" i="18" s="1"/>
  <c r="C17" i="18" s="1"/>
  <c r="A88" i="17"/>
  <c r="D134" i="17"/>
  <c r="G134" i="17" s="1"/>
  <c r="D133" i="17"/>
  <c r="G133" i="17" s="1"/>
  <c r="D132" i="17"/>
  <c r="G132" i="17" s="1"/>
  <c r="D131" i="17"/>
  <c r="G131" i="17" s="1"/>
  <c r="D130" i="17"/>
  <c r="G130" i="17" s="1"/>
  <c r="D128" i="17"/>
  <c r="G128" i="17" s="1"/>
  <c r="D127" i="17"/>
  <c r="G127" i="17" s="1"/>
  <c r="D125" i="17"/>
  <c r="G125" i="17" s="1"/>
  <c r="D124" i="17"/>
  <c r="G124" i="17" s="1"/>
  <c r="D123" i="17"/>
  <c r="G123" i="17" s="1"/>
  <c r="D122" i="17"/>
  <c r="G122" i="17" s="1"/>
  <c r="D121" i="17"/>
  <c r="G121" i="17" s="1"/>
  <c r="D120" i="17"/>
  <c r="G120" i="17" s="1"/>
  <c r="D119" i="17"/>
  <c r="G119" i="17" s="1"/>
  <c r="I118" i="17"/>
  <c r="D118" i="17"/>
  <c r="G118" i="17" s="1"/>
  <c r="D116" i="17"/>
  <c r="G116" i="17" s="1"/>
  <c r="D115" i="17"/>
  <c r="G115" i="17" s="1"/>
  <c r="D114" i="17"/>
  <c r="G114" i="17" s="1"/>
  <c r="D113" i="17"/>
  <c r="G113" i="17" s="1"/>
  <c r="D112" i="17"/>
  <c r="G112" i="17" s="1"/>
  <c r="D111" i="17"/>
  <c r="G111" i="17" s="1"/>
  <c r="D110" i="17"/>
  <c r="G110" i="17" s="1"/>
  <c r="I109" i="17"/>
  <c r="D109" i="17"/>
  <c r="D107" i="17"/>
  <c r="G107" i="17" s="1"/>
  <c r="D105" i="17"/>
  <c r="G105" i="17" s="1"/>
  <c r="D104" i="17"/>
  <c r="G104" i="17" s="1"/>
  <c r="D103" i="17"/>
  <c r="G103" i="17" s="1"/>
  <c r="D102" i="17"/>
  <c r="G102" i="17" s="1"/>
  <c r="D101" i="17"/>
  <c r="G101" i="17" s="1"/>
  <c r="I100" i="17"/>
  <c r="D100" i="17"/>
  <c r="G100" i="17" s="1"/>
  <c r="D98" i="17"/>
  <c r="G98" i="17" s="1"/>
  <c r="D97" i="17"/>
  <c r="G97" i="17" s="1"/>
  <c r="D150" i="17"/>
  <c r="G15" i="18"/>
  <c r="G16" i="18" s="1"/>
  <c r="C15" i="18" s="1"/>
  <c r="B7" i="18"/>
  <c r="H16" i="18" s="1"/>
  <c r="C16" i="18" s="1"/>
  <c r="D6" i="18"/>
  <c r="C5" i="18"/>
  <c r="F40" i="17"/>
  <c r="F41" i="17" s="1"/>
  <c r="D50" i="17" s="1"/>
  <c r="D48" i="17"/>
  <c r="C45" i="17"/>
  <c r="G85" i="17"/>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K16" i="18"/>
  <c r="C19" i="18" s="1"/>
  <c r="H15" i="18"/>
  <c r="B16" i="18" s="1"/>
  <c r="D12" i="18"/>
  <c r="J16" i="18" l="1"/>
  <c r="C18" i="18" s="1"/>
  <c r="D9" i="18"/>
  <c r="M16" i="18"/>
  <c r="C21" i="18" s="1"/>
  <c r="B15" i="18"/>
  <c r="D8" i="18"/>
  <c r="D7" i="18"/>
  <c r="J34" i="11"/>
  <c r="I34" i="11" s="1"/>
  <c r="I15" i="18"/>
  <c r="B17" i="18" s="1"/>
  <c r="M34" i="11"/>
  <c r="L34" i="11" s="1"/>
  <c r="G8" i="20"/>
  <c r="K15" i="18"/>
  <c r="B19" i="18" s="1"/>
  <c r="F34" i="11"/>
  <c r="E34" i="11" s="1"/>
  <c r="D88" i="17"/>
  <c r="G109" i="17"/>
  <c r="G88" i="17" s="1"/>
  <c r="C88" i="17"/>
  <c r="I50" i="17" s="1"/>
  <c r="L16" i="18"/>
  <c r="C20" i="18" s="1"/>
  <c r="C22" i="18" s="1"/>
  <c r="D11" i="18"/>
  <c r="B22" i="18" l="1"/>
</calcChain>
</file>

<file path=xl/sharedStrings.xml><?xml version="1.0" encoding="utf-8"?>
<sst xmlns="http://schemas.openxmlformats.org/spreadsheetml/2006/main" count="407" uniqueCount="285">
  <si>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</si>
  <si>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</si>
  <si>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</si>
  <si>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</si>
  <si>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</si>
  <si>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</si>
  <si>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</si>
  <si>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</si>
  <si>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</si>
  <si>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</si>
  <si>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</si>
  <si>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</si>
  <si>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</si>
  <si>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</si>
  <si>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</si>
  <si>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</si>
  <si>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</si>
  <si>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</si>
  <si>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</si>
  <si>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</si>
  <si>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</si>
  <si>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</si>
  <si>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</si>
  <si>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</si>
  <si>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</si>
  <si>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</si>
  <si>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Building details floor wise</t>
  </si>
  <si>
    <t>Undertaking :</t>
  </si>
  <si>
    <t>Authorized Signatory
                                                                                                                                                                                                                                                                                     Name &amp; Seal of the agency</t>
  </si>
  <si>
    <t>2) I/We have no direct or Indirect Interest in the property being valued</t>
  </si>
  <si>
    <t>Quality of infrastructure in vicinity</t>
  </si>
  <si>
    <t>Description</t>
  </si>
  <si>
    <t>Attached Terrace area</t>
  </si>
  <si>
    <t>PLC Y/N</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</si>
  <si>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</si>
  <si>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</si>
  <si>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</si>
  <si>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</si>
  <si>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</si>
  <si>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</si>
  <si>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</si>
  <si>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</si>
  <si>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</si>
  <si>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Gross Carpet area</t>
  </si>
  <si>
    <t xml:space="preserve">Latitude &amp; Longitude </t>
  </si>
  <si>
    <t>Flooring</t>
  </si>
  <si>
    <t>Finishing</t>
  </si>
  <si>
    <t xml:space="preserve">Valuation Report </t>
  </si>
  <si>
    <t xml:space="preserve">Details of Flats in Building   </t>
  </si>
  <si>
    <t>Yes</t>
  </si>
  <si>
    <t xml:space="preserve">Residential </t>
  </si>
  <si>
    <t>Type of Structure : RCC Framed Structure</t>
  </si>
  <si>
    <t>Approved usage of the Property: Residential                                                                                                                                                      (Restrictive convenants in regards to land use , if any)</t>
  </si>
  <si>
    <t>Expiry date: One year from date of issue</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</si>
  <si>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</si>
  <si>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</si>
  <si>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</si>
  <si>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</si>
  <si>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</si>
  <si>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</si>
  <si>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</si>
  <si>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</si>
  <si>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Projected life of the structure: 60 Years After Completion</t>
  </si>
  <si>
    <t>Material laying at Site: :Bricks, Cement &amp; Steel etc.</t>
  </si>
  <si>
    <t>Wheather the construction is as per approved Building plan : Under Construction</t>
  </si>
  <si>
    <t xml:space="preserve">4)  The saleable area is as per Our Calculation.  </t>
  </si>
  <si>
    <t>Does the boundaries at site match, as mentioned in the Docoumentation: NA</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</si>
  <si>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</si>
  <si>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</si>
  <si>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</si>
  <si>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</si>
  <si>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</si>
  <si>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</si>
  <si>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</si>
  <si>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</si>
  <si>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</si>
  <si>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</si>
  <si>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</si>
  <si>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</si>
  <si>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</si>
  <si>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</si>
  <si>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Floors</t>
  </si>
  <si>
    <t>Floor rise rate  Per Sq. Ft.</t>
  </si>
  <si>
    <t>Distress valuation of the property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</si>
  <si>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</si>
  <si>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</si>
  <si>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</si>
  <si>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</si>
  <si>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</si>
  <si>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</si>
  <si>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</si>
  <si>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</si>
  <si>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</si>
  <si>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</si>
  <si>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</si>
  <si>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</si>
  <si>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</si>
  <si>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</si>
  <si>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</si>
  <si>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</si>
  <si>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</si>
  <si>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</si>
  <si>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</si>
  <si>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</si>
  <si>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</si>
  <si>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</si>
  <si>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</si>
  <si>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</si>
  <si>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</si>
  <si>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</si>
  <si>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</si>
  <si>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</si>
  <si>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Middle class</t>
  </si>
  <si>
    <t xml:space="preserve">O. Certificate No.: </t>
  </si>
  <si>
    <t xml:space="preserve">Date of approval: </t>
  </si>
  <si>
    <t>1. Copy of Plans. 2. Copy of CC.</t>
  </si>
  <si>
    <t>Plot No.</t>
  </si>
  <si>
    <t>Axis Sanpada</t>
  </si>
  <si>
    <t>M/s. The Wadhwa Group</t>
  </si>
  <si>
    <t>M/s. Wadhwa Construction &amp; Infrastructure Pvt. Ltd.</t>
  </si>
  <si>
    <t>Miss.Preeti (08291920124)</t>
  </si>
  <si>
    <t>S No</t>
  </si>
  <si>
    <t>40 &amp; Other</t>
  </si>
  <si>
    <t>Wardoli</t>
  </si>
  <si>
    <t>Raigad</t>
  </si>
  <si>
    <t>Village-Wardoli Road</t>
  </si>
  <si>
    <t>410 206.</t>
  </si>
  <si>
    <t>Navi Mumbai</t>
  </si>
  <si>
    <t>Village-Wardoli</t>
  </si>
  <si>
    <t>About 7.6 Km from Chikhale Railway Station</t>
  </si>
  <si>
    <t>all available at 2 to 3 km.</t>
  </si>
  <si>
    <t>Open Land</t>
  </si>
  <si>
    <t>Particulars</t>
  </si>
  <si>
    <t>plinth</t>
  </si>
  <si>
    <t>slab</t>
  </si>
  <si>
    <t>rcc</t>
  </si>
  <si>
    <t>Bricks</t>
  </si>
  <si>
    <t>Wood &amp; painting</t>
  </si>
  <si>
    <t>Progress</t>
  </si>
  <si>
    <t xml:space="preserve">Bricks </t>
  </si>
  <si>
    <t xml:space="preserve">Recommended </t>
  </si>
  <si>
    <t>plaster</t>
  </si>
  <si>
    <t>Recommended</t>
  </si>
  <si>
    <t>total</t>
  </si>
  <si>
    <t>Google Map :</t>
  </si>
  <si>
    <t>5000/-</t>
  </si>
  <si>
    <t>Saleable area</t>
  </si>
  <si>
    <t>1,00,000/-</t>
  </si>
  <si>
    <t>Club Membership Charges</t>
  </si>
  <si>
    <t>50,000/-</t>
  </si>
  <si>
    <t>Recommended rate of the flat Per Sq. Ft. (on Saleable area)</t>
  </si>
  <si>
    <t>Name/no. Of building</t>
  </si>
  <si>
    <t>20/05/2019.</t>
  </si>
  <si>
    <t>Flat/Shop No.</t>
  </si>
  <si>
    <t>Floor</t>
  </si>
  <si>
    <t>N</t>
  </si>
  <si>
    <t>Inspected By :</t>
  </si>
  <si>
    <t>Report Prepared By :</t>
  </si>
  <si>
    <t>Name of Wing &amp; RERA Number</t>
  </si>
  <si>
    <t>Building Name as per RERA</t>
  </si>
  <si>
    <t>Name as per Builder</t>
  </si>
  <si>
    <t>RERA Registration No.</t>
  </si>
  <si>
    <t>01 Building (01 Wing)</t>
  </si>
  <si>
    <t>CIDCO/NAINA/PANVEL/VARDOLI/TP/BP-236/AMENDED PERM/2019/585/SAP/162</t>
  </si>
  <si>
    <t>Basement</t>
  </si>
  <si>
    <t>Podium</t>
  </si>
  <si>
    <t>Ground</t>
  </si>
  <si>
    <t>Upper Floor</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</si>
  <si>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</si>
  <si>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</si>
  <si>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</si>
  <si>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</si>
  <si>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</si>
  <si>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</si>
  <si>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</si>
  <si>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</si>
  <si>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</si>
  <si>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</si>
  <si>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</si>
  <si>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</si>
  <si>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</si>
  <si>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</si>
  <si>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</si>
  <si>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</si>
  <si>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</si>
  <si>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</si>
  <si>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Excavation in process</t>
  </si>
  <si>
    <t>Thane - G + 25</t>
  </si>
  <si>
    <t>600000/-</t>
  </si>
  <si>
    <t>Excavation Completed</t>
  </si>
  <si>
    <t>Footing in Process</t>
  </si>
  <si>
    <t>Footing Completed</t>
  </si>
  <si>
    <t>Plinth in process</t>
  </si>
  <si>
    <t>Plinth completed</t>
  </si>
  <si>
    <t>Approved no of units</t>
  </si>
  <si>
    <t>PHOTOGRAPHS OF PROPERTY:</t>
  </si>
  <si>
    <t>Refuge Area</t>
  </si>
  <si>
    <t>2 BHK</t>
  </si>
  <si>
    <t>3rd Floor</t>
  </si>
  <si>
    <t>8th, 13th, 18th &amp; 23rd Floor</t>
  </si>
  <si>
    <t>Meter Room</t>
  </si>
  <si>
    <t>Lobby</t>
  </si>
  <si>
    <t>RZ8</t>
  </si>
  <si>
    <t>Building No.4 - Wing F3 (Type B)</t>
  </si>
  <si>
    <t>Wise City, South Block Phase I, Plot RZ8 : Building 4 Wing F3</t>
  </si>
  <si>
    <t>Tulip F3</t>
  </si>
  <si>
    <t>P52000016524</t>
  </si>
  <si>
    <t>Tulip F3-Wise City, South Block Phase I, Plot RZ8 : Building 4 Wing F3, Survey No.40 &amp; Other, Village-Wardoli, Tal-Panvel, Dist-Raigad.</t>
  </si>
  <si>
    <t>Lower Ground Floor</t>
  </si>
  <si>
    <t>Upper Ground Floor</t>
  </si>
  <si>
    <t>Building &amp; Wing</t>
  </si>
  <si>
    <t>No. of Units</t>
  </si>
  <si>
    <t>Total Carpet Area</t>
  </si>
  <si>
    <t>Total Saleable Area</t>
  </si>
  <si>
    <t>Wing F3 (Type B)</t>
  </si>
  <si>
    <t>Building No.4 (Type B) - Wing F3 = LG + UG + 1st to 25th Floor</t>
  </si>
  <si>
    <t>CIDCO/NAINA/PANVEL/VARDOLI/TP/BP-236/AMENDED PERM/2019/585/SAP/162
Validity : Building No.4 (Type B)-Wing F3 = LG + UG + 1st to 25th Floor</t>
  </si>
  <si>
    <t>Lower Ground Floor (Part area is under Earth Filling)</t>
  </si>
  <si>
    <t>1st, 2nd, 4th to 6th, 7th, 9th, 10th, 11th, 12th, 14th to 17th, 19th to 22nd, 24th &amp; 25th Floor</t>
  </si>
  <si>
    <t>Plot No.RZ-8</t>
  </si>
  <si>
    <t>Building No.4 (Tulip F3)</t>
  </si>
  <si>
    <t>Note</t>
  </si>
  <si>
    <t>26/05/2020.</t>
  </si>
  <si>
    <t>Pratiksha</t>
  </si>
  <si>
    <t>Dhanashree</t>
  </si>
  <si>
    <t>Market Research Data</t>
  </si>
  <si>
    <t>Source</t>
  </si>
  <si>
    <t>Distance from proposed property</t>
  </si>
  <si>
    <t>Net Carpet</t>
  </si>
  <si>
    <t>Saleable Area</t>
  </si>
  <si>
    <t>Rate on Saleable</t>
  </si>
  <si>
    <t>Market Value</t>
  </si>
  <si>
    <t>99 Acres</t>
  </si>
  <si>
    <t>Wise City</t>
  </si>
  <si>
    <t>1RK</t>
  </si>
  <si>
    <t>1BHK</t>
  </si>
  <si>
    <t>2BHK</t>
  </si>
  <si>
    <t>Average</t>
  </si>
  <si>
    <t xml:space="preserve">Valuation Adopted </t>
  </si>
  <si>
    <t>Tulip F3 - Wise City (Plot RZ8 : Building 4 Wing F3)</t>
  </si>
  <si>
    <t>16/02/2021.</t>
  </si>
  <si>
    <t>As Bldg F2 is in Excavation process but Construction  Stage was given upto footing Completed. (Since APF NEW)</t>
  </si>
  <si>
    <t>(please see note).</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</si>
  <si>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</si>
  <si>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</si>
  <si>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</si>
  <si>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</si>
  <si>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</si>
  <si>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</si>
  <si>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</si>
  <si>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</si>
  <si>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</si>
  <si>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</si>
  <si>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</si>
  <si>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</si>
  <si>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</si>
  <si>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</si>
  <si>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</si>
  <si>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</si>
  <si>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</si>
  <si>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</si>
  <si>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</si>
  <si>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</si>
  <si>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</si>
  <si>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</si>
  <si>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</si>
  <si>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</si>
  <si>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2,50,000/-</t>
  </si>
  <si>
    <t>Recommended Car Parking</t>
  </si>
  <si>
    <t>3,00,000/-</t>
  </si>
  <si>
    <t>Township Maintenance charges for 12 months, 
Cluster &amp; Building Maintenance charges for 12 months &amp; Development charges</t>
  </si>
  <si>
    <t>Location Link</t>
  </si>
  <si>
    <t>https://goo.gl/maps/PzcYfkb9cstqZAF18</t>
  </si>
  <si>
    <t xml:space="preserve"> 31/12/2025.</t>
  </si>
  <si>
    <t>18.96542,73.1928313</t>
  </si>
  <si>
    <t>Office No. 1031, Wing J, Akshar Business Park, Plot No. 03 Sector 25, Near APMC Market,
Vashi, Navi Mumbai, Maharashtra 400703 TEL: 022-46090378/79/80                                                                                                                                    E mail : vsjcapf@gmail.com. Web site : www.vsjadon.com</t>
  </si>
  <si>
    <t>Contact Details ( Name &amp; Contact No.)</t>
  </si>
  <si>
    <t>Site Meet Person Contact Details ( Name &amp; Contact No.)</t>
  </si>
  <si>
    <t xml:space="preserve">Mr. Rohan 8108147059
</t>
  </si>
  <si>
    <t>MSEB/MJP/Electric Meter Charges</t>
  </si>
  <si>
    <t>Nitesh Patil</t>
  </si>
  <si>
    <t>Wise City (Tulip F3)</t>
  </si>
  <si>
    <t xml:space="preserve">NA
</t>
  </si>
  <si>
    <t xml:space="preserve">Remarks:  
1. Finishing work was in process at the time of visit.
2. We considered Saleable area as per our calculation.
3. We considered Carpet area as per Approved Plan.
4. We considered Gross carpet area = Net carpet + Enclose balcony + C.B Area + F.B Area.
5. We have considered rate by verifying it from market inquire.
6. Recommended rate should be considered as all inclusive rate if other charges are not mentioned. (Excluding GST &amp; other government Taxes)
7. We have considered Other charges from cost sheet.
8. The project has received first CC on 20/05/2019, But construction work of is not yet completed.
8.  On site, we meet Mr.Shailesh - 9819688638.
</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</si>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</sst>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5"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Calibri"/>
      <family val="2"/>
    </font>
    <font>
      <b/>
      <sz val="12"/>
      <color indexed="8"/>
      <name val="Times New Roman"/>
      <family val="1"/>
    </font>
    <font>
      <b/>
      <sz val="11"/>
      <name val="Times New Roman"/>
      <family val="1"/>
    </font>
    <font>
      <sz val="11"/>
      <name val="Times New Roman"/>
      <family val="1"/>
    </font>
    <font>
      <sz val="12"/>
      <color indexed="8"/>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1"/>
      <color theme="1"/>
      <name val="Times New Roman"/>
      <family val="1"/>
    </font>
    <font>
      <sz val="11"/>
      <color rgb="FF000000"/>
      <name val="Times New Roman"/>
      <family val="1"/>
    </font>
    <font>
      <b/>
      <sz val="11"/>
      <color rgb="FF000000"/>
      <name val="Times New Roman"/>
      <family val="1"/>
    </font>
    <font>
      <sz val="11"/>
      <color theme="1"/>
      <name val="Times New Roman"/>
      <family val="1"/>
    </font>
    <font>
      <sz val="11"/>
      <color rgb="FFFF0000"/>
      <name val="Times New Roman"/>
      <family val="1"/>
    </font>
    <font>
      <sz val="12"/>
      <color theme="1"/>
      <name val="Calibri"/>
      <family val="2"/>
      <scheme val="minor"/>
    </font>
    <font>
      <b/>
      <sz val="12"/>
      <color theme="1"/>
      <name val="Calibri"/>
      <family val="2"/>
      <scheme val="minor"/>
    </font>
    <font>
      <sz val="11"/>
      <color rgb="FFFF0000"/>
      <name val="Calibri"/>
      <family val="2"/>
    </font>
    <font>
      <sz val="12"/>
      <name val="Times New Roman"/>
      <family val="1"/>
    </font>
    <font>
      <b/>
      <sz val="12"/>
      <name val="Times New Roman"/>
      <family val="1"/>
    </font>
    <font>
      <sz val="11"/>
      <name val="Calibri"/>
      <family val="2"/>
      <scheme val="minor"/>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164" fontId="1" fillId="0" borderId="0" applyFont="0" applyFill="0" applyBorder="0" applyAlignment="0" applyProtection="0"/>
    <xf numFmtId="0" fontId="2" fillId="0" borderId="0"/>
    <xf numFmtId="0" fontId="1" fillId="0" borderId="0"/>
    <xf numFmtId="0" fontId="10" fillId="0" borderId="0"/>
    <xf numFmtId="9" fontId="5" fillId="0" borderId="0" applyFont="0" applyFill="0" applyBorder="0" applyAlignment="0" applyProtection="0"/>
    <xf numFmtId="0" fontId="10" fillId="0" borderId="0"/>
    <xf numFmtId="0" fontId="24" fillId="0" borderId="0" applyNumberFormat="0" applyFill="0" applyBorder="0" applyAlignment="0" applyProtection="0"/>
  </cellStyleXfs>
  <cellXfs count="257">
    <xf numFmtId="0" fontId="0" fillId="0" borderId="0" xfId="0"/>
    <xf numFmtId="0" fontId="4" fillId="0" borderId="2" xfId="0" applyFont="1" applyBorder="1" applyAlignment="1">
      <alignment vertical="top"/>
    </xf>
    <xf numFmtId="0" fontId="4" fillId="0" borderId="2" xfId="0" applyFont="1" applyBorder="1" applyAlignment="1">
      <alignment vertical="top" wrapText="1"/>
    </xf>
    <xf numFmtId="0" fontId="0" fillId="0" borderId="2" xfId="0" applyBorder="1"/>
    <xf numFmtId="0" fontId="11" fillId="0" borderId="2" xfId="0" applyFont="1" applyBorder="1"/>
    <xf numFmtId="0" fontId="0" fillId="0" borderId="3" xfId="0" applyBorder="1"/>
    <xf numFmtId="0" fontId="0" fillId="2" borderId="2" xfId="0" applyFill="1" applyBorder="1"/>
    <xf numFmtId="0" fontId="11" fillId="0" borderId="2" xfId="0" applyFont="1" applyBorder="1" applyAlignment="1">
      <alignment horizontal="center"/>
    </xf>
    <xf numFmtId="0" fontId="14" fillId="0" borderId="2" xfId="0" applyFont="1" applyBorder="1"/>
    <xf numFmtId="0" fontId="14" fillId="0" borderId="0" xfId="0" applyFont="1"/>
    <xf numFmtId="0" fontId="14" fillId="2" borderId="2" xfId="0" applyFont="1" applyFill="1" applyBorder="1"/>
    <xf numFmtId="0" fontId="13" fillId="0" borderId="2" xfId="0" applyFont="1" applyBorder="1" applyAlignment="1">
      <alignment horizontal="center"/>
    </xf>
    <xf numFmtId="0" fontId="13" fillId="0" borderId="0" xfId="0" applyFont="1" applyAlignment="1">
      <alignment horizontal="center"/>
    </xf>
    <xf numFmtId="0" fontId="14" fillId="0" borderId="2" xfId="0" applyFont="1" applyBorder="1" applyAlignment="1">
      <alignment horizontal="center"/>
    </xf>
    <xf numFmtId="0" fontId="14" fillId="2" borderId="2" xfId="0" applyFont="1" applyFill="1" applyBorder="1" applyAlignment="1">
      <alignment horizontal="center"/>
    </xf>
    <xf numFmtId="9" fontId="14" fillId="0" borderId="0" xfId="5" applyFont="1" applyBorder="1"/>
    <xf numFmtId="0" fontId="15" fillId="0" borderId="2" xfId="0" applyFont="1" applyBorder="1" applyAlignment="1">
      <alignment horizontal="center"/>
    </xf>
    <xf numFmtId="0" fontId="14" fillId="0" borderId="0" xfId="0" applyFont="1" applyAlignment="1">
      <alignment horizontal="right"/>
    </xf>
    <xf numFmtId="0" fontId="14" fillId="0" borderId="0" xfId="0" applyFont="1" applyAlignment="1">
      <alignment wrapText="1"/>
    </xf>
    <xf numFmtId="0" fontId="14" fillId="0" borderId="4" xfId="0" applyFont="1" applyBorder="1"/>
    <xf numFmtId="0" fontId="14" fillId="0" borderId="2" xfId="0" applyFont="1" applyBorder="1" applyAlignment="1">
      <alignment wrapText="1"/>
    </xf>
    <xf numFmtId="9" fontId="14" fillId="0" borderId="2" xfId="5" applyFont="1" applyBorder="1"/>
    <xf numFmtId="9" fontId="14" fillId="0" borderId="0" xfId="0" applyNumberFormat="1" applyFont="1"/>
    <xf numFmtId="0" fontId="16" fillId="0" borderId="0" xfId="0" applyFont="1"/>
    <xf numFmtId="0" fontId="16" fillId="0" borderId="0" xfId="0" applyFont="1" applyAlignment="1">
      <alignment horizontal="left" vertical="center"/>
    </xf>
    <xf numFmtId="0" fontId="17" fillId="0" borderId="0" xfId="0" applyFont="1"/>
    <xf numFmtId="0" fontId="4" fillId="0" borderId="0" xfId="2" applyFont="1"/>
    <xf numFmtId="0" fontId="16" fillId="0" borderId="0" xfId="0" applyFont="1" applyAlignment="1">
      <alignment vertical="center"/>
    </xf>
    <xf numFmtId="0" fontId="8" fillId="0" borderId="0" xfId="0" applyFont="1"/>
    <xf numFmtId="2" fontId="8" fillId="0" borderId="0" xfId="0" applyNumberFormat="1" applyFont="1"/>
    <xf numFmtId="0" fontId="8" fillId="0" borderId="0" xfId="2" applyFont="1"/>
    <xf numFmtId="0" fontId="2" fillId="0" borderId="0" xfId="2"/>
    <xf numFmtId="0" fontId="18" fillId="0" borderId="0" xfId="0" applyFont="1"/>
    <xf numFmtId="0" fontId="19" fillId="0" borderId="0" xfId="0" applyFont="1"/>
    <xf numFmtId="0" fontId="3" fillId="0" borderId="2" xfId="0" applyFont="1" applyBorder="1" applyAlignment="1">
      <alignment horizontal="left" vertical="top"/>
    </xf>
    <xf numFmtId="0" fontId="1" fillId="0" borderId="0" xfId="3"/>
    <xf numFmtId="0" fontId="10" fillId="0" borderId="0" xfId="4"/>
    <xf numFmtId="0" fontId="11" fillId="0" borderId="2" xfId="4" applyFont="1" applyBorder="1" applyAlignment="1">
      <alignment horizontal="center" vertical="top" wrapText="1"/>
    </xf>
    <xf numFmtId="0" fontId="10" fillId="0" borderId="2" xfId="4" applyBorder="1" applyAlignment="1">
      <alignment horizontal="center" vertical="center"/>
    </xf>
    <xf numFmtId="0" fontId="10" fillId="0" borderId="2" xfId="4" applyBorder="1" applyAlignment="1">
      <alignment horizontal="left" vertical="center"/>
    </xf>
    <xf numFmtId="1" fontId="10" fillId="0" borderId="2" xfId="4" applyNumberFormat="1" applyBorder="1" applyAlignment="1">
      <alignment horizontal="center" vertical="center"/>
    </xf>
    <xf numFmtId="165" fontId="10" fillId="0" borderId="2" xfId="1" applyNumberFormat="1" applyFont="1" applyBorder="1" applyAlignment="1">
      <alignment horizontal="right" vertical="center"/>
    </xf>
    <xf numFmtId="0" fontId="11" fillId="0" borderId="2" xfId="4" applyFont="1" applyBorder="1" applyAlignment="1">
      <alignment horizontal="center" vertical="center"/>
    </xf>
    <xf numFmtId="1" fontId="12" fillId="0" borderId="2" xfId="4" applyNumberFormat="1" applyFont="1" applyBorder="1" applyAlignment="1">
      <alignment horizontal="center" vertical="center"/>
    </xf>
    <xf numFmtId="0" fontId="1" fillId="0" borderId="2" xfId="3" applyBorder="1" applyAlignment="1">
      <alignment horizontal="center" vertical="center"/>
    </xf>
    <xf numFmtId="0" fontId="20" fillId="0" borderId="0" xfId="3" applyFont="1"/>
    <xf numFmtId="0" fontId="0" fillId="2" borderId="0" xfId="0" applyFill="1"/>
    <xf numFmtId="0" fontId="17" fillId="2" borderId="0" xfId="0" applyFont="1" applyFill="1"/>
    <xf numFmtId="0" fontId="21" fillId="0" borderId="21" xfId="6" applyFont="1" applyBorder="1" applyAlignment="1" applyProtection="1">
      <alignment horizontal="center" vertical="top"/>
      <protection locked="0"/>
    </xf>
    <xf numFmtId="0" fontId="21" fillId="0" borderId="2" xfId="6" applyFont="1" applyBorder="1" applyAlignment="1" applyProtection="1">
      <alignment horizontal="center" vertical="top"/>
      <protection locked="0"/>
    </xf>
    <xf numFmtId="0" fontId="21" fillId="0" borderId="19" xfId="6" applyFont="1" applyBorder="1" applyProtection="1">
      <protection hidden="1"/>
    </xf>
    <xf numFmtId="0" fontId="21" fillId="0" borderId="20" xfId="6" applyFont="1" applyBorder="1" applyProtection="1">
      <protection hidden="1"/>
    </xf>
    <xf numFmtId="0" fontId="21" fillId="0" borderId="0" xfId="6" applyFont="1" applyProtection="1">
      <protection hidden="1"/>
    </xf>
    <xf numFmtId="0" fontId="21" fillId="0" borderId="23" xfId="6" applyFont="1" applyBorder="1" applyProtection="1">
      <protection hidden="1"/>
    </xf>
    <xf numFmtId="0" fontId="8" fillId="0" borderId="0" xfId="0" applyFont="1" applyProtection="1">
      <protection hidden="1"/>
    </xf>
    <xf numFmtId="0" fontId="21" fillId="0" borderId="23" xfId="6" applyFont="1" applyBorder="1"/>
    <xf numFmtId="0" fontId="8" fillId="0" borderId="23" xfId="0" applyFont="1" applyBorder="1" applyProtection="1">
      <protection hidden="1"/>
    </xf>
    <xf numFmtId="1" fontId="23" fillId="0" borderId="23" xfId="0" applyNumberFormat="1" applyFont="1" applyBorder="1"/>
    <xf numFmtId="1" fontId="23" fillId="0" borderId="23" xfId="0" applyNumberFormat="1" applyFont="1" applyBorder="1" applyAlignment="1">
      <alignment horizontal="right"/>
    </xf>
    <xf numFmtId="0" fontId="8" fillId="0" borderId="32" xfId="0" applyFont="1" applyBorder="1" applyProtection="1">
      <protection hidden="1"/>
    </xf>
    <xf numFmtId="1" fontId="23" fillId="0" borderId="33" xfId="0" applyNumberFormat="1" applyFont="1" applyBorder="1"/>
    <xf numFmtId="0" fontId="3" fillId="0" borderId="2" xfId="0" applyFont="1" applyBorder="1" applyAlignment="1">
      <alignment horizontal="center" vertical="top"/>
    </xf>
    <xf numFmtId="0" fontId="9" fillId="0" borderId="2" xfId="0" applyFont="1" applyBorder="1" applyAlignment="1">
      <alignment horizontal="center" vertical="top"/>
    </xf>
    <xf numFmtId="1" fontId="9" fillId="0" borderId="2" xfId="0" applyNumberFormat="1" applyFont="1" applyBorder="1" applyAlignment="1">
      <alignment horizontal="center" vertical="top" wrapText="1"/>
    </xf>
    <xf numFmtId="0" fontId="4" fillId="0" borderId="1" xfId="0" applyFont="1" applyBorder="1" applyAlignment="1">
      <alignment vertical="top"/>
    </xf>
    <xf numFmtId="0" fontId="4" fillId="0" borderId="2" xfId="0" applyFont="1" applyBorder="1" applyAlignment="1">
      <alignment horizontal="center" vertical="top"/>
    </xf>
    <xf numFmtId="0" fontId="3" fillId="0" borderId="2" xfId="0" applyFont="1" applyBorder="1" applyAlignment="1">
      <alignment horizontal="center" vertical="top" wrapText="1"/>
    </xf>
    <xf numFmtId="0" fontId="21" fillId="0" borderId="2" xfId="6" applyFont="1" applyBorder="1" applyAlignment="1" applyProtection="1">
      <alignment horizontal="center" vertical="top" wrapText="1"/>
      <protection locked="0"/>
    </xf>
    <xf numFmtId="0" fontId="21" fillId="0" borderId="2" xfId="6" applyFont="1" applyBorder="1" applyAlignment="1" applyProtection="1">
      <alignment horizontal="center" wrapText="1"/>
      <protection locked="0"/>
    </xf>
    <xf numFmtId="1" fontId="21" fillId="0" borderId="2" xfId="6" applyNumberFormat="1" applyFont="1" applyBorder="1" applyAlignment="1" applyProtection="1">
      <alignment horizontal="center" wrapText="1"/>
      <protection locked="0"/>
    </xf>
    <xf numFmtId="0" fontId="21" fillId="0" borderId="28" xfId="6" applyFont="1" applyBorder="1" applyAlignment="1" applyProtection="1">
      <alignment horizontal="center" wrapText="1"/>
      <protection locked="0"/>
    </xf>
    <xf numFmtId="0" fontId="13" fillId="0" borderId="0" xfId="0" applyFont="1"/>
    <xf numFmtId="0" fontId="3" fillId="0" borderId="2" xfId="0" applyFont="1" applyBorder="1" applyAlignment="1">
      <alignment horizontal="center" vertical="top"/>
    </xf>
    <xf numFmtId="0" fontId="6" fillId="0" borderId="1" xfId="0" applyFont="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0" fontId="9" fillId="0" borderId="2" xfId="0" applyFont="1" applyBorder="1" applyAlignment="1">
      <alignment horizontal="center" vertical="top"/>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1" fontId="6" fillId="0" borderId="7"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1" fontId="9" fillId="0" borderId="2" xfId="0" applyNumberFormat="1" applyFont="1" applyBorder="1" applyAlignment="1">
      <alignment horizontal="center" vertical="top" wrapText="1"/>
    </xf>
    <xf numFmtId="0" fontId="9" fillId="0" borderId="1" xfId="0" applyFont="1" applyBorder="1" applyAlignment="1">
      <alignment horizontal="center" vertical="top"/>
    </xf>
    <xf numFmtId="0" fontId="9" fillId="0" borderId="5" xfId="0" applyFont="1" applyBorder="1" applyAlignment="1">
      <alignment horizontal="center" vertical="top"/>
    </xf>
    <xf numFmtId="0" fontId="9" fillId="0" borderId="6" xfId="0" applyFont="1" applyBorder="1" applyAlignment="1">
      <alignment horizontal="center" vertical="top"/>
    </xf>
    <xf numFmtId="0" fontId="6" fillId="0" borderId="1"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12" xfId="0" applyFont="1" applyBorder="1" applyAlignment="1">
      <alignment horizontal="center" vertical="top" wrapText="1"/>
    </xf>
    <xf numFmtId="0" fontId="4" fillId="0" borderId="0" xfId="0" applyFont="1" applyAlignment="1">
      <alignment horizontal="center" vertical="top" wrapText="1"/>
    </xf>
    <xf numFmtId="0" fontId="4" fillId="0" borderId="1"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1" xfId="0" applyFont="1" applyBorder="1" applyAlignment="1">
      <alignment horizontal="center" vertical="top"/>
    </xf>
    <xf numFmtId="0" fontId="4" fillId="0" borderId="6" xfId="0" applyFont="1" applyBorder="1" applyAlignment="1">
      <alignment horizontal="center" vertical="top"/>
    </xf>
    <xf numFmtId="0" fontId="4" fillId="0" borderId="5" xfId="0" applyFont="1" applyBorder="1" applyAlignment="1">
      <alignment horizontal="center" vertical="top"/>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left" vertical="top"/>
    </xf>
    <xf numFmtId="0" fontId="4" fillId="0" borderId="1"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2"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14" fontId="4" fillId="0" borderId="1" xfId="0" applyNumberFormat="1" applyFont="1" applyBorder="1" applyAlignment="1">
      <alignment horizontal="left" vertical="top"/>
    </xf>
    <xf numFmtId="14" fontId="4" fillId="0" borderId="5" xfId="0" applyNumberFormat="1" applyFont="1" applyBorder="1" applyAlignment="1">
      <alignment horizontal="left" vertical="top"/>
    </xf>
    <xf numFmtId="14" fontId="4" fillId="0" borderId="6" xfId="0" applyNumberFormat="1" applyFont="1" applyBorder="1" applyAlignment="1">
      <alignment horizontal="left" vertical="top"/>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3" xfId="0" applyFont="1" applyBorder="1" applyAlignment="1">
      <alignment horizontal="left" vertical="top" wrapText="1"/>
    </xf>
    <xf numFmtId="0" fontId="4" fillId="0" borderId="11" xfId="0" applyFont="1" applyBorder="1" applyAlignment="1">
      <alignment horizontal="left" vertical="top" wrapText="1"/>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3" xfId="0" applyFont="1" applyBorder="1" applyAlignment="1">
      <alignment horizontal="left" vertical="top"/>
    </xf>
    <xf numFmtId="0" fontId="4" fillId="0" borderId="11" xfId="0" applyFont="1" applyBorder="1" applyAlignment="1">
      <alignment horizontal="left" vertical="top"/>
    </xf>
    <xf numFmtId="0" fontId="4" fillId="0" borderId="1" xfId="0" applyFont="1" applyBorder="1" applyAlignment="1">
      <alignment vertical="top"/>
    </xf>
    <xf numFmtId="0" fontId="4" fillId="0" borderId="5" xfId="0" applyFont="1" applyBorder="1" applyAlignment="1">
      <alignment vertical="top"/>
    </xf>
    <xf numFmtId="0" fontId="4" fillId="0" borderId="6" xfId="0" applyFont="1" applyBorder="1" applyAlignment="1">
      <alignment vertical="top"/>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 xfId="0" applyFont="1" applyBorder="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3" fillId="0" borderId="1"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24" fillId="0" borderId="1" xfId="7" applyBorder="1" applyAlignment="1">
      <alignment horizontal="left" vertical="top"/>
    </xf>
    <xf numFmtId="0" fontId="4" fillId="0" borderId="2" xfId="0" applyFont="1" applyBorder="1" applyAlignment="1">
      <alignment horizontal="center" vertical="top" wrapText="1"/>
    </xf>
    <xf numFmtId="0" fontId="4" fillId="0" borderId="2" xfId="0" applyFont="1" applyBorder="1" applyAlignment="1">
      <alignment horizontal="center" vertical="top"/>
    </xf>
    <xf numFmtId="0" fontId="16" fillId="0" borderId="6" xfId="0" applyFont="1" applyBorder="1" applyAlignment="1">
      <alignment horizontal="left"/>
    </xf>
    <xf numFmtId="0" fontId="8" fillId="0" borderId="1"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21" fillId="0" borderId="24" xfId="6" applyFont="1" applyBorder="1" applyAlignment="1" applyProtection="1">
      <alignment horizontal="center" vertical="top" wrapText="1"/>
      <protection locked="0"/>
    </xf>
    <xf numFmtId="0" fontId="21" fillId="0" borderId="6" xfId="6" applyFont="1" applyBorder="1" applyAlignment="1" applyProtection="1">
      <alignment horizontal="center" vertical="top" wrapText="1"/>
      <protection locked="0"/>
    </xf>
    <xf numFmtId="9" fontId="21" fillId="0" borderId="1" xfId="6" applyNumberFormat="1" applyFont="1" applyBorder="1" applyAlignment="1" applyProtection="1">
      <alignment horizontal="center" vertical="center" wrapText="1"/>
      <protection hidden="1"/>
    </xf>
    <xf numFmtId="9" fontId="21" fillId="0" borderId="6" xfId="6" applyNumberFormat="1" applyFont="1" applyBorder="1" applyAlignment="1" applyProtection="1">
      <alignment horizontal="center" vertical="center" wrapText="1"/>
      <protection hidden="1"/>
    </xf>
    <xf numFmtId="9" fontId="21" fillId="0" borderId="7" xfId="6" applyNumberFormat="1" applyFont="1" applyBorder="1" applyAlignment="1" applyProtection="1">
      <alignment horizontal="center" vertical="center" wrapText="1"/>
      <protection hidden="1"/>
    </xf>
    <xf numFmtId="9" fontId="21" fillId="0" borderId="9" xfId="6" applyNumberFormat="1" applyFont="1" applyBorder="1" applyAlignment="1" applyProtection="1">
      <alignment horizontal="center" vertical="center" wrapText="1"/>
      <protection hidden="1"/>
    </xf>
    <xf numFmtId="9" fontId="21" fillId="0" borderId="12" xfId="6" applyNumberFormat="1" applyFont="1" applyBorder="1" applyAlignment="1" applyProtection="1">
      <alignment horizontal="center" vertical="center" wrapText="1"/>
      <protection hidden="1"/>
    </xf>
    <xf numFmtId="9" fontId="21" fillId="0" borderId="13" xfId="6" applyNumberFormat="1" applyFont="1" applyBorder="1" applyAlignment="1" applyProtection="1">
      <alignment horizontal="center" vertical="center" wrapText="1"/>
      <protection hidden="1"/>
    </xf>
    <xf numFmtId="9" fontId="21" fillId="0" borderId="30" xfId="6" applyNumberFormat="1" applyFont="1" applyBorder="1" applyAlignment="1" applyProtection="1">
      <alignment horizontal="center" vertical="center" wrapText="1"/>
      <protection hidden="1"/>
    </xf>
    <xf numFmtId="9" fontId="21" fillId="0" borderId="31" xfId="6" applyNumberFormat="1" applyFont="1" applyBorder="1" applyAlignment="1" applyProtection="1">
      <alignment horizontal="center" vertical="center" wrapText="1"/>
      <protection hidden="1"/>
    </xf>
    <xf numFmtId="9" fontId="21" fillId="0" borderId="8" xfId="6" applyNumberFormat="1" applyFont="1" applyBorder="1" applyAlignment="1" applyProtection="1">
      <alignment horizontal="center" vertical="center" wrapText="1"/>
      <protection hidden="1"/>
    </xf>
    <xf numFmtId="9" fontId="21" fillId="0" borderId="25" xfId="6" applyNumberFormat="1" applyFont="1" applyBorder="1" applyAlignment="1" applyProtection="1">
      <alignment horizontal="center" vertical="center" wrapText="1"/>
      <protection hidden="1"/>
    </xf>
    <xf numFmtId="9" fontId="21" fillId="0" borderId="0" xfId="6" applyNumberFormat="1" applyFont="1" applyAlignment="1" applyProtection="1">
      <alignment horizontal="center" vertical="center" wrapText="1"/>
      <protection hidden="1"/>
    </xf>
    <xf numFmtId="9" fontId="21" fillId="0" borderId="23" xfId="6" applyNumberFormat="1" applyFont="1" applyBorder="1" applyAlignment="1" applyProtection="1">
      <alignment horizontal="center" vertical="center" wrapText="1"/>
      <protection hidden="1"/>
    </xf>
    <xf numFmtId="9" fontId="21" fillId="0" borderId="32" xfId="6" applyNumberFormat="1" applyFont="1" applyBorder="1" applyAlignment="1" applyProtection="1">
      <alignment horizontal="center" vertical="center" wrapText="1"/>
      <protection hidden="1"/>
    </xf>
    <xf numFmtId="9" fontId="21" fillId="0" borderId="33" xfId="6" applyNumberFormat="1" applyFont="1" applyBorder="1" applyAlignment="1" applyProtection="1">
      <alignment horizontal="center" vertical="center" wrapText="1"/>
      <protection hidden="1"/>
    </xf>
    <xf numFmtId="0" fontId="21" fillId="0" borderId="24" xfId="6" applyFont="1" applyBorder="1" applyAlignment="1" applyProtection="1">
      <alignment horizontal="center" vertical="top"/>
      <protection locked="0"/>
    </xf>
    <xf numFmtId="0" fontId="21" fillId="0" borderId="6" xfId="6" applyFont="1" applyBorder="1" applyAlignment="1" applyProtection="1">
      <alignment horizontal="center" vertical="top"/>
      <protection locked="0"/>
    </xf>
    <xf numFmtId="0" fontId="21" fillId="0" borderId="1" xfId="6" applyFont="1" applyBorder="1" applyAlignment="1" applyProtection="1">
      <alignment horizontal="center" vertical="top" wrapText="1"/>
      <protection locked="0"/>
    </xf>
    <xf numFmtId="0" fontId="3" fillId="0" borderId="1"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8" fillId="0" borderId="2" xfId="0" applyFont="1" applyBorder="1" applyAlignment="1">
      <alignment horizontal="left" vertical="top" wrapText="1"/>
    </xf>
    <xf numFmtId="0" fontId="8" fillId="0" borderId="2" xfId="0" applyFont="1" applyBorder="1" applyAlignment="1">
      <alignment horizontal="center" vertical="top" wrapText="1"/>
    </xf>
    <xf numFmtId="0" fontId="4" fillId="0" borderId="1"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2" xfId="0" applyFont="1" applyBorder="1" applyAlignment="1">
      <alignment horizontal="center" vertical="top" wrapText="1"/>
    </xf>
    <xf numFmtId="0" fontId="3" fillId="0" borderId="0" xfId="0" applyFont="1" applyAlignment="1">
      <alignment horizontal="center" vertical="top" wrapText="1"/>
    </xf>
    <xf numFmtId="0" fontId="3" fillId="0" borderId="13" xfId="0" applyFont="1" applyBorder="1" applyAlignment="1">
      <alignment horizontal="center" vertical="top" wrapText="1"/>
    </xf>
    <xf numFmtId="0" fontId="3" fillId="0" borderId="10" xfId="0" applyFont="1" applyBorder="1" applyAlignment="1">
      <alignment horizontal="center" vertical="top" wrapText="1"/>
    </xf>
    <xf numFmtId="0" fontId="3" fillId="0" borderId="3" xfId="0" applyFont="1" applyBorder="1" applyAlignment="1">
      <alignment horizontal="center" vertical="top" wrapText="1"/>
    </xf>
    <xf numFmtId="0" fontId="3" fillId="0" borderId="11" xfId="0" applyFont="1" applyBorder="1" applyAlignment="1">
      <alignment horizontal="center" vertical="top" wrapText="1"/>
    </xf>
    <xf numFmtId="0" fontId="7" fillId="0" borderId="1"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3" fontId="8" fillId="0" borderId="1" xfId="0" applyNumberFormat="1" applyFont="1" applyBorder="1" applyAlignment="1">
      <alignment horizontal="left" vertical="top"/>
    </xf>
    <xf numFmtId="0" fontId="7" fillId="0" borderId="7" xfId="2" applyFont="1" applyBorder="1" applyAlignment="1">
      <alignment horizontal="left" vertical="top" wrapText="1"/>
    </xf>
    <xf numFmtId="0" fontId="7" fillId="0" borderId="8" xfId="2" applyFont="1" applyBorder="1" applyAlignment="1">
      <alignment horizontal="left" vertical="top" wrapText="1"/>
    </xf>
    <xf numFmtId="0" fontId="7" fillId="0" borderId="9" xfId="2" applyFont="1" applyBorder="1" applyAlignment="1">
      <alignment horizontal="left" vertical="top" wrapText="1"/>
    </xf>
    <xf numFmtId="0" fontId="7" fillId="0" borderId="10" xfId="2" applyFont="1" applyBorder="1" applyAlignment="1">
      <alignment horizontal="left" vertical="top" wrapText="1"/>
    </xf>
    <xf numFmtId="0" fontId="7" fillId="0" borderId="3" xfId="2" applyFont="1" applyBorder="1" applyAlignment="1">
      <alignment horizontal="left" vertical="top" wrapText="1"/>
    </xf>
    <xf numFmtId="0" fontId="7" fillId="0" borderId="11" xfId="2" applyFont="1" applyBorder="1" applyAlignment="1">
      <alignment horizontal="left" vertical="top" wrapText="1"/>
    </xf>
    <xf numFmtId="1" fontId="4" fillId="0" borderId="2" xfId="0" applyNumberFormat="1" applyFont="1" applyBorder="1" applyAlignment="1">
      <alignment horizontal="center" vertical="top"/>
    </xf>
    <xf numFmtId="0" fontId="3" fillId="0" borderId="2" xfId="0" applyFont="1" applyBorder="1" applyAlignment="1">
      <alignment horizontal="center"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9" xfId="0" applyFont="1" applyBorder="1" applyAlignment="1">
      <alignment vertical="top" wrapText="1"/>
    </xf>
    <xf numFmtId="0" fontId="7" fillId="0" borderId="12" xfId="0" applyFont="1" applyBorder="1" applyAlignment="1">
      <alignment vertical="top" wrapText="1"/>
    </xf>
    <xf numFmtId="0" fontId="7" fillId="0" borderId="0" xfId="0" applyFont="1" applyAlignment="1">
      <alignment vertical="top" wrapText="1"/>
    </xf>
    <xf numFmtId="0" fontId="7" fillId="0" borderId="13"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7" fillId="0" borderId="11" xfId="0" applyFont="1" applyBorder="1" applyAlignment="1">
      <alignment vertical="top" wrapText="1"/>
    </xf>
    <xf numFmtId="0" fontId="16" fillId="0" borderId="1" xfId="0" applyFont="1" applyBorder="1" applyAlignment="1">
      <alignment horizontal="left" vertical="top"/>
    </xf>
    <xf numFmtId="0" fontId="16" fillId="0" borderId="5" xfId="0" applyFont="1" applyBorder="1" applyAlignment="1">
      <alignment horizontal="left" vertical="top"/>
    </xf>
    <xf numFmtId="0" fontId="16" fillId="0" borderId="6" xfId="0" applyFont="1" applyBorder="1" applyAlignment="1">
      <alignment horizontal="left" vertical="top"/>
    </xf>
    <xf numFmtId="3" fontId="13" fillId="0" borderId="1" xfId="0" applyNumberFormat="1" applyFont="1" applyBorder="1" applyAlignment="1">
      <alignment horizontal="left" vertical="top"/>
    </xf>
    <xf numFmtId="0" fontId="13" fillId="0" borderId="5" xfId="0" applyFont="1" applyBorder="1" applyAlignment="1">
      <alignment horizontal="left" vertical="top"/>
    </xf>
    <xf numFmtId="0" fontId="13" fillId="0" borderId="6" xfId="0" applyFont="1" applyBorder="1" applyAlignment="1">
      <alignment horizontal="left" vertical="top"/>
    </xf>
    <xf numFmtId="0" fontId="22" fillId="0" borderId="14" xfId="6" applyFont="1" applyBorder="1" applyAlignment="1" applyProtection="1">
      <alignment horizontal="center" vertical="top" wrapText="1"/>
      <protection locked="0"/>
    </xf>
    <xf numFmtId="0" fontId="22" fillId="0" borderId="15" xfId="6" applyFont="1" applyBorder="1" applyAlignment="1" applyProtection="1">
      <alignment horizontal="center" vertical="top" wrapText="1"/>
      <protection locked="0"/>
    </xf>
    <xf numFmtId="0" fontId="22" fillId="0" borderId="16" xfId="6" applyFont="1" applyBorder="1" applyAlignment="1" applyProtection="1">
      <alignment horizontal="left" vertical="top" wrapText="1"/>
      <protection locked="0"/>
    </xf>
    <xf numFmtId="0" fontId="22" fillId="0" borderId="17" xfId="6" applyFont="1" applyBorder="1" applyAlignment="1" applyProtection="1">
      <alignment horizontal="left" vertical="top" wrapText="1"/>
      <protection locked="0"/>
    </xf>
    <xf numFmtId="0" fontId="22" fillId="0" borderId="18" xfId="6" applyFont="1" applyBorder="1" applyAlignment="1" applyProtection="1">
      <alignment horizontal="left" vertical="top" wrapText="1"/>
      <protection locked="0"/>
    </xf>
    <xf numFmtId="0" fontId="21" fillId="0" borderId="1" xfId="6" applyFont="1" applyBorder="1" applyAlignment="1" applyProtection="1">
      <alignment horizontal="center" vertical="top"/>
      <protection locked="0"/>
    </xf>
    <xf numFmtId="0" fontId="21" fillId="0" borderId="22" xfId="6" applyFont="1" applyBorder="1" applyAlignment="1" applyProtection="1">
      <alignment horizontal="center" vertical="top"/>
      <protection locked="0"/>
    </xf>
    <xf numFmtId="0" fontId="22" fillId="0" borderId="24" xfId="6" applyFont="1" applyBorder="1" applyAlignment="1" applyProtection="1">
      <alignment horizontal="left" vertical="top"/>
      <protection locked="0"/>
    </xf>
    <xf numFmtId="0" fontId="22" fillId="0" borderId="6" xfId="6" applyFont="1" applyBorder="1" applyAlignment="1" applyProtection="1">
      <alignment horizontal="left" vertical="top"/>
      <protection locked="0"/>
    </xf>
    <xf numFmtId="0" fontId="22" fillId="0" borderId="1" xfId="6" applyFont="1" applyBorder="1" applyAlignment="1" applyProtection="1">
      <alignment horizontal="left" vertical="top" wrapText="1"/>
      <protection locked="0"/>
    </xf>
    <xf numFmtId="0" fontId="22" fillId="0" borderId="5" xfId="6" applyFont="1" applyBorder="1" applyAlignment="1" applyProtection="1">
      <alignment horizontal="left" vertical="top" wrapText="1"/>
      <protection locked="0"/>
    </xf>
    <xf numFmtId="0" fontId="22" fillId="0" borderId="22" xfId="6" applyFont="1" applyBorder="1" applyAlignment="1" applyProtection="1">
      <alignment horizontal="left" vertical="top" wrapText="1"/>
      <protection locked="0"/>
    </xf>
    <xf numFmtId="0" fontId="21" fillId="0" borderId="5" xfId="6" applyFont="1" applyBorder="1" applyAlignment="1" applyProtection="1">
      <alignment horizontal="center" vertical="top" wrapText="1"/>
      <protection locked="0"/>
    </xf>
    <xf numFmtId="0" fontId="21" fillId="0" borderId="22" xfId="6" applyFont="1" applyBorder="1" applyAlignment="1" applyProtection="1">
      <alignment horizontal="center" vertical="top" wrapText="1"/>
      <protection locked="0"/>
    </xf>
    <xf numFmtId="0" fontId="21" fillId="0" borderId="26" xfId="6" applyFont="1" applyBorder="1" applyAlignment="1" applyProtection="1">
      <alignment horizontal="center" vertical="top" wrapText="1"/>
      <protection locked="0"/>
    </xf>
    <xf numFmtId="0" fontId="21" fillId="0" borderId="27" xfId="6" applyFont="1" applyBorder="1" applyAlignment="1" applyProtection="1">
      <alignment horizontal="center" vertical="top" wrapText="1"/>
      <protection locked="0"/>
    </xf>
    <xf numFmtId="9" fontId="21" fillId="0" borderId="29" xfId="6" applyNumberFormat="1" applyFont="1" applyBorder="1" applyAlignment="1" applyProtection="1">
      <alignment horizontal="center" vertical="center" wrapText="1"/>
      <protection hidden="1"/>
    </xf>
    <xf numFmtId="9" fontId="21" fillId="0" borderId="27" xfId="6" applyNumberFormat="1" applyFont="1" applyBorder="1" applyAlignment="1" applyProtection="1">
      <alignment horizontal="center" vertical="center" wrapText="1"/>
      <protection hidden="1"/>
    </xf>
    <xf numFmtId="0" fontId="14" fillId="0" borderId="2" xfId="0" applyFont="1" applyBorder="1" applyAlignment="1">
      <alignment horizontal="left"/>
    </xf>
    <xf numFmtId="0" fontId="14" fillId="0" borderId="2" xfId="0" applyFont="1" applyBorder="1" applyAlignment="1">
      <alignment horizontal="center"/>
    </xf>
    <xf numFmtId="0" fontId="14" fillId="2" borderId="2" xfId="0" applyFont="1" applyFill="1" applyBorder="1" applyAlignment="1">
      <alignment horizontal="center"/>
    </xf>
    <xf numFmtId="0" fontId="15" fillId="0" borderId="2" xfId="0" applyFont="1" applyBorder="1" applyAlignment="1">
      <alignment horizontal="center"/>
    </xf>
    <xf numFmtId="0" fontId="0" fillId="2" borderId="2" xfId="0" applyFill="1" applyBorder="1" applyAlignment="1">
      <alignment horizontal="center" wrapText="1"/>
    </xf>
    <xf numFmtId="0" fontId="11" fillId="0" borderId="2" xfId="0" applyFont="1" applyBorder="1" applyAlignment="1">
      <alignment horizontal="center"/>
    </xf>
    <xf numFmtId="0" fontId="11" fillId="0" borderId="2" xfId="4" applyFont="1" applyBorder="1" applyAlignment="1">
      <alignment horizontal="left"/>
    </xf>
  </cellXfs>
  <cellStyles count="8">
    <cellStyle name="Comma 2" xfId="1" xr:uid="{00000000-0005-0000-0000-000000000000}"/>
    <cellStyle name="Excel Built-in Normal" xfId="2" xr:uid="{00000000-0005-0000-0000-000001000000}"/>
    <cellStyle name="Excel Built-in Normal 2" xfId="3" xr:uid="{00000000-0005-0000-0000-000002000000}"/>
    <cellStyle name="Hyperlink" xfId="7" builtinId="8"/>
    <cellStyle name="Normal" xfId="0" builtinId="0"/>
    <cellStyle name="Normal 3" xfId="6" xr:uid="{00000000-0005-0000-0000-000005000000}"/>
    <cellStyle name="Normal 4" xfId="4" xr:uid="{00000000-0005-0000-0000-000006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g"/></Relationships>
</file>

<file path=xl/drawings/_rels/drawing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518697</xdr:colOff>
      <xdr:row>195</xdr:row>
      <xdr:rowOff>5093</xdr:rowOff>
    </xdr:from>
    <xdr:to>
      <xdr:col>7</xdr:col>
      <xdr:colOff>145167</xdr:colOff>
      <xdr:row>210</xdr:row>
      <xdr:rowOff>27593</xdr:rowOff>
    </xdr:to>
    <xdr:pic>
      <xdr:nvPicPr>
        <xdr:cNvPr id="8576" name="Picture 44">
          <a:extLst>
            <a:ext uri="{FF2B5EF4-FFF2-40B4-BE49-F238E27FC236}">
              <a16:creationId xmlns:a16="http://schemas.microsoft.com/office/drawing/2014/main" id="{00000000-0008-0000-0000-00008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099722" y="41715068"/>
          <a:ext cx="3750795" cy="28800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496286</xdr:colOff>
      <xdr:row>211</xdr:row>
      <xdr:rowOff>23395</xdr:rowOff>
    </xdr:from>
    <xdr:to>
      <xdr:col>7</xdr:col>
      <xdr:colOff>145168</xdr:colOff>
      <xdr:row>226</xdr:row>
      <xdr:rowOff>45895</xdr:rowOff>
    </xdr:to>
    <xdr:pic>
      <xdr:nvPicPr>
        <xdr:cNvPr id="8577" name="Picture 45">
          <a:extLst>
            <a:ext uri="{FF2B5EF4-FFF2-40B4-BE49-F238E27FC236}">
              <a16:creationId xmlns:a16="http://schemas.microsoft.com/office/drawing/2014/main" id="{00000000-0008-0000-0000-0000812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077311" y="44781370"/>
          <a:ext cx="3773207" cy="28800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270510</xdr:colOff>
      <xdr:row>152</xdr:row>
      <xdr:rowOff>148590</xdr:rowOff>
    </xdr:from>
    <xdr:to>
      <xdr:col>23</xdr:col>
      <xdr:colOff>147290</xdr:colOff>
      <xdr:row>191</xdr:row>
      <xdr:rowOff>36859</xdr:rowOff>
    </xdr:to>
    <xdr:grpSp>
      <xdr:nvGrpSpPr>
        <xdr:cNvPr id="18" name="Group 17">
          <a:extLst>
            <a:ext uri="{FF2B5EF4-FFF2-40B4-BE49-F238E27FC236}">
              <a16:creationId xmlns:a16="http://schemas.microsoft.com/office/drawing/2014/main" id="{364C9CC9-B834-4F04-BA6B-247F2F3BBAD3}"/>
            </a:ext>
          </a:extLst>
        </xdr:cNvPr>
        <xdr:cNvGrpSpPr/>
      </xdr:nvGrpSpPr>
      <xdr:grpSpPr>
        <a:xfrm>
          <a:off x="9155430" y="32548830"/>
          <a:ext cx="5500340" cy="6723409"/>
          <a:chOff x="505661" y="529069"/>
          <a:chExt cx="5338415" cy="7317769"/>
        </a:xfrm>
      </xdr:grpSpPr>
      <xdr:pic>
        <xdr:nvPicPr>
          <xdr:cNvPr id="19" name="Picture 18">
            <a:extLst>
              <a:ext uri="{FF2B5EF4-FFF2-40B4-BE49-F238E27FC236}">
                <a16:creationId xmlns:a16="http://schemas.microsoft.com/office/drawing/2014/main" id="{D1F148D1-FF17-4F92-998C-61330229E61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505662" y="529069"/>
            <a:ext cx="5338414" cy="5400000"/>
          </a:xfrm>
          <a:prstGeom prst="rect">
            <a:avLst/>
          </a:prstGeom>
          <a:ln>
            <a:solidFill>
              <a:schemeClr val="tx1"/>
            </a:solidFill>
          </a:ln>
        </xdr:spPr>
      </xdr:pic>
      <xdr:pic>
        <xdr:nvPicPr>
          <xdr:cNvPr id="20" name="Picture 19">
            <a:extLst>
              <a:ext uri="{FF2B5EF4-FFF2-40B4-BE49-F238E27FC236}">
                <a16:creationId xmlns:a16="http://schemas.microsoft.com/office/drawing/2014/main" id="{B083E387-03F2-4790-B162-620A10CBB5D3}"/>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025077" y="6046838"/>
            <a:ext cx="1348125" cy="1800000"/>
          </a:xfrm>
          <a:prstGeom prst="rect">
            <a:avLst/>
          </a:prstGeom>
          <a:ln>
            <a:solidFill>
              <a:schemeClr val="tx1"/>
            </a:solidFill>
          </a:ln>
        </xdr:spPr>
      </xdr:pic>
      <xdr:pic>
        <xdr:nvPicPr>
          <xdr:cNvPr id="21" name="Picture 20">
            <a:extLst>
              <a:ext uri="{FF2B5EF4-FFF2-40B4-BE49-F238E27FC236}">
                <a16:creationId xmlns:a16="http://schemas.microsoft.com/office/drawing/2014/main" id="{FE4786AC-0FFF-4EC7-A84B-7F5F2BC37B59}"/>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505661" y="6046838"/>
            <a:ext cx="2396667" cy="1800000"/>
          </a:xfrm>
          <a:prstGeom prst="rect">
            <a:avLst/>
          </a:prstGeom>
          <a:ln>
            <a:solidFill>
              <a:schemeClr val="tx1"/>
            </a:solidFill>
          </a:ln>
        </xdr:spPr>
      </xdr:pic>
      <xdr:pic>
        <xdr:nvPicPr>
          <xdr:cNvPr id="22" name="Picture 21">
            <a:extLst>
              <a:ext uri="{FF2B5EF4-FFF2-40B4-BE49-F238E27FC236}">
                <a16:creationId xmlns:a16="http://schemas.microsoft.com/office/drawing/2014/main" id="{E5FF94F9-3CC0-4DEF-BC9E-56ED2C0BDAF9}"/>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4495951" y="6046838"/>
            <a:ext cx="1348125" cy="1800000"/>
          </a:xfrm>
          <a:prstGeom prst="rect">
            <a:avLst/>
          </a:prstGeom>
          <a:ln>
            <a:solidFill>
              <a:schemeClr val="tx1"/>
            </a:solidFill>
          </a:ln>
        </xdr:spPr>
      </xdr:pic>
    </xdr:grpSp>
    <xdr:clientData/>
  </xdr:twoCellAnchor>
  <xdr:twoCellAnchor>
    <xdr:from>
      <xdr:col>0</xdr:col>
      <xdr:colOff>556260</xdr:colOff>
      <xdr:row>151</xdr:row>
      <xdr:rowOff>22860</xdr:rowOff>
    </xdr:from>
    <xdr:to>
      <xdr:col>8</xdr:col>
      <xdr:colOff>309744</xdr:colOff>
      <xdr:row>189</xdr:row>
      <xdr:rowOff>92100</xdr:rowOff>
    </xdr:to>
    <xdr:grpSp>
      <xdr:nvGrpSpPr>
        <xdr:cNvPr id="2" name="Group 1">
          <a:extLst>
            <a:ext uri="{FF2B5EF4-FFF2-40B4-BE49-F238E27FC236}">
              <a16:creationId xmlns:a16="http://schemas.microsoft.com/office/drawing/2014/main" id="{F35D1DCC-2A80-0BAE-D6DB-832086A3CFFB}"/>
            </a:ext>
          </a:extLst>
        </xdr:cNvPr>
        <xdr:cNvGrpSpPr/>
      </xdr:nvGrpSpPr>
      <xdr:grpSpPr>
        <a:xfrm>
          <a:off x="556260" y="32247840"/>
          <a:ext cx="5277984" cy="6729120"/>
          <a:chOff x="149867" y="152400"/>
          <a:chExt cx="5277984" cy="6729120"/>
        </a:xfrm>
      </xdr:grpSpPr>
      <xdr:grpSp>
        <xdr:nvGrpSpPr>
          <xdr:cNvPr id="3" name="Group 2">
            <a:extLst>
              <a:ext uri="{FF2B5EF4-FFF2-40B4-BE49-F238E27FC236}">
                <a16:creationId xmlns:a16="http://schemas.microsoft.com/office/drawing/2014/main" id="{237E902F-89CA-3761-53B6-A1259FA45779}"/>
              </a:ext>
            </a:extLst>
          </xdr:cNvPr>
          <xdr:cNvGrpSpPr/>
        </xdr:nvGrpSpPr>
        <xdr:grpSpPr>
          <a:xfrm>
            <a:off x="149867" y="5080000"/>
            <a:ext cx="5277984" cy="1801520"/>
            <a:chOff x="149867" y="5080000"/>
            <a:chExt cx="5277984" cy="1801520"/>
          </a:xfrm>
        </xdr:grpSpPr>
        <xdr:pic>
          <xdr:nvPicPr>
            <xdr:cNvPr id="5" name="Picture 4">
              <a:extLst>
                <a:ext uri="{FF2B5EF4-FFF2-40B4-BE49-F238E27FC236}">
                  <a16:creationId xmlns:a16="http://schemas.microsoft.com/office/drawing/2014/main" id="{B499091B-9C8E-1ECA-97C0-A8126106966D}"/>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a:ext>
              </a:extLst>
            </a:blip>
            <a:stretch>
              <a:fillRect/>
            </a:stretch>
          </xdr:blipFill>
          <xdr:spPr>
            <a:xfrm>
              <a:off x="4079726" y="5081520"/>
              <a:ext cx="1348125" cy="1800000"/>
            </a:xfrm>
            <a:prstGeom prst="rect">
              <a:avLst/>
            </a:prstGeom>
            <a:ln>
              <a:solidFill>
                <a:schemeClr val="tx1"/>
              </a:solidFill>
            </a:ln>
          </xdr:spPr>
        </xdr:pic>
        <xdr:pic>
          <xdr:nvPicPr>
            <xdr:cNvPr id="6" name="Picture 5">
              <a:extLst>
                <a:ext uri="{FF2B5EF4-FFF2-40B4-BE49-F238E27FC236}">
                  <a16:creationId xmlns:a16="http://schemas.microsoft.com/office/drawing/2014/main" id="{23D31C19-CE57-5C0B-D39B-84EEBEAC171F}"/>
                </a:ext>
              </a:extLst>
            </xdr:cNvPr>
            <xdr:cNvPicPr>
              <a:picLocks noChangeAspect="1"/>
            </xdr:cNvPicPr>
          </xdr:nvPicPr>
          <xdr:blipFill>
            <a:blip xmlns:r="http://schemas.openxmlformats.org/officeDocument/2006/relationships" r:embed="rId8" cstate="hqprint">
              <a:extLst>
                <a:ext uri="{28A0092B-C50C-407E-A947-70E740481C1C}">
                  <a14:useLocalDpi xmlns:a14="http://schemas.microsoft.com/office/drawing/2010/main"/>
                </a:ext>
              </a:extLst>
            </a:blip>
            <a:stretch>
              <a:fillRect/>
            </a:stretch>
          </xdr:blipFill>
          <xdr:spPr>
            <a:xfrm>
              <a:off x="2639067" y="5080000"/>
              <a:ext cx="1348125" cy="1800000"/>
            </a:xfrm>
            <a:prstGeom prst="rect">
              <a:avLst/>
            </a:prstGeom>
            <a:ln>
              <a:solidFill>
                <a:schemeClr val="tx1"/>
              </a:solidFill>
            </a:ln>
          </xdr:spPr>
        </xdr:pic>
        <xdr:pic>
          <xdr:nvPicPr>
            <xdr:cNvPr id="23" name="Picture 22">
              <a:extLst>
                <a:ext uri="{FF2B5EF4-FFF2-40B4-BE49-F238E27FC236}">
                  <a16:creationId xmlns:a16="http://schemas.microsoft.com/office/drawing/2014/main" id="{3D238F92-4751-8905-6708-BA4B25A374B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49867" y="5080000"/>
              <a:ext cx="2396666" cy="1800000"/>
            </a:xfrm>
            <a:prstGeom prst="rect">
              <a:avLst/>
            </a:prstGeom>
            <a:ln>
              <a:solidFill>
                <a:schemeClr val="tx1"/>
              </a:solidFill>
            </a:ln>
          </xdr:spPr>
        </xdr:pic>
      </xdr:grpSp>
      <xdr:pic>
        <xdr:nvPicPr>
          <xdr:cNvPr id="4" name="Picture 3">
            <a:extLst>
              <a:ext uri="{FF2B5EF4-FFF2-40B4-BE49-F238E27FC236}">
                <a16:creationId xmlns:a16="http://schemas.microsoft.com/office/drawing/2014/main" id="{28A8958B-4E88-0AD6-A4FA-296EFECF4518}"/>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tretch>
            <a:fillRect/>
          </a:stretch>
        </xdr:blipFill>
        <xdr:spPr>
          <a:xfrm>
            <a:off x="988859" y="152400"/>
            <a:ext cx="3600000" cy="4806676"/>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0</xdr:rowOff>
    </xdr:from>
    <xdr:to>
      <xdr:col>21</xdr:col>
      <xdr:colOff>336550</xdr:colOff>
      <xdr:row>38</xdr:row>
      <xdr:rowOff>76200</xdr:rowOff>
    </xdr:to>
    <xdr:pic>
      <xdr:nvPicPr>
        <xdr:cNvPr id="1203" name="Picture 1">
          <a:extLst>
            <a:ext uri="{FF2B5EF4-FFF2-40B4-BE49-F238E27FC236}">
              <a16:creationId xmlns:a16="http://schemas.microsoft.com/office/drawing/2014/main" id="{00000000-0008-0000-0200-0000B304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27000" y="0"/>
          <a:ext cx="13011150" cy="707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2</xdr:col>
      <xdr:colOff>1866900</xdr:colOff>
      <xdr:row>28</xdr:row>
      <xdr:rowOff>158750</xdr:rowOff>
    </xdr:to>
    <xdr:pic>
      <xdr:nvPicPr>
        <xdr:cNvPr id="9349" name="Picture 1">
          <a:extLst>
            <a:ext uri="{FF2B5EF4-FFF2-40B4-BE49-F238E27FC236}">
              <a16:creationId xmlns:a16="http://schemas.microsoft.com/office/drawing/2014/main" id="{00000000-0008-0000-0400-00008524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09600" y="1898650"/>
          <a:ext cx="3416300" cy="3486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30</xdr:row>
      <xdr:rowOff>19050</xdr:rowOff>
    </xdr:from>
    <xdr:to>
      <xdr:col>2</xdr:col>
      <xdr:colOff>1866900</xdr:colOff>
      <xdr:row>49</xdr:row>
      <xdr:rowOff>0</xdr:rowOff>
    </xdr:to>
    <xdr:pic>
      <xdr:nvPicPr>
        <xdr:cNvPr id="9350" name="Picture 2">
          <a:extLst>
            <a:ext uri="{FF2B5EF4-FFF2-40B4-BE49-F238E27FC236}">
              <a16:creationId xmlns:a16="http://schemas.microsoft.com/office/drawing/2014/main" id="{00000000-0008-0000-0400-00008624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609600" y="5613400"/>
          <a:ext cx="341630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2101850</xdr:colOff>
      <xdr:row>30</xdr:row>
      <xdr:rowOff>0</xdr:rowOff>
    </xdr:from>
    <xdr:to>
      <xdr:col>8</xdr:col>
      <xdr:colOff>203200</xdr:colOff>
      <xdr:row>48</xdr:row>
      <xdr:rowOff>165100</xdr:rowOff>
    </xdr:to>
    <xdr:pic>
      <xdr:nvPicPr>
        <xdr:cNvPr id="9351" name="Picture 3">
          <a:extLst>
            <a:ext uri="{FF2B5EF4-FFF2-40B4-BE49-F238E27FC236}">
              <a16:creationId xmlns:a16="http://schemas.microsoft.com/office/drawing/2014/main" id="{00000000-0008-0000-0400-00008724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4260850" y="5594350"/>
          <a:ext cx="581025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PzcYfkb9cstqZAF18"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95"/>
  <sheetViews>
    <sheetView tabSelected="1" view="pageBreakPreview" zoomScaleNormal="100" zoomScaleSheetLayoutView="100" zoomScalePageLayoutView="85" workbookViewId="0">
      <selection activeCell="O8" sqref="N8:O8"/>
    </sheetView>
  </sheetViews>
  <sheetFormatPr defaultColWidth="9.109375" defaultRowHeight="13.8" x14ac:dyDescent="0.25"/>
  <cols>
    <col min="1" max="1" width="8.6640625" style="23" customWidth="1"/>
    <col min="2" max="3" width="14.44140625" style="23" customWidth="1"/>
    <col min="4" max="4" width="7.33203125" style="23" customWidth="1"/>
    <col min="5" max="5" width="6.88671875" style="23" customWidth="1"/>
    <col min="6" max="6" width="9" style="23" customWidth="1"/>
    <col min="7" max="8" width="9.88671875" style="23" customWidth="1"/>
    <col min="9" max="9" width="11.44140625" style="23" customWidth="1"/>
    <col min="10" max="10" width="1.109375" style="23" customWidth="1"/>
    <col min="11" max="16384" width="9.109375" style="23"/>
  </cols>
  <sheetData>
    <row r="1" spans="1:15" ht="43.95" customHeight="1" x14ac:dyDescent="0.25">
      <c r="A1" s="125" t="s">
        <v>275</v>
      </c>
      <c r="B1" s="126"/>
      <c r="C1" s="126"/>
      <c r="D1" s="126"/>
      <c r="E1" s="126"/>
      <c r="F1" s="126"/>
      <c r="G1" s="126"/>
      <c r="H1" s="126"/>
      <c r="I1" s="126"/>
      <c r="J1" s="127"/>
    </row>
    <row r="2" spans="1:15" x14ac:dyDescent="0.25">
      <c r="A2" s="128" t="s">
        <v>47</v>
      </c>
      <c r="B2" s="129"/>
      <c r="C2" s="129"/>
      <c r="D2" s="129"/>
      <c r="E2" s="129"/>
      <c r="F2" s="129"/>
      <c r="G2" s="129"/>
      <c r="H2" s="129"/>
      <c r="I2" s="129"/>
      <c r="J2" s="130"/>
    </row>
    <row r="3" spans="1:15" x14ac:dyDescent="0.25">
      <c r="A3" s="116" t="s">
        <v>0</v>
      </c>
      <c r="B3" s="117"/>
      <c r="C3" s="117"/>
      <c r="D3" s="117"/>
      <c r="E3" s="118"/>
      <c r="F3" s="131" t="str">
        <f ca="1">TEXT(TODAY(),"DD/MM/YYYY")</f>
        <v>09/09/2025</v>
      </c>
      <c r="G3" s="132"/>
      <c r="H3" s="132"/>
      <c r="I3" s="132"/>
      <c r="J3" s="133"/>
    </row>
    <row r="4" spans="1:15" x14ac:dyDescent="0.25">
      <c r="A4" s="116" t="s">
        <v>1</v>
      </c>
      <c r="B4" s="117"/>
      <c r="C4" s="117"/>
      <c r="D4" s="117"/>
      <c r="E4" s="118"/>
      <c r="F4" s="116" t="s">
        <v>117</v>
      </c>
      <c r="G4" s="117"/>
      <c r="H4" s="117"/>
      <c r="I4" s="117"/>
      <c r="J4" s="118"/>
    </row>
    <row r="5" spans="1:15" x14ac:dyDescent="0.25">
      <c r="A5" s="116" t="s">
        <v>2</v>
      </c>
      <c r="B5" s="117"/>
      <c r="C5" s="117"/>
      <c r="D5" s="117"/>
      <c r="E5" s="118"/>
      <c r="F5" s="131">
        <v>45907</v>
      </c>
      <c r="G5" s="132"/>
      <c r="H5" s="132"/>
      <c r="I5" s="132"/>
      <c r="J5" s="133"/>
    </row>
    <row r="6" spans="1:15" ht="16.5" customHeight="1" x14ac:dyDescent="0.25">
      <c r="A6" s="116" t="s">
        <v>3</v>
      </c>
      <c r="B6" s="117"/>
      <c r="C6" s="117"/>
      <c r="D6" s="117"/>
      <c r="E6" s="118"/>
      <c r="F6" s="134" t="s">
        <v>118</v>
      </c>
      <c r="G6" s="120"/>
      <c r="H6" s="120"/>
      <c r="I6" s="120"/>
      <c r="J6" s="121"/>
    </row>
    <row r="7" spans="1:15" x14ac:dyDescent="0.25">
      <c r="A7" s="116" t="s">
        <v>4</v>
      </c>
      <c r="B7" s="117"/>
      <c r="C7" s="117"/>
      <c r="D7" s="117"/>
      <c r="E7" s="118"/>
      <c r="F7" s="134" t="s">
        <v>119</v>
      </c>
      <c r="G7" s="120"/>
      <c r="H7" s="120"/>
      <c r="I7" s="120"/>
      <c r="J7" s="121"/>
    </row>
    <row r="8" spans="1:15" ht="29.25" customHeight="1" x14ac:dyDescent="0.25">
      <c r="A8" s="116" t="s">
        <v>5</v>
      </c>
      <c r="B8" s="117"/>
      <c r="C8" s="117"/>
      <c r="D8" s="117"/>
      <c r="E8" s="118"/>
      <c r="F8" s="122" t="s">
        <v>239</v>
      </c>
      <c r="G8" s="123"/>
      <c r="H8" s="123"/>
      <c r="I8" s="123"/>
      <c r="J8" s="124"/>
      <c r="K8" s="23" t="s">
        <v>281</v>
      </c>
    </row>
    <row r="9" spans="1:15" x14ac:dyDescent="0.25">
      <c r="A9" s="116" t="s">
        <v>276</v>
      </c>
      <c r="B9" s="117"/>
      <c r="C9" s="117"/>
      <c r="D9" s="117"/>
      <c r="E9" s="118"/>
      <c r="F9" s="116" t="s">
        <v>120</v>
      </c>
      <c r="G9" s="117"/>
      <c r="H9" s="117"/>
      <c r="I9" s="117"/>
      <c r="J9" s="118"/>
    </row>
    <row r="10" spans="1:15" x14ac:dyDescent="0.25">
      <c r="A10" s="116" t="s">
        <v>277</v>
      </c>
      <c r="B10" s="117"/>
      <c r="C10" s="117"/>
      <c r="D10" s="117"/>
      <c r="E10" s="118"/>
      <c r="F10" s="134" t="s">
        <v>282</v>
      </c>
      <c r="G10" s="117"/>
      <c r="H10" s="117"/>
      <c r="I10" s="117"/>
      <c r="J10" s="118"/>
      <c r="K10" s="134" t="s">
        <v>278</v>
      </c>
      <c r="L10" s="117"/>
      <c r="M10" s="117"/>
      <c r="N10" s="117"/>
      <c r="O10" s="118"/>
    </row>
    <row r="11" spans="1:15" x14ac:dyDescent="0.25">
      <c r="A11" s="116" t="s">
        <v>151</v>
      </c>
      <c r="B11" s="117"/>
      <c r="C11" s="117"/>
      <c r="D11" s="117"/>
      <c r="E11" s="118"/>
      <c r="F11" s="116" t="s">
        <v>203</v>
      </c>
      <c r="G11" s="117"/>
      <c r="H11" s="117"/>
      <c r="I11" s="117"/>
      <c r="J11" s="118"/>
    </row>
    <row r="12" spans="1:15" x14ac:dyDescent="0.25">
      <c r="A12" s="116" t="s">
        <v>6</v>
      </c>
      <c r="B12" s="117"/>
      <c r="C12" s="117"/>
      <c r="D12" s="117"/>
      <c r="E12" s="118"/>
      <c r="F12" s="116" t="s">
        <v>115</v>
      </c>
      <c r="G12" s="117"/>
      <c r="H12" s="117"/>
      <c r="I12" s="117"/>
      <c r="J12" s="118"/>
    </row>
    <row r="13" spans="1:15" x14ac:dyDescent="0.25">
      <c r="A13" s="99" t="s">
        <v>158</v>
      </c>
      <c r="B13" s="100"/>
      <c r="C13" s="103" t="s">
        <v>159</v>
      </c>
      <c r="D13" s="104"/>
      <c r="E13" s="105"/>
      <c r="F13" s="106" t="s">
        <v>160</v>
      </c>
      <c r="G13" s="107"/>
      <c r="H13" s="106" t="s">
        <v>161</v>
      </c>
      <c r="I13" s="108"/>
      <c r="J13" s="107"/>
    </row>
    <row r="14" spans="1:15" ht="31.5" customHeight="1" x14ac:dyDescent="0.25">
      <c r="A14" s="101"/>
      <c r="B14" s="102"/>
      <c r="C14" s="109" t="s">
        <v>204</v>
      </c>
      <c r="D14" s="110"/>
      <c r="E14" s="111"/>
      <c r="F14" s="112" t="s">
        <v>205</v>
      </c>
      <c r="G14" s="113"/>
      <c r="H14" s="112" t="s">
        <v>206</v>
      </c>
      <c r="I14" s="114"/>
      <c r="J14" s="113"/>
    </row>
    <row r="15" spans="1:15" ht="31.5" customHeight="1" x14ac:dyDescent="0.25">
      <c r="A15" s="115" t="s">
        <v>68</v>
      </c>
      <c r="B15" s="115"/>
      <c r="C15" s="134" t="s">
        <v>207</v>
      </c>
      <c r="D15" s="120"/>
      <c r="E15" s="120"/>
      <c r="F15" s="120"/>
      <c r="G15" s="120"/>
      <c r="H15" s="120"/>
      <c r="I15" s="120"/>
      <c r="J15" s="121"/>
    </row>
    <row r="16" spans="1:15" x14ac:dyDescent="0.25">
      <c r="A16" s="64" t="s">
        <v>121</v>
      </c>
      <c r="B16" s="116" t="s">
        <v>122</v>
      </c>
      <c r="C16" s="117"/>
      <c r="D16" s="118"/>
      <c r="E16" s="64" t="s">
        <v>116</v>
      </c>
      <c r="F16" s="65" t="s">
        <v>202</v>
      </c>
      <c r="G16" s="2" t="s">
        <v>69</v>
      </c>
      <c r="H16" s="134" t="s">
        <v>123</v>
      </c>
      <c r="I16" s="120"/>
      <c r="J16" s="121"/>
    </row>
    <row r="17" spans="1:10" x14ac:dyDescent="0.25">
      <c r="A17" s="64" t="s">
        <v>7</v>
      </c>
      <c r="B17" s="116" t="s">
        <v>125</v>
      </c>
      <c r="C17" s="117"/>
      <c r="D17" s="117"/>
      <c r="E17" s="118"/>
      <c r="F17" s="1" t="s">
        <v>70</v>
      </c>
      <c r="G17" s="116" t="s">
        <v>124</v>
      </c>
      <c r="H17" s="117"/>
      <c r="I17" s="117"/>
      <c r="J17" s="118"/>
    </row>
    <row r="18" spans="1:10" x14ac:dyDescent="0.25">
      <c r="A18" s="64" t="s">
        <v>8</v>
      </c>
      <c r="B18" s="116" t="s">
        <v>127</v>
      </c>
      <c r="C18" s="117"/>
      <c r="D18" s="117"/>
      <c r="E18" s="118"/>
      <c r="F18" s="1" t="s">
        <v>71</v>
      </c>
      <c r="G18" s="116" t="s">
        <v>126</v>
      </c>
      <c r="H18" s="117"/>
      <c r="I18" s="117"/>
      <c r="J18" s="118"/>
    </row>
    <row r="19" spans="1:10" ht="32.25" customHeight="1" x14ac:dyDescent="0.25">
      <c r="A19" s="115" t="s">
        <v>72</v>
      </c>
      <c r="B19" s="115"/>
      <c r="C19" s="115" t="s">
        <v>128</v>
      </c>
      <c r="D19" s="115"/>
      <c r="E19" s="115"/>
      <c r="F19" s="119" t="s">
        <v>58</v>
      </c>
      <c r="G19" s="119"/>
      <c r="H19" s="120" t="s">
        <v>129</v>
      </c>
      <c r="I19" s="120"/>
      <c r="J19" s="121"/>
    </row>
    <row r="20" spans="1:10" ht="15" customHeight="1" x14ac:dyDescent="0.25">
      <c r="A20" s="135" t="s">
        <v>60</v>
      </c>
      <c r="B20" s="136"/>
      <c r="C20" s="136"/>
      <c r="D20" s="136"/>
      <c r="E20" s="137"/>
      <c r="F20" s="141" t="s">
        <v>130</v>
      </c>
      <c r="G20" s="142"/>
      <c r="H20" s="142"/>
      <c r="I20" s="142"/>
      <c r="J20" s="143"/>
    </row>
    <row r="21" spans="1:10" x14ac:dyDescent="0.25">
      <c r="A21" s="138"/>
      <c r="B21" s="139"/>
      <c r="C21" s="139"/>
      <c r="D21" s="139"/>
      <c r="E21" s="140"/>
      <c r="F21" s="144"/>
      <c r="G21" s="145"/>
      <c r="H21" s="145"/>
      <c r="I21" s="145"/>
      <c r="J21" s="146"/>
    </row>
    <row r="22" spans="1:10" ht="15" customHeight="1" x14ac:dyDescent="0.25">
      <c r="A22" s="135" t="s">
        <v>9</v>
      </c>
      <c r="B22" s="136"/>
      <c r="C22" s="136"/>
      <c r="D22" s="136"/>
      <c r="E22" s="137"/>
      <c r="F22" s="135" t="s">
        <v>49</v>
      </c>
      <c r="G22" s="136"/>
      <c r="H22" s="136"/>
      <c r="I22" s="136"/>
      <c r="J22" s="137"/>
    </row>
    <row r="23" spans="1:10" x14ac:dyDescent="0.25">
      <c r="A23" s="116" t="s">
        <v>10</v>
      </c>
      <c r="B23" s="117"/>
      <c r="C23" s="117"/>
      <c r="D23" s="117"/>
      <c r="E23" s="118"/>
      <c r="F23" s="147" t="s">
        <v>112</v>
      </c>
      <c r="G23" s="148"/>
      <c r="H23" s="148"/>
      <c r="I23" s="148"/>
      <c r="J23" s="149"/>
    </row>
    <row r="24" spans="1:10" x14ac:dyDescent="0.25">
      <c r="A24" s="116" t="s">
        <v>11</v>
      </c>
      <c r="B24" s="117"/>
      <c r="C24" s="117"/>
      <c r="D24" s="117"/>
      <c r="E24" s="118"/>
      <c r="F24" s="147" t="s">
        <v>59</v>
      </c>
      <c r="G24" s="148"/>
      <c r="H24" s="148"/>
      <c r="I24" s="148"/>
      <c r="J24" s="149"/>
    </row>
    <row r="25" spans="1:10" x14ac:dyDescent="0.25">
      <c r="A25" s="116" t="s">
        <v>12</v>
      </c>
      <c r="B25" s="117"/>
      <c r="C25" s="117"/>
      <c r="D25" s="117"/>
      <c r="E25" s="118"/>
      <c r="F25" s="147" t="s">
        <v>50</v>
      </c>
      <c r="G25" s="148"/>
      <c r="H25" s="148"/>
      <c r="I25" s="148"/>
      <c r="J25" s="149"/>
    </row>
    <row r="26" spans="1:10" x14ac:dyDescent="0.25">
      <c r="A26" s="116" t="s">
        <v>30</v>
      </c>
      <c r="B26" s="117"/>
      <c r="C26" s="117"/>
      <c r="D26" s="117"/>
      <c r="E26" s="118"/>
      <c r="F26" s="147" t="s">
        <v>73</v>
      </c>
      <c r="G26" s="148"/>
      <c r="H26" s="148"/>
      <c r="I26" s="148"/>
      <c r="J26" s="149"/>
    </row>
    <row r="27" spans="1:10" x14ac:dyDescent="0.25">
      <c r="A27" s="106" t="s">
        <v>13</v>
      </c>
      <c r="B27" s="107"/>
      <c r="C27" s="106" t="s">
        <v>14</v>
      </c>
      <c r="D27" s="107"/>
      <c r="E27" s="106" t="s">
        <v>15</v>
      </c>
      <c r="F27" s="107"/>
      <c r="G27" s="106" t="s">
        <v>57</v>
      </c>
      <c r="H27" s="107"/>
      <c r="I27" s="106" t="s">
        <v>16</v>
      </c>
      <c r="J27" s="107"/>
    </row>
    <row r="28" spans="1:10" x14ac:dyDescent="0.25">
      <c r="A28" s="106" t="s">
        <v>17</v>
      </c>
      <c r="B28" s="107"/>
      <c r="C28" s="106" t="s">
        <v>56</v>
      </c>
      <c r="D28" s="107"/>
      <c r="E28" s="106" t="s">
        <v>56</v>
      </c>
      <c r="F28" s="107"/>
      <c r="G28" s="106" t="s">
        <v>56</v>
      </c>
      <c r="H28" s="107"/>
      <c r="I28" s="106" t="s">
        <v>56</v>
      </c>
      <c r="J28" s="107"/>
    </row>
    <row r="29" spans="1:10" x14ac:dyDescent="0.25">
      <c r="A29" s="106" t="s">
        <v>18</v>
      </c>
      <c r="B29" s="107"/>
      <c r="C29" s="106" t="s">
        <v>131</v>
      </c>
      <c r="D29" s="107"/>
      <c r="E29" s="106" t="s">
        <v>7</v>
      </c>
      <c r="F29" s="107"/>
      <c r="G29" s="106" t="s">
        <v>131</v>
      </c>
      <c r="H29" s="107"/>
      <c r="I29" s="106" t="s">
        <v>131</v>
      </c>
      <c r="J29" s="107"/>
    </row>
    <row r="30" spans="1:10" x14ac:dyDescent="0.25">
      <c r="A30" s="116" t="s">
        <v>66</v>
      </c>
      <c r="B30" s="117"/>
      <c r="C30" s="117"/>
      <c r="D30" s="117"/>
      <c r="E30" s="117"/>
      <c r="F30" s="117"/>
      <c r="G30" s="117"/>
      <c r="H30" s="117"/>
      <c r="I30" s="117"/>
      <c r="J30" s="118"/>
    </row>
    <row r="31" spans="1:10" x14ac:dyDescent="0.25">
      <c r="A31" s="116" t="s">
        <v>51</v>
      </c>
      <c r="B31" s="117"/>
      <c r="C31" s="117"/>
      <c r="D31" s="117"/>
      <c r="E31" s="117"/>
      <c r="F31" s="117"/>
      <c r="G31" s="117"/>
      <c r="H31" s="117"/>
      <c r="I31" s="117"/>
      <c r="J31" s="118"/>
    </row>
    <row r="32" spans="1:10" customFormat="1" ht="14.4" x14ac:dyDescent="0.3">
      <c r="A32" s="116" t="s">
        <v>44</v>
      </c>
      <c r="B32" s="118"/>
      <c r="C32" s="156" t="s">
        <v>274</v>
      </c>
      <c r="D32" s="157"/>
      <c r="E32" s="157"/>
      <c r="F32" s="157"/>
      <c r="G32" s="157"/>
      <c r="H32" s="157"/>
      <c r="I32" s="157"/>
      <c r="J32" s="158"/>
    </row>
    <row r="33" spans="1:11" customFormat="1" ht="14.4" x14ac:dyDescent="0.3">
      <c r="A33" s="116" t="s">
        <v>271</v>
      </c>
      <c r="B33" s="118"/>
      <c r="C33" s="159" t="s">
        <v>272</v>
      </c>
      <c r="D33" s="117"/>
      <c r="E33" s="117"/>
      <c r="F33" s="117"/>
      <c r="G33" s="117"/>
      <c r="H33" s="117"/>
      <c r="I33" s="117"/>
      <c r="J33" s="118"/>
    </row>
    <row r="34" spans="1:11" x14ac:dyDescent="0.25">
      <c r="A34" s="156" t="s">
        <v>19</v>
      </c>
      <c r="B34" s="157"/>
      <c r="C34" s="157"/>
      <c r="D34" s="157"/>
      <c r="E34" s="157"/>
      <c r="F34" s="157"/>
      <c r="G34" s="157"/>
      <c r="H34" s="157"/>
      <c r="I34" s="157"/>
      <c r="J34" s="158"/>
    </row>
    <row r="35" spans="1:11" ht="15" customHeight="1" x14ac:dyDescent="0.25">
      <c r="A35" s="135" t="s">
        <v>52</v>
      </c>
      <c r="B35" s="136"/>
      <c r="C35" s="136"/>
      <c r="D35" s="136"/>
      <c r="E35" s="136"/>
      <c r="F35" s="136"/>
      <c r="G35" s="136"/>
      <c r="H35" s="136"/>
      <c r="I35" s="136"/>
      <c r="J35" s="137"/>
    </row>
    <row r="36" spans="1:11" x14ac:dyDescent="0.25">
      <c r="A36" s="138"/>
      <c r="B36" s="139"/>
      <c r="C36" s="139"/>
      <c r="D36" s="139"/>
      <c r="E36" s="139"/>
      <c r="F36" s="139"/>
      <c r="G36" s="139"/>
      <c r="H36" s="139"/>
      <c r="I36" s="139"/>
      <c r="J36" s="140"/>
    </row>
    <row r="37" spans="1:11" s="24" customFormat="1" x14ac:dyDescent="0.3">
      <c r="A37" s="163" t="s">
        <v>74</v>
      </c>
      <c r="B37" s="164"/>
      <c r="C37" s="164"/>
      <c r="D37" s="164"/>
      <c r="E37" s="165"/>
      <c r="F37" s="166">
        <v>556880.97</v>
      </c>
      <c r="G37" s="167"/>
      <c r="H37" s="167"/>
      <c r="I37" s="167"/>
      <c r="J37" s="168"/>
    </row>
    <row r="38" spans="1:11" x14ac:dyDescent="0.25">
      <c r="A38" s="116" t="s">
        <v>20</v>
      </c>
      <c r="B38" s="117"/>
      <c r="C38" s="117"/>
      <c r="D38" s="117"/>
      <c r="E38" s="118"/>
      <c r="F38" s="150">
        <v>1</v>
      </c>
      <c r="G38" s="151"/>
      <c r="H38" s="151"/>
      <c r="I38" s="151"/>
      <c r="J38" s="152"/>
    </row>
    <row r="39" spans="1:11" x14ac:dyDescent="0.25">
      <c r="A39" s="116" t="s">
        <v>21</v>
      </c>
      <c r="B39" s="117"/>
      <c r="C39" s="117"/>
      <c r="D39" s="117"/>
      <c r="E39" s="118"/>
      <c r="F39" s="150">
        <v>0.7</v>
      </c>
      <c r="G39" s="151"/>
      <c r="H39" s="151"/>
      <c r="I39" s="151"/>
      <c r="J39" s="152"/>
    </row>
    <row r="40" spans="1:11" x14ac:dyDescent="0.25">
      <c r="A40" s="116" t="s">
        <v>22</v>
      </c>
      <c r="B40" s="117"/>
      <c r="C40" s="117"/>
      <c r="D40" s="117"/>
      <c r="E40" s="118"/>
      <c r="F40" s="150">
        <f>F38+F39</f>
        <v>1.7</v>
      </c>
      <c r="G40" s="151"/>
      <c r="H40" s="151"/>
      <c r="I40" s="151"/>
      <c r="J40" s="152"/>
    </row>
    <row r="41" spans="1:11" x14ac:dyDescent="0.25">
      <c r="A41" s="116" t="s">
        <v>75</v>
      </c>
      <c r="B41" s="117"/>
      <c r="C41" s="117"/>
      <c r="D41" s="117"/>
      <c r="E41" s="118"/>
      <c r="F41" s="150">
        <f>F37*F40</f>
        <v>946697.64899999998</v>
      </c>
      <c r="G41" s="151"/>
      <c r="H41" s="151">
        <v>41635.328000000001</v>
      </c>
      <c r="I41" s="151"/>
      <c r="J41" s="152"/>
    </row>
    <row r="42" spans="1:11" x14ac:dyDescent="0.25">
      <c r="A42" s="153" t="s">
        <v>23</v>
      </c>
      <c r="B42" s="154"/>
      <c r="C42" s="154"/>
      <c r="D42" s="154"/>
      <c r="E42" s="155"/>
      <c r="F42" s="116" t="s">
        <v>162</v>
      </c>
      <c r="G42" s="117"/>
      <c r="H42" s="117"/>
      <c r="I42" s="117"/>
      <c r="J42" s="118"/>
    </row>
    <row r="43" spans="1:11" x14ac:dyDescent="0.25">
      <c r="A43" s="156" t="s">
        <v>77</v>
      </c>
      <c r="B43" s="157"/>
      <c r="C43" s="157"/>
      <c r="D43" s="157"/>
      <c r="E43" s="157"/>
      <c r="F43" s="157"/>
      <c r="G43" s="157"/>
      <c r="H43" s="157"/>
      <c r="I43" s="157"/>
      <c r="J43" s="158"/>
    </row>
    <row r="44" spans="1:11" ht="31.5" customHeight="1" x14ac:dyDescent="0.25">
      <c r="A44" s="160" t="s">
        <v>76</v>
      </c>
      <c r="B44" s="160"/>
      <c r="C44" s="134" t="s">
        <v>163</v>
      </c>
      <c r="D44" s="120"/>
      <c r="E44" s="120"/>
      <c r="F44" s="121"/>
      <c r="G44" s="1" t="s">
        <v>67</v>
      </c>
      <c r="H44" s="116" t="s">
        <v>152</v>
      </c>
      <c r="I44" s="117"/>
      <c r="J44" s="118"/>
    </row>
    <row r="45" spans="1:11" ht="31.5" customHeight="1" x14ac:dyDescent="0.25">
      <c r="A45" s="134" t="s">
        <v>78</v>
      </c>
      <c r="B45" s="121"/>
      <c r="C45" s="134" t="str">
        <f>C44</f>
        <v>CIDCO/NAINA/PANVEL/VARDOLI/TP/BP-236/AMENDED PERM/2019/585/SAP/162</v>
      </c>
      <c r="D45" s="120"/>
      <c r="E45" s="120"/>
      <c r="F45" s="121"/>
      <c r="G45" s="1" t="s">
        <v>67</v>
      </c>
      <c r="H45" s="116" t="str">
        <f>H44</f>
        <v>20/05/2019.</v>
      </c>
      <c r="I45" s="117"/>
      <c r="J45" s="118"/>
    </row>
    <row r="46" spans="1:11" ht="75.75" customHeight="1" x14ac:dyDescent="0.25">
      <c r="A46" s="134" t="s">
        <v>79</v>
      </c>
      <c r="B46" s="121"/>
      <c r="C46" s="134" t="s">
        <v>216</v>
      </c>
      <c r="D46" s="120"/>
      <c r="E46" s="120"/>
      <c r="F46" s="121"/>
      <c r="G46" s="1" t="s">
        <v>67</v>
      </c>
      <c r="H46" s="1" t="str">
        <f>H44</f>
        <v>20/05/2019.</v>
      </c>
      <c r="I46" s="160" t="s">
        <v>53</v>
      </c>
      <c r="J46" s="160"/>
      <c r="K46" s="47" t="s">
        <v>242</v>
      </c>
    </row>
    <row r="47" spans="1:11" x14ac:dyDescent="0.25">
      <c r="A47" s="134" t="s">
        <v>113</v>
      </c>
      <c r="B47" s="121"/>
      <c r="C47" s="134" t="s">
        <v>56</v>
      </c>
      <c r="D47" s="120"/>
      <c r="E47" s="120"/>
      <c r="F47" s="121" t="s">
        <v>114</v>
      </c>
      <c r="G47" s="1" t="s">
        <v>67</v>
      </c>
      <c r="H47" s="116" t="s">
        <v>56</v>
      </c>
      <c r="I47" s="117" t="s">
        <v>61</v>
      </c>
      <c r="J47" s="118"/>
    </row>
    <row r="48" spans="1:11" x14ac:dyDescent="0.25">
      <c r="A48" s="115" t="s">
        <v>85</v>
      </c>
      <c r="B48" s="115"/>
      <c r="C48" s="115"/>
      <c r="D48" s="161" t="str">
        <f>H46</f>
        <v>20/05/2019.</v>
      </c>
      <c r="E48" s="161"/>
      <c r="F48" s="116" t="s">
        <v>80</v>
      </c>
      <c r="G48" s="162"/>
      <c r="H48" s="116" t="s">
        <v>273</v>
      </c>
      <c r="I48" s="117"/>
      <c r="J48" s="118"/>
    </row>
    <row r="49" spans="1:12" x14ac:dyDescent="0.25">
      <c r="A49" s="188" t="s">
        <v>24</v>
      </c>
      <c r="B49" s="189"/>
      <c r="C49" s="189"/>
      <c r="D49" s="189"/>
      <c r="E49" s="189"/>
      <c r="F49" s="189"/>
      <c r="G49" s="189"/>
      <c r="H49" s="189"/>
      <c r="I49" s="189"/>
      <c r="J49" s="190"/>
    </row>
    <row r="50" spans="1:12" x14ac:dyDescent="0.25">
      <c r="A50" s="116" t="s">
        <v>111</v>
      </c>
      <c r="B50" s="117"/>
      <c r="C50" s="118"/>
      <c r="D50" s="106">
        <f>F41</f>
        <v>946697.64899999998</v>
      </c>
      <c r="E50" s="107"/>
      <c r="F50" s="191" t="s">
        <v>194</v>
      </c>
      <c r="G50" s="191"/>
      <c r="H50" s="191"/>
      <c r="I50" s="192">
        <f>C88</f>
        <v>205</v>
      </c>
      <c r="J50" s="192"/>
    </row>
    <row r="51" spans="1:12" s="27" customFormat="1" ht="16.5" customHeight="1" x14ac:dyDescent="0.3">
      <c r="A51" s="193" t="s">
        <v>81</v>
      </c>
      <c r="B51" s="194"/>
      <c r="C51" s="195"/>
      <c r="D51" s="134" t="s">
        <v>215</v>
      </c>
      <c r="E51" s="120"/>
      <c r="F51" s="120"/>
      <c r="G51" s="120"/>
      <c r="H51" s="120"/>
      <c r="I51" s="120"/>
      <c r="J51" s="121"/>
    </row>
    <row r="52" spans="1:12" s="28" customFormat="1" x14ac:dyDescent="0.25">
      <c r="A52" s="153" t="s">
        <v>54</v>
      </c>
      <c r="B52" s="154"/>
      <c r="C52" s="154"/>
      <c r="D52" s="154"/>
      <c r="E52" s="155"/>
      <c r="F52" s="150" t="s">
        <v>62</v>
      </c>
      <c r="G52" s="151"/>
      <c r="H52" s="151"/>
      <c r="I52" s="151"/>
      <c r="J52" s="152"/>
    </row>
    <row r="53" spans="1:12" s="28" customFormat="1" ht="14.4" thickBot="1" x14ac:dyDescent="0.3">
      <c r="A53" s="153" t="s">
        <v>63</v>
      </c>
      <c r="B53" s="154"/>
      <c r="C53" s="154"/>
      <c r="D53" s="154"/>
      <c r="E53" s="154"/>
      <c r="F53" s="154"/>
      <c r="G53" s="154"/>
      <c r="H53" s="154"/>
      <c r="I53" s="154"/>
      <c r="J53" s="155"/>
    </row>
    <row r="54" spans="1:12" s="28" customFormat="1" ht="15" customHeight="1" x14ac:dyDescent="0.3">
      <c r="A54" s="232" t="s">
        <v>243</v>
      </c>
      <c r="B54" s="233"/>
      <c r="C54" s="234" t="s">
        <v>215</v>
      </c>
      <c r="D54" s="235"/>
      <c r="E54" s="235"/>
      <c r="F54" s="235"/>
      <c r="G54" s="235"/>
      <c r="H54" s="235"/>
      <c r="I54" s="235"/>
      <c r="J54" s="236"/>
      <c r="K54" s="50" t="str">
        <f ca="1">(IF(F58&gt;99%,"All work completed. Please provide OC.",IF(F58&gt;89.8%,"Plinth, RCC, Brick, Plaster, Flooring, Painting work Completed. Finishing work is in process.",IF(F58&lt;94%,(IF(C58=0,"Work not yet Started.",IF(D58=25%,"Piling work in process",IF(D58=50%,"Excavation work in process",IF(D58=100%,"Excavation work Completed. ","0")))&amp;(IF(C59=0%,"",IF(C59=L60,"Footing work is process",IF(C59=L61,"Footing work Completed",IF(C59=L62,"1st Basement Completed",IF(C59=L63,"1st &amp; 2nd Basement Completed",IF(C59=L64,"1st to 3rd Basement Completed",IF(C59=L65,"1st to 4th Basement Completed",IF(C59=L66,"Plinth work is process",IF(C59=L67,"Plinth work completed","0")))))))))))&amp;(IF(C60=(D55+G55+I55),", RCC Slab",IF(C60&gt;0,", RCC upto "&amp;C60&amp;" Slab",""))&amp;(IF(C61=I55,", Brickwork",IF(C61&gt;0,", Brickwork upto "&amp;C61&amp;" Floor",""))&amp;(IF(C62=I55,", Internal Plaster",IF(C62&gt;0,", Internal Plaster upto "&amp;C62&amp;" Floor",""))&amp;(IF(C63=I55,", External Plaster",IF(C63&gt;0,", External Plaster upto "&amp;C63&amp;" Floor",""))&amp;(IF(C64=I55,", Flooring",IF(C64&gt;0,", Flooring upto "&amp;C64&amp;" Floor",""))&amp;(IF(C65=I55,", Painting",IF(C65&gt;0,", Painting upto "&amp;C65&amp;" Floor",""))&amp;(IF(C66&gt;0,", Finishing upto "&amp;C66&amp;" Floor","")&amp;(IF(C60&gt;0.5," Completed",""))))))))))))))</f>
        <v>Plinth, RCC, Brick, Plaster, Flooring, Painting work Completed. Finishing work is in process.</v>
      </c>
      <c r="L54" s="51"/>
    </row>
    <row r="55" spans="1:12" s="28" customFormat="1" ht="15" customHeight="1" x14ac:dyDescent="0.3">
      <c r="A55" s="48" t="s">
        <v>164</v>
      </c>
      <c r="B55" s="49">
        <v>0</v>
      </c>
      <c r="C55" s="49" t="s">
        <v>166</v>
      </c>
      <c r="D55" s="49">
        <v>2</v>
      </c>
      <c r="E55" s="237" t="s">
        <v>165</v>
      </c>
      <c r="F55" s="186"/>
      <c r="G55" s="49">
        <v>0</v>
      </c>
      <c r="H55" s="49" t="s">
        <v>244</v>
      </c>
      <c r="I55" s="237">
        <f ca="1">--TRIM(RIGHT(SUBSTITUTE(LEFT(C54,_xlfn.AGGREGATE(16,6,FIND({0,1,2,3,4,5,6,7,8,9},C54,ROW(INDIRECT("1:"&amp;LEN(C54)))),1))," ",REPT(" ",LEN(C54))),LEN(C54)))</f>
        <v>25</v>
      </c>
      <c r="J55" s="238"/>
      <c r="K55" s="52"/>
      <c r="L55" s="53"/>
    </row>
    <row r="56" spans="1:12" s="28" customFormat="1" ht="34.5" customHeight="1" x14ac:dyDescent="0.3">
      <c r="A56" s="239" t="s">
        <v>245</v>
      </c>
      <c r="B56" s="240"/>
      <c r="C56" s="241" t="str">
        <f ca="1">K54</f>
        <v>Plinth, RCC, Brick, Plaster, Flooring, Painting work Completed. Finishing work is in process.</v>
      </c>
      <c r="D56" s="242"/>
      <c r="E56" s="242"/>
      <c r="F56" s="242"/>
      <c r="G56" s="242"/>
      <c r="H56" s="242"/>
      <c r="I56" s="242"/>
      <c r="J56" s="243"/>
      <c r="K56" s="52" t="s">
        <v>246</v>
      </c>
      <c r="L56" s="53"/>
    </row>
    <row r="57" spans="1:12" s="28" customFormat="1" ht="15.75" customHeight="1" x14ac:dyDescent="0.3">
      <c r="A57" s="169" t="s">
        <v>35</v>
      </c>
      <c r="B57" s="170"/>
      <c r="C57" s="67" t="s">
        <v>247</v>
      </c>
      <c r="D57" s="187" t="s">
        <v>248</v>
      </c>
      <c r="E57" s="170"/>
      <c r="F57" s="187" t="s">
        <v>249</v>
      </c>
      <c r="G57" s="170"/>
      <c r="H57" s="187" t="s">
        <v>250</v>
      </c>
      <c r="I57" s="244"/>
      <c r="J57" s="245"/>
      <c r="K57" s="54" t="s">
        <v>251</v>
      </c>
      <c r="L57" s="55">
        <f ca="1">I55*25%</f>
        <v>6.25</v>
      </c>
    </row>
    <row r="58" spans="1:12" s="28" customFormat="1" ht="15.75" customHeight="1" x14ac:dyDescent="0.3">
      <c r="A58" s="169" t="s">
        <v>252</v>
      </c>
      <c r="B58" s="170"/>
      <c r="C58" s="68">
        <f ca="1">L59</f>
        <v>25</v>
      </c>
      <c r="D58" s="171">
        <f ca="1">((100/I55)*C58)/100</f>
        <v>1</v>
      </c>
      <c r="E58" s="172"/>
      <c r="F58" s="173">
        <f ca="1">(((C59/I55*10)+(40/(D55+G55+I55)*C60)+(7.5/(I55)*C61)+(7.5/(I55)*C62)+(10/I55*C63)+(10/I55*C64)+(5/I55*C65)+(5/I55*C66)+(5/I55*C67))/100)</f>
        <v>0.94400000000000006</v>
      </c>
      <c r="G58" s="174"/>
      <c r="H58" s="173">
        <f ca="1">((((C58/I55)*20)+((C59/I55)*25)+(30/(I55+G55+D55)*C60)+(5/I55*C61)+(5/I55*C62)+(5/I55*C63)+(5/I55*C64)+(0/I55*C65)+(0/I55*C66)+(5/I55*C67))/100)</f>
        <v>0.95</v>
      </c>
      <c r="I58" s="179"/>
      <c r="J58" s="180"/>
      <c r="K58" s="54" t="s">
        <v>186</v>
      </c>
      <c r="L58" s="56">
        <f ca="1">I55*50%</f>
        <v>12.5</v>
      </c>
    </row>
    <row r="59" spans="1:12" s="28" customFormat="1" ht="15.6" x14ac:dyDescent="0.3">
      <c r="A59" s="169" t="s">
        <v>36</v>
      </c>
      <c r="B59" s="170"/>
      <c r="C59" s="69">
        <v>25</v>
      </c>
      <c r="D59" s="171">
        <f ca="1">((100/I55)*C59)/100</f>
        <v>1</v>
      </c>
      <c r="E59" s="172"/>
      <c r="F59" s="175"/>
      <c r="G59" s="176"/>
      <c r="H59" s="175"/>
      <c r="I59" s="181"/>
      <c r="J59" s="182"/>
      <c r="K59" s="54" t="s">
        <v>189</v>
      </c>
      <c r="L59" s="56">
        <f ca="1">I55</f>
        <v>25</v>
      </c>
    </row>
    <row r="60" spans="1:12" s="28" customFormat="1" ht="15.75" customHeight="1" x14ac:dyDescent="0.3">
      <c r="A60" s="185" t="s">
        <v>253</v>
      </c>
      <c r="B60" s="186"/>
      <c r="C60" s="69">
        <v>27</v>
      </c>
      <c r="D60" s="171">
        <f ca="1">((100/(D55+G55+I55))*C60)/100</f>
        <v>1</v>
      </c>
      <c r="E60" s="172"/>
      <c r="F60" s="175"/>
      <c r="G60" s="176"/>
      <c r="H60" s="175"/>
      <c r="I60" s="181"/>
      <c r="J60" s="182"/>
      <c r="K60" s="54" t="s">
        <v>190</v>
      </c>
      <c r="L60" s="57">
        <f ca="1">(IF(B55&gt;1,(I55/(B55+2)),I55/4))</f>
        <v>6.25</v>
      </c>
    </row>
    <row r="61" spans="1:12" s="28" customFormat="1" ht="15.75" customHeight="1" x14ac:dyDescent="0.3">
      <c r="A61" s="169" t="s">
        <v>254</v>
      </c>
      <c r="B61" s="170" t="s">
        <v>255</v>
      </c>
      <c r="C61" s="69">
        <f>C60-2</f>
        <v>25</v>
      </c>
      <c r="D61" s="171">
        <f ca="1">((100/I55)*C61)/100</f>
        <v>1</v>
      </c>
      <c r="E61" s="172"/>
      <c r="F61" s="175"/>
      <c r="G61" s="176"/>
      <c r="H61" s="175"/>
      <c r="I61" s="181"/>
      <c r="J61" s="182"/>
      <c r="K61" s="54" t="s">
        <v>191</v>
      </c>
      <c r="L61" s="57">
        <f ca="1">(IF(B55&gt;1,(I55/(B55+2)+L60),I55/4+L60))</f>
        <v>12.5</v>
      </c>
    </row>
    <row r="62" spans="1:12" s="28" customFormat="1" ht="15" customHeight="1" x14ac:dyDescent="0.3">
      <c r="A62" s="169" t="s">
        <v>256</v>
      </c>
      <c r="B62" s="170" t="s">
        <v>255</v>
      </c>
      <c r="C62" s="69">
        <v>25</v>
      </c>
      <c r="D62" s="171">
        <f ca="1">((100/I55)*C62)/100</f>
        <v>1</v>
      </c>
      <c r="E62" s="172"/>
      <c r="F62" s="175"/>
      <c r="G62" s="176"/>
      <c r="H62" s="175"/>
      <c r="I62" s="181"/>
      <c r="J62" s="182"/>
      <c r="K62" s="54" t="s">
        <v>257</v>
      </c>
      <c r="L62" s="57">
        <f>(IF(B55&gt;1,(I55/(B55+2)+L61),0))</f>
        <v>0</v>
      </c>
    </row>
    <row r="63" spans="1:12" s="28" customFormat="1" ht="15.75" customHeight="1" x14ac:dyDescent="0.3">
      <c r="A63" s="169" t="s">
        <v>258</v>
      </c>
      <c r="B63" s="170" t="s">
        <v>259</v>
      </c>
      <c r="C63" s="69">
        <f>C62</f>
        <v>25</v>
      </c>
      <c r="D63" s="171">
        <f ca="1">((100/(I55))*C63)/100</f>
        <v>1</v>
      </c>
      <c r="E63" s="172"/>
      <c r="F63" s="175"/>
      <c r="G63" s="176"/>
      <c r="H63" s="175"/>
      <c r="I63" s="181"/>
      <c r="J63" s="182"/>
      <c r="K63" s="54" t="s">
        <v>260</v>
      </c>
      <c r="L63" s="57">
        <f>(IF(B55&gt;2,(I55/(B55+2)+L62),0))</f>
        <v>0</v>
      </c>
    </row>
    <row r="64" spans="1:12" s="28" customFormat="1" ht="15.75" customHeight="1" x14ac:dyDescent="0.3">
      <c r="A64" s="169" t="s">
        <v>261</v>
      </c>
      <c r="B64" s="170" t="s">
        <v>261</v>
      </c>
      <c r="C64" s="68">
        <v>25</v>
      </c>
      <c r="D64" s="171">
        <f ca="1">((100/I55)*C64)/100</f>
        <v>1</v>
      </c>
      <c r="E64" s="172"/>
      <c r="F64" s="175"/>
      <c r="G64" s="176"/>
      <c r="H64" s="175"/>
      <c r="I64" s="181"/>
      <c r="J64" s="182"/>
      <c r="K64" s="54" t="s">
        <v>262</v>
      </c>
      <c r="L64" s="58">
        <f>(IF(B55&gt;3,(I55/(B55+2)+L63),0))</f>
        <v>0</v>
      </c>
    </row>
    <row r="65" spans="1:12" s="28" customFormat="1" ht="15.75" customHeight="1" x14ac:dyDescent="0.3">
      <c r="A65" s="169" t="s">
        <v>263</v>
      </c>
      <c r="B65" s="170"/>
      <c r="C65" s="68">
        <v>25</v>
      </c>
      <c r="D65" s="171">
        <f ca="1">((100/I55)*C65)/100</f>
        <v>1</v>
      </c>
      <c r="E65" s="172"/>
      <c r="F65" s="175"/>
      <c r="G65" s="176"/>
      <c r="H65" s="175"/>
      <c r="I65" s="181"/>
      <c r="J65" s="182"/>
      <c r="K65" s="54" t="s">
        <v>264</v>
      </c>
      <c r="L65" s="57">
        <f>(IF(B55&gt;4,(I55/(B55+2)+L64),0))</f>
        <v>0</v>
      </c>
    </row>
    <row r="66" spans="1:12" s="28" customFormat="1" ht="15" customHeight="1" x14ac:dyDescent="0.3">
      <c r="A66" s="169" t="s">
        <v>265</v>
      </c>
      <c r="B66" s="170" t="s">
        <v>265</v>
      </c>
      <c r="C66" s="68">
        <v>22</v>
      </c>
      <c r="D66" s="171">
        <f ca="1">((100/(I55))*C66)/100</f>
        <v>0.88</v>
      </c>
      <c r="E66" s="172"/>
      <c r="F66" s="175"/>
      <c r="G66" s="176"/>
      <c r="H66" s="175"/>
      <c r="I66" s="181"/>
      <c r="J66" s="182"/>
      <c r="K66" s="54" t="s">
        <v>192</v>
      </c>
      <c r="L66" s="57">
        <f ca="1">(IF(B55=1,(I55/(B55+3)+L61),IF(B55=0,(I55/4+L61),IF(B55&gt;1,0))))</f>
        <v>18.75</v>
      </c>
    </row>
    <row r="67" spans="1:12" s="28" customFormat="1" ht="16.5" customHeight="1" thickBot="1" x14ac:dyDescent="0.35">
      <c r="A67" s="246" t="s">
        <v>266</v>
      </c>
      <c r="B67" s="247"/>
      <c r="C67" s="70">
        <v>0</v>
      </c>
      <c r="D67" s="248">
        <f ca="1">((100/(I55))*C67)/100</f>
        <v>0</v>
      </c>
      <c r="E67" s="249"/>
      <c r="F67" s="177"/>
      <c r="G67" s="178"/>
      <c r="H67" s="177"/>
      <c r="I67" s="183"/>
      <c r="J67" s="184"/>
      <c r="K67" s="59" t="s">
        <v>193</v>
      </c>
      <c r="L67" s="60">
        <f ca="1">(IF(B55&gt;1.5,(I55/(B55+2)+L61+MAX(0,L62-L61)+MAX(0,L63-L62)+MAX(0,L64-L63)+MAX(0,L65-L64)+MAX(0,L66-L65)),IF(B55=1,(I55/(B55+3)+L66),IF(B55=0,I55/4+L66))))</f>
        <v>25</v>
      </c>
    </row>
    <row r="68" spans="1:12" s="28" customFormat="1" x14ac:dyDescent="0.25">
      <c r="A68" s="153" t="s">
        <v>64</v>
      </c>
      <c r="B68" s="154"/>
      <c r="C68" s="154"/>
      <c r="D68" s="154"/>
      <c r="E68" s="154"/>
      <c r="F68" s="154"/>
      <c r="G68" s="154"/>
      <c r="H68" s="154"/>
      <c r="I68" s="154"/>
      <c r="J68" s="155"/>
    </row>
    <row r="69" spans="1:12" x14ac:dyDescent="0.25">
      <c r="A69" s="116" t="s">
        <v>55</v>
      </c>
      <c r="B69" s="117"/>
      <c r="C69" s="117"/>
      <c r="D69" s="117"/>
      <c r="E69" s="117"/>
      <c r="F69" s="117"/>
      <c r="G69" s="117"/>
      <c r="H69" s="117"/>
      <c r="I69" s="117"/>
      <c r="J69" s="118"/>
    </row>
    <row r="70" spans="1:12" ht="15" customHeight="1" x14ac:dyDescent="0.25">
      <c r="A70" s="217" t="s">
        <v>84</v>
      </c>
      <c r="B70" s="218"/>
      <c r="C70" s="218"/>
      <c r="D70" s="218"/>
      <c r="E70" s="218"/>
      <c r="F70" s="218"/>
      <c r="G70" s="218"/>
      <c r="H70" s="218"/>
      <c r="I70" s="218"/>
      <c r="J70" s="219"/>
    </row>
    <row r="71" spans="1:12" x14ac:dyDescent="0.25">
      <c r="A71" s="220"/>
      <c r="B71" s="221"/>
      <c r="C71" s="221"/>
      <c r="D71" s="221"/>
      <c r="E71" s="221"/>
      <c r="F71" s="221"/>
      <c r="G71" s="221"/>
      <c r="H71" s="221"/>
      <c r="I71" s="221"/>
      <c r="J71" s="222"/>
    </row>
    <row r="72" spans="1:12" ht="2.25" customHeight="1" x14ac:dyDescent="0.25">
      <c r="A72" s="220"/>
      <c r="B72" s="221"/>
      <c r="C72" s="221"/>
      <c r="D72" s="221"/>
      <c r="E72" s="221"/>
      <c r="F72" s="221"/>
      <c r="G72" s="221"/>
      <c r="H72" s="221"/>
      <c r="I72" s="221"/>
      <c r="J72" s="222"/>
    </row>
    <row r="73" spans="1:12" ht="15" hidden="1" customHeight="1" x14ac:dyDescent="0.25">
      <c r="A73" s="220"/>
      <c r="B73" s="221"/>
      <c r="C73" s="221"/>
      <c r="D73" s="221"/>
      <c r="E73" s="221"/>
      <c r="F73" s="221"/>
      <c r="G73" s="221"/>
      <c r="H73" s="221"/>
      <c r="I73" s="221"/>
      <c r="J73" s="222"/>
    </row>
    <row r="74" spans="1:12" ht="15" hidden="1" customHeight="1" x14ac:dyDescent="0.25">
      <c r="A74" s="220"/>
      <c r="B74" s="221"/>
      <c r="C74" s="221"/>
      <c r="D74" s="221"/>
      <c r="E74" s="221"/>
      <c r="F74" s="221"/>
      <c r="G74" s="221"/>
      <c r="H74" s="221"/>
      <c r="I74" s="221"/>
      <c r="J74" s="222"/>
    </row>
    <row r="75" spans="1:12" ht="15" hidden="1" customHeight="1" x14ac:dyDescent="0.25">
      <c r="A75" s="220"/>
      <c r="B75" s="221"/>
      <c r="C75" s="221"/>
      <c r="D75" s="221"/>
      <c r="E75" s="221"/>
      <c r="F75" s="221"/>
      <c r="G75" s="221"/>
      <c r="H75" s="221"/>
      <c r="I75" s="221"/>
      <c r="J75" s="222"/>
    </row>
    <row r="76" spans="1:12" ht="15" hidden="1" customHeight="1" x14ac:dyDescent="0.25">
      <c r="A76" s="223"/>
      <c r="B76" s="224"/>
      <c r="C76" s="224"/>
      <c r="D76" s="224"/>
      <c r="E76" s="224"/>
      <c r="F76" s="224"/>
      <c r="G76" s="224"/>
      <c r="H76" s="224"/>
      <c r="I76" s="224"/>
      <c r="J76" s="225"/>
    </row>
    <row r="77" spans="1:12" x14ac:dyDescent="0.25">
      <c r="A77" s="156" t="s">
        <v>25</v>
      </c>
      <c r="B77" s="157"/>
      <c r="C77" s="157"/>
      <c r="D77" s="157"/>
      <c r="E77" s="157"/>
      <c r="F77" s="157"/>
      <c r="G77" s="157"/>
      <c r="H77" s="157"/>
      <c r="I77" s="157"/>
      <c r="J77" s="158"/>
    </row>
    <row r="78" spans="1:12" s="25" customFormat="1" x14ac:dyDescent="0.25">
      <c r="A78" s="226" t="s">
        <v>150</v>
      </c>
      <c r="B78" s="227"/>
      <c r="C78" s="227"/>
      <c r="D78" s="227"/>
      <c r="E78" s="227"/>
      <c r="F78" s="228"/>
      <c r="G78" s="229">
        <v>6900</v>
      </c>
      <c r="H78" s="230"/>
      <c r="I78" s="230"/>
      <c r="J78" s="231"/>
    </row>
    <row r="79" spans="1:12" s="28" customFormat="1" hidden="1" x14ac:dyDescent="0.25">
      <c r="A79" s="153" t="s">
        <v>82</v>
      </c>
      <c r="B79" s="154"/>
      <c r="C79" s="154"/>
      <c r="D79" s="154"/>
      <c r="E79" s="154"/>
      <c r="F79" s="155"/>
      <c r="G79" s="150" t="s">
        <v>56</v>
      </c>
      <c r="H79" s="151"/>
      <c r="I79" s="151"/>
      <c r="J79" s="152"/>
    </row>
    <row r="80" spans="1:12" s="28" customFormat="1" ht="49.5" customHeight="1" x14ac:dyDescent="0.25">
      <c r="A80" s="150" t="s">
        <v>270</v>
      </c>
      <c r="B80" s="154"/>
      <c r="C80" s="154"/>
      <c r="D80" s="154"/>
      <c r="E80" s="154"/>
      <c r="F80" s="155"/>
      <c r="G80" s="150" t="s">
        <v>267</v>
      </c>
      <c r="H80" s="151"/>
      <c r="I80" s="151"/>
      <c r="J80" s="152"/>
      <c r="K80" s="29"/>
    </row>
    <row r="81" spans="1:10" s="28" customFormat="1" x14ac:dyDescent="0.25">
      <c r="A81" s="153" t="s">
        <v>279</v>
      </c>
      <c r="B81" s="154"/>
      <c r="C81" s="154"/>
      <c r="D81" s="154"/>
      <c r="E81" s="154"/>
      <c r="F81" s="155"/>
      <c r="G81" s="150" t="s">
        <v>147</v>
      </c>
      <c r="H81" s="151"/>
      <c r="I81" s="151"/>
      <c r="J81" s="152"/>
    </row>
    <row r="82" spans="1:10" s="28" customFormat="1" x14ac:dyDescent="0.25">
      <c r="A82" s="153" t="s">
        <v>148</v>
      </c>
      <c r="B82" s="154"/>
      <c r="C82" s="154"/>
      <c r="D82" s="154"/>
      <c r="E82" s="154"/>
      <c r="F82" s="155"/>
      <c r="G82" s="150" t="s">
        <v>149</v>
      </c>
      <c r="H82" s="151"/>
      <c r="I82" s="151"/>
      <c r="J82" s="152"/>
    </row>
    <row r="83" spans="1:10" s="28" customFormat="1" x14ac:dyDescent="0.25">
      <c r="A83" s="153" t="s">
        <v>86</v>
      </c>
      <c r="B83" s="154"/>
      <c r="C83" s="154"/>
      <c r="D83" s="154"/>
      <c r="E83" s="154"/>
      <c r="F83" s="155"/>
      <c r="G83" s="150" t="s">
        <v>145</v>
      </c>
      <c r="H83" s="151"/>
      <c r="I83" s="151"/>
      <c r="J83" s="152"/>
    </row>
    <row r="84" spans="1:10" s="28" customFormat="1" x14ac:dyDescent="0.25">
      <c r="A84" s="153" t="s">
        <v>268</v>
      </c>
      <c r="B84" s="154"/>
      <c r="C84" s="154"/>
      <c r="D84" s="154"/>
      <c r="E84" s="154"/>
      <c r="F84" s="155"/>
      <c r="G84" s="208" t="s">
        <v>269</v>
      </c>
      <c r="H84" s="154"/>
      <c r="I84" s="154"/>
      <c r="J84" s="155"/>
    </row>
    <row r="85" spans="1:10" s="30" customFormat="1" ht="14.4" customHeight="1" x14ac:dyDescent="0.25">
      <c r="A85" s="205" t="s">
        <v>83</v>
      </c>
      <c r="B85" s="206"/>
      <c r="C85" s="206"/>
      <c r="D85" s="206"/>
      <c r="E85" s="206"/>
      <c r="F85" s="207"/>
      <c r="G85" s="208">
        <f>G78*0.8</f>
        <v>5520</v>
      </c>
      <c r="H85" s="154"/>
      <c r="I85" s="154"/>
      <c r="J85" s="155"/>
    </row>
    <row r="86" spans="1:10" s="26" customFormat="1" x14ac:dyDescent="0.25">
      <c r="A86" s="156" t="s">
        <v>26</v>
      </c>
      <c r="B86" s="157"/>
      <c r="C86" s="157"/>
      <c r="D86" s="157"/>
      <c r="E86" s="157"/>
      <c r="F86" s="157"/>
      <c r="G86" s="157"/>
      <c r="H86" s="157"/>
      <c r="I86" s="157"/>
      <c r="J86" s="158"/>
    </row>
    <row r="87" spans="1:10" s="31" customFormat="1" ht="14.4" x14ac:dyDescent="0.3">
      <c r="A87" s="72" t="s">
        <v>210</v>
      </c>
      <c r="B87" s="72"/>
      <c r="C87" s="34" t="s">
        <v>211</v>
      </c>
      <c r="D87" s="72" t="s">
        <v>212</v>
      </c>
      <c r="E87" s="72"/>
      <c r="F87" s="72"/>
      <c r="G87" s="72" t="s">
        <v>213</v>
      </c>
      <c r="H87" s="72"/>
      <c r="I87" s="72"/>
      <c r="J87" s="72"/>
    </row>
    <row r="88" spans="1:10" s="31" customFormat="1" ht="14.4" x14ac:dyDescent="0.3">
      <c r="A88" s="161" t="str">
        <f>A93</f>
        <v>Wing F3 (Type B)</v>
      </c>
      <c r="B88" s="161"/>
      <c r="C88" s="65">
        <f>COUNT(D109:E116)*20+COUNT(D118:E125)+COUNT(D127:E128)*4+COUNT(D130:E134)*4+COUNT(D100:E107)+COUNT(D97:E98)</f>
        <v>205</v>
      </c>
      <c r="D88" s="215">
        <f>SUM(D109:E116)*20+SUM(D118:E125)+SUM(D127:E128)*4+SUM(D130:E134)*4+SUM(D100:E107)+SUM(D97:E98)</f>
        <v>113131.38376799999</v>
      </c>
      <c r="E88" s="215"/>
      <c r="F88" s="215"/>
      <c r="G88" s="215">
        <f>SUM(G109:G116)*20+SUM(G118:G125)+SUM(G127:G128)*4+SUM(G130:G134)*4+SUM(G100:G107)+SUM(G97:G98)</f>
        <v>169697.075652</v>
      </c>
      <c r="H88" s="215"/>
      <c r="I88" s="215"/>
      <c r="J88" s="215"/>
    </row>
    <row r="89" spans="1:10" customFormat="1" ht="14.4" x14ac:dyDescent="0.3">
      <c r="A89" s="128" t="s">
        <v>48</v>
      </c>
      <c r="B89" s="129"/>
      <c r="C89" s="129"/>
      <c r="D89" s="129"/>
      <c r="E89" s="129"/>
      <c r="F89" s="129"/>
      <c r="G89" s="129"/>
      <c r="H89" s="129"/>
      <c r="I89" s="129"/>
      <c r="J89" s="130"/>
    </row>
    <row r="90" spans="1:10" customFormat="1" ht="44.25" customHeight="1" x14ac:dyDescent="0.3">
      <c r="A90" s="72" t="s">
        <v>153</v>
      </c>
      <c r="B90" s="72"/>
      <c r="C90" s="61" t="s">
        <v>31</v>
      </c>
      <c r="D90" s="216" t="s">
        <v>43</v>
      </c>
      <c r="E90" s="216"/>
      <c r="F90" s="66" t="s">
        <v>32</v>
      </c>
      <c r="G90" s="66" t="s">
        <v>146</v>
      </c>
      <c r="H90" s="61" t="s">
        <v>33</v>
      </c>
      <c r="I90" s="72" t="s">
        <v>154</v>
      </c>
      <c r="J90" s="72"/>
    </row>
    <row r="91" spans="1:10" customFormat="1" ht="15.6" x14ac:dyDescent="0.3">
      <c r="A91" s="89" t="s">
        <v>219</v>
      </c>
      <c r="B91" s="90"/>
      <c r="C91" s="90"/>
      <c r="D91" s="90"/>
      <c r="E91" s="90"/>
      <c r="F91" s="90"/>
      <c r="G91" s="90"/>
      <c r="H91" s="90"/>
      <c r="I91" s="90"/>
      <c r="J91" s="91"/>
    </row>
    <row r="92" spans="1:10" s="33" customFormat="1" ht="15.6" x14ac:dyDescent="0.3">
      <c r="A92" s="73" t="s">
        <v>220</v>
      </c>
      <c r="B92" s="74"/>
      <c r="C92" s="74"/>
      <c r="D92" s="74"/>
      <c r="E92" s="74"/>
      <c r="F92" s="74"/>
      <c r="G92" s="74"/>
      <c r="H92" s="74"/>
      <c r="I92" s="74"/>
      <c r="J92" s="75"/>
    </row>
    <row r="93" spans="1:10" s="33" customFormat="1" ht="15.6" x14ac:dyDescent="0.3">
      <c r="A93" s="73" t="s">
        <v>214</v>
      </c>
      <c r="B93" s="74"/>
      <c r="C93" s="74"/>
      <c r="D93" s="74"/>
      <c r="E93" s="74"/>
      <c r="F93" s="74"/>
      <c r="G93" s="74"/>
      <c r="H93" s="74"/>
      <c r="I93" s="74"/>
      <c r="J93" s="75"/>
    </row>
    <row r="94" spans="1:10" s="33" customFormat="1" ht="15.6" x14ac:dyDescent="0.3">
      <c r="A94" s="73" t="s">
        <v>217</v>
      </c>
      <c r="B94" s="74"/>
      <c r="C94" s="74"/>
      <c r="D94" s="74"/>
      <c r="E94" s="74"/>
      <c r="F94" s="74"/>
      <c r="G94" s="74"/>
      <c r="H94" s="74"/>
      <c r="I94" s="74"/>
      <c r="J94" s="75"/>
    </row>
    <row r="95" spans="1:10" s="32" customFormat="1" ht="15.6" x14ac:dyDescent="0.3">
      <c r="A95" s="76">
        <v>1</v>
      </c>
      <c r="B95" s="76"/>
      <c r="C95" s="77" t="s">
        <v>200</v>
      </c>
      <c r="D95" s="78"/>
      <c r="E95" s="78"/>
      <c r="F95" s="78"/>
      <c r="G95" s="78"/>
      <c r="H95" s="79"/>
      <c r="I95" s="83" t="s">
        <v>208</v>
      </c>
      <c r="J95" s="84"/>
    </row>
    <row r="96" spans="1:10" s="32" customFormat="1" ht="15.6" x14ac:dyDescent="0.3">
      <c r="A96" s="76">
        <v>2</v>
      </c>
      <c r="B96" s="76"/>
      <c r="C96" s="80"/>
      <c r="D96" s="81"/>
      <c r="E96" s="81"/>
      <c r="F96" s="81"/>
      <c r="G96" s="81"/>
      <c r="H96" s="82"/>
      <c r="I96" s="85"/>
      <c r="J96" s="86"/>
    </row>
    <row r="97" spans="1:10" s="32" customFormat="1" ht="15.6" x14ac:dyDescent="0.3">
      <c r="A97" s="76">
        <v>3</v>
      </c>
      <c r="B97" s="76"/>
      <c r="C97" s="62" t="s">
        <v>197</v>
      </c>
      <c r="D97" s="92">
        <f>48.769*10.764</f>
        <v>524.9495159999999</v>
      </c>
      <c r="E97" s="92"/>
      <c r="F97" s="63">
        <v>0</v>
      </c>
      <c r="G97" s="63">
        <f>D97*1.5</f>
        <v>787.42427399999985</v>
      </c>
      <c r="H97" s="62" t="s">
        <v>155</v>
      </c>
      <c r="I97" s="85"/>
      <c r="J97" s="86"/>
    </row>
    <row r="98" spans="1:10" s="32" customFormat="1" ht="15.6" x14ac:dyDescent="0.3">
      <c r="A98" s="76">
        <v>4</v>
      </c>
      <c r="B98" s="76"/>
      <c r="C98" s="62" t="s">
        <v>197</v>
      </c>
      <c r="D98" s="92">
        <f>54.638*10.764</f>
        <v>588.12343199999998</v>
      </c>
      <c r="E98" s="92"/>
      <c r="F98" s="63">
        <v>0</v>
      </c>
      <c r="G98" s="63">
        <f>D98*1.5</f>
        <v>882.18514800000003</v>
      </c>
      <c r="H98" s="62" t="s">
        <v>155</v>
      </c>
      <c r="I98" s="87"/>
      <c r="J98" s="88"/>
    </row>
    <row r="99" spans="1:10" s="33" customFormat="1" ht="15.6" x14ac:dyDescent="0.3">
      <c r="A99" s="73" t="s">
        <v>209</v>
      </c>
      <c r="B99" s="74"/>
      <c r="C99" s="74"/>
      <c r="D99" s="74"/>
      <c r="E99" s="74"/>
      <c r="F99" s="74"/>
      <c r="G99" s="74"/>
      <c r="H99" s="74"/>
      <c r="I99" s="74"/>
      <c r="J99" s="75"/>
    </row>
    <row r="100" spans="1:10" s="32" customFormat="1" ht="15.6" x14ac:dyDescent="0.3">
      <c r="A100" s="76">
        <v>1</v>
      </c>
      <c r="B100" s="76"/>
      <c r="C100" s="62" t="s">
        <v>197</v>
      </c>
      <c r="D100" s="92">
        <f>54.638*10.764</f>
        <v>588.12343199999998</v>
      </c>
      <c r="E100" s="92"/>
      <c r="F100" s="63">
        <v>0</v>
      </c>
      <c r="G100" s="63">
        <f>D100*1.5</f>
        <v>882.18514800000003</v>
      </c>
      <c r="H100" s="62" t="s">
        <v>155</v>
      </c>
      <c r="I100" s="83" t="str">
        <f>A99</f>
        <v>Upper Ground Floor</v>
      </c>
      <c r="J100" s="84"/>
    </row>
    <row r="101" spans="1:10" s="32" customFormat="1" ht="15.6" x14ac:dyDescent="0.3">
      <c r="A101" s="76">
        <v>2</v>
      </c>
      <c r="B101" s="76"/>
      <c r="C101" s="62" t="s">
        <v>197</v>
      </c>
      <c r="D101" s="92">
        <f>48.769*10.764</f>
        <v>524.9495159999999</v>
      </c>
      <c r="E101" s="92"/>
      <c r="F101" s="63">
        <v>0</v>
      </c>
      <c r="G101" s="63">
        <f t="shared" ref="G101:G107" si="0">D101*1.5</f>
        <v>787.42427399999985</v>
      </c>
      <c r="H101" s="62" t="s">
        <v>155</v>
      </c>
      <c r="I101" s="85"/>
      <c r="J101" s="86"/>
    </row>
    <row r="102" spans="1:10" s="32" customFormat="1" ht="15.6" x14ac:dyDescent="0.3">
      <c r="A102" s="76">
        <v>3</v>
      </c>
      <c r="B102" s="76"/>
      <c r="C102" s="62" t="s">
        <v>197</v>
      </c>
      <c r="D102" s="92">
        <f>48.769*10.764</f>
        <v>524.9495159999999</v>
      </c>
      <c r="E102" s="92"/>
      <c r="F102" s="63">
        <v>0</v>
      </c>
      <c r="G102" s="63">
        <f t="shared" si="0"/>
        <v>787.42427399999985</v>
      </c>
      <c r="H102" s="62" t="s">
        <v>155</v>
      </c>
      <c r="I102" s="85"/>
      <c r="J102" s="86"/>
    </row>
    <row r="103" spans="1:10" s="32" customFormat="1" ht="15.6" x14ac:dyDescent="0.3">
      <c r="A103" s="76">
        <v>4</v>
      </c>
      <c r="B103" s="76"/>
      <c r="C103" s="62" t="s">
        <v>197</v>
      </c>
      <c r="D103" s="92">
        <f>54.638*10.764</f>
        <v>588.12343199999998</v>
      </c>
      <c r="E103" s="92"/>
      <c r="F103" s="63">
        <v>0</v>
      </c>
      <c r="G103" s="63">
        <f t="shared" si="0"/>
        <v>882.18514800000003</v>
      </c>
      <c r="H103" s="62" t="s">
        <v>155</v>
      </c>
      <c r="I103" s="85"/>
      <c r="J103" s="86"/>
    </row>
    <row r="104" spans="1:10" s="32" customFormat="1" ht="15.6" x14ac:dyDescent="0.3">
      <c r="A104" s="76">
        <v>5</v>
      </c>
      <c r="B104" s="76"/>
      <c r="C104" s="62" t="s">
        <v>197</v>
      </c>
      <c r="D104" s="92">
        <f>54.638*10.764</f>
        <v>588.12343199999998</v>
      </c>
      <c r="E104" s="92"/>
      <c r="F104" s="63">
        <v>0</v>
      </c>
      <c r="G104" s="63">
        <f t="shared" si="0"/>
        <v>882.18514800000003</v>
      </c>
      <c r="H104" s="62" t="s">
        <v>155</v>
      </c>
      <c r="I104" s="85"/>
      <c r="J104" s="86"/>
    </row>
    <row r="105" spans="1:10" s="32" customFormat="1" ht="15.6" x14ac:dyDescent="0.3">
      <c r="A105" s="76">
        <v>6</v>
      </c>
      <c r="B105" s="76"/>
      <c r="C105" s="62" t="s">
        <v>197</v>
      </c>
      <c r="D105" s="92">
        <f>48.769*10.764</f>
        <v>524.9495159999999</v>
      </c>
      <c r="E105" s="92"/>
      <c r="F105" s="63">
        <v>0</v>
      </c>
      <c r="G105" s="63">
        <f t="shared" si="0"/>
        <v>787.42427399999985</v>
      </c>
      <c r="H105" s="62" t="s">
        <v>155</v>
      </c>
      <c r="I105" s="85"/>
      <c r="J105" s="86"/>
    </row>
    <row r="106" spans="1:10" s="32" customFormat="1" ht="15.6" x14ac:dyDescent="0.3">
      <c r="A106" s="76">
        <v>7</v>
      </c>
      <c r="B106" s="76"/>
      <c r="C106" s="93" t="s">
        <v>201</v>
      </c>
      <c r="D106" s="94"/>
      <c r="E106" s="94"/>
      <c r="F106" s="94"/>
      <c r="G106" s="94"/>
      <c r="H106" s="95"/>
      <c r="I106" s="85"/>
      <c r="J106" s="86"/>
    </row>
    <row r="107" spans="1:10" s="32" customFormat="1" ht="15.6" x14ac:dyDescent="0.3">
      <c r="A107" s="76">
        <v>8</v>
      </c>
      <c r="B107" s="76"/>
      <c r="C107" s="62" t="s">
        <v>197</v>
      </c>
      <c r="D107" s="92">
        <f>54.638*10.764</f>
        <v>588.12343199999998</v>
      </c>
      <c r="E107" s="92"/>
      <c r="F107" s="63">
        <v>0</v>
      </c>
      <c r="G107" s="63">
        <f t="shared" si="0"/>
        <v>882.18514800000003</v>
      </c>
      <c r="H107" s="62" t="s">
        <v>155</v>
      </c>
      <c r="I107" s="87"/>
      <c r="J107" s="88"/>
    </row>
    <row r="108" spans="1:10" s="33" customFormat="1" ht="15.6" x14ac:dyDescent="0.3">
      <c r="A108" s="96" t="s">
        <v>218</v>
      </c>
      <c r="B108" s="97"/>
      <c r="C108" s="97"/>
      <c r="D108" s="97"/>
      <c r="E108" s="97"/>
      <c r="F108" s="97"/>
      <c r="G108" s="97"/>
      <c r="H108" s="97"/>
      <c r="I108" s="97"/>
      <c r="J108" s="98"/>
    </row>
    <row r="109" spans="1:10" s="32" customFormat="1" ht="15.6" x14ac:dyDescent="0.3">
      <c r="A109" s="76">
        <v>1</v>
      </c>
      <c r="B109" s="76"/>
      <c r="C109" s="62" t="s">
        <v>197</v>
      </c>
      <c r="D109" s="92">
        <f>(54.638+1.336)*10.764</f>
        <v>602.5041359999999</v>
      </c>
      <c r="E109" s="92"/>
      <c r="F109" s="63">
        <v>0</v>
      </c>
      <c r="G109" s="63">
        <f>D109*1.5</f>
        <v>903.7562039999998</v>
      </c>
      <c r="H109" s="62" t="s">
        <v>155</v>
      </c>
      <c r="I109" s="83" t="str">
        <f>A108</f>
        <v>1st, 2nd, 4th to 6th, 7th, 9th, 10th, 11th, 12th, 14th to 17th, 19th to 22nd, 24th &amp; 25th Floor</v>
      </c>
      <c r="J109" s="84"/>
    </row>
    <row r="110" spans="1:10" s="32" customFormat="1" ht="15.6" x14ac:dyDescent="0.3">
      <c r="A110" s="76">
        <v>2</v>
      </c>
      <c r="B110" s="76"/>
      <c r="C110" s="62" t="s">
        <v>197</v>
      </c>
      <c r="D110" s="92">
        <f>(43.769+1.169)*10.764</f>
        <v>483.71263199999993</v>
      </c>
      <c r="E110" s="92"/>
      <c r="F110" s="63">
        <v>0</v>
      </c>
      <c r="G110" s="63">
        <f t="shared" ref="G110:G116" si="1">D110*1.5</f>
        <v>725.56894799999986</v>
      </c>
      <c r="H110" s="62" t="s">
        <v>155</v>
      </c>
      <c r="I110" s="85"/>
      <c r="J110" s="86"/>
    </row>
    <row r="111" spans="1:10" s="32" customFormat="1" ht="15.6" x14ac:dyDescent="0.3">
      <c r="A111" s="76">
        <v>3</v>
      </c>
      <c r="B111" s="76"/>
      <c r="C111" s="62" t="s">
        <v>197</v>
      </c>
      <c r="D111" s="92">
        <f>(43.769+1.169)*10.764</f>
        <v>483.71263199999993</v>
      </c>
      <c r="E111" s="92"/>
      <c r="F111" s="63">
        <v>0</v>
      </c>
      <c r="G111" s="63">
        <f t="shared" si="1"/>
        <v>725.56894799999986</v>
      </c>
      <c r="H111" s="62" t="s">
        <v>155</v>
      </c>
      <c r="I111" s="85"/>
      <c r="J111" s="86"/>
    </row>
    <row r="112" spans="1:10" s="32" customFormat="1" ht="15.6" x14ac:dyDescent="0.3">
      <c r="A112" s="76">
        <v>4</v>
      </c>
      <c r="B112" s="76"/>
      <c r="C112" s="62" t="s">
        <v>197</v>
      </c>
      <c r="D112" s="92">
        <f>(54.638+1.336)*10.764</f>
        <v>602.5041359999999</v>
      </c>
      <c r="E112" s="92"/>
      <c r="F112" s="63">
        <v>0</v>
      </c>
      <c r="G112" s="63">
        <f t="shared" si="1"/>
        <v>903.7562039999998</v>
      </c>
      <c r="H112" s="62" t="s">
        <v>155</v>
      </c>
      <c r="I112" s="85"/>
      <c r="J112" s="86"/>
    </row>
    <row r="113" spans="1:10" s="32" customFormat="1" ht="15.6" x14ac:dyDescent="0.3">
      <c r="A113" s="76">
        <v>5</v>
      </c>
      <c r="B113" s="76"/>
      <c r="C113" s="62" t="s">
        <v>197</v>
      </c>
      <c r="D113" s="92">
        <f>(54.638+1.336)*10.764</f>
        <v>602.5041359999999</v>
      </c>
      <c r="E113" s="92"/>
      <c r="F113" s="63">
        <v>0</v>
      </c>
      <c r="G113" s="63">
        <f t="shared" si="1"/>
        <v>903.7562039999998</v>
      </c>
      <c r="H113" s="62" t="s">
        <v>155</v>
      </c>
      <c r="I113" s="85"/>
      <c r="J113" s="86"/>
    </row>
    <row r="114" spans="1:10" s="32" customFormat="1" ht="15.6" x14ac:dyDescent="0.3">
      <c r="A114" s="76">
        <v>6</v>
      </c>
      <c r="B114" s="76"/>
      <c r="C114" s="62" t="s">
        <v>197</v>
      </c>
      <c r="D114" s="92">
        <f>(43.769+1.169)*10.764</f>
        <v>483.71263199999993</v>
      </c>
      <c r="E114" s="92"/>
      <c r="F114" s="63">
        <v>0</v>
      </c>
      <c r="G114" s="63">
        <f t="shared" si="1"/>
        <v>725.56894799999986</v>
      </c>
      <c r="H114" s="62" t="s">
        <v>155</v>
      </c>
      <c r="I114" s="85"/>
      <c r="J114" s="86"/>
    </row>
    <row r="115" spans="1:10" s="32" customFormat="1" ht="15.6" x14ac:dyDescent="0.3">
      <c r="A115" s="76">
        <v>7</v>
      </c>
      <c r="B115" s="76"/>
      <c r="C115" s="62" t="s">
        <v>197</v>
      </c>
      <c r="D115" s="92">
        <f>(43.769+1.169)*10.764</f>
        <v>483.71263199999993</v>
      </c>
      <c r="E115" s="92"/>
      <c r="F115" s="63">
        <v>0</v>
      </c>
      <c r="G115" s="63">
        <f t="shared" si="1"/>
        <v>725.56894799999986</v>
      </c>
      <c r="H115" s="62" t="s">
        <v>155</v>
      </c>
      <c r="I115" s="85"/>
      <c r="J115" s="86"/>
    </row>
    <row r="116" spans="1:10" s="32" customFormat="1" ht="15.6" x14ac:dyDescent="0.3">
      <c r="A116" s="76">
        <v>8</v>
      </c>
      <c r="B116" s="76"/>
      <c r="C116" s="62" t="s">
        <v>197</v>
      </c>
      <c r="D116" s="92">
        <f>(54.638+1.336)*10.764</f>
        <v>602.5041359999999</v>
      </c>
      <c r="E116" s="92"/>
      <c r="F116" s="63">
        <v>0</v>
      </c>
      <c r="G116" s="63">
        <f t="shared" si="1"/>
        <v>903.7562039999998</v>
      </c>
      <c r="H116" s="62" t="s">
        <v>155</v>
      </c>
      <c r="I116" s="87"/>
      <c r="J116" s="88"/>
    </row>
    <row r="117" spans="1:10" s="33" customFormat="1" ht="15.6" x14ac:dyDescent="0.3">
      <c r="A117" s="73" t="s">
        <v>198</v>
      </c>
      <c r="B117" s="74"/>
      <c r="C117" s="74"/>
      <c r="D117" s="74"/>
      <c r="E117" s="74"/>
      <c r="F117" s="74"/>
      <c r="G117" s="74"/>
      <c r="H117" s="74"/>
      <c r="I117" s="74"/>
      <c r="J117" s="75"/>
    </row>
    <row r="118" spans="1:10" s="32" customFormat="1" ht="15.6" x14ac:dyDescent="0.3">
      <c r="A118" s="76">
        <v>1</v>
      </c>
      <c r="B118" s="76"/>
      <c r="C118" s="62" t="s">
        <v>197</v>
      </c>
      <c r="D118" s="92">
        <f>(54.638+1.336)*10.764</f>
        <v>602.5041359999999</v>
      </c>
      <c r="E118" s="92"/>
      <c r="F118" s="63">
        <v>0</v>
      </c>
      <c r="G118" s="63">
        <f>D118*1.5</f>
        <v>903.7562039999998</v>
      </c>
      <c r="H118" s="62" t="s">
        <v>155</v>
      </c>
      <c r="I118" s="83" t="str">
        <f>A117</f>
        <v>3rd Floor</v>
      </c>
      <c r="J118" s="84"/>
    </row>
    <row r="119" spans="1:10" s="32" customFormat="1" ht="15.6" x14ac:dyDescent="0.3">
      <c r="A119" s="76">
        <v>2</v>
      </c>
      <c r="B119" s="76"/>
      <c r="C119" s="62" t="s">
        <v>197</v>
      </c>
      <c r="D119" s="92">
        <f>(43.769+1.169+8.153)*10.764</f>
        <v>571.47152399999993</v>
      </c>
      <c r="E119" s="92"/>
      <c r="F119" s="63">
        <v>0</v>
      </c>
      <c r="G119" s="63">
        <f t="shared" ref="G119:G125" si="2">D119*1.5</f>
        <v>857.20728599999984</v>
      </c>
      <c r="H119" s="62" t="s">
        <v>155</v>
      </c>
      <c r="I119" s="85"/>
      <c r="J119" s="86"/>
    </row>
    <row r="120" spans="1:10" s="32" customFormat="1" ht="15.6" x14ac:dyDescent="0.3">
      <c r="A120" s="76">
        <v>3</v>
      </c>
      <c r="B120" s="76"/>
      <c r="C120" s="62" t="s">
        <v>197</v>
      </c>
      <c r="D120" s="92">
        <f>(43.769+1.169+8.153)*10.764</f>
        <v>571.47152399999993</v>
      </c>
      <c r="E120" s="92"/>
      <c r="F120" s="63">
        <v>0</v>
      </c>
      <c r="G120" s="63">
        <f t="shared" si="2"/>
        <v>857.20728599999984</v>
      </c>
      <c r="H120" s="62" t="s">
        <v>155</v>
      </c>
      <c r="I120" s="85"/>
      <c r="J120" s="86"/>
    </row>
    <row r="121" spans="1:10" s="32" customFormat="1" ht="15.6" x14ac:dyDescent="0.3">
      <c r="A121" s="76">
        <v>4</v>
      </c>
      <c r="B121" s="76"/>
      <c r="C121" s="62" t="s">
        <v>197</v>
      </c>
      <c r="D121" s="92">
        <f>(54.638+1.336)*10.764</f>
        <v>602.5041359999999</v>
      </c>
      <c r="E121" s="92"/>
      <c r="F121" s="63">
        <v>0</v>
      </c>
      <c r="G121" s="63">
        <f t="shared" si="2"/>
        <v>903.7562039999998</v>
      </c>
      <c r="H121" s="62" t="s">
        <v>155</v>
      </c>
      <c r="I121" s="85"/>
      <c r="J121" s="86"/>
    </row>
    <row r="122" spans="1:10" s="32" customFormat="1" ht="15.6" x14ac:dyDescent="0.3">
      <c r="A122" s="76">
        <v>5</v>
      </c>
      <c r="B122" s="76"/>
      <c r="C122" s="62" t="s">
        <v>197</v>
      </c>
      <c r="D122" s="92">
        <f>(54.638+1.336)*10.764</f>
        <v>602.5041359999999</v>
      </c>
      <c r="E122" s="92"/>
      <c r="F122" s="63">
        <v>0</v>
      </c>
      <c r="G122" s="63">
        <f t="shared" si="2"/>
        <v>903.7562039999998</v>
      </c>
      <c r="H122" s="62" t="s">
        <v>155</v>
      </c>
      <c r="I122" s="85"/>
      <c r="J122" s="86"/>
    </row>
    <row r="123" spans="1:10" s="32" customFormat="1" ht="15.6" x14ac:dyDescent="0.3">
      <c r="A123" s="76">
        <v>6</v>
      </c>
      <c r="B123" s="76"/>
      <c r="C123" s="62" t="s">
        <v>197</v>
      </c>
      <c r="D123" s="92">
        <f>(43.769+1.169+8.153)*10.764</f>
        <v>571.47152399999993</v>
      </c>
      <c r="E123" s="92"/>
      <c r="F123" s="63">
        <v>0</v>
      </c>
      <c r="G123" s="63">
        <f t="shared" si="2"/>
        <v>857.20728599999984</v>
      </c>
      <c r="H123" s="62" t="s">
        <v>155</v>
      </c>
      <c r="I123" s="85"/>
      <c r="J123" s="86"/>
    </row>
    <row r="124" spans="1:10" s="32" customFormat="1" ht="15.6" x14ac:dyDescent="0.3">
      <c r="A124" s="76">
        <v>7</v>
      </c>
      <c r="B124" s="76"/>
      <c r="C124" s="62" t="s">
        <v>197</v>
      </c>
      <c r="D124" s="92">
        <f>(43.769+1.169+8.153)*10.764</f>
        <v>571.47152399999993</v>
      </c>
      <c r="E124" s="92"/>
      <c r="F124" s="63">
        <v>0</v>
      </c>
      <c r="G124" s="63">
        <f t="shared" si="2"/>
        <v>857.20728599999984</v>
      </c>
      <c r="H124" s="62" t="s">
        <v>155</v>
      </c>
      <c r="I124" s="85"/>
      <c r="J124" s="86"/>
    </row>
    <row r="125" spans="1:10" s="32" customFormat="1" ht="15.6" x14ac:dyDescent="0.3">
      <c r="A125" s="76">
        <v>8</v>
      </c>
      <c r="B125" s="76"/>
      <c r="C125" s="62" t="s">
        <v>197</v>
      </c>
      <c r="D125" s="92">
        <f>(54.638+1.336)*10.764</f>
        <v>602.5041359999999</v>
      </c>
      <c r="E125" s="92"/>
      <c r="F125" s="63">
        <v>0</v>
      </c>
      <c r="G125" s="63">
        <f t="shared" si="2"/>
        <v>903.7562039999998</v>
      </c>
      <c r="H125" s="62" t="s">
        <v>155</v>
      </c>
      <c r="I125" s="87"/>
      <c r="J125" s="88"/>
    </row>
    <row r="126" spans="1:10" s="33" customFormat="1" ht="15.6" x14ac:dyDescent="0.3">
      <c r="A126" s="73" t="s">
        <v>199</v>
      </c>
      <c r="B126" s="74"/>
      <c r="C126" s="74"/>
      <c r="D126" s="74"/>
      <c r="E126" s="74"/>
      <c r="F126" s="74"/>
      <c r="G126" s="74"/>
      <c r="H126" s="74"/>
      <c r="I126" s="74"/>
      <c r="J126" s="75"/>
    </row>
    <row r="127" spans="1:10" s="32" customFormat="1" ht="15.6" x14ac:dyDescent="0.3">
      <c r="A127" s="76">
        <v>1</v>
      </c>
      <c r="B127" s="76"/>
      <c r="C127" s="62" t="s">
        <v>197</v>
      </c>
      <c r="D127" s="92">
        <f>(54.638+1.336)*10.764</f>
        <v>602.5041359999999</v>
      </c>
      <c r="E127" s="92"/>
      <c r="F127" s="63">
        <v>0</v>
      </c>
      <c r="G127" s="63">
        <f>D127*1.5</f>
        <v>903.7562039999998</v>
      </c>
      <c r="H127" s="62" t="s">
        <v>155</v>
      </c>
      <c r="I127" s="83" t="s">
        <v>199</v>
      </c>
      <c r="J127" s="84"/>
    </row>
    <row r="128" spans="1:10" s="32" customFormat="1" ht="15.6" x14ac:dyDescent="0.3">
      <c r="A128" s="76">
        <v>2</v>
      </c>
      <c r="B128" s="76"/>
      <c r="C128" s="62" t="s">
        <v>197</v>
      </c>
      <c r="D128" s="92">
        <f>(43.769+1.169+8.153)*10.764</f>
        <v>571.47152399999993</v>
      </c>
      <c r="E128" s="92"/>
      <c r="F128" s="63">
        <v>0</v>
      </c>
      <c r="G128" s="63">
        <f t="shared" ref="G128:G134" si="3">D128*1.5</f>
        <v>857.20728599999984</v>
      </c>
      <c r="H128" s="62" t="s">
        <v>155</v>
      </c>
      <c r="I128" s="85"/>
      <c r="J128" s="86"/>
    </row>
    <row r="129" spans="1:10" s="32" customFormat="1" ht="15.6" x14ac:dyDescent="0.3">
      <c r="A129" s="76">
        <v>3</v>
      </c>
      <c r="B129" s="76"/>
      <c r="C129" s="93" t="s">
        <v>196</v>
      </c>
      <c r="D129" s="94"/>
      <c r="E129" s="94"/>
      <c r="F129" s="94"/>
      <c r="G129" s="94"/>
      <c r="H129" s="95"/>
      <c r="I129" s="85"/>
      <c r="J129" s="86"/>
    </row>
    <row r="130" spans="1:10" s="32" customFormat="1" ht="15.6" x14ac:dyDescent="0.3">
      <c r="A130" s="76">
        <v>4</v>
      </c>
      <c r="B130" s="76"/>
      <c r="C130" s="62" t="s">
        <v>197</v>
      </c>
      <c r="D130" s="92">
        <f>(54.638+1.336)*10.764</f>
        <v>602.5041359999999</v>
      </c>
      <c r="E130" s="92"/>
      <c r="F130" s="63">
        <v>0</v>
      </c>
      <c r="G130" s="63">
        <f t="shared" si="3"/>
        <v>903.7562039999998</v>
      </c>
      <c r="H130" s="62" t="s">
        <v>155</v>
      </c>
      <c r="I130" s="85"/>
      <c r="J130" s="86"/>
    </row>
    <row r="131" spans="1:10" s="32" customFormat="1" ht="15.6" x14ac:dyDescent="0.3">
      <c r="A131" s="76">
        <v>5</v>
      </c>
      <c r="B131" s="76"/>
      <c r="C131" s="62" t="s">
        <v>197</v>
      </c>
      <c r="D131" s="92">
        <f>(54.638+1.336)*10.764</f>
        <v>602.5041359999999</v>
      </c>
      <c r="E131" s="92"/>
      <c r="F131" s="63">
        <v>0</v>
      </c>
      <c r="G131" s="63">
        <f t="shared" si="3"/>
        <v>903.7562039999998</v>
      </c>
      <c r="H131" s="62" t="s">
        <v>155</v>
      </c>
      <c r="I131" s="85"/>
      <c r="J131" s="86"/>
    </row>
    <row r="132" spans="1:10" s="32" customFormat="1" ht="15.6" x14ac:dyDescent="0.3">
      <c r="A132" s="76">
        <v>6</v>
      </c>
      <c r="B132" s="76"/>
      <c r="C132" s="62" t="s">
        <v>197</v>
      </c>
      <c r="D132" s="92">
        <f>(43.769+1.169+8.153)*10.764</f>
        <v>571.47152399999993</v>
      </c>
      <c r="E132" s="92"/>
      <c r="F132" s="63">
        <v>0</v>
      </c>
      <c r="G132" s="63">
        <f t="shared" si="3"/>
        <v>857.20728599999984</v>
      </c>
      <c r="H132" s="62" t="s">
        <v>155</v>
      </c>
      <c r="I132" s="85"/>
      <c r="J132" s="86"/>
    </row>
    <row r="133" spans="1:10" s="32" customFormat="1" ht="15.6" x14ac:dyDescent="0.3">
      <c r="A133" s="76">
        <v>7</v>
      </c>
      <c r="B133" s="76"/>
      <c r="C133" s="62" t="s">
        <v>197</v>
      </c>
      <c r="D133" s="92">
        <f>(43.769+1.169+8.153)*10.764</f>
        <v>571.47152399999993</v>
      </c>
      <c r="E133" s="92"/>
      <c r="F133" s="63">
        <v>0</v>
      </c>
      <c r="G133" s="63">
        <f t="shared" si="3"/>
        <v>857.20728599999984</v>
      </c>
      <c r="H133" s="62" t="s">
        <v>155</v>
      </c>
      <c r="I133" s="85"/>
      <c r="J133" s="86"/>
    </row>
    <row r="134" spans="1:10" s="32" customFormat="1" ht="15.6" x14ac:dyDescent="0.3">
      <c r="A134" s="76">
        <v>8</v>
      </c>
      <c r="B134" s="76"/>
      <c r="C134" s="62" t="s">
        <v>197</v>
      </c>
      <c r="D134" s="92">
        <f>(54.638+1.336)*10.764</f>
        <v>602.5041359999999</v>
      </c>
      <c r="E134" s="92"/>
      <c r="F134" s="63">
        <v>0</v>
      </c>
      <c r="G134" s="63">
        <f t="shared" si="3"/>
        <v>903.7562039999998</v>
      </c>
      <c r="H134" s="62" t="s">
        <v>155</v>
      </c>
      <c r="I134" s="87"/>
      <c r="J134" s="88"/>
    </row>
    <row r="135" spans="1:10" ht="88.5" customHeight="1" x14ac:dyDescent="0.25">
      <c r="A135" s="209" t="s">
        <v>283</v>
      </c>
      <c r="B135" s="210"/>
      <c r="C135" s="210"/>
      <c r="D135" s="210"/>
      <c r="E135" s="210"/>
      <c r="F135" s="210"/>
      <c r="G135" s="210"/>
      <c r="H135" s="210"/>
      <c r="I135" s="210"/>
      <c r="J135" s="211"/>
    </row>
    <row r="136" spans="1:10" ht="57" customHeight="1" x14ac:dyDescent="0.25">
      <c r="A136" s="212"/>
      <c r="B136" s="213"/>
      <c r="C136" s="213"/>
      <c r="D136" s="213"/>
      <c r="E136" s="213"/>
      <c r="F136" s="213"/>
      <c r="G136" s="213"/>
      <c r="H136" s="213"/>
      <c r="I136" s="213"/>
      <c r="J136" s="214"/>
    </row>
    <row r="137" spans="1:10" x14ac:dyDescent="0.25">
      <c r="A137" s="147" t="s">
        <v>27</v>
      </c>
      <c r="B137" s="148"/>
      <c r="C137" s="148"/>
      <c r="D137" s="148"/>
      <c r="E137" s="148"/>
      <c r="F137" s="148"/>
      <c r="G137" s="148"/>
      <c r="H137" s="148"/>
      <c r="I137" s="148"/>
      <c r="J137" s="149"/>
    </row>
    <row r="138" spans="1:10" x14ac:dyDescent="0.25">
      <c r="A138" s="116" t="s">
        <v>34</v>
      </c>
      <c r="B138" s="117"/>
      <c r="C138" s="117"/>
      <c r="D138" s="117"/>
      <c r="E138" s="117"/>
      <c r="F138" s="117"/>
      <c r="G138" s="117"/>
      <c r="H138" s="117"/>
      <c r="I138" s="117"/>
      <c r="J138" s="118"/>
    </row>
    <row r="139" spans="1:10" x14ac:dyDescent="0.25">
      <c r="A139" s="147" t="s">
        <v>29</v>
      </c>
      <c r="B139" s="148"/>
      <c r="C139" s="148"/>
      <c r="D139" s="148"/>
      <c r="E139" s="148"/>
      <c r="F139" s="148"/>
      <c r="G139" s="148"/>
      <c r="H139" s="148"/>
      <c r="I139" s="148"/>
      <c r="J139" s="149"/>
    </row>
    <row r="140" spans="1:10" x14ac:dyDescent="0.25">
      <c r="A140" s="116" t="s">
        <v>39</v>
      </c>
      <c r="B140" s="117"/>
      <c r="C140" s="117"/>
      <c r="D140" s="117"/>
      <c r="E140" s="117"/>
      <c r="F140" s="117"/>
      <c r="G140" s="117"/>
      <c r="H140" s="117"/>
      <c r="I140" s="117"/>
      <c r="J140" s="118"/>
    </row>
    <row r="141" spans="1:10" ht="16.5" customHeight="1" x14ac:dyDescent="0.25">
      <c r="A141" s="150" t="s">
        <v>65</v>
      </c>
      <c r="B141" s="151"/>
      <c r="C141" s="151"/>
      <c r="D141" s="151"/>
      <c r="E141" s="151"/>
      <c r="F141" s="151"/>
      <c r="G141" s="151"/>
      <c r="H141" s="151"/>
      <c r="I141" s="151"/>
      <c r="J141" s="152"/>
    </row>
    <row r="142" spans="1:10" x14ac:dyDescent="0.25">
      <c r="A142" s="116" t="s">
        <v>40</v>
      </c>
      <c r="B142" s="117"/>
      <c r="C142" s="117"/>
      <c r="D142" s="117"/>
      <c r="E142" s="117"/>
      <c r="F142" s="117"/>
      <c r="G142" s="117"/>
      <c r="H142" s="117"/>
      <c r="I142" s="117"/>
      <c r="J142" s="118"/>
    </row>
    <row r="143" spans="1:10" x14ac:dyDescent="0.25">
      <c r="A143" s="116" t="s">
        <v>41</v>
      </c>
      <c r="B143" s="117"/>
      <c r="C143" s="117"/>
      <c r="D143" s="117"/>
      <c r="E143" s="117"/>
      <c r="F143" s="117"/>
      <c r="G143" s="117"/>
      <c r="H143" s="117"/>
      <c r="I143" s="117"/>
      <c r="J143" s="118"/>
    </row>
    <row r="144" spans="1:10" ht="30.75" customHeight="1" x14ac:dyDescent="0.25">
      <c r="A144" s="150" t="s">
        <v>42</v>
      </c>
      <c r="B144" s="151"/>
      <c r="C144" s="151"/>
      <c r="D144" s="151"/>
      <c r="E144" s="151"/>
      <c r="F144" s="151"/>
      <c r="G144" s="151"/>
      <c r="H144" s="151"/>
      <c r="I144" s="151"/>
      <c r="J144" s="152"/>
    </row>
    <row r="145" spans="1:10" ht="15.75" customHeight="1" x14ac:dyDescent="0.25">
      <c r="A145" s="192" t="s">
        <v>156</v>
      </c>
      <c r="B145" s="192"/>
      <c r="C145" s="192" t="s">
        <v>280</v>
      </c>
      <c r="D145" s="192"/>
      <c r="E145" s="192" t="s">
        <v>157</v>
      </c>
      <c r="F145" s="192"/>
      <c r="G145" s="192"/>
      <c r="H145" s="192" t="s">
        <v>284</v>
      </c>
      <c r="I145" s="192"/>
      <c r="J145" s="192"/>
    </row>
    <row r="146" spans="1:10" ht="15" customHeight="1" x14ac:dyDescent="0.25">
      <c r="A146" s="196" t="s">
        <v>28</v>
      </c>
      <c r="B146" s="197"/>
      <c r="C146" s="197"/>
      <c r="D146" s="197"/>
      <c r="E146" s="197"/>
      <c r="F146" s="197"/>
      <c r="G146" s="197"/>
      <c r="H146" s="197"/>
      <c r="I146" s="197"/>
      <c r="J146" s="198"/>
    </row>
    <row r="147" spans="1:10" x14ac:dyDescent="0.25">
      <c r="A147" s="199"/>
      <c r="B147" s="200"/>
      <c r="C147" s="200"/>
      <c r="D147" s="200"/>
      <c r="E147" s="200"/>
      <c r="F147" s="200"/>
      <c r="G147" s="200"/>
      <c r="H147" s="200"/>
      <c r="I147" s="200"/>
      <c r="J147" s="201"/>
    </row>
    <row r="148" spans="1:10" x14ac:dyDescent="0.25">
      <c r="A148" s="199"/>
      <c r="B148" s="200"/>
      <c r="C148" s="200"/>
      <c r="D148" s="200"/>
      <c r="E148" s="200"/>
      <c r="F148" s="200"/>
      <c r="G148" s="200"/>
      <c r="H148" s="200"/>
      <c r="I148" s="200"/>
      <c r="J148" s="201"/>
    </row>
    <row r="149" spans="1:10" x14ac:dyDescent="0.25">
      <c r="A149" s="202"/>
      <c r="B149" s="203"/>
      <c r="C149" s="203"/>
      <c r="D149" s="203"/>
      <c r="E149" s="203"/>
      <c r="F149" s="203"/>
      <c r="G149" s="203"/>
      <c r="H149" s="203"/>
      <c r="I149" s="203"/>
      <c r="J149" s="204"/>
    </row>
    <row r="150" spans="1:10" x14ac:dyDescent="0.25">
      <c r="A150" s="71" t="s">
        <v>195</v>
      </c>
      <c r="D150" s="71" t="str">
        <f>F8</f>
        <v>Tulip F3 - Wise City (Plot RZ8 : Building 4 Wing F3)</v>
      </c>
    </row>
    <row r="195" spans="1:2" x14ac:dyDescent="0.25">
      <c r="A195" s="71" t="s">
        <v>144</v>
      </c>
      <c r="B195" s="71"/>
    </row>
  </sheetData>
  <mergeCells count="277">
    <mergeCell ref="A70:J76"/>
    <mergeCell ref="A77:J77"/>
    <mergeCell ref="A78:F78"/>
    <mergeCell ref="G78:J78"/>
    <mergeCell ref="K10:O10"/>
    <mergeCell ref="A69:J69"/>
    <mergeCell ref="A54:B54"/>
    <mergeCell ref="C54:J54"/>
    <mergeCell ref="E55:F55"/>
    <mergeCell ref="I55:J55"/>
    <mergeCell ref="A56:B56"/>
    <mergeCell ref="C56:J56"/>
    <mergeCell ref="A57:B57"/>
    <mergeCell ref="D57:E57"/>
    <mergeCell ref="H57:J57"/>
    <mergeCell ref="A66:B66"/>
    <mergeCell ref="D66:E66"/>
    <mergeCell ref="A67:B67"/>
    <mergeCell ref="D67:E67"/>
    <mergeCell ref="A61:B61"/>
    <mergeCell ref="D61:E61"/>
    <mergeCell ref="A62:B62"/>
    <mergeCell ref="D62:E62"/>
    <mergeCell ref="A63:B63"/>
    <mergeCell ref="A84:F84"/>
    <mergeCell ref="G84:J84"/>
    <mergeCell ref="A81:F81"/>
    <mergeCell ref="G81:J81"/>
    <mergeCell ref="A82:F82"/>
    <mergeCell ref="G82:J82"/>
    <mergeCell ref="A83:F83"/>
    <mergeCell ref="G83:J83"/>
    <mergeCell ref="A79:F79"/>
    <mergeCell ref="G79:J79"/>
    <mergeCell ref="A80:F80"/>
    <mergeCell ref="G80:J80"/>
    <mergeCell ref="A85:F85"/>
    <mergeCell ref="G85:J85"/>
    <mergeCell ref="A86:J86"/>
    <mergeCell ref="A135:J136"/>
    <mergeCell ref="G88:J88"/>
    <mergeCell ref="A89:J89"/>
    <mergeCell ref="I90:J90"/>
    <mergeCell ref="A87:B87"/>
    <mergeCell ref="D87:F87"/>
    <mergeCell ref="D97:E97"/>
    <mergeCell ref="A98:B98"/>
    <mergeCell ref="D98:E98"/>
    <mergeCell ref="A88:B88"/>
    <mergeCell ref="D88:F88"/>
    <mergeCell ref="A90:B90"/>
    <mergeCell ref="D90:E90"/>
    <mergeCell ref="A99:J99"/>
    <mergeCell ref="A100:B100"/>
    <mergeCell ref="D100:E100"/>
    <mergeCell ref="I100:J107"/>
    <mergeCell ref="A101:B101"/>
    <mergeCell ref="D101:E101"/>
    <mergeCell ref="A102:B102"/>
    <mergeCell ref="D102:E102"/>
    <mergeCell ref="A146:J149"/>
    <mergeCell ref="A137:J137"/>
    <mergeCell ref="A138:J138"/>
    <mergeCell ref="A139:J139"/>
    <mergeCell ref="A140:J140"/>
    <mergeCell ref="A141:J141"/>
    <mergeCell ref="A142:J142"/>
    <mergeCell ref="H145:J145"/>
    <mergeCell ref="A145:B145"/>
    <mergeCell ref="C145:D145"/>
    <mergeCell ref="E145:G145"/>
    <mergeCell ref="A143:J143"/>
    <mergeCell ref="A144:J144"/>
    <mergeCell ref="A52:E52"/>
    <mergeCell ref="F52:J52"/>
    <mergeCell ref="A53:J53"/>
    <mergeCell ref="F57:G57"/>
    <mergeCell ref="A49:J49"/>
    <mergeCell ref="A50:C50"/>
    <mergeCell ref="D50:E50"/>
    <mergeCell ref="F50:H50"/>
    <mergeCell ref="I50:J50"/>
    <mergeCell ref="A51:C51"/>
    <mergeCell ref="D51:J51"/>
    <mergeCell ref="A58:B58"/>
    <mergeCell ref="D58:E58"/>
    <mergeCell ref="F58:G67"/>
    <mergeCell ref="H58:J67"/>
    <mergeCell ref="A59:B59"/>
    <mergeCell ref="D59:E59"/>
    <mergeCell ref="A60:B60"/>
    <mergeCell ref="D60:E60"/>
    <mergeCell ref="A68:J68"/>
    <mergeCell ref="D65:E65"/>
    <mergeCell ref="D63:E63"/>
    <mergeCell ref="A64:B64"/>
    <mergeCell ref="D64:E64"/>
    <mergeCell ref="A65:B65"/>
    <mergeCell ref="A46:B46"/>
    <mergeCell ref="C46:F46"/>
    <mergeCell ref="I46:J46"/>
    <mergeCell ref="A48:C48"/>
    <mergeCell ref="D48:E48"/>
    <mergeCell ref="F48:G48"/>
    <mergeCell ref="H48:J48"/>
    <mergeCell ref="A34:J34"/>
    <mergeCell ref="A35:J36"/>
    <mergeCell ref="A37:E37"/>
    <mergeCell ref="F37:J37"/>
    <mergeCell ref="A47:B47"/>
    <mergeCell ref="C47:F47"/>
    <mergeCell ref="H47:J47"/>
    <mergeCell ref="A38:E38"/>
    <mergeCell ref="F38:J38"/>
    <mergeCell ref="A39:E39"/>
    <mergeCell ref="A43:J43"/>
    <mergeCell ref="F41:J41"/>
    <mergeCell ref="A44:B44"/>
    <mergeCell ref="C44:F44"/>
    <mergeCell ref="A45:B45"/>
    <mergeCell ref="C45:F45"/>
    <mergeCell ref="H44:J44"/>
    <mergeCell ref="H45:J45"/>
    <mergeCell ref="F39:J39"/>
    <mergeCell ref="A40:E40"/>
    <mergeCell ref="F40:J40"/>
    <mergeCell ref="A41:E41"/>
    <mergeCell ref="A42:E42"/>
    <mergeCell ref="F42:J42"/>
    <mergeCell ref="A30:J30"/>
    <mergeCell ref="A31:J31"/>
    <mergeCell ref="A32:B32"/>
    <mergeCell ref="C32:J32"/>
    <mergeCell ref="A33:B33"/>
    <mergeCell ref="C33:J33"/>
    <mergeCell ref="A28:B28"/>
    <mergeCell ref="C28:D28"/>
    <mergeCell ref="E28:F28"/>
    <mergeCell ref="G28:H28"/>
    <mergeCell ref="I28:J28"/>
    <mergeCell ref="A29:B29"/>
    <mergeCell ref="C29:D29"/>
    <mergeCell ref="E29:F29"/>
    <mergeCell ref="G29:H29"/>
    <mergeCell ref="I29:J29"/>
    <mergeCell ref="A26:E26"/>
    <mergeCell ref="F26:J26"/>
    <mergeCell ref="A27:B27"/>
    <mergeCell ref="C27:D27"/>
    <mergeCell ref="E27:F27"/>
    <mergeCell ref="G27:H27"/>
    <mergeCell ref="I27:J27"/>
    <mergeCell ref="A23:E23"/>
    <mergeCell ref="F23:J23"/>
    <mergeCell ref="A24:E24"/>
    <mergeCell ref="F24:J24"/>
    <mergeCell ref="A25:E25"/>
    <mergeCell ref="F25:J25"/>
    <mergeCell ref="A20:E21"/>
    <mergeCell ref="F20:J21"/>
    <mergeCell ref="A22:E22"/>
    <mergeCell ref="F22:J22"/>
    <mergeCell ref="B17:E17"/>
    <mergeCell ref="G17:J17"/>
    <mergeCell ref="A15:B15"/>
    <mergeCell ref="C15:J15"/>
    <mergeCell ref="B18:E18"/>
    <mergeCell ref="G18:J18"/>
    <mergeCell ref="H16:J16"/>
    <mergeCell ref="A8:E8"/>
    <mergeCell ref="F8:J8"/>
    <mergeCell ref="A9:E9"/>
    <mergeCell ref="F9:J9"/>
    <mergeCell ref="A12:E12"/>
    <mergeCell ref="F12:J12"/>
    <mergeCell ref="A11:E11"/>
    <mergeCell ref="F11:J11"/>
    <mergeCell ref="A1:J1"/>
    <mergeCell ref="A2:J2"/>
    <mergeCell ref="A3:E3"/>
    <mergeCell ref="F3:J3"/>
    <mergeCell ref="A4:E4"/>
    <mergeCell ref="F4:J4"/>
    <mergeCell ref="A5:E5"/>
    <mergeCell ref="F5:J5"/>
    <mergeCell ref="A6:E6"/>
    <mergeCell ref="F6:J6"/>
    <mergeCell ref="A7:E7"/>
    <mergeCell ref="F7:J7"/>
    <mergeCell ref="A10:E10"/>
    <mergeCell ref="F10:J10"/>
    <mergeCell ref="A13:B14"/>
    <mergeCell ref="C13:E13"/>
    <mergeCell ref="F13:G13"/>
    <mergeCell ref="H13:J13"/>
    <mergeCell ref="C14:E14"/>
    <mergeCell ref="F14:G14"/>
    <mergeCell ref="H14:J14"/>
    <mergeCell ref="A19:B19"/>
    <mergeCell ref="C19:E19"/>
    <mergeCell ref="B16:D16"/>
    <mergeCell ref="F19:G19"/>
    <mergeCell ref="H19:J19"/>
    <mergeCell ref="A103:B103"/>
    <mergeCell ref="D103:E103"/>
    <mergeCell ref="A104:B104"/>
    <mergeCell ref="D104:E104"/>
    <mergeCell ref="A105:B105"/>
    <mergeCell ref="D105:E105"/>
    <mergeCell ref="A107:B107"/>
    <mergeCell ref="D107:E107"/>
    <mergeCell ref="A106:B106"/>
    <mergeCell ref="C106:H106"/>
    <mergeCell ref="A108:J108"/>
    <mergeCell ref="A109:B109"/>
    <mergeCell ref="D109:E109"/>
    <mergeCell ref="I109:J116"/>
    <mergeCell ref="A110:B110"/>
    <mergeCell ref="D110:E110"/>
    <mergeCell ref="A111:B111"/>
    <mergeCell ref="D111:E111"/>
    <mergeCell ref="A112:B112"/>
    <mergeCell ref="D112:E112"/>
    <mergeCell ref="A113:B113"/>
    <mergeCell ref="D113:E113"/>
    <mergeCell ref="A114:B114"/>
    <mergeCell ref="D114:E114"/>
    <mergeCell ref="A115:B115"/>
    <mergeCell ref="D115:E115"/>
    <mergeCell ref="A116:B116"/>
    <mergeCell ref="D116:E116"/>
    <mergeCell ref="A117:J117"/>
    <mergeCell ref="A118:B118"/>
    <mergeCell ref="D118:E118"/>
    <mergeCell ref="I118:J125"/>
    <mergeCell ref="A119:B119"/>
    <mergeCell ref="D119:E119"/>
    <mergeCell ref="A120:B120"/>
    <mergeCell ref="D120:E120"/>
    <mergeCell ref="A121:B121"/>
    <mergeCell ref="D121:E121"/>
    <mergeCell ref="A122:B122"/>
    <mergeCell ref="D122:E122"/>
    <mergeCell ref="A123:B123"/>
    <mergeCell ref="D123:E123"/>
    <mergeCell ref="A124:B124"/>
    <mergeCell ref="D124:E124"/>
    <mergeCell ref="A125:B125"/>
    <mergeCell ref="D125:E125"/>
    <mergeCell ref="A126:J126"/>
    <mergeCell ref="A127:B127"/>
    <mergeCell ref="D127:E127"/>
    <mergeCell ref="I127:J134"/>
    <mergeCell ref="A128:B128"/>
    <mergeCell ref="D128:E128"/>
    <mergeCell ref="A129:B129"/>
    <mergeCell ref="C129:H129"/>
    <mergeCell ref="A130:B130"/>
    <mergeCell ref="D130:E130"/>
    <mergeCell ref="A131:B131"/>
    <mergeCell ref="D131:E131"/>
    <mergeCell ref="A132:B132"/>
    <mergeCell ref="D132:E132"/>
    <mergeCell ref="A133:B133"/>
    <mergeCell ref="D133:E133"/>
    <mergeCell ref="A134:B134"/>
    <mergeCell ref="D134:E134"/>
    <mergeCell ref="G87:J87"/>
    <mergeCell ref="A94:J94"/>
    <mergeCell ref="A95:B95"/>
    <mergeCell ref="C95:H96"/>
    <mergeCell ref="A96:B96"/>
    <mergeCell ref="I95:J98"/>
    <mergeCell ref="A93:J93"/>
    <mergeCell ref="A91:J91"/>
    <mergeCell ref="A92:J92"/>
    <mergeCell ref="A97:B97"/>
  </mergeCells>
  <hyperlinks>
    <hyperlink ref="C33" r:id="rId1" xr:uid="{00000000-0004-0000-0000-000000000000}"/>
  </hyperlinks>
  <printOptions horizontalCentered="1"/>
  <pageMargins left="0.43307086614173229" right="0.43307086614173229" top="0.78740157480314965" bottom="1.1811023622047245" header="0.19685039370078741" footer="0.19685039370078741"/>
  <pageSetup paperSize="9" fitToHeight="0" orientation="portrait" r:id="rId2"/>
  <headerFooter>
    <oddHeader>&amp;C&amp;G</oddHeader>
    <oddFooter>&amp;L&amp;"Times New Roman,Bold"Ref No: &amp;F&amp;C&amp;G&amp;R&amp;P</oddFooter>
  </headerFooter>
  <rowBreaks count="2" manualBreakCount="2">
    <brk id="149" max="16383" man="1"/>
    <brk id="19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29"/>
  <sheetViews>
    <sheetView workbookViewId="0">
      <selection activeCell="C7" sqref="C7"/>
    </sheetView>
  </sheetViews>
  <sheetFormatPr defaultColWidth="9.109375" defaultRowHeight="13.8" x14ac:dyDescent="0.25"/>
  <cols>
    <col min="1" max="1" width="20.5546875" style="9" customWidth="1"/>
    <col min="2" max="2" width="11.6640625" style="9" customWidth="1"/>
    <col min="3" max="4" width="9.109375" style="9"/>
    <col min="5" max="5" width="10.109375" style="9" customWidth="1"/>
    <col min="6" max="6" width="10.6640625" style="9" customWidth="1"/>
    <col min="7" max="7" width="9.109375" style="9"/>
    <col min="8" max="8" width="10.44140625" style="9" customWidth="1"/>
    <col min="9" max="9" width="15.44140625" style="9" customWidth="1"/>
    <col min="10" max="16384" width="9.109375" style="9"/>
  </cols>
  <sheetData>
    <row r="2" spans="1:13" x14ac:dyDescent="0.25">
      <c r="A2" s="8" t="s">
        <v>164</v>
      </c>
      <c r="B2" s="8" t="s">
        <v>165</v>
      </c>
      <c r="C2" s="8" t="s">
        <v>166</v>
      </c>
      <c r="D2" s="251" t="s">
        <v>167</v>
      </c>
      <c r="E2" s="251"/>
    </row>
    <row r="3" spans="1:13" x14ac:dyDescent="0.25">
      <c r="A3" s="10">
        <v>0</v>
      </c>
      <c r="B3" s="10">
        <v>0</v>
      </c>
      <c r="C3" s="10">
        <v>2</v>
      </c>
      <c r="D3" s="252">
        <v>25</v>
      </c>
      <c r="E3" s="252"/>
    </row>
    <row r="5" spans="1:13" hidden="1" x14ac:dyDescent="0.25">
      <c r="A5" s="9" t="s">
        <v>132</v>
      </c>
      <c r="B5" s="11" t="s">
        <v>168</v>
      </c>
      <c r="C5" s="11">
        <f>D3</f>
        <v>25</v>
      </c>
      <c r="D5" s="12"/>
    </row>
    <row r="6" spans="1:13" x14ac:dyDescent="0.25">
      <c r="A6" s="9" t="s">
        <v>133</v>
      </c>
      <c r="B6" s="13">
        <v>10</v>
      </c>
      <c r="C6" s="14">
        <v>7</v>
      </c>
      <c r="D6" s="15">
        <f>((100/B6)*C6)/100</f>
        <v>0.7</v>
      </c>
    </row>
    <row r="7" spans="1:13" x14ac:dyDescent="0.25">
      <c r="A7" s="9" t="s">
        <v>134</v>
      </c>
      <c r="B7" s="13">
        <f>A3+B3+C3+D3</f>
        <v>27</v>
      </c>
      <c r="C7" s="14">
        <v>0</v>
      </c>
      <c r="D7" s="15">
        <f t="shared" ref="D7:D12" si="0">((100/B7)*C7)/100</f>
        <v>0</v>
      </c>
      <c r="F7" s="253" t="s">
        <v>169</v>
      </c>
      <c r="G7" s="253"/>
      <c r="H7" s="16" t="s">
        <v>170</v>
      </c>
      <c r="J7" s="17"/>
    </row>
    <row r="8" spans="1:13" x14ac:dyDescent="0.25">
      <c r="A8" s="9" t="s">
        <v>139</v>
      </c>
      <c r="B8" s="13">
        <f>C3+D3</f>
        <v>27</v>
      </c>
      <c r="C8" s="14">
        <v>0</v>
      </c>
      <c r="D8" s="15">
        <f t="shared" si="0"/>
        <v>0</v>
      </c>
      <c r="F8" s="250" t="s">
        <v>171</v>
      </c>
      <c r="G8" s="250"/>
      <c r="H8" s="13" t="s">
        <v>172</v>
      </c>
    </row>
    <row r="9" spans="1:13" x14ac:dyDescent="0.25">
      <c r="A9" s="9" t="s">
        <v>141</v>
      </c>
      <c r="B9" s="13">
        <f>C3+D3</f>
        <v>27</v>
      </c>
      <c r="C9" s="14">
        <v>0</v>
      </c>
      <c r="D9" s="15">
        <f t="shared" si="0"/>
        <v>0</v>
      </c>
      <c r="F9" s="250" t="s">
        <v>173</v>
      </c>
      <c r="G9" s="250"/>
      <c r="H9" s="13" t="s">
        <v>174</v>
      </c>
    </row>
    <row r="10" spans="1:13" x14ac:dyDescent="0.25">
      <c r="A10" s="9" t="s">
        <v>45</v>
      </c>
      <c r="B10" s="13">
        <f>C3+D3</f>
        <v>27</v>
      </c>
      <c r="C10" s="14">
        <v>0</v>
      </c>
      <c r="D10" s="15">
        <f t="shared" si="0"/>
        <v>0</v>
      </c>
      <c r="F10" s="250" t="s">
        <v>175</v>
      </c>
      <c r="G10" s="250"/>
      <c r="H10" s="13" t="s">
        <v>176</v>
      </c>
    </row>
    <row r="11" spans="1:13" x14ac:dyDescent="0.25">
      <c r="A11" s="18" t="s">
        <v>137</v>
      </c>
      <c r="B11" s="13">
        <f>C3+D3</f>
        <v>27</v>
      </c>
      <c r="C11" s="14">
        <v>0</v>
      </c>
      <c r="D11" s="15">
        <f t="shared" si="0"/>
        <v>0</v>
      </c>
      <c r="F11" s="250" t="s">
        <v>177</v>
      </c>
      <c r="G11" s="250"/>
      <c r="H11" s="13" t="s">
        <v>178</v>
      </c>
    </row>
    <row r="12" spans="1:13" x14ac:dyDescent="0.25">
      <c r="A12" s="9" t="s">
        <v>46</v>
      </c>
      <c r="B12" s="13">
        <f>C3+D3</f>
        <v>27</v>
      </c>
      <c r="C12" s="14">
        <v>0</v>
      </c>
      <c r="D12" s="15">
        <f t="shared" si="0"/>
        <v>0</v>
      </c>
      <c r="F12" s="250" t="s">
        <v>179</v>
      </c>
      <c r="G12" s="250"/>
      <c r="H12" s="13" t="s">
        <v>180</v>
      </c>
    </row>
    <row r="13" spans="1:13" x14ac:dyDescent="0.25">
      <c r="F13" s="250" t="s">
        <v>181</v>
      </c>
      <c r="G13" s="250"/>
      <c r="H13" s="13" t="s">
        <v>182</v>
      </c>
    </row>
    <row r="14" spans="1:13" hidden="1" x14ac:dyDescent="0.25">
      <c r="A14" s="8"/>
      <c r="B14" s="8" t="s">
        <v>138</v>
      </c>
      <c r="C14" s="8" t="s">
        <v>142</v>
      </c>
      <c r="G14" s="8" t="s">
        <v>133</v>
      </c>
      <c r="H14" s="8" t="s">
        <v>135</v>
      </c>
      <c r="I14" s="8" t="s">
        <v>136</v>
      </c>
      <c r="J14" s="8" t="s">
        <v>38</v>
      </c>
      <c r="K14" s="8" t="s">
        <v>45</v>
      </c>
      <c r="L14" s="8" t="s">
        <v>137</v>
      </c>
      <c r="M14" s="8" t="s">
        <v>46</v>
      </c>
    </row>
    <row r="15" spans="1:13" hidden="1" x14ac:dyDescent="0.25">
      <c r="A15" s="8" t="s">
        <v>36</v>
      </c>
      <c r="B15" s="8">
        <f>G15</f>
        <v>7</v>
      </c>
      <c r="C15" s="8">
        <f>G16</f>
        <v>27</v>
      </c>
      <c r="E15" s="251" t="s">
        <v>138</v>
      </c>
      <c r="F15" s="251"/>
      <c r="G15" s="19">
        <f>C6</f>
        <v>7</v>
      </c>
      <c r="H15" s="19">
        <f>40/B7*C7</f>
        <v>0</v>
      </c>
      <c r="I15" s="19">
        <f>15/B8*C8</f>
        <v>0</v>
      </c>
      <c r="J15" s="19">
        <f>10/B9*C9</f>
        <v>0</v>
      </c>
      <c r="K15" s="19">
        <f>10/B10*C10</f>
        <v>0</v>
      </c>
      <c r="L15" s="19">
        <f>5/B11*C11</f>
        <v>0</v>
      </c>
      <c r="M15" s="19">
        <f>5/B12*C12</f>
        <v>0</v>
      </c>
    </row>
    <row r="16" spans="1:13" hidden="1" x14ac:dyDescent="0.25">
      <c r="A16" s="8" t="s">
        <v>37</v>
      </c>
      <c r="B16" s="8">
        <f>H15</f>
        <v>0</v>
      </c>
      <c r="C16" s="8">
        <f>H16</f>
        <v>0</v>
      </c>
      <c r="E16" s="251" t="s">
        <v>140</v>
      </c>
      <c r="F16" s="251"/>
      <c r="G16" s="8">
        <f>G15+20</f>
        <v>27</v>
      </c>
      <c r="H16" s="8">
        <f>30/B7*C7</f>
        <v>0</v>
      </c>
      <c r="I16" s="8">
        <f>15/B8*C8</f>
        <v>0</v>
      </c>
      <c r="J16" s="8">
        <f>10/B9*C9</f>
        <v>0</v>
      </c>
      <c r="K16" s="8">
        <f>5/B10*C10</f>
        <v>0</v>
      </c>
      <c r="L16" s="8">
        <f>5/B11*C11</f>
        <v>0</v>
      </c>
      <c r="M16" s="8">
        <f>5/B12*C12</f>
        <v>0</v>
      </c>
    </row>
    <row r="17" spans="1:8" hidden="1" x14ac:dyDescent="0.25">
      <c r="A17" s="8" t="s">
        <v>136</v>
      </c>
      <c r="B17" s="8">
        <f>I15</f>
        <v>0</v>
      </c>
      <c r="C17" s="8">
        <f>I16</f>
        <v>0</v>
      </c>
    </row>
    <row r="18" spans="1:8" hidden="1" x14ac:dyDescent="0.25">
      <c r="A18" s="8" t="s">
        <v>38</v>
      </c>
      <c r="B18" s="8">
        <f>J15</f>
        <v>0</v>
      </c>
      <c r="C18" s="8">
        <f>J16</f>
        <v>0</v>
      </c>
    </row>
    <row r="19" spans="1:8" hidden="1" x14ac:dyDescent="0.25">
      <c r="A19" s="8" t="s">
        <v>45</v>
      </c>
      <c r="B19" s="8">
        <f>K15</f>
        <v>0</v>
      </c>
      <c r="C19" s="8">
        <f>K16</f>
        <v>0</v>
      </c>
    </row>
    <row r="20" spans="1:8" hidden="1" x14ac:dyDescent="0.25">
      <c r="A20" s="20" t="s">
        <v>137</v>
      </c>
      <c r="B20" s="8">
        <f>L15</f>
        <v>0</v>
      </c>
      <c r="C20" s="8">
        <f>L16</f>
        <v>0</v>
      </c>
    </row>
    <row r="21" spans="1:8" hidden="1" x14ac:dyDescent="0.25">
      <c r="A21" s="8" t="s">
        <v>46</v>
      </c>
      <c r="B21" s="8">
        <f>M15</f>
        <v>0</v>
      </c>
      <c r="C21" s="8">
        <f>M16</f>
        <v>0</v>
      </c>
    </row>
    <row r="22" spans="1:8" x14ac:dyDescent="0.25">
      <c r="A22" s="8" t="s">
        <v>143</v>
      </c>
      <c r="B22" s="21">
        <f>(B15+B16+B17+B18+B19+B20+B21)/100</f>
        <v>7.0000000000000007E-2</v>
      </c>
      <c r="C22" s="21">
        <f>(C15+C16+C17+C18+C19+C20+C21)/100</f>
        <v>0.27</v>
      </c>
      <c r="F22" s="250" t="s">
        <v>183</v>
      </c>
      <c r="G22" s="250"/>
      <c r="H22" s="13" t="s">
        <v>174</v>
      </c>
    </row>
    <row r="23" spans="1:8" x14ac:dyDescent="0.25">
      <c r="F23" s="250" t="s">
        <v>184</v>
      </c>
      <c r="G23" s="250"/>
      <c r="H23" s="13" t="s">
        <v>185</v>
      </c>
    </row>
    <row r="24" spans="1:8" x14ac:dyDescent="0.25">
      <c r="A24" s="9" t="s">
        <v>186</v>
      </c>
      <c r="B24" s="22">
        <v>0.01</v>
      </c>
      <c r="C24" s="22">
        <v>0.02</v>
      </c>
      <c r="F24" s="250" t="s">
        <v>187</v>
      </c>
      <c r="G24" s="250"/>
      <c r="H24" s="13" t="s">
        <v>188</v>
      </c>
    </row>
    <row r="25" spans="1:8" x14ac:dyDescent="0.25">
      <c r="A25" s="9" t="s">
        <v>189</v>
      </c>
      <c r="B25" s="22">
        <v>0.01</v>
      </c>
      <c r="C25" s="22">
        <v>0.03</v>
      </c>
    </row>
    <row r="26" spans="1:8" x14ac:dyDescent="0.25">
      <c r="A26" s="9" t="s">
        <v>190</v>
      </c>
      <c r="B26" s="22">
        <v>0.03</v>
      </c>
      <c r="C26" s="22">
        <v>0.08</v>
      </c>
    </row>
    <row r="27" spans="1:8" x14ac:dyDescent="0.25">
      <c r="A27" s="9" t="s">
        <v>191</v>
      </c>
      <c r="B27" s="22">
        <v>0.05</v>
      </c>
      <c r="C27" s="22">
        <v>0.15</v>
      </c>
    </row>
    <row r="28" spans="1:8" x14ac:dyDescent="0.25">
      <c r="A28" s="9" t="s">
        <v>192</v>
      </c>
      <c r="B28" s="22">
        <v>7.0000000000000007E-2</v>
      </c>
      <c r="C28" s="22">
        <v>0.2</v>
      </c>
    </row>
    <row r="29" spans="1:8" x14ac:dyDescent="0.25">
      <c r="A29" s="9" t="s">
        <v>193</v>
      </c>
      <c r="B29" s="22">
        <v>0.1</v>
      </c>
      <c r="C29" s="22">
        <v>0.3</v>
      </c>
    </row>
  </sheetData>
  <mergeCells count="14">
    <mergeCell ref="D2:E2"/>
    <mergeCell ref="D3:E3"/>
    <mergeCell ref="F7:G7"/>
    <mergeCell ref="F8:G8"/>
    <mergeCell ref="F9:G9"/>
    <mergeCell ref="F10:G10"/>
    <mergeCell ref="F23:G23"/>
    <mergeCell ref="F24:G24"/>
    <mergeCell ref="F11:G11"/>
    <mergeCell ref="F12:G12"/>
    <mergeCell ref="F13:G13"/>
    <mergeCell ref="E15:F15"/>
    <mergeCell ref="E16:F16"/>
    <mergeCell ref="F22:G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M34"/>
  <sheetViews>
    <sheetView zoomScale="55" zoomScaleNormal="55" workbookViewId="0">
      <selection activeCell="N4" sqref="N4"/>
    </sheetView>
  </sheetViews>
  <sheetFormatPr defaultRowHeight="14.4" x14ac:dyDescent="0.3"/>
  <sheetData>
    <row r="2" spans="2:13" x14ac:dyDescent="0.3">
      <c r="C2" s="6" t="s">
        <v>106</v>
      </c>
      <c r="D2" s="254"/>
      <c r="E2" s="254"/>
    </row>
    <row r="3" spans="2:13" x14ac:dyDescent="0.3">
      <c r="E3" s="5"/>
      <c r="F3" s="5"/>
      <c r="G3" s="5"/>
      <c r="H3" s="5"/>
      <c r="I3" s="5"/>
      <c r="J3" s="5"/>
    </row>
    <row r="4" spans="2:13" x14ac:dyDescent="0.3">
      <c r="B4" s="6" t="s">
        <v>107</v>
      </c>
      <c r="C4" s="4" t="s">
        <v>87</v>
      </c>
      <c r="D4" s="255" t="s">
        <v>88</v>
      </c>
      <c r="E4" s="255"/>
      <c r="F4" s="255"/>
      <c r="G4" s="7"/>
      <c r="H4" s="255" t="s">
        <v>89</v>
      </c>
      <c r="I4" s="255"/>
      <c r="J4" s="255"/>
      <c r="K4" s="255" t="s">
        <v>90</v>
      </c>
      <c r="L4" s="255"/>
      <c r="M4" s="255"/>
    </row>
    <row r="5" spans="2:13" x14ac:dyDescent="0.3">
      <c r="B5" s="6">
        <v>1</v>
      </c>
      <c r="C5" s="4"/>
      <c r="D5" s="4" t="s">
        <v>91</v>
      </c>
      <c r="E5" s="4" t="s">
        <v>92</v>
      </c>
      <c r="F5" s="4" t="s">
        <v>93</v>
      </c>
      <c r="G5" s="4"/>
      <c r="H5" s="4" t="s">
        <v>91</v>
      </c>
      <c r="I5" s="4" t="s">
        <v>92</v>
      </c>
      <c r="J5" s="4" t="s">
        <v>93</v>
      </c>
      <c r="K5" s="4" t="s">
        <v>91</v>
      </c>
      <c r="L5" s="4" t="s">
        <v>92</v>
      </c>
      <c r="M5" s="4" t="s">
        <v>93</v>
      </c>
    </row>
    <row r="6" spans="2:13" x14ac:dyDescent="0.3">
      <c r="C6" s="3" t="s">
        <v>94</v>
      </c>
      <c r="D6" s="3"/>
      <c r="E6" s="3"/>
      <c r="F6" s="3">
        <f>D6*E6</f>
        <v>0</v>
      </c>
      <c r="G6" s="3" t="s">
        <v>108</v>
      </c>
      <c r="H6" s="3"/>
      <c r="I6" s="3"/>
      <c r="J6" s="3">
        <f>H6*I6</f>
        <v>0</v>
      </c>
      <c r="K6" s="3"/>
      <c r="L6" s="3"/>
      <c r="M6" s="3">
        <f>K6*L6</f>
        <v>0</v>
      </c>
    </row>
    <row r="7" spans="2:13" x14ac:dyDescent="0.3">
      <c r="C7" s="3"/>
      <c r="D7" s="3"/>
      <c r="E7" s="3"/>
      <c r="F7" s="3">
        <f t="shared" ref="F7:F33" si="0">D7*E7</f>
        <v>0</v>
      </c>
      <c r="G7" s="3" t="s">
        <v>109</v>
      </c>
      <c r="H7" s="3"/>
      <c r="I7" s="3"/>
      <c r="J7" s="3">
        <f t="shared" ref="J7:J29" si="1">H7*I7</f>
        <v>0</v>
      </c>
      <c r="K7" s="3"/>
      <c r="L7" s="3"/>
      <c r="M7" s="3">
        <f t="shared" ref="M7:M29" si="2">K7*L7</f>
        <v>0</v>
      </c>
    </row>
    <row r="8" spans="2:13" x14ac:dyDescent="0.3">
      <c r="C8" s="3"/>
      <c r="D8" s="3"/>
      <c r="E8" s="3"/>
      <c r="F8" s="3">
        <f t="shared" si="0"/>
        <v>0</v>
      </c>
      <c r="G8" s="3"/>
      <c r="H8" s="3"/>
      <c r="I8" s="3"/>
      <c r="J8" s="3">
        <f t="shared" si="1"/>
        <v>0</v>
      </c>
      <c r="K8" s="3"/>
      <c r="L8" s="3"/>
      <c r="M8" s="3">
        <f t="shared" si="2"/>
        <v>0</v>
      </c>
    </row>
    <row r="9" spans="2:13" x14ac:dyDescent="0.3">
      <c r="C9" s="3" t="s">
        <v>97</v>
      </c>
      <c r="D9" s="3"/>
      <c r="E9" s="3"/>
      <c r="F9" s="3">
        <f t="shared" si="0"/>
        <v>0</v>
      </c>
      <c r="G9" s="3" t="s">
        <v>108</v>
      </c>
      <c r="H9" s="3"/>
      <c r="I9" s="3"/>
      <c r="J9" s="3">
        <f t="shared" si="1"/>
        <v>0</v>
      </c>
      <c r="K9" s="3"/>
      <c r="L9" s="3"/>
      <c r="M9" s="3">
        <f t="shared" si="2"/>
        <v>0</v>
      </c>
    </row>
    <row r="10" spans="2:13" x14ac:dyDescent="0.3">
      <c r="C10" s="3"/>
      <c r="D10" s="3"/>
      <c r="E10" s="3"/>
      <c r="F10" s="3">
        <f t="shared" si="0"/>
        <v>0</v>
      </c>
      <c r="G10" s="3" t="s">
        <v>109</v>
      </c>
      <c r="H10" s="3"/>
      <c r="I10" s="3"/>
      <c r="J10" s="3">
        <f t="shared" si="1"/>
        <v>0</v>
      </c>
      <c r="K10" s="3"/>
      <c r="L10" s="3"/>
      <c r="M10" s="3">
        <f t="shared" si="2"/>
        <v>0</v>
      </c>
    </row>
    <row r="11" spans="2:13" x14ac:dyDescent="0.3">
      <c r="C11" s="3"/>
      <c r="D11" s="3"/>
      <c r="E11" s="3"/>
      <c r="F11" s="3">
        <f t="shared" si="0"/>
        <v>0</v>
      </c>
      <c r="G11" s="3"/>
      <c r="H11" s="3"/>
      <c r="I11" s="3"/>
      <c r="J11" s="3">
        <f t="shared" si="1"/>
        <v>0</v>
      </c>
      <c r="K11" s="3"/>
      <c r="L11" s="3"/>
      <c r="M11" s="3">
        <f t="shared" si="2"/>
        <v>0</v>
      </c>
    </row>
    <row r="12" spans="2:13" x14ac:dyDescent="0.3">
      <c r="C12" s="3"/>
      <c r="D12" s="3"/>
      <c r="E12" s="3"/>
      <c r="F12" s="3">
        <f t="shared" si="0"/>
        <v>0</v>
      </c>
      <c r="G12" s="3"/>
      <c r="H12" s="3"/>
      <c r="I12" s="3"/>
      <c r="J12" s="3">
        <f t="shared" si="1"/>
        <v>0</v>
      </c>
      <c r="K12" s="3"/>
      <c r="L12" s="3"/>
      <c r="M12" s="3">
        <f t="shared" si="2"/>
        <v>0</v>
      </c>
    </row>
    <row r="13" spans="2:13" x14ac:dyDescent="0.3">
      <c r="C13" s="3" t="s">
        <v>95</v>
      </c>
      <c r="D13" s="3"/>
      <c r="E13" s="3"/>
      <c r="F13" s="3">
        <f t="shared" si="0"/>
        <v>0</v>
      </c>
      <c r="G13" s="3" t="s">
        <v>108</v>
      </c>
      <c r="H13" s="3"/>
      <c r="I13" s="3"/>
      <c r="J13" s="3">
        <f t="shared" si="1"/>
        <v>0</v>
      </c>
      <c r="K13" s="3"/>
      <c r="L13" s="3"/>
      <c r="M13" s="3">
        <f t="shared" si="2"/>
        <v>0</v>
      </c>
    </row>
    <row r="14" spans="2:13" x14ac:dyDescent="0.3">
      <c r="C14" s="3"/>
      <c r="D14" s="3"/>
      <c r="E14" s="3"/>
      <c r="F14" s="3">
        <f t="shared" si="0"/>
        <v>0</v>
      </c>
      <c r="G14" s="3" t="s">
        <v>109</v>
      </c>
      <c r="H14" s="3"/>
      <c r="I14" s="3"/>
      <c r="J14" s="3">
        <f t="shared" si="1"/>
        <v>0</v>
      </c>
      <c r="K14" s="3"/>
      <c r="L14" s="3"/>
      <c r="M14" s="3">
        <f t="shared" si="2"/>
        <v>0</v>
      </c>
    </row>
    <row r="15" spans="2:13" x14ac:dyDescent="0.3">
      <c r="C15" s="3"/>
      <c r="D15" s="3"/>
      <c r="E15" s="3"/>
      <c r="F15" s="3">
        <f t="shared" si="0"/>
        <v>0</v>
      </c>
      <c r="G15" s="3"/>
      <c r="H15" s="3"/>
      <c r="I15" s="3"/>
      <c r="J15" s="3">
        <f t="shared" si="1"/>
        <v>0</v>
      </c>
      <c r="K15" s="3"/>
      <c r="L15" s="3"/>
      <c r="M15" s="3">
        <f t="shared" si="2"/>
        <v>0</v>
      </c>
    </row>
    <row r="16" spans="2:13" x14ac:dyDescent="0.3">
      <c r="C16" s="3"/>
      <c r="D16" s="3"/>
      <c r="E16" s="3"/>
      <c r="F16" s="3">
        <f t="shared" si="0"/>
        <v>0</v>
      </c>
      <c r="G16" s="3"/>
      <c r="H16" s="3"/>
      <c r="I16" s="3"/>
      <c r="J16" s="3">
        <f t="shared" si="1"/>
        <v>0</v>
      </c>
      <c r="K16" s="3"/>
      <c r="L16" s="3"/>
      <c r="M16" s="3">
        <f t="shared" si="2"/>
        <v>0</v>
      </c>
    </row>
    <row r="17" spans="3:13" x14ac:dyDescent="0.3">
      <c r="C17" s="3" t="s">
        <v>96</v>
      </c>
      <c r="D17" s="3"/>
      <c r="E17" s="3"/>
      <c r="F17" s="3">
        <f t="shared" si="0"/>
        <v>0</v>
      </c>
      <c r="G17" s="3" t="s">
        <v>108</v>
      </c>
      <c r="H17" s="3"/>
      <c r="I17" s="3"/>
      <c r="J17" s="3">
        <f t="shared" si="1"/>
        <v>0</v>
      </c>
      <c r="K17" s="3"/>
      <c r="L17" s="3"/>
      <c r="M17" s="3">
        <f t="shared" si="2"/>
        <v>0</v>
      </c>
    </row>
    <row r="18" spans="3:13" x14ac:dyDescent="0.3">
      <c r="C18" s="3"/>
      <c r="D18" s="3"/>
      <c r="E18" s="3"/>
      <c r="F18" s="3">
        <f t="shared" si="0"/>
        <v>0</v>
      </c>
      <c r="G18" s="3" t="s">
        <v>109</v>
      </c>
      <c r="H18" s="3"/>
      <c r="I18" s="3"/>
      <c r="J18" s="3">
        <f t="shared" si="1"/>
        <v>0</v>
      </c>
      <c r="K18" s="3"/>
      <c r="L18" s="3"/>
      <c r="M18" s="3">
        <f t="shared" si="2"/>
        <v>0</v>
      </c>
    </row>
    <row r="19" spans="3:13" x14ac:dyDescent="0.3">
      <c r="C19" s="3"/>
      <c r="D19" s="3"/>
      <c r="E19" s="3"/>
      <c r="F19" s="3">
        <f t="shared" si="0"/>
        <v>0</v>
      </c>
      <c r="G19" s="3"/>
      <c r="H19" s="3"/>
      <c r="I19" s="3"/>
      <c r="J19" s="3">
        <f t="shared" si="1"/>
        <v>0</v>
      </c>
      <c r="K19" s="3"/>
      <c r="L19" s="3"/>
      <c r="M19" s="3">
        <f t="shared" si="2"/>
        <v>0</v>
      </c>
    </row>
    <row r="20" spans="3:13" x14ac:dyDescent="0.3">
      <c r="C20" s="3" t="s">
        <v>96</v>
      </c>
      <c r="D20" s="3"/>
      <c r="E20" s="3"/>
      <c r="F20" s="3">
        <f t="shared" si="0"/>
        <v>0</v>
      </c>
      <c r="G20" s="3" t="s">
        <v>108</v>
      </c>
      <c r="H20" s="3"/>
      <c r="I20" s="3"/>
      <c r="J20" s="3">
        <f t="shared" si="1"/>
        <v>0</v>
      </c>
      <c r="K20" s="3"/>
      <c r="L20" s="3"/>
      <c r="M20" s="3">
        <f t="shared" si="2"/>
        <v>0</v>
      </c>
    </row>
    <row r="21" spans="3:13" x14ac:dyDescent="0.3">
      <c r="C21" s="3"/>
      <c r="D21" s="3"/>
      <c r="E21" s="3"/>
      <c r="F21" s="3">
        <f t="shared" si="0"/>
        <v>0</v>
      </c>
      <c r="G21" s="3" t="s">
        <v>109</v>
      </c>
      <c r="H21" s="3"/>
      <c r="I21" s="3"/>
      <c r="J21" s="3">
        <f t="shared" si="1"/>
        <v>0</v>
      </c>
      <c r="K21" s="3"/>
      <c r="L21" s="3"/>
      <c r="M21" s="3">
        <f t="shared" si="2"/>
        <v>0</v>
      </c>
    </row>
    <row r="22" spans="3:13" x14ac:dyDescent="0.3">
      <c r="C22" s="3"/>
      <c r="D22" s="3"/>
      <c r="E22" s="3"/>
      <c r="F22" s="3">
        <f t="shared" si="0"/>
        <v>0</v>
      </c>
      <c r="G22" s="3"/>
      <c r="H22" s="3"/>
      <c r="I22" s="3"/>
      <c r="J22" s="3">
        <f t="shared" si="1"/>
        <v>0</v>
      </c>
      <c r="K22" s="3"/>
      <c r="L22" s="3"/>
      <c r="M22" s="3">
        <f t="shared" si="2"/>
        <v>0</v>
      </c>
    </row>
    <row r="23" spans="3:13" x14ac:dyDescent="0.3">
      <c r="C23" s="3" t="s">
        <v>102</v>
      </c>
      <c r="D23" s="3"/>
      <c r="E23" s="3"/>
      <c r="F23" s="3">
        <f t="shared" si="0"/>
        <v>0</v>
      </c>
      <c r="G23" s="3" t="s">
        <v>110</v>
      </c>
      <c r="H23" s="3"/>
      <c r="I23" s="3"/>
      <c r="J23" s="3">
        <f t="shared" si="1"/>
        <v>0</v>
      </c>
      <c r="K23" s="3"/>
      <c r="L23" s="3"/>
      <c r="M23" s="3">
        <f t="shared" si="2"/>
        <v>0</v>
      </c>
    </row>
    <row r="24" spans="3:13" x14ac:dyDescent="0.3">
      <c r="C24" s="3" t="s">
        <v>103</v>
      </c>
      <c r="D24" s="3"/>
      <c r="E24" s="3"/>
      <c r="F24" s="3">
        <f t="shared" si="0"/>
        <v>0</v>
      </c>
      <c r="G24" s="3" t="s">
        <v>110</v>
      </c>
      <c r="H24" s="3"/>
      <c r="I24" s="3"/>
      <c r="J24" s="3">
        <f t="shared" si="1"/>
        <v>0</v>
      </c>
      <c r="K24" s="3"/>
      <c r="L24" s="3"/>
      <c r="M24" s="3">
        <f t="shared" si="2"/>
        <v>0</v>
      </c>
    </row>
    <row r="25" spans="3:13" x14ac:dyDescent="0.3">
      <c r="C25" s="3" t="s">
        <v>104</v>
      </c>
      <c r="D25" s="3"/>
      <c r="E25" s="3"/>
      <c r="F25" s="3">
        <f t="shared" si="0"/>
        <v>0</v>
      </c>
      <c r="G25" s="3" t="s">
        <v>110</v>
      </c>
      <c r="H25" s="3"/>
      <c r="I25" s="3"/>
      <c r="J25" s="3">
        <f t="shared" si="1"/>
        <v>0</v>
      </c>
      <c r="K25" s="3"/>
      <c r="L25" s="3"/>
      <c r="M25" s="3">
        <f t="shared" si="2"/>
        <v>0</v>
      </c>
    </row>
    <row r="26" spans="3:13" x14ac:dyDescent="0.3">
      <c r="C26" s="3"/>
      <c r="D26" s="3"/>
      <c r="E26" s="3"/>
      <c r="F26" s="3">
        <f t="shared" si="0"/>
        <v>0</v>
      </c>
      <c r="G26" s="3"/>
      <c r="H26" s="3"/>
      <c r="I26" s="3"/>
      <c r="J26" s="3">
        <f t="shared" si="1"/>
        <v>0</v>
      </c>
      <c r="K26" s="3"/>
      <c r="L26" s="3"/>
      <c r="M26" s="3">
        <f t="shared" si="2"/>
        <v>0</v>
      </c>
    </row>
    <row r="27" spans="3:13" x14ac:dyDescent="0.3">
      <c r="C27" s="3" t="s">
        <v>98</v>
      </c>
      <c r="D27" s="3"/>
      <c r="E27" s="3"/>
      <c r="F27" s="3">
        <f t="shared" si="0"/>
        <v>0</v>
      </c>
      <c r="G27" s="3"/>
      <c r="H27" s="3"/>
      <c r="I27" s="3"/>
      <c r="J27" s="3">
        <f t="shared" si="1"/>
        <v>0</v>
      </c>
      <c r="K27" s="3"/>
      <c r="L27" s="3"/>
      <c r="M27" s="3">
        <f t="shared" si="2"/>
        <v>0</v>
      </c>
    </row>
    <row r="28" spans="3:13" x14ac:dyDescent="0.3">
      <c r="C28" s="3" t="s">
        <v>99</v>
      </c>
      <c r="D28" s="3"/>
      <c r="E28" s="3"/>
      <c r="F28" s="3">
        <f t="shared" si="0"/>
        <v>0</v>
      </c>
      <c r="G28" s="3"/>
      <c r="H28" s="3"/>
      <c r="I28" s="3"/>
      <c r="J28" s="3">
        <f t="shared" si="1"/>
        <v>0</v>
      </c>
      <c r="K28" s="3"/>
      <c r="L28" s="3"/>
      <c r="M28" s="3">
        <f t="shared" si="2"/>
        <v>0</v>
      </c>
    </row>
    <row r="29" spans="3:13" x14ac:dyDescent="0.3">
      <c r="C29" s="3" t="s">
        <v>100</v>
      </c>
      <c r="D29" s="3"/>
      <c r="E29" s="3"/>
      <c r="F29" s="3">
        <f t="shared" si="0"/>
        <v>0</v>
      </c>
      <c r="G29" s="3"/>
      <c r="H29" s="3"/>
      <c r="I29" s="3"/>
      <c r="J29" s="3">
        <f t="shared" si="1"/>
        <v>0</v>
      </c>
      <c r="K29" s="3"/>
      <c r="L29" s="3"/>
      <c r="M29" s="3">
        <f t="shared" si="2"/>
        <v>0</v>
      </c>
    </row>
    <row r="30" spans="3:13" x14ac:dyDescent="0.3">
      <c r="C30" s="3" t="s">
        <v>101</v>
      </c>
      <c r="D30" s="3"/>
      <c r="E30" s="3"/>
      <c r="F30" s="3">
        <f t="shared" si="0"/>
        <v>0</v>
      </c>
      <c r="G30" s="3"/>
      <c r="H30" s="3"/>
      <c r="I30" s="3"/>
      <c r="J30" s="3">
        <f>H30*I30</f>
        <v>0</v>
      </c>
      <c r="K30" s="3"/>
      <c r="L30" s="3"/>
      <c r="M30" s="3">
        <f>K30*L30</f>
        <v>0</v>
      </c>
    </row>
    <row r="31" spans="3:13" x14ac:dyDescent="0.3">
      <c r="C31" s="3"/>
      <c r="D31" s="3"/>
      <c r="E31" s="3"/>
      <c r="F31" s="3">
        <f t="shared" si="0"/>
        <v>0</v>
      </c>
      <c r="G31" s="3"/>
      <c r="H31" s="3"/>
      <c r="I31" s="3"/>
      <c r="J31" s="3">
        <f>H31*I31</f>
        <v>0</v>
      </c>
      <c r="K31" s="3"/>
      <c r="L31" s="3"/>
      <c r="M31" s="3">
        <f>K31*L31</f>
        <v>0</v>
      </c>
    </row>
    <row r="32" spans="3:13" x14ac:dyDescent="0.3">
      <c r="C32" s="3"/>
      <c r="D32" s="3"/>
      <c r="E32" s="3"/>
      <c r="F32" s="3">
        <f t="shared" si="0"/>
        <v>0</v>
      </c>
      <c r="G32" s="3"/>
      <c r="H32" s="3"/>
      <c r="I32" s="3"/>
      <c r="J32" s="3">
        <f>H32*I32</f>
        <v>0</v>
      </c>
      <c r="K32" s="3"/>
      <c r="L32" s="3"/>
      <c r="M32" s="3">
        <f>K32*L32</f>
        <v>0</v>
      </c>
    </row>
    <row r="33" spans="3:13" x14ac:dyDescent="0.3">
      <c r="C33" s="3"/>
      <c r="D33" s="3"/>
      <c r="E33" s="3"/>
      <c r="F33" s="3">
        <f t="shared" si="0"/>
        <v>0</v>
      </c>
      <c r="G33" s="3"/>
      <c r="H33" s="3"/>
      <c r="I33" s="3"/>
      <c r="J33" s="3">
        <f>H33*I33</f>
        <v>0</v>
      </c>
      <c r="K33" s="3"/>
      <c r="L33" s="3"/>
      <c r="M33" s="3">
        <f>K33*L33</f>
        <v>0</v>
      </c>
    </row>
    <row r="34" spans="3:13" x14ac:dyDescent="0.3">
      <c r="C34" s="3" t="s">
        <v>105</v>
      </c>
      <c r="D34" s="3"/>
      <c r="E34" s="3">
        <f>F34*10.764</f>
        <v>0</v>
      </c>
      <c r="F34" s="3">
        <f>SUM(F6:F33)</f>
        <v>0</v>
      </c>
      <c r="G34" s="3"/>
      <c r="H34" s="3"/>
      <c r="I34" s="3">
        <f>J34*10.764</f>
        <v>0</v>
      </c>
      <c r="J34" s="3">
        <f>SUM(J6:J33)</f>
        <v>0</v>
      </c>
      <c r="K34" s="3"/>
      <c r="L34" s="3">
        <f>M34*10.764</f>
        <v>0</v>
      </c>
      <c r="M34" s="3">
        <f>SUM(M6:M33)</f>
        <v>0</v>
      </c>
    </row>
  </sheetData>
  <mergeCells count="4">
    <mergeCell ref="D2:E2"/>
    <mergeCell ref="D4:F4"/>
    <mergeCell ref="H4:J4"/>
    <mergeCell ref="K4:M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
  <sheetViews>
    <sheetView workbookViewId="0">
      <selection activeCell="C17" sqref="C17"/>
    </sheetView>
  </sheetViews>
  <sheetFormatPr defaultRowHeight="14.4" x14ac:dyDescent="0.3"/>
  <cols>
    <col min="1" max="1" width="10.88671875" customWidth="1"/>
  </cols>
  <sheetData>
    <row r="1" spans="1:11" x14ac:dyDescent="0.3">
      <c r="A1" t="s">
        <v>221</v>
      </c>
    </row>
    <row r="3" spans="1:11" x14ac:dyDescent="0.3">
      <c r="A3" t="s">
        <v>222</v>
      </c>
      <c r="B3" t="s">
        <v>223</v>
      </c>
      <c r="C3">
        <v>1</v>
      </c>
    </row>
    <row r="5" spans="1:11" x14ac:dyDescent="0.3">
      <c r="A5" t="s">
        <v>240</v>
      </c>
      <c r="B5" t="s">
        <v>224</v>
      </c>
    </row>
    <row r="6" spans="1:11" x14ac:dyDescent="0.3">
      <c r="A6" s="46" t="s">
        <v>241</v>
      </c>
      <c r="B6" s="46"/>
      <c r="C6" s="46"/>
      <c r="D6" s="46"/>
      <c r="E6" s="46"/>
      <c r="F6" s="46"/>
      <c r="G6" s="46"/>
      <c r="H6" s="46"/>
      <c r="I6" s="46"/>
      <c r="J6" s="46"/>
      <c r="K6" s="4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2"/>
  <sheetViews>
    <sheetView workbookViewId="0">
      <selection activeCell="E8" sqref="E8"/>
    </sheetView>
  </sheetViews>
  <sheetFormatPr defaultColWidth="8.6640625" defaultRowHeight="14.4" x14ac:dyDescent="0.3"/>
  <cols>
    <col min="1" max="1" width="8.6640625" style="35"/>
    <col min="2" max="2" width="22.109375" style="35" customWidth="1"/>
    <col min="3" max="3" width="37" style="35" customWidth="1"/>
    <col min="4" max="5" width="11.44140625" style="35" customWidth="1"/>
    <col min="6" max="6" width="14" style="35" customWidth="1"/>
    <col min="7" max="7" width="20" style="35" customWidth="1"/>
    <col min="8" max="8" width="16.44140625" style="35" customWidth="1"/>
    <col min="9" max="16384" width="8.6640625" style="35"/>
  </cols>
  <sheetData>
    <row r="1" spans="1:9" ht="15" customHeight="1" x14ac:dyDescent="0.3"/>
    <row r="2" spans="1:9" ht="15" customHeight="1" x14ac:dyDescent="0.3">
      <c r="A2" s="36"/>
      <c r="B2" s="36"/>
      <c r="C2" s="36"/>
      <c r="D2" s="36"/>
      <c r="E2" s="36"/>
      <c r="F2" s="36"/>
      <c r="G2" s="36"/>
      <c r="H2" s="36"/>
    </row>
    <row r="3" spans="1:9" ht="15.75" customHeight="1" x14ac:dyDescent="0.3">
      <c r="A3" s="36"/>
      <c r="B3" s="256" t="s">
        <v>225</v>
      </c>
      <c r="C3" s="256"/>
      <c r="D3" s="256"/>
      <c r="E3" s="256"/>
      <c r="F3" s="256"/>
      <c r="G3" s="256"/>
      <c r="H3" s="256"/>
    </row>
    <row r="4" spans="1:9" x14ac:dyDescent="0.3">
      <c r="A4" s="36"/>
      <c r="B4" s="37" t="s">
        <v>226</v>
      </c>
      <c r="C4" s="37" t="s">
        <v>227</v>
      </c>
      <c r="D4" s="37" t="s">
        <v>107</v>
      </c>
      <c r="E4" s="37" t="s">
        <v>228</v>
      </c>
      <c r="F4" s="37" t="s">
        <v>229</v>
      </c>
      <c r="G4" s="37" t="s">
        <v>230</v>
      </c>
      <c r="H4" s="37" t="s">
        <v>231</v>
      </c>
    </row>
    <row r="5" spans="1:9" ht="15" customHeight="1" x14ac:dyDescent="0.3">
      <c r="A5" s="36"/>
      <c r="B5" s="38" t="s">
        <v>232</v>
      </c>
      <c r="C5" s="39" t="s">
        <v>233</v>
      </c>
      <c r="D5" s="38" t="s">
        <v>234</v>
      </c>
      <c r="E5" s="38">
        <v>289</v>
      </c>
      <c r="F5" s="40">
        <f>E5*1.5</f>
        <v>433.5</v>
      </c>
      <c r="G5" s="40">
        <f>H5/F5</f>
        <v>7843.1372549019607</v>
      </c>
      <c r="H5" s="41">
        <v>3400000</v>
      </c>
    </row>
    <row r="6" spans="1:9" x14ac:dyDescent="0.3">
      <c r="A6" s="36"/>
      <c r="B6" s="38" t="s">
        <v>232</v>
      </c>
      <c r="C6" s="39" t="s">
        <v>233</v>
      </c>
      <c r="D6" s="38" t="s">
        <v>235</v>
      </c>
      <c r="E6" s="38">
        <v>400</v>
      </c>
      <c r="F6" s="40">
        <f>E6*1.5</f>
        <v>600</v>
      </c>
      <c r="G6" s="40">
        <f>H6/F6</f>
        <v>7666.666666666667</v>
      </c>
      <c r="H6" s="41">
        <v>4600000</v>
      </c>
    </row>
    <row r="7" spans="1:9" ht="15" customHeight="1" x14ac:dyDescent="0.3">
      <c r="A7" s="36"/>
      <c r="B7" s="38" t="s">
        <v>232</v>
      </c>
      <c r="C7" s="39" t="s">
        <v>233</v>
      </c>
      <c r="D7" s="38" t="s">
        <v>236</v>
      </c>
      <c r="E7" s="38">
        <v>628</v>
      </c>
      <c r="F7" s="40">
        <f>E7*1.5</f>
        <v>942</v>
      </c>
      <c r="G7" s="40">
        <f>H7/F7</f>
        <v>8174.0976645435248</v>
      </c>
      <c r="H7" s="41">
        <v>7700000</v>
      </c>
    </row>
    <row r="8" spans="1:9" ht="15" customHeight="1" x14ac:dyDescent="0.3">
      <c r="A8" s="36"/>
      <c r="B8" s="42" t="s">
        <v>237</v>
      </c>
      <c r="C8" s="38"/>
      <c r="D8" s="38"/>
      <c r="E8" s="38"/>
      <c r="F8" s="38"/>
      <c r="G8" s="43">
        <f>AVERAGE(G5:G7)</f>
        <v>7894.6338620373836</v>
      </c>
      <c r="H8" s="38"/>
    </row>
    <row r="9" spans="1:9" ht="15" customHeight="1" x14ac:dyDescent="0.3">
      <c r="B9" s="42" t="s">
        <v>238</v>
      </c>
      <c r="C9" s="38"/>
      <c r="D9" s="38"/>
      <c r="E9" s="38"/>
      <c r="F9" s="44"/>
      <c r="G9" s="42">
        <v>7900</v>
      </c>
      <c r="H9" s="42"/>
      <c r="I9" s="45"/>
    </row>
    <row r="10" spans="1:9" ht="15" customHeight="1" x14ac:dyDescent="0.3"/>
    <row r="11" spans="1:9" ht="15" customHeight="1" x14ac:dyDescent="0.3"/>
    <row r="12" spans="1:9" ht="15" customHeight="1" x14ac:dyDescent="0.3"/>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C%</vt:lpstr>
      <vt:lpstr>Wing A</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2025-09-09T11:54:45Z</cp:lastPrinted>
  <dcterms:created xsi:type="dcterms:W3CDTF">2013-11-23T05:32:33Z</dcterms:created>
  <dcterms:modified xsi:type="dcterms:W3CDTF">2025-09-09T11:55:48Z</dcterms:modified>
</cp:coreProperties>
</file>