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0-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6" i="1" l="1"/>
  <c r="A227" i="1" s="1"/>
  <c r="A228" i="1" s="1"/>
  <c r="A229" i="1" s="1"/>
  <c r="A230" i="1" s="1"/>
  <c r="A231" i="1" s="1"/>
  <c r="A232" i="1" s="1"/>
  <c r="A233" i="1" s="1"/>
  <c r="A234" i="1" s="1"/>
  <c r="D62" i="1" l="1"/>
  <c r="K157" i="1"/>
  <c r="J157" i="1"/>
  <c r="E194" i="1" l="1"/>
  <c r="D194" i="1"/>
  <c r="F194" i="1" s="1"/>
  <c r="H194" i="1" s="1"/>
  <c r="E193" i="1"/>
  <c r="D193" i="1"/>
  <c r="E192" i="1"/>
  <c r="D192" i="1"/>
  <c r="E191" i="1"/>
  <c r="D191" i="1"/>
  <c r="E190" i="1"/>
  <c r="D190" i="1"/>
  <c r="E189" i="1"/>
  <c r="D189" i="1"/>
  <c r="G182" i="1"/>
  <c r="G181" i="1"/>
  <c r="G180" i="1"/>
  <c r="E182" i="1"/>
  <c r="D182" i="1"/>
  <c r="E181" i="1"/>
  <c r="D181" i="1"/>
  <c r="E180" i="1"/>
  <c r="D180" i="1"/>
  <c r="F180" i="1" s="1"/>
  <c r="E178" i="1"/>
  <c r="D178" i="1"/>
  <c r="E177" i="1"/>
  <c r="D177" i="1"/>
  <c r="E176" i="1"/>
  <c r="D176" i="1"/>
  <c r="E175" i="1"/>
  <c r="D175" i="1"/>
  <c r="E174" i="1"/>
  <c r="D174" i="1"/>
  <c r="E173" i="1"/>
  <c r="D173" i="1"/>
  <c r="G168" i="1"/>
  <c r="E169" i="1"/>
  <c r="D169" i="1"/>
  <c r="E168" i="1"/>
  <c r="D168" i="1"/>
  <c r="E167" i="1"/>
  <c r="D167" i="1"/>
  <c r="E166" i="1"/>
  <c r="D166" i="1"/>
  <c r="E165" i="1"/>
  <c r="D165" i="1"/>
  <c r="E164" i="1"/>
  <c r="D164" i="1"/>
  <c r="E162" i="1"/>
  <c r="D162" i="1"/>
  <c r="E161" i="1"/>
  <c r="D161" i="1"/>
  <c r="F161" i="1" s="1"/>
  <c r="H161" i="1" s="1"/>
  <c r="E160" i="1"/>
  <c r="D160" i="1"/>
  <c r="E159" i="1"/>
  <c r="D159" i="1"/>
  <c r="E158" i="1"/>
  <c r="D158" i="1"/>
  <c r="E157" i="1"/>
  <c r="D157" i="1"/>
  <c r="J154" i="1"/>
  <c r="I189" i="1"/>
  <c r="I191" i="1"/>
  <c r="I180" i="1"/>
  <c r="I176" i="1"/>
  <c r="I178" i="1"/>
  <c r="I168" i="1"/>
  <c r="I157" i="1"/>
  <c r="I158" i="1"/>
  <c r="A180" i="1"/>
  <c r="A181" i="1" s="1"/>
  <c r="A182" i="1" s="1"/>
  <c r="A183" i="1" s="1"/>
  <c r="A184" i="1" s="1"/>
  <c r="A185" i="1" s="1"/>
  <c r="A164" i="1"/>
  <c r="A165" i="1" s="1"/>
  <c r="A166" i="1" s="1"/>
  <c r="A167" i="1" s="1"/>
  <c r="A168" i="1" s="1"/>
  <c r="A169" i="1" s="1"/>
  <c r="E43" i="1"/>
  <c r="A157" i="1"/>
  <c r="A189" i="1"/>
  <c r="A173" i="1"/>
  <c r="F181" i="1" l="1"/>
  <c r="F193" i="1"/>
  <c r="H193" i="1" s="1"/>
  <c r="F173" i="1"/>
  <c r="H173" i="1" s="1"/>
  <c r="J173" i="1" s="1"/>
  <c r="H180" i="1"/>
  <c r="F160" i="1"/>
  <c r="H160" i="1" s="1"/>
  <c r="H181" i="1"/>
  <c r="C138" i="1"/>
  <c r="F178" i="1"/>
  <c r="H178" i="1" s="1"/>
  <c r="J178" i="1" s="1"/>
  <c r="C139" i="1"/>
  <c r="F189" i="1"/>
  <c r="H189" i="1" s="1"/>
  <c r="F168" i="1"/>
  <c r="H168" i="1" s="1"/>
  <c r="J168" i="1" s="1"/>
  <c r="K168" i="1" s="1"/>
  <c r="C137" i="1"/>
  <c r="F167" i="1"/>
  <c r="H167" i="1" s="1"/>
  <c r="J167" i="1" s="1"/>
  <c r="K167" i="1" s="1"/>
  <c r="F191" i="1"/>
  <c r="H191" i="1" s="1"/>
  <c r="F164" i="1"/>
  <c r="H164" i="1" s="1"/>
  <c r="J164" i="1" s="1"/>
  <c r="K164" i="1" s="1"/>
  <c r="F192" i="1"/>
  <c r="H192" i="1" s="1"/>
  <c r="F190" i="1"/>
  <c r="H190" i="1" s="1"/>
  <c r="F175" i="1"/>
  <c r="H175" i="1" s="1"/>
  <c r="J175" i="1" s="1"/>
  <c r="F165" i="1"/>
  <c r="H165" i="1" s="1"/>
  <c r="J165" i="1" s="1"/>
  <c r="K165" i="1" s="1"/>
  <c r="F177" i="1"/>
  <c r="H177" i="1" s="1"/>
  <c r="F169" i="1"/>
  <c r="H169" i="1" s="1"/>
  <c r="J169" i="1" s="1"/>
  <c r="K169" i="1" s="1"/>
  <c r="F182" i="1"/>
  <c r="H182" i="1" s="1"/>
  <c r="F157" i="1"/>
  <c r="F176" i="1"/>
  <c r="H176" i="1" s="1"/>
  <c r="J176" i="1" s="1"/>
  <c r="F174" i="1"/>
  <c r="F166" i="1"/>
  <c r="H166" i="1" s="1"/>
  <c r="J166" i="1" s="1"/>
  <c r="K166" i="1" s="1"/>
  <c r="F162" i="1"/>
  <c r="H162" i="1" s="1"/>
  <c r="F159" i="1"/>
  <c r="H159" i="1" s="1"/>
  <c r="F158" i="1"/>
  <c r="H158" i="1" s="1"/>
  <c r="F147" i="1"/>
  <c r="F196" i="1"/>
  <c r="H196" i="1" s="1"/>
  <c r="A158" i="1"/>
  <c r="A190" i="1"/>
  <c r="A174" i="1"/>
  <c r="C140" i="1" l="1"/>
  <c r="E138" i="1"/>
  <c r="E139" i="1"/>
  <c r="E137" i="1"/>
  <c r="H157" i="1"/>
  <c r="G137" i="1" s="1"/>
  <c r="G139" i="1"/>
  <c r="H174" i="1"/>
  <c r="G138"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175" i="1"/>
  <c r="A191" i="1"/>
  <c r="A159" i="1"/>
  <c r="I42" i="7" l="1"/>
  <c r="H42" i="7" s="1"/>
  <c r="L42" i="7"/>
  <c r="K42" i="7" s="1"/>
  <c r="E42" i="7"/>
  <c r="E140" i="1"/>
  <c r="G140" i="1"/>
  <c r="D42" i="7"/>
  <c r="A176" i="1"/>
  <c r="A192" i="1"/>
  <c r="A160" i="1"/>
  <c r="D44" i="7" l="1"/>
  <c r="E44" i="7"/>
  <c r="E31" i="1"/>
  <c r="A161" i="1"/>
  <c r="A177" i="1"/>
  <c r="A193" i="1"/>
  <c r="B226" i="1" l="1"/>
  <c r="A194" i="1"/>
  <c r="A162" i="1"/>
  <c r="A178" i="1"/>
  <c r="F148" i="1" l="1"/>
  <c r="H148" i="1" s="1"/>
  <c r="F149" i="1"/>
  <c r="H149" i="1" s="1"/>
  <c r="F150" i="1"/>
  <c r="H150" i="1" s="1"/>
  <c r="H147" i="1"/>
  <c r="G58" i="1" l="1"/>
  <c r="C58" i="1"/>
  <c r="G56" i="1"/>
  <c r="C56" i="1"/>
  <c r="C54" i="1"/>
  <c r="S33" i="1" l="1"/>
  <c r="F11" i="5" l="1"/>
  <c r="G11" i="5" s="1"/>
  <c r="F10" i="5"/>
  <c r="G10" i="5" s="1"/>
  <c r="F9" i="5"/>
  <c r="G9" i="5" s="1"/>
  <c r="F8" i="5"/>
  <c r="G8" i="5" s="1"/>
  <c r="F7" i="5"/>
  <c r="G7" i="5" s="1"/>
  <c r="F6" i="5"/>
  <c r="G6" i="5" s="1"/>
  <c r="F5" i="5"/>
  <c r="G5" i="5" s="1"/>
  <c r="G12" i="5" s="1"/>
  <c r="D249" i="1"/>
  <c r="B227" i="1"/>
  <c r="F223" i="1"/>
  <c r="H223" i="1" s="1"/>
  <c r="F222" i="1"/>
  <c r="H222" i="1" s="1"/>
  <c r="F221" i="1"/>
  <c r="H221" i="1" s="1"/>
  <c r="F220" i="1"/>
  <c r="H220" i="1" s="1"/>
  <c r="F219" i="1"/>
  <c r="H219" i="1" s="1"/>
  <c r="F217" i="1"/>
  <c r="H217" i="1" s="1"/>
  <c r="F216" i="1"/>
  <c r="H216" i="1" s="1"/>
  <c r="F215" i="1"/>
  <c r="H215" i="1" s="1"/>
  <c r="F214" i="1"/>
  <c r="H214" i="1" s="1"/>
  <c r="F213" i="1"/>
  <c r="H213" i="1" s="1"/>
  <c r="F211" i="1"/>
  <c r="H211" i="1" s="1"/>
  <c r="F210" i="1"/>
  <c r="H210" i="1" s="1"/>
  <c r="F209" i="1"/>
  <c r="H209" i="1" s="1"/>
  <c r="F208" i="1"/>
  <c r="H208" i="1" s="1"/>
  <c r="F207" i="1"/>
  <c r="H207" i="1" s="1"/>
  <c r="F205" i="1"/>
  <c r="H205" i="1" s="1"/>
  <c r="F204" i="1"/>
  <c r="H204" i="1" s="1"/>
  <c r="F203" i="1"/>
  <c r="H203" i="1" s="1"/>
  <c r="F202" i="1"/>
  <c r="H202" i="1" s="1"/>
  <c r="F201" i="1"/>
  <c r="H201" i="1" s="1"/>
  <c r="A201" i="1"/>
  <c r="A202" i="1" s="1"/>
  <c r="A203" i="1" s="1"/>
  <c r="A204" i="1" s="1"/>
  <c r="A205" i="1" s="1"/>
  <c r="F199" i="1"/>
  <c r="H199" i="1" s="1"/>
  <c r="F198" i="1"/>
  <c r="H198" i="1" s="1"/>
  <c r="F197" i="1"/>
  <c r="H197" i="1" s="1"/>
  <c r="A197" i="1"/>
  <c r="A198" i="1" s="1"/>
  <c r="A199" i="1" s="1"/>
  <c r="A148" i="1"/>
  <c r="A149" i="1" s="1"/>
  <c r="A150" i="1" s="1"/>
  <c r="G141" i="1"/>
  <c r="E141" i="1"/>
  <c r="C141" i="1"/>
  <c r="F129" i="1"/>
  <c r="C103" i="1"/>
  <c r="C89" i="1"/>
  <c r="D69" i="1"/>
  <c r="G51" i="1"/>
  <c r="G52" i="1" s="1"/>
  <c r="C51" i="1"/>
  <c r="E44" i="1"/>
  <c r="E45" i="1" s="1"/>
  <c r="E28" i="1"/>
  <c r="E26" i="1"/>
  <c r="C16" i="1"/>
  <c r="I15" i="1"/>
  <c r="Z13" i="1"/>
  <c r="E8" i="1"/>
  <c r="E3" i="1"/>
  <c r="H76" i="1"/>
  <c r="A213" i="1"/>
  <c r="H104" i="1"/>
  <c r="A219" i="1"/>
  <c r="H90" i="1"/>
  <c r="A207" i="1"/>
  <c r="J75" i="1" l="1"/>
  <c r="J77" i="1" s="1"/>
  <c r="J78" i="1"/>
  <c r="J79" i="1"/>
  <c r="J80" i="1"/>
  <c r="C79" i="1" s="1"/>
  <c r="J94" i="1"/>
  <c r="C93" i="1" s="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A214" i="1"/>
  <c r="A208" i="1"/>
  <c r="A220" i="1"/>
  <c r="D93" i="1" l="1"/>
  <c r="D109" i="1"/>
  <c r="J114" i="1"/>
  <c r="J111" i="1"/>
  <c r="J113" i="1"/>
  <c r="J112" i="1"/>
  <c r="J109" i="1"/>
  <c r="J110" i="1" s="1"/>
  <c r="J115" i="1" s="1"/>
  <c r="J116" i="1" s="1"/>
  <c r="C108" i="1" s="1"/>
  <c r="E107" i="1" s="1"/>
  <c r="J100" i="1"/>
  <c r="J97" i="1"/>
  <c r="J99" i="1"/>
  <c r="J98" i="1"/>
  <c r="J95" i="1"/>
  <c r="J96" i="1" s="1"/>
  <c r="J85" i="1"/>
  <c r="J83" i="1"/>
  <c r="J84" i="1"/>
  <c r="J82" i="1"/>
  <c r="J87" i="1" s="1"/>
  <c r="J86" i="1"/>
  <c r="A221" i="1"/>
  <c r="A209" i="1"/>
  <c r="A215" i="1"/>
  <c r="J88" i="1" l="1"/>
  <c r="C80" i="1" s="1"/>
  <c r="D80" i="1" s="1"/>
  <c r="D79" i="1"/>
  <c r="J101" i="1"/>
  <c r="D108" i="1"/>
  <c r="I104" i="1" s="1"/>
  <c r="J104" i="1"/>
  <c r="G107" i="1"/>
  <c r="A216" i="1"/>
  <c r="A210" i="1"/>
  <c r="A222" i="1"/>
  <c r="G79" i="1" l="1"/>
  <c r="D73" i="1" s="1"/>
  <c r="D74" i="1" s="1"/>
  <c r="E79" i="1"/>
  <c r="J102" i="1"/>
  <c r="C94" i="1" s="1"/>
  <c r="I76" i="1"/>
  <c r="I77" i="1" s="1"/>
  <c r="J76" i="1"/>
  <c r="I105" i="1"/>
  <c r="I103" i="1" s="1"/>
  <c r="C105" i="1" s="1"/>
  <c r="A211" i="1"/>
  <c r="A217" i="1"/>
  <c r="A223" i="1"/>
  <c r="F74" i="1" l="1"/>
  <c r="I75" i="1"/>
  <c r="C77" i="1" s="1"/>
  <c r="E93" i="1"/>
  <c r="D94" i="1"/>
  <c r="I90" i="1" s="1"/>
  <c r="I91" i="1" s="1"/>
  <c r="G93" i="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<sst xmlns="http://schemas.openxmlformats.org/spreadsheetml/2006/main" count="688" uniqueCount="390">
  <si>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</si>
  <si>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</si>
  <si>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</si>
  <si>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</si>
  <si>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</si>
  <si>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</si>
  <si>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</si>
  <si>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</si>
  <si>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</si>
  <si>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</si>
  <si>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</si>
  <si>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</si>
  <si>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</si>
  <si>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</si>
  <si>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</si>
  <si>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</si>
  <si>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</si>
  <si>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</si>
  <si>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</si>
  <si>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</si>
  <si>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</si>
  <si>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</si>
  <si>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</si>
  <si>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</si>
  <si>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</si>
  <si>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</si>
  <si>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</si>
  <si>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</si>
  <si>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</si>
  <si>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</si>
  <si>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</si>
  <si>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</si>
  <si>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</si>
  <si>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</si>
  <si>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</si>
  <si>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</si>
  <si>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</si>
  <si>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</si>
  <si>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</si>
  <si>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</si>
  <si>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</si>
  <si>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</si>
  <si>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</si>
  <si>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</si>
  <si>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</si>
  <si>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</si>
  <si>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</si>
  <si>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</si>
  <si>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</si>
  <si>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</si>
  <si>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</si>
  <si>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</si>
  <si>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</si>
  <si>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</si>
  <si>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</si>
  <si>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</si>
  <si>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</si>
  <si>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</si>
  <si>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</si>
  <si>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</si>
  <si>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</si>
  <si>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</si>
  <si>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</si>
  <si>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</si>
  <si>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</si>
  <si>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</si>
  <si>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</si>
  <si>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</si>
  <si>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</si>
  <si>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</si>
  <si>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</si>
  <si>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</si>
  <si>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</si>
  <si>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</si>
  <si>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</si>
  <si>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</si>
  <si>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</si>
  <si>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</si>
  <si>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</si>
  <si>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</si>
  <si>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</si>
  <si>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</si>
  <si>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</si>
  <si>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</si>
  <si>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</si>
  <si>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</si>
  <si>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</si>
  <si>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</si>
  <si>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</si>
  <si>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</si>
  <si>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</si>
  <si>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</si>
  <si>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</si>
  <si>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</si>
  <si>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</si>
  <si>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</si>
  <si>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</si>
  <si>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</si>
  <si>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</si>
  <si>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</si>
  <si>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</si>
  <si>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</si>
  <si>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</si>
  <si>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</si>
  <si>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</si>
  <si>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</si>
  <si>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</si>
  <si>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</si>
  <si>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</si>
  <si>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</si>
  <si>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</si>
  <si>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</si>
  <si>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</si>
  <si>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</si>
  <si>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</si>
  <si>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</si>
  <si>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</si>
  <si>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</si>
  <si>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</si>
  <si>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</si>
  <si>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</si>
  <si>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</si>
  <si>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</si>
  <si>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</si>
  <si>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</si>
  <si>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</si>
  <si>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</si>
  <si>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</si>
  <si>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</si>
  <si>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</si>
  <si>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</si>
  <si>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</si>
  <si>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</si>
  <si>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</si>
  <si>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</si>
  <si>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</si>
  <si>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</si>
  <si>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</si>
  <si>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</si>
  <si>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</si>
  <si>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</si>
  <si>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</si>
  <si>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</si>
  <si>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</si>
  <si>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</si>
  <si>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</si>
  <si>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</si>
  <si>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</si>
  <si>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</si>
  <si>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</si>
  <si>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</si>
  <si>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</si>
  <si>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</si>
  <si>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</si>
  <si>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</si>
  <si>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</si>
  <si>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</si>
  <si>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</si>
  <si>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</si>
  <si>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</si>
  <si>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</si>
  <si>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</si>
  <si>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</si>
  <si>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</si>
  <si>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</si>
  <si>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</si>
  <si>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</si>
  <si>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</si>
  <si>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</si>
  <si>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</si>
  <si>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</si>
  <si>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</si>
  <si>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</si>
  <si>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</si>
  <si>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</si>
  <si>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</si>
  <si>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</si>
  <si>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</si>
  <si>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</si>
  <si>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</si>
  <si>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</si>
  <si>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</si>
  <si>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</si>
  <si>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</si>
  <si>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</si>
  <si>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</si>
  <si>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</si>
  <si>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</si>
  <si>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</si>
  <si>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</si>
  <si>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</si>
  <si>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</si>
  <si>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</si>
  <si>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</si>
  <si>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</si>
  <si>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</si>
  <si>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</si>
  <si>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</si>
  <si>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</si>
  <si>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</si>
  <si>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</si>
  <si>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</si>
  <si>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</si>
  <si>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</si>
  <si>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</si>
  <si>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</si>
  <si>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</si>
  <si>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</si>
  <si>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</si>
  <si>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</si>
  <si>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</si>
  <si>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</si>
  <si>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</si>
  <si>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</si>
  <si>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</si>
  <si>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</si>
  <si>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</si>
  <si>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</si>
  <si>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</si>
  <si>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</si>
  <si>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</si>
  <si>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</si>
  <si>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</si>
  <si>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</si>
  <si>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</si>
  <si>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</si>
  <si>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</si>
  <si>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</si>
  <si>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</si>
  <si>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</si>
  <si>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</si>
  <si>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</si>
  <si>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</si>
  <si>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</si>
  <si>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</si>
  <si>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</si>
  <si>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</si>
  <si>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</si>
  <si>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</si>
  <si>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</si>
  <si>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</si>
  <si>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</si>
  <si>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</si>
  <si>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</si>
  <si>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</si>
  <si>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</si>
  <si>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</si>
  <si>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</si>
  <si>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</si>
  <si>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</si>
  <si>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</si>
  <si>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</si>
  <si>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</si>
  <si>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</si>
  <si>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</si>
  <si>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</si>
  <si>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</si>
  <si>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</si>
  <si>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</si>
  <si>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</si>
  <si>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</si>
  <si>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</si>
  <si>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</si>
  <si>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</si>
  <si>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</si>
  <si>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</si>
  <si>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</si>
  <si>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</si>
  <si>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</si>
  <si>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</si>
  <si>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</si>
  <si>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</si>
  <si>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</si>
  <si>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</si>
  <si>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</si>
  <si>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</si>
  <si>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</si>
  <si>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</si>
  <si>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</si>
  <si>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</si>
  <si>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</si>
  <si>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</si>
  <si>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</si>
  <si>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</si>
  <si>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</si>
  <si>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</si>
  <si>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</si>
  <si>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</si>
  <si>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</si>
  <si>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</si>
  <si>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</si>
  <si>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</si>
  <si>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</si>
  <si>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</si>
  <si>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</si>
  <si>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</si>
  <si>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</si>
  <si>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</si>
  <si>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</si>
  <si>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</si>
  <si>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</si>
  <si>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</si>
  <si>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</si>
  <si>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</si>
  <si>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</si>
  <si>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</si>
  <si>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</si>
  <si>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</si>
  <si>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</si>
  <si>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</si>
  <si>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</si>
  <si>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</si>
  <si>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</si>
  <si>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</si>
  <si>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</si>
  <si>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</si>
  <si>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</si>
  <si>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</si>
  <si>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</si>
  <si>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</si>
  <si>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</si>
  <si>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</si>
  <si>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</si>
  <si>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</si>
  <si>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</si>
  <si>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</si>
  <si>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</si>
  <si>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</si>
  <si>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</si>
  <si>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</si>
  <si>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</si>
  <si>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</si>
  <si>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Om Vastu Homes NX</t>
  </si>
  <si>
    <t>Sanveg Residency</t>
  </si>
  <si>
    <t xml:space="preserve">Mr. Jitendra Meher 7040159696/9220366605
</t>
  </si>
  <si>
    <t>Wing E, F, G</t>
  </si>
  <si>
    <t>P51700056072</t>
  </si>
  <si>
    <t>Survey No</t>
  </si>
  <si>
    <t>180 &amp; Hissa No. 2</t>
  </si>
  <si>
    <t>Badlapur</t>
  </si>
  <si>
    <t>Internal Road</t>
  </si>
  <si>
    <t>3.2 KM from Badlapur Railway Station</t>
  </si>
  <si>
    <t>https://maps.app.goo.gl/v9Wvuiw2De4y6QtC8</t>
  </si>
  <si>
    <t>19.1603485,73.2639644</t>
  </si>
  <si>
    <t>Other Plot</t>
  </si>
  <si>
    <t>Shree Ganesh Symphony</t>
  </si>
  <si>
    <t>Open Plot</t>
  </si>
  <si>
    <t>03 Wings</t>
  </si>
  <si>
    <t>KBNP/NRV/BD/2831-82</t>
  </si>
  <si>
    <t>KBNP/NRV/BP/2831/2023-2024 Unique No.82</t>
  </si>
  <si>
    <t xml:space="preserve">E &amp; F Wing = G + 1st to 7th Floor
G Wing = G + 1st to 6th Floor
</t>
  </si>
  <si>
    <t>E Wing = G + 1st to 7th Floor</t>
  </si>
  <si>
    <t>F Wing = G + 1st to 7th Floor</t>
  </si>
  <si>
    <t>G Wing = G + 1st to 6th Floor</t>
  </si>
  <si>
    <t>As per RERA - 31/12/2028</t>
  </si>
  <si>
    <t>Wing E</t>
  </si>
  <si>
    <t>Ground Floor For Society Office, Fitness Center, Drivers Room &amp; Parking</t>
  </si>
  <si>
    <t>1BHK</t>
  </si>
  <si>
    <t>1RK</t>
  </si>
  <si>
    <t>1st to 6th Floor For Residential</t>
  </si>
  <si>
    <t>7th Floor</t>
  </si>
  <si>
    <t>7th Floor (Part Terrace Area)</t>
  </si>
  <si>
    <t>Wing F</t>
  </si>
  <si>
    <t>Ground Floor For Entrance Lobby &amp; Parking</t>
  </si>
  <si>
    <t>Terrace Area</t>
  </si>
  <si>
    <t>Wing G</t>
  </si>
  <si>
    <t xml:space="preserve">Details of Residential in Building   </t>
  </si>
  <si>
    <t>Residential Area Details : Flats</t>
  </si>
  <si>
    <t>We considered Gross carpet area = Net carpet + C.P Area</t>
  </si>
  <si>
    <t>Flats - 117</t>
  </si>
  <si>
    <t>Approved Plans, CC, Cost Sheet</t>
  </si>
  <si>
    <t>Floor Rise Rate from Floor</t>
  </si>
  <si>
    <t>Popular Arcade</t>
  </si>
  <si>
    <t>Road/Motiram Pleasure</t>
  </si>
  <si>
    <t>Wing A to D/18 M W Road</t>
  </si>
  <si>
    <t xml:space="preserve">3375.307
</t>
  </si>
  <si>
    <t>Wing E &amp; F = Stilt + 1st to7th Floor
Wing G = Stilt + 1st to 6th Floor</t>
  </si>
  <si>
    <r>
      <t xml:space="preserve">Shop No.
</t>
    </r>
    <r>
      <rPr>
        <b/>
        <sz val="11"/>
        <color theme="1"/>
        <rFont val="Times New Roman"/>
        <family val="1"/>
      </rPr>
      <t>(Approved Plan)</t>
    </r>
  </si>
  <si>
    <r>
      <t xml:space="preserve">Flat No.
</t>
    </r>
    <r>
      <rPr>
        <b/>
        <sz val="11"/>
        <color theme="1"/>
        <rFont val="Times New Roman"/>
        <family val="1"/>
      </rPr>
      <t>(Approved Plan)</t>
    </r>
  </si>
  <si>
    <r>
      <t xml:space="preserve">Proposed Amenities :                                                                                                                                                                                                                         </t>
    </r>
    <r>
      <rPr>
        <b/>
        <sz val="12"/>
        <color theme="1"/>
        <rFont val="Times New Roman"/>
        <family val="1"/>
      </rPr>
      <t xml:space="preserve">                                               </t>
    </r>
  </si>
  <si>
    <t>Children's Play Area, Fitness Center &amp; etc.</t>
  </si>
  <si>
    <t>C.P Area</t>
  </si>
  <si>
    <t>Remark No. 10 :</t>
  </si>
  <si>
    <t>Gril &amp; Other Charges</t>
  </si>
  <si>
    <t>Area Statement Details :For E.W.S &amp; L.I.G Scheme</t>
  </si>
  <si>
    <t>As per the layout plan, Sanveg Residency (Phase I &amp; II) comes under the residential zone. And Wing E, F, &amp; G come under the E.W.S &amp; L.I.G Scheme. Photographs are attached below.</t>
  </si>
  <si>
    <t>Sudhir Bhosale</t>
  </si>
  <si>
    <r>
      <rPr>
        <b/>
        <sz val="12"/>
        <color theme="1"/>
        <rFont val="Times New Roman"/>
        <family val="1"/>
      </rPr>
      <t>Wing E &amp; F = Construction work is in process at the time of Visit.
Wing G = All work Completed. Please provide OC.</t>
    </r>
    <r>
      <rPr>
        <b/>
        <sz val="12"/>
        <color rgb="FFFF0000"/>
        <rFont val="Times New Roman"/>
        <family val="1"/>
      </rPr>
      <t xml:space="preserve">
</t>
    </r>
  </si>
  <si>
    <t>Pooja Kawale</t>
  </si>
  <si>
    <t>Badlapur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</si>
</sst>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wrapText="1"/>
    </xf>
    <xf numFmtId="1" fontId="6"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0" fontId="6"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6" borderId="1" xfId="1" applyFont="1" applyFill="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6" borderId="8" xfId="0" applyNumberFormat="1" applyFont="1" applyFill="1" applyBorder="1" applyAlignment="1" applyProtection="1">
      <alignment vertical="top" wrapText="1"/>
      <protection locked="0"/>
    </xf>
    <xf numFmtId="1" fontId="7" fillId="6" borderId="21" xfId="0" applyNumberFormat="1" applyFont="1" applyFill="1" applyBorder="1" applyAlignment="1" applyProtection="1">
      <alignment vertical="top" wrapText="1"/>
      <protection locked="0"/>
    </xf>
    <xf numFmtId="1" fontId="7" fillId="6" borderId="9" xfId="0" applyNumberFormat="1" applyFont="1" applyFill="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25" xfId="1" applyFont="1" applyBorder="1" applyAlignment="1" applyProtection="1">
      <alignment horizontal="left" vertical="top"/>
      <protection locked="0"/>
    </xf>
    <xf numFmtId="0" fontId="6" fillId="0" borderId="0" xfId="1" applyFont="1" applyAlignment="1" applyProtection="1">
      <alignment horizontal="left" vertical="top"/>
      <protection locked="0"/>
    </xf>
    <xf numFmtId="0" fontId="6" fillId="0" borderId="26"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11" fillId="0" borderId="17" xfId="1" applyNumberFormat="1" applyFont="1" applyBorder="1" applyAlignment="1" applyProtection="1">
      <alignment horizontal="center" vertical="center" wrapText="1"/>
      <protection locked="0"/>
    </xf>
    <xf numFmtId="1" fontId="14" fillId="0" borderId="24" xfId="1" applyNumberFormat="1" applyFont="1" applyBorder="1" applyAlignment="1" applyProtection="1">
      <alignment horizontal="center" vertical="center" wrapText="1"/>
      <protection locked="0"/>
    </xf>
    <xf numFmtId="1" fontId="14" fillId="0" borderId="18" xfId="1" applyNumberFormat="1" applyFont="1" applyBorder="1" applyAlignment="1" applyProtection="1">
      <alignment horizontal="center" vertical="center" wrapText="1"/>
      <protection locked="0"/>
    </xf>
    <xf numFmtId="1" fontId="14" fillId="0" borderId="25" xfId="1" applyNumberFormat="1" applyFont="1" applyBorder="1" applyAlignment="1" applyProtection="1">
      <alignment horizontal="center" vertical="center" wrapText="1"/>
      <protection locked="0"/>
    </xf>
    <xf numFmtId="1" fontId="14" fillId="0" borderId="0" xfId="1" applyNumberFormat="1" applyFont="1" applyAlignment="1" applyProtection="1">
      <alignment horizontal="center" vertical="center" wrapText="1"/>
      <protection locked="0"/>
    </xf>
    <xf numFmtId="1" fontId="14" fillId="0" borderId="26" xfId="1" applyNumberFormat="1" applyFont="1" applyBorder="1" applyAlignment="1" applyProtection="1">
      <alignment horizontal="center" vertical="center" wrapText="1"/>
      <protection locked="0"/>
    </xf>
    <xf numFmtId="1" fontId="14" fillId="0" borderId="19" xfId="1" applyNumberFormat="1" applyFont="1" applyBorder="1" applyAlignment="1" applyProtection="1">
      <alignment horizontal="center" vertical="center" wrapText="1"/>
      <protection locked="0"/>
    </xf>
    <xf numFmtId="1" fontId="14" fillId="0" borderId="2" xfId="1" applyNumberFormat="1" applyFont="1" applyBorder="1" applyAlignment="1" applyProtection="1">
      <alignment horizontal="center" vertical="center" wrapText="1"/>
      <protection locked="0"/>
    </xf>
    <xf numFmtId="1" fontId="14"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29"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10</xdr:col>
      <xdr:colOff>371475</xdr:colOff>
      <xdr:row>254</xdr:row>
      <xdr:rowOff>66675</xdr:rowOff>
    </xdr:from>
    <xdr:to>
      <xdr:col>11</xdr:col>
      <xdr:colOff>355600</xdr:colOff>
      <xdr:row>256</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712325" y="41443275"/>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G</a:t>
          </a:r>
        </a:p>
      </xdr:txBody>
    </xdr:sp>
    <xdr:clientData/>
  </xdr:twoCellAnchor>
  <xdr:twoCellAnchor>
    <xdr:from>
      <xdr:col>9</xdr:col>
      <xdr:colOff>0</xdr:colOff>
      <xdr:row>324</xdr:row>
      <xdr:rowOff>0</xdr:rowOff>
    </xdr:from>
    <xdr:to>
      <xdr:col>10</xdr:col>
      <xdr:colOff>304799</xdr:colOff>
      <xdr:row>325</xdr:row>
      <xdr:rowOff>180975</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77125" y="56235600"/>
          <a:ext cx="106679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a:t>
          </a:r>
          <a:r>
            <a:rPr lang="en-IN" sz="1400" b="1" baseline="0">
              <a:solidFill>
                <a:srgbClr val="FF0000"/>
              </a:solidFill>
            </a:rPr>
            <a:t> - I </a:t>
          </a:r>
          <a:endParaRPr lang="en-IN" sz="1400" b="1">
            <a:solidFill>
              <a:srgbClr val="FF0000"/>
            </a:solidFill>
          </a:endParaRPr>
        </a:p>
      </xdr:txBody>
    </xdr:sp>
    <xdr:clientData/>
  </xdr:twoCellAnchor>
  <xdr:twoCellAnchor>
    <xdr:from>
      <xdr:col>1</xdr:col>
      <xdr:colOff>352425</xdr:colOff>
      <xdr:row>308</xdr:row>
      <xdr:rowOff>0</xdr:rowOff>
    </xdr:from>
    <xdr:to>
      <xdr:col>6</xdr:col>
      <xdr:colOff>438150</xdr:colOff>
      <xdr:row>331</xdr:row>
      <xdr:rowOff>47625</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1152525" y="52006500"/>
          <a:ext cx="4371975" cy="4575175"/>
          <a:chOff x="1143000" y="53044725"/>
          <a:chExt cx="4171950" cy="46482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1143000" y="53044725"/>
            <a:ext cx="4171950" cy="4648200"/>
          </a:xfrm>
          <a:prstGeom prst="rect">
            <a:avLst/>
          </a:prstGeom>
          <a:ln>
            <a:solidFill>
              <a:schemeClr val="tx1"/>
            </a:solidFill>
          </a:ln>
        </xdr:spPr>
      </xdr:pic>
      <xdr:sp macro="" textlink="">
        <xdr:nvSpPr>
          <xdr:cNvPr id="13" name="Freeform 12">
            <a:extLst>
              <a:ext uri="{FF2B5EF4-FFF2-40B4-BE49-F238E27FC236}">
                <a16:creationId xmlns:a16="http://schemas.microsoft.com/office/drawing/2014/main" id="{00000000-0008-0000-0000-00000D000000}"/>
              </a:ext>
            </a:extLst>
          </xdr:cNvPr>
          <xdr:cNvSpPr/>
        </xdr:nvSpPr>
        <xdr:spPr>
          <a:xfrm>
            <a:off x="1619250" y="55521225"/>
            <a:ext cx="1800225" cy="1181100"/>
          </a:xfrm>
          <a:custGeom>
            <a:avLst/>
            <a:gdLst>
              <a:gd name="connsiteX0" fmla="*/ 28575 w 1800225"/>
              <a:gd name="connsiteY0" fmla="*/ 0 h 1247775"/>
              <a:gd name="connsiteX1" fmla="*/ 1800225 w 1800225"/>
              <a:gd name="connsiteY1" fmla="*/ 28575 h 1247775"/>
              <a:gd name="connsiteX2" fmla="*/ 1724025 w 1800225"/>
              <a:gd name="connsiteY2" fmla="*/ 1247775 h 1247775"/>
              <a:gd name="connsiteX3" fmla="*/ 0 w 1800225"/>
              <a:gd name="connsiteY3" fmla="*/ 476250 h 1247775"/>
              <a:gd name="connsiteX4" fmla="*/ 28575 w 1800225"/>
              <a:gd name="connsiteY4" fmla="*/ 0 h 12477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0225" h="1247775">
                <a:moveTo>
                  <a:pt x="28575" y="0"/>
                </a:moveTo>
                <a:lnTo>
                  <a:pt x="1800225" y="28575"/>
                </a:lnTo>
                <a:lnTo>
                  <a:pt x="1724025" y="1247775"/>
                </a:lnTo>
                <a:lnTo>
                  <a:pt x="0" y="476250"/>
                </a:lnTo>
                <a:lnTo>
                  <a:pt x="28575"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781175" y="55245000"/>
            <a:ext cx="106679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a:t>
            </a:r>
            <a:r>
              <a:rPr lang="en-IN" sz="1400" b="1" baseline="0">
                <a:solidFill>
                  <a:srgbClr val="FF0000"/>
                </a:solidFill>
              </a:rPr>
              <a:t> - I </a:t>
            </a:r>
            <a:endParaRPr lang="en-IN" sz="1400" b="1">
              <a:solidFill>
                <a:srgbClr val="FF0000"/>
              </a:solidFill>
            </a:endParaRPr>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848100" y="55283100"/>
            <a:ext cx="106679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002060"/>
                </a:solidFill>
              </a:rPr>
              <a:t>Phase</a:t>
            </a:r>
            <a:r>
              <a:rPr lang="en-IN" sz="1400" b="1" baseline="0">
                <a:solidFill>
                  <a:srgbClr val="002060"/>
                </a:solidFill>
              </a:rPr>
              <a:t> - II</a:t>
            </a:r>
            <a:endParaRPr lang="en-IN" sz="1400" b="1">
              <a:solidFill>
                <a:srgbClr val="002060"/>
              </a:solidFill>
            </a:endParaRP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657351" y="56130825"/>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A</a:t>
            </a:r>
            <a:endParaRPr lang="en-IN" sz="1200" b="1">
              <a:solidFill>
                <a:srgbClr val="FF0000"/>
              </a:solidFill>
            </a:endParaRP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505075" y="56521350"/>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B</a:t>
            </a:r>
            <a:endParaRPr lang="en-IN" sz="1200" b="1">
              <a:solidFill>
                <a:srgbClr val="FF0000"/>
              </a:solidFill>
            </a:endParaRP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4572000" y="54740175"/>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6">
                    <a:lumMod val="50000"/>
                  </a:schemeClr>
                </a:solidFill>
              </a:rPr>
              <a:t>Wing</a:t>
            </a:r>
            <a:r>
              <a:rPr lang="en-IN" sz="1200" b="1" baseline="0">
                <a:solidFill>
                  <a:schemeClr val="accent6">
                    <a:lumMod val="50000"/>
                  </a:schemeClr>
                </a:solidFill>
              </a:rPr>
              <a:t> F</a:t>
            </a:r>
            <a:endParaRPr lang="en-IN" sz="1200" b="1">
              <a:solidFill>
                <a:schemeClr val="accent6">
                  <a:lumMod val="50000"/>
                </a:schemeClr>
              </a:solidFill>
            </a:endParaRP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419475" y="53501925"/>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6">
                    <a:lumMod val="50000"/>
                  </a:schemeClr>
                </a:solidFill>
              </a:rPr>
              <a:t>Wing</a:t>
            </a:r>
            <a:r>
              <a:rPr lang="en-IN" sz="1200" b="1" baseline="0">
                <a:solidFill>
                  <a:schemeClr val="accent6">
                    <a:lumMod val="50000"/>
                  </a:schemeClr>
                </a:solidFill>
              </a:rPr>
              <a:t> G</a:t>
            </a:r>
            <a:endParaRPr lang="en-IN" sz="1200" b="1">
              <a:solidFill>
                <a:schemeClr val="accent6">
                  <a:lumMod val="50000"/>
                </a:schemeClr>
              </a:solidFill>
            </a:endParaRPr>
          </a:p>
        </xdr:txBody>
      </xdr:sp>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895475" y="54768750"/>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accent6">
                    <a:lumMod val="50000"/>
                  </a:schemeClr>
                </a:solidFill>
              </a:rPr>
              <a:t>Wing</a:t>
            </a:r>
            <a:r>
              <a:rPr lang="en-IN" sz="1200" b="1" baseline="0">
                <a:solidFill>
                  <a:schemeClr val="accent6">
                    <a:lumMod val="50000"/>
                  </a:schemeClr>
                </a:solidFill>
              </a:rPr>
              <a:t> E</a:t>
            </a:r>
            <a:endParaRPr lang="en-IN" sz="1200" b="1">
              <a:solidFill>
                <a:schemeClr val="accent6">
                  <a:lumMod val="50000"/>
                </a:schemeClr>
              </a:solidFill>
            </a:endParaRPr>
          </a:p>
        </xdr:txBody>
      </xdr:sp>
      <xdr:sp macro="" textlink="">
        <xdr:nvSpPr>
          <xdr:cNvPr id="22" name="Freeform 21">
            <a:extLst>
              <a:ext uri="{FF2B5EF4-FFF2-40B4-BE49-F238E27FC236}">
                <a16:creationId xmlns:a16="http://schemas.microsoft.com/office/drawing/2014/main" id="{00000000-0008-0000-0000-000016000000}"/>
              </a:ext>
            </a:extLst>
          </xdr:cNvPr>
          <xdr:cNvSpPr/>
        </xdr:nvSpPr>
        <xdr:spPr>
          <a:xfrm>
            <a:off x="3448050" y="55559325"/>
            <a:ext cx="1133475" cy="1447800"/>
          </a:xfrm>
          <a:custGeom>
            <a:avLst/>
            <a:gdLst>
              <a:gd name="connsiteX0" fmla="*/ 114300 w 1133475"/>
              <a:gd name="connsiteY0" fmla="*/ 0 h 1504950"/>
              <a:gd name="connsiteX1" fmla="*/ 1133475 w 1133475"/>
              <a:gd name="connsiteY1" fmla="*/ 28575 h 1504950"/>
              <a:gd name="connsiteX2" fmla="*/ 638175 w 1133475"/>
              <a:gd name="connsiteY2" fmla="*/ 1504950 h 1504950"/>
              <a:gd name="connsiteX3" fmla="*/ 0 w 1133475"/>
              <a:gd name="connsiteY3" fmla="*/ 1343025 h 1504950"/>
              <a:gd name="connsiteX4" fmla="*/ 114300 w 1133475"/>
              <a:gd name="connsiteY4" fmla="*/ 0 h 15049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133475" h="1504950">
                <a:moveTo>
                  <a:pt x="114300" y="0"/>
                </a:moveTo>
                <a:lnTo>
                  <a:pt x="1133475" y="28575"/>
                </a:lnTo>
                <a:lnTo>
                  <a:pt x="638175" y="1504950"/>
                </a:lnTo>
                <a:lnTo>
                  <a:pt x="0" y="1343025"/>
                </a:lnTo>
                <a:lnTo>
                  <a:pt x="114300" y="0"/>
                </a:lnTo>
                <a:close/>
              </a:path>
            </a:pathLst>
          </a:cu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4143375" y="56549925"/>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2060"/>
                </a:solidFill>
              </a:rPr>
              <a:t>Wing</a:t>
            </a:r>
            <a:r>
              <a:rPr lang="en-IN" sz="1200" b="1" baseline="0">
                <a:solidFill>
                  <a:srgbClr val="002060"/>
                </a:solidFill>
              </a:rPr>
              <a:t> D</a:t>
            </a:r>
            <a:endParaRPr lang="en-IN" sz="1200" b="1">
              <a:solidFill>
                <a:srgbClr val="002060"/>
              </a:solidFill>
            </a:endParaRPr>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4448175" y="55845075"/>
            <a:ext cx="6858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2060"/>
                </a:solidFill>
              </a:rPr>
              <a:t>Wing</a:t>
            </a:r>
            <a:r>
              <a:rPr lang="en-IN" sz="1200" b="1" baseline="0">
                <a:solidFill>
                  <a:srgbClr val="002060"/>
                </a:solidFill>
              </a:rPr>
              <a:t> C</a:t>
            </a:r>
            <a:endParaRPr lang="en-IN" sz="1200" b="1">
              <a:solidFill>
                <a:srgbClr val="002060"/>
              </a:solidFill>
            </a:endParaRPr>
          </a:p>
        </xdr:txBody>
      </xdr:sp>
      <xdr:sp macro="" textlink="">
        <xdr:nvSpPr>
          <xdr:cNvPr id="28" name="Freeform 27">
            <a:extLst>
              <a:ext uri="{FF2B5EF4-FFF2-40B4-BE49-F238E27FC236}">
                <a16:creationId xmlns:a16="http://schemas.microsoft.com/office/drawing/2014/main" id="{00000000-0008-0000-0000-00001C000000}"/>
              </a:ext>
            </a:extLst>
          </xdr:cNvPr>
          <xdr:cNvSpPr/>
        </xdr:nvSpPr>
        <xdr:spPr>
          <a:xfrm>
            <a:off x="3000375" y="53768567"/>
            <a:ext cx="1343025" cy="590608"/>
          </a:xfrm>
          <a:custGeom>
            <a:avLst/>
            <a:gdLst>
              <a:gd name="connsiteX0" fmla="*/ 209550 w 1343025"/>
              <a:gd name="connsiteY0" fmla="*/ 9583 h 590608"/>
              <a:gd name="connsiteX1" fmla="*/ 209550 w 1343025"/>
              <a:gd name="connsiteY1" fmla="*/ 9583 h 590608"/>
              <a:gd name="connsiteX2" fmla="*/ 333375 w 1343025"/>
              <a:gd name="connsiteY2" fmla="*/ 58 h 590608"/>
              <a:gd name="connsiteX3" fmla="*/ 1057275 w 1343025"/>
              <a:gd name="connsiteY3" fmla="*/ 9583 h 590608"/>
              <a:gd name="connsiteX4" fmla="*/ 1333500 w 1343025"/>
              <a:gd name="connsiteY4" fmla="*/ 381058 h 590608"/>
              <a:gd name="connsiteX5" fmla="*/ 1343025 w 1343025"/>
              <a:gd name="connsiteY5" fmla="*/ 590608 h 590608"/>
              <a:gd name="connsiteX6" fmla="*/ 0 w 1343025"/>
              <a:gd name="connsiteY6" fmla="*/ 571558 h 590608"/>
              <a:gd name="connsiteX7" fmla="*/ 0 w 1343025"/>
              <a:gd name="connsiteY7" fmla="*/ 381058 h 590608"/>
              <a:gd name="connsiteX8" fmla="*/ 209550 w 1343025"/>
              <a:gd name="connsiteY8" fmla="*/ 9583 h 590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43025" h="590608">
                <a:moveTo>
                  <a:pt x="209550" y="9583"/>
                </a:moveTo>
                <a:lnTo>
                  <a:pt x="209550" y="9583"/>
                </a:lnTo>
                <a:cubicBezTo>
                  <a:pt x="307897" y="-1344"/>
                  <a:pt x="266524" y="58"/>
                  <a:pt x="333375" y="58"/>
                </a:cubicBezTo>
                <a:lnTo>
                  <a:pt x="1057275" y="9583"/>
                </a:lnTo>
                <a:lnTo>
                  <a:pt x="1333500" y="381058"/>
                </a:lnTo>
                <a:lnTo>
                  <a:pt x="1343025" y="590608"/>
                </a:lnTo>
                <a:lnTo>
                  <a:pt x="0" y="571558"/>
                </a:lnTo>
                <a:lnTo>
                  <a:pt x="0" y="381058"/>
                </a:lnTo>
                <a:lnTo>
                  <a:pt x="209550" y="9583"/>
                </a:lnTo>
                <a:close/>
              </a:path>
            </a:pathLst>
          </a:cu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Freeform 28">
            <a:extLst>
              <a:ext uri="{FF2B5EF4-FFF2-40B4-BE49-F238E27FC236}">
                <a16:creationId xmlns:a16="http://schemas.microsoft.com/office/drawing/2014/main" id="{00000000-0008-0000-0000-00001D000000}"/>
              </a:ext>
            </a:extLst>
          </xdr:cNvPr>
          <xdr:cNvSpPr/>
        </xdr:nvSpPr>
        <xdr:spPr>
          <a:xfrm>
            <a:off x="2352676" y="54578250"/>
            <a:ext cx="2438400" cy="685800"/>
          </a:xfrm>
          <a:custGeom>
            <a:avLst/>
            <a:gdLst>
              <a:gd name="connsiteX0" fmla="*/ 257175 w 2390775"/>
              <a:gd name="connsiteY0" fmla="*/ 0 h 685800"/>
              <a:gd name="connsiteX1" fmla="*/ 257175 w 2390775"/>
              <a:gd name="connsiteY1" fmla="*/ 0 h 685800"/>
              <a:gd name="connsiteX2" fmla="*/ 438150 w 2390775"/>
              <a:gd name="connsiteY2" fmla="*/ 0 h 685800"/>
              <a:gd name="connsiteX3" fmla="*/ 2085975 w 2390775"/>
              <a:gd name="connsiteY3" fmla="*/ 9525 h 685800"/>
              <a:gd name="connsiteX4" fmla="*/ 2390775 w 2390775"/>
              <a:gd name="connsiteY4" fmla="*/ 685800 h 685800"/>
              <a:gd name="connsiteX5" fmla="*/ 0 w 2390775"/>
              <a:gd name="connsiteY5" fmla="*/ 628650 h 685800"/>
              <a:gd name="connsiteX6" fmla="*/ 257175 w 2390775"/>
              <a:gd name="connsiteY6" fmla="*/ 0 h 685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90775" h="685800">
                <a:moveTo>
                  <a:pt x="257175" y="0"/>
                </a:moveTo>
                <a:lnTo>
                  <a:pt x="257175" y="0"/>
                </a:lnTo>
                <a:lnTo>
                  <a:pt x="438150" y="0"/>
                </a:lnTo>
                <a:lnTo>
                  <a:pt x="2085975" y="9525"/>
                </a:lnTo>
                <a:lnTo>
                  <a:pt x="2390775" y="685800"/>
                </a:lnTo>
                <a:lnTo>
                  <a:pt x="0" y="628650"/>
                </a:lnTo>
                <a:lnTo>
                  <a:pt x="257175" y="0"/>
                </a:lnTo>
                <a:close/>
              </a:path>
            </a:pathLst>
          </a:cu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164725</xdr:colOff>
      <xdr:row>291</xdr:row>
      <xdr:rowOff>29540</xdr:rowOff>
    </xdr:from>
    <xdr:to>
      <xdr:col>6</xdr:col>
      <xdr:colOff>698500</xdr:colOff>
      <xdr:row>307</xdr:row>
      <xdr:rowOff>69140</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964825" y="48689590"/>
          <a:ext cx="4820025" cy="3189200"/>
          <a:chOff x="1164850" y="49673840"/>
          <a:chExt cx="4620000" cy="3240000"/>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1164850" y="49673840"/>
            <a:ext cx="4620000" cy="324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stretch>
            <a:fillRect/>
          </a:stretch>
        </xdr:blipFill>
        <xdr:spPr>
          <a:xfrm>
            <a:off x="1581149" y="49930050"/>
            <a:ext cx="580952" cy="828571"/>
          </a:xfrm>
          <a:prstGeom prst="rect">
            <a:avLst/>
          </a:prstGeom>
        </xdr:spPr>
      </xdr:pic>
    </xdr:grpSp>
    <xdr:clientData/>
  </xdr:twoCellAnchor>
  <xdr:twoCellAnchor editAs="oneCell">
    <xdr:from>
      <xdr:col>0</xdr:col>
      <xdr:colOff>304800</xdr:colOff>
      <xdr:row>375</xdr:row>
      <xdr:rowOff>76200</xdr:rowOff>
    </xdr:from>
    <xdr:to>
      <xdr:col>7</xdr:col>
      <xdr:colOff>363608</xdr:colOff>
      <xdr:row>393</xdr:row>
      <xdr:rowOff>75750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4"/>
        <a:stretch>
          <a:fillRect/>
        </a:stretch>
      </xdr:blipFill>
      <xdr:spPr>
        <a:xfrm>
          <a:off x="304800" y="58512075"/>
          <a:ext cx="5640458" cy="3600000"/>
        </a:xfrm>
        <a:prstGeom prst="rect">
          <a:avLst/>
        </a:prstGeom>
        <a:ln>
          <a:solidFill>
            <a:schemeClr val="tx1"/>
          </a:solidFill>
        </a:ln>
      </xdr:spPr>
    </xdr:pic>
    <xdr:clientData/>
  </xdr:twoCellAnchor>
  <xdr:twoCellAnchor>
    <xdr:from>
      <xdr:col>1</xdr:col>
      <xdr:colOff>14097</xdr:colOff>
      <xdr:row>394</xdr:row>
      <xdr:rowOff>7076</xdr:rowOff>
    </xdr:from>
    <xdr:to>
      <xdr:col>6</xdr:col>
      <xdr:colOff>626177</xdr:colOff>
      <xdr:row>412</xdr:row>
      <xdr:rowOff>6626</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814197" y="68942676"/>
          <a:ext cx="4898330" cy="3542850"/>
          <a:chOff x="809715" y="62703988"/>
          <a:chExt cx="4702227" cy="3630256"/>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5"/>
          <a:stretch>
            <a:fillRect/>
          </a:stretch>
        </xdr:blipFill>
        <xdr:spPr>
          <a:xfrm>
            <a:off x="809715" y="62703988"/>
            <a:ext cx="4702227" cy="3630256"/>
          </a:xfrm>
          <a:prstGeom prst="rect">
            <a:avLst/>
          </a:prstGeom>
          <a:ln>
            <a:solidFill>
              <a:schemeClr val="tx1"/>
            </a:solidFill>
          </a:ln>
        </xdr:spPr>
      </xdr:pic>
      <xdr:sp macro="" textlink="">
        <xdr:nvSpPr>
          <xdr:cNvPr id="38" name="Freeform 37">
            <a:extLst>
              <a:ext uri="{FF2B5EF4-FFF2-40B4-BE49-F238E27FC236}">
                <a16:creationId xmlns:a16="http://schemas.microsoft.com/office/drawing/2014/main" id="{00000000-0008-0000-0000-000026000000}"/>
              </a:ext>
            </a:extLst>
          </xdr:cNvPr>
          <xdr:cNvSpPr/>
        </xdr:nvSpPr>
        <xdr:spPr>
          <a:xfrm rot="20245878">
            <a:off x="2672363" y="63405077"/>
            <a:ext cx="742694" cy="483796"/>
          </a:xfrm>
          <a:custGeom>
            <a:avLst/>
            <a:gdLst>
              <a:gd name="connsiteX0" fmla="*/ 209550 w 1343025"/>
              <a:gd name="connsiteY0" fmla="*/ 9583 h 590608"/>
              <a:gd name="connsiteX1" fmla="*/ 209550 w 1343025"/>
              <a:gd name="connsiteY1" fmla="*/ 9583 h 590608"/>
              <a:gd name="connsiteX2" fmla="*/ 333375 w 1343025"/>
              <a:gd name="connsiteY2" fmla="*/ 58 h 590608"/>
              <a:gd name="connsiteX3" fmla="*/ 1057275 w 1343025"/>
              <a:gd name="connsiteY3" fmla="*/ 9583 h 590608"/>
              <a:gd name="connsiteX4" fmla="*/ 1333500 w 1343025"/>
              <a:gd name="connsiteY4" fmla="*/ 381058 h 590608"/>
              <a:gd name="connsiteX5" fmla="*/ 1343025 w 1343025"/>
              <a:gd name="connsiteY5" fmla="*/ 590608 h 590608"/>
              <a:gd name="connsiteX6" fmla="*/ 0 w 1343025"/>
              <a:gd name="connsiteY6" fmla="*/ 571558 h 590608"/>
              <a:gd name="connsiteX7" fmla="*/ 0 w 1343025"/>
              <a:gd name="connsiteY7" fmla="*/ 381058 h 590608"/>
              <a:gd name="connsiteX8" fmla="*/ 209550 w 1343025"/>
              <a:gd name="connsiteY8" fmla="*/ 9583 h 590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43025" h="590608">
                <a:moveTo>
                  <a:pt x="209550" y="9583"/>
                </a:moveTo>
                <a:lnTo>
                  <a:pt x="209550" y="9583"/>
                </a:lnTo>
                <a:cubicBezTo>
                  <a:pt x="307897" y="-1344"/>
                  <a:pt x="266524" y="58"/>
                  <a:pt x="333375" y="58"/>
                </a:cubicBezTo>
                <a:lnTo>
                  <a:pt x="1057275" y="9583"/>
                </a:lnTo>
                <a:lnTo>
                  <a:pt x="1333500" y="381058"/>
                </a:lnTo>
                <a:lnTo>
                  <a:pt x="1343025" y="590608"/>
                </a:lnTo>
                <a:lnTo>
                  <a:pt x="0" y="571558"/>
                </a:lnTo>
                <a:lnTo>
                  <a:pt x="0" y="381058"/>
                </a:lnTo>
                <a:lnTo>
                  <a:pt x="209550" y="9583"/>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Freeform 38">
            <a:extLst>
              <a:ext uri="{FF2B5EF4-FFF2-40B4-BE49-F238E27FC236}">
                <a16:creationId xmlns:a16="http://schemas.microsoft.com/office/drawing/2014/main" id="{00000000-0008-0000-0000-000027000000}"/>
              </a:ext>
            </a:extLst>
          </xdr:cNvPr>
          <xdr:cNvSpPr/>
        </xdr:nvSpPr>
        <xdr:spPr>
          <a:xfrm rot="20252550">
            <a:off x="2483189" y="63962192"/>
            <a:ext cx="1352517" cy="276623"/>
          </a:xfrm>
          <a:custGeom>
            <a:avLst/>
            <a:gdLst>
              <a:gd name="connsiteX0" fmla="*/ 257175 w 2390775"/>
              <a:gd name="connsiteY0" fmla="*/ 0 h 685800"/>
              <a:gd name="connsiteX1" fmla="*/ 257175 w 2390775"/>
              <a:gd name="connsiteY1" fmla="*/ 0 h 685800"/>
              <a:gd name="connsiteX2" fmla="*/ 438150 w 2390775"/>
              <a:gd name="connsiteY2" fmla="*/ 0 h 685800"/>
              <a:gd name="connsiteX3" fmla="*/ 2085975 w 2390775"/>
              <a:gd name="connsiteY3" fmla="*/ 9525 h 685800"/>
              <a:gd name="connsiteX4" fmla="*/ 2390775 w 2390775"/>
              <a:gd name="connsiteY4" fmla="*/ 685800 h 685800"/>
              <a:gd name="connsiteX5" fmla="*/ 0 w 2390775"/>
              <a:gd name="connsiteY5" fmla="*/ 628650 h 685800"/>
              <a:gd name="connsiteX6" fmla="*/ 257175 w 2390775"/>
              <a:gd name="connsiteY6" fmla="*/ 0 h 685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90775" h="685800">
                <a:moveTo>
                  <a:pt x="257175" y="0"/>
                </a:moveTo>
                <a:lnTo>
                  <a:pt x="257175" y="0"/>
                </a:lnTo>
                <a:lnTo>
                  <a:pt x="438150" y="0"/>
                </a:lnTo>
                <a:lnTo>
                  <a:pt x="2085975" y="9525"/>
                </a:lnTo>
                <a:lnTo>
                  <a:pt x="2390775" y="685800"/>
                </a:lnTo>
                <a:lnTo>
                  <a:pt x="0" y="628650"/>
                </a:lnTo>
                <a:lnTo>
                  <a:pt x="257175"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3361765" y="63279618"/>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G</a:t>
            </a:r>
            <a:endParaRPr lang="en-IN" sz="1200" b="1">
              <a:solidFill>
                <a:srgbClr val="FFFF00"/>
              </a:solidFill>
            </a:endParaRPr>
          </a:p>
        </xdr:txBody>
      </xdr:sp>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3641911" y="63627000"/>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F</a:t>
            </a:r>
            <a:endParaRPr lang="en-IN" sz="1200" b="1">
              <a:solidFill>
                <a:srgbClr val="FFFF00"/>
              </a:solidFill>
            </a:endParaRPr>
          </a:p>
        </xdr:txBody>
      </xdr:sp>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949824" y="64142471"/>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E</a:t>
            </a:r>
            <a:endParaRPr lang="en-IN" sz="1200" b="1">
              <a:solidFill>
                <a:srgbClr val="FFFF00"/>
              </a:solidFill>
            </a:endParaRPr>
          </a:p>
        </xdr:txBody>
      </xdr:sp>
    </xdr:grpSp>
    <xdr:clientData/>
  </xdr:twoCellAnchor>
  <xdr:twoCellAnchor>
    <xdr:from>
      <xdr:col>9</xdr:col>
      <xdr:colOff>0</xdr:colOff>
      <xdr:row>366</xdr:row>
      <xdr:rowOff>0</xdr:rowOff>
    </xdr:from>
    <xdr:to>
      <xdr:col>10</xdr:col>
      <xdr:colOff>304799</xdr:colOff>
      <xdr:row>367</xdr:row>
      <xdr:rowOff>180975</xdr:rowOff>
    </xdr:to>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7474324" y="55760471"/>
          <a:ext cx="1066799" cy="382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a:t>
          </a:r>
          <a:r>
            <a:rPr lang="en-IN" sz="1400" b="1" baseline="0">
              <a:solidFill>
                <a:srgbClr val="FF0000"/>
              </a:solidFill>
            </a:rPr>
            <a:t> - I </a:t>
          </a:r>
          <a:endParaRPr lang="en-IN" sz="1400" b="1">
            <a:solidFill>
              <a:srgbClr val="FF0000"/>
            </a:solidFill>
          </a:endParaRPr>
        </a:p>
      </xdr:txBody>
    </xdr:sp>
    <xdr:clientData/>
  </xdr:twoCellAnchor>
  <xdr:twoCellAnchor editAs="oneCell">
    <xdr:from>
      <xdr:col>0</xdr:col>
      <xdr:colOff>324971</xdr:colOff>
      <xdr:row>335</xdr:row>
      <xdr:rowOff>0</xdr:rowOff>
    </xdr:from>
    <xdr:to>
      <xdr:col>7</xdr:col>
      <xdr:colOff>337298</xdr:colOff>
      <xdr:row>361</xdr:row>
      <xdr:rowOff>155647</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24971" y="58382647"/>
          <a:ext cx="5592856" cy="5400000"/>
        </a:xfrm>
        <a:prstGeom prst="rect">
          <a:avLst/>
        </a:prstGeom>
        <a:ln>
          <a:solidFill>
            <a:schemeClr val="tx1"/>
          </a:solidFill>
        </a:ln>
      </xdr:spPr>
    </xdr:pic>
    <xdr:clientData/>
  </xdr:twoCellAnchor>
  <xdr:twoCellAnchor>
    <xdr:from>
      <xdr:col>5</xdr:col>
      <xdr:colOff>157718</xdr:colOff>
      <xdr:row>346</xdr:row>
      <xdr:rowOff>116754</xdr:rowOff>
    </xdr:from>
    <xdr:to>
      <xdr:col>6</xdr:col>
      <xdr:colOff>302559</xdr:colOff>
      <xdr:row>348</xdr:row>
      <xdr:rowOff>100852</xdr:rowOff>
    </xdr:to>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4270277" y="60718166"/>
          <a:ext cx="884429" cy="387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C00000"/>
              </a:solidFill>
            </a:rPr>
            <a:t>Wing</a:t>
          </a:r>
          <a:r>
            <a:rPr lang="en-IN" sz="1600" b="1" baseline="0">
              <a:solidFill>
                <a:srgbClr val="C00000"/>
              </a:solidFill>
            </a:rPr>
            <a:t> F</a:t>
          </a:r>
          <a:endParaRPr lang="en-IN" sz="1600" b="1">
            <a:solidFill>
              <a:srgbClr val="C00000"/>
            </a:solidFill>
          </a:endParaRPr>
        </a:p>
      </xdr:txBody>
    </xdr:sp>
    <xdr:clientData/>
  </xdr:twoCellAnchor>
  <xdr:twoCellAnchor>
    <xdr:from>
      <xdr:col>4</xdr:col>
      <xdr:colOff>23845</xdr:colOff>
      <xdr:row>342</xdr:row>
      <xdr:rowOff>123264</xdr:rowOff>
    </xdr:from>
    <xdr:to>
      <xdr:col>5</xdr:col>
      <xdr:colOff>123862</xdr:colOff>
      <xdr:row>344</xdr:row>
      <xdr:rowOff>107362</xdr:rowOff>
    </xdr:to>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3351992" y="59917852"/>
          <a:ext cx="884429" cy="387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C00000"/>
              </a:solidFill>
            </a:rPr>
            <a:t>Wing</a:t>
          </a:r>
          <a:r>
            <a:rPr lang="en-IN" sz="1600" b="1" baseline="0">
              <a:solidFill>
                <a:srgbClr val="C00000"/>
              </a:solidFill>
            </a:rPr>
            <a:t> G</a:t>
          </a:r>
          <a:endParaRPr lang="en-IN" sz="1600" b="1">
            <a:solidFill>
              <a:srgbClr val="C00000"/>
            </a:solidFill>
          </a:endParaRPr>
        </a:p>
      </xdr:txBody>
    </xdr:sp>
    <xdr:clientData/>
  </xdr:twoCellAnchor>
  <xdr:twoCellAnchor>
    <xdr:from>
      <xdr:col>2</xdr:col>
      <xdr:colOff>437029</xdr:colOff>
      <xdr:row>346</xdr:row>
      <xdr:rowOff>67125</xdr:rowOff>
    </xdr:from>
    <xdr:to>
      <xdr:col>3</xdr:col>
      <xdr:colOff>469811</xdr:colOff>
      <xdr:row>348</xdr:row>
      <xdr:rowOff>51223</xdr:rowOff>
    </xdr:to>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1994647" y="60668537"/>
          <a:ext cx="884429" cy="387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C00000"/>
              </a:solidFill>
            </a:rPr>
            <a:t>Wing</a:t>
          </a:r>
          <a:r>
            <a:rPr lang="en-IN" sz="1600" b="1" baseline="0">
              <a:solidFill>
                <a:srgbClr val="C00000"/>
              </a:solidFill>
            </a:rPr>
            <a:t> E</a:t>
          </a:r>
          <a:endParaRPr lang="en-IN" sz="1600" b="1">
            <a:solidFill>
              <a:srgbClr val="C00000"/>
            </a:solidFill>
          </a:endParaRPr>
        </a:p>
      </xdr:txBody>
    </xdr:sp>
    <xdr:clientData/>
  </xdr:twoCellAnchor>
  <xdr:twoCellAnchor>
    <xdr:from>
      <xdr:col>2</xdr:col>
      <xdr:colOff>481852</xdr:colOff>
      <xdr:row>349</xdr:row>
      <xdr:rowOff>145676</xdr:rowOff>
    </xdr:from>
    <xdr:to>
      <xdr:col>4</xdr:col>
      <xdr:colOff>257735</xdr:colOff>
      <xdr:row>350</xdr:row>
      <xdr:rowOff>134470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2039470" y="61128088"/>
          <a:ext cx="1546412" cy="190500"/>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740264</xdr:colOff>
      <xdr:row>350</xdr:row>
      <xdr:rowOff>56029</xdr:rowOff>
    </xdr:from>
    <xdr:to>
      <xdr:col>3</xdr:col>
      <xdr:colOff>160801</xdr:colOff>
      <xdr:row>352</xdr:row>
      <xdr:rowOff>36787</xdr:rowOff>
    </xdr:to>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1502264" y="61240147"/>
          <a:ext cx="1067802" cy="384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a:t>
          </a:r>
          <a:r>
            <a:rPr lang="en-IN" sz="1400" b="1" baseline="0">
              <a:solidFill>
                <a:srgbClr val="FF0000"/>
              </a:solidFill>
            </a:rPr>
            <a:t> - I </a:t>
          </a:r>
          <a:endParaRPr lang="en-IN" sz="1400" b="1">
            <a:solidFill>
              <a:srgbClr val="FF0000"/>
            </a:solidFill>
          </a:endParaRPr>
        </a:p>
      </xdr:txBody>
    </xdr:sp>
    <xdr:clientData/>
  </xdr:twoCellAnchor>
  <xdr:twoCellAnchor>
    <xdr:from>
      <xdr:col>4</xdr:col>
      <xdr:colOff>556750</xdr:colOff>
      <xdr:row>350</xdr:row>
      <xdr:rowOff>38417</xdr:rowOff>
    </xdr:from>
    <xdr:to>
      <xdr:col>6</xdr:col>
      <xdr:colOff>100552</xdr:colOff>
      <xdr:row>352</xdr:row>
      <xdr:rowOff>19175</xdr:rowOff>
    </xdr:to>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3884897" y="61222535"/>
          <a:ext cx="1067802" cy="384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002060"/>
              </a:solidFill>
            </a:rPr>
            <a:t>Phase</a:t>
          </a:r>
          <a:r>
            <a:rPr lang="en-IN" sz="1400" b="1" baseline="0">
              <a:solidFill>
                <a:srgbClr val="002060"/>
              </a:solidFill>
            </a:rPr>
            <a:t> - II</a:t>
          </a:r>
          <a:endParaRPr lang="en-IN" sz="1400" b="1">
            <a:solidFill>
              <a:srgbClr val="002060"/>
            </a:solidFill>
          </a:endParaRPr>
        </a:p>
      </xdr:txBody>
    </xdr:sp>
    <xdr:clientData/>
  </xdr:twoCellAnchor>
  <xdr:twoCellAnchor>
    <xdr:from>
      <xdr:col>1</xdr:col>
      <xdr:colOff>616324</xdr:colOff>
      <xdr:row>354</xdr:row>
      <xdr:rowOff>142399</xdr:rowOff>
    </xdr:from>
    <xdr:to>
      <xdr:col>2</xdr:col>
      <xdr:colOff>507151</xdr:colOff>
      <xdr:row>356</xdr:row>
      <xdr:rowOff>65531</xdr:rowOff>
    </xdr:to>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1378324" y="62133340"/>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A</a:t>
          </a:r>
          <a:endParaRPr lang="en-IN" sz="1200" b="1">
            <a:solidFill>
              <a:srgbClr val="FF0000"/>
            </a:solidFill>
          </a:endParaRPr>
        </a:p>
      </xdr:txBody>
    </xdr:sp>
    <xdr:clientData/>
  </xdr:twoCellAnchor>
  <xdr:twoCellAnchor>
    <xdr:from>
      <xdr:col>2</xdr:col>
      <xdr:colOff>669226</xdr:colOff>
      <xdr:row>356</xdr:row>
      <xdr:rowOff>132760</xdr:rowOff>
    </xdr:from>
    <xdr:to>
      <xdr:col>3</xdr:col>
      <xdr:colOff>504024</xdr:colOff>
      <xdr:row>358</xdr:row>
      <xdr:rowOff>55892</xdr:rowOff>
    </xdr:to>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2226844" y="62527113"/>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Wing</a:t>
          </a:r>
          <a:r>
            <a:rPr lang="en-IN" sz="1200" b="1" baseline="0">
              <a:solidFill>
                <a:srgbClr val="FF0000"/>
              </a:solidFill>
            </a:rPr>
            <a:t> B</a:t>
          </a:r>
          <a:endParaRPr lang="en-IN" sz="1200" b="1">
            <a:solidFill>
              <a:srgbClr val="FF0000"/>
            </a:solidFill>
          </a:endParaRPr>
        </a:p>
      </xdr:txBody>
    </xdr:sp>
    <xdr:clientData/>
  </xdr:twoCellAnchor>
  <xdr:twoCellAnchor>
    <xdr:from>
      <xdr:col>5</xdr:col>
      <xdr:colOff>67891</xdr:colOff>
      <xdr:row>356</xdr:row>
      <xdr:rowOff>105543</xdr:rowOff>
    </xdr:from>
    <xdr:to>
      <xdr:col>6</xdr:col>
      <xdr:colOff>14748</xdr:colOff>
      <xdr:row>358</xdr:row>
      <xdr:rowOff>28675</xdr:rowOff>
    </xdr:to>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4180450" y="62499896"/>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2060"/>
              </a:solidFill>
            </a:rPr>
            <a:t>Wing</a:t>
          </a:r>
          <a:r>
            <a:rPr lang="en-IN" sz="1200" b="1" baseline="0">
              <a:solidFill>
                <a:srgbClr val="002060"/>
              </a:solidFill>
            </a:rPr>
            <a:t> D</a:t>
          </a:r>
          <a:endParaRPr lang="en-IN" sz="1200" b="1">
            <a:solidFill>
              <a:srgbClr val="002060"/>
            </a:solidFill>
          </a:endParaRPr>
        </a:p>
      </xdr:txBody>
    </xdr:sp>
    <xdr:clientData/>
  </xdr:twoCellAnchor>
  <xdr:twoCellAnchor>
    <xdr:from>
      <xdr:col>5</xdr:col>
      <xdr:colOff>372977</xdr:colOff>
      <xdr:row>352</xdr:row>
      <xdr:rowOff>201655</xdr:rowOff>
    </xdr:from>
    <xdr:to>
      <xdr:col>6</xdr:col>
      <xdr:colOff>319834</xdr:colOff>
      <xdr:row>354</xdr:row>
      <xdr:rowOff>124787</xdr:rowOff>
    </xdr:to>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4485536" y="61789184"/>
          <a:ext cx="686445" cy="32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2060"/>
              </a:solidFill>
            </a:rPr>
            <a:t>Wing</a:t>
          </a:r>
          <a:r>
            <a:rPr lang="en-IN" sz="1200" b="1" baseline="0">
              <a:solidFill>
                <a:srgbClr val="002060"/>
              </a:solidFill>
            </a:rPr>
            <a:t> C</a:t>
          </a:r>
          <a:endParaRPr lang="en-IN" sz="1200" b="1">
            <a:solidFill>
              <a:srgbClr val="002060"/>
            </a:solidFill>
          </a:endParaRPr>
        </a:p>
      </xdr:txBody>
    </xdr:sp>
    <xdr:clientData/>
  </xdr:twoCellAnchor>
  <xdr:twoCellAnchor>
    <xdr:from>
      <xdr:col>0</xdr:col>
      <xdr:colOff>292100</xdr:colOff>
      <xdr:row>249</xdr:row>
      <xdr:rowOff>120650</xdr:rowOff>
    </xdr:from>
    <xdr:to>
      <xdr:col>7</xdr:col>
      <xdr:colOff>1087823</xdr:colOff>
      <xdr:row>287</xdr:row>
      <xdr:rowOff>79862</xdr:rowOff>
    </xdr:to>
    <xdr:grpSp>
      <xdr:nvGrpSpPr>
        <xdr:cNvPr id="3" name="Group 2"/>
        <xdr:cNvGrpSpPr/>
      </xdr:nvGrpSpPr>
      <xdr:grpSpPr>
        <a:xfrm>
          <a:off x="292100" y="40519350"/>
          <a:ext cx="6650423" cy="7433162"/>
          <a:chOff x="292100" y="40519350"/>
          <a:chExt cx="6650423" cy="7433162"/>
        </a:xfrm>
      </xdr:grpSpPr>
      <xdr:pic>
        <xdr:nvPicPr>
          <xdr:cNvPr id="52" name="Picture 5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696090" y="46152512"/>
            <a:ext cx="2246433" cy="18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90119" y="43335931"/>
            <a:ext cx="2057724" cy="273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231854" y="46152512"/>
            <a:ext cx="1348125" cy="180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92100" y="46152512"/>
            <a:ext cx="1353766" cy="180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06188" y="40519350"/>
            <a:ext cx="2057724" cy="2736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90119" y="40519350"/>
            <a:ext cx="2057724" cy="2736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06188" y="43335931"/>
            <a:ext cx="2057724" cy="273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774050" y="40519350"/>
            <a:ext cx="2057724" cy="2736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61977" y="46152512"/>
            <a:ext cx="1353766" cy="180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774050" y="43335931"/>
            <a:ext cx="2057724" cy="2736000"/>
          </a:xfrm>
          <a:prstGeom prst="rect">
            <a:avLst/>
          </a:prstGeom>
          <a:ln>
            <a:solidFill>
              <a:schemeClr val="tx1"/>
            </a:solidFill>
          </a:ln>
        </xdr:spPr>
      </xdr:pic>
      <xdr:sp macro="" textlink="">
        <xdr:nvSpPr>
          <xdr:cNvPr id="62" name="TextBox 61">
            <a:extLst>
              <a:ext uri="{FF2B5EF4-FFF2-40B4-BE49-F238E27FC236}">
                <a16:creationId xmlns:a16="http://schemas.microsoft.com/office/drawing/2014/main" id="{00000000-0008-0000-0000-000009000000}"/>
              </a:ext>
            </a:extLst>
          </xdr:cNvPr>
          <xdr:cNvSpPr txBox="1"/>
        </xdr:nvSpPr>
        <xdr:spPr>
          <a:xfrm>
            <a:off x="1574588" y="42341800"/>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E</a:t>
            </a:r>
          </a:p>
        </xdr:txBody>
      </xdr:sp>
      <xdr:sp macro="" textlink="">
        <xdr:nvSpPr>
          <xdr:cNvPr id="73" name="TextBox 72">
            <a:extLst>
              <a:ext uri="{FF2B5EF4-FFF2-40B4-BE49-F238E27FC236}">
                <a16:creationId xmlns:a16="http://schemas.microsoft.com/office/drawing/2014/main" id="{00000000-0008-0000-0000-000009000000}"/>
              </a:ext>
            </a:extLst>
          </xdr:cNvPr>
          <xdr:cNvSpPr txBox="1"/>
        </xdr:nvSpPr>
        <xdr:spPr>
          <a:xfrm>
            <a:off x="488738" y="42551350"/>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F</a:t>
            </a:r>
          </a:p>
        </xdr:txBody>
      </xdr:sp>
      <xdr:sp macro="" textlink="">
        <xdr:nvSpPr>
          <xdr:cNvPr id="74" name="TextBox 73">
            <a:extLst>
              <a:ext uri="{FF2B5EF4-FFF2-40B4-BE49-F238E27FC236}">
                <a16:creationId xmlns:a16="http://schemas.microsoft.com/office/drawing/2014/main" id="{00000000-0008-0000-0000-000009000000}"/>
              </a:ext>
            </a:extLst>
          </xdr:cNvPr>
          <xdr:cNvSpPr txBox="1"/>
        </xdr:nvSpPr>
        <xdr:spPr>
          <a:xfrm>
            <a:off x="2659969" y="42373550"/>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E</a:t>
            </a:r>
          </a:p>
        </xdr:txBody>
      </xdr:sp>
      <xdr:sp macro="" textlink="">
        <xdr:nvSpPr>
          <xdr:cNvPr id="75" name="TextBox 74">
            <a:extLst>
              <a:ext uri="{FF2B5EF4-FFF2-40B4-BE49-F238E27FC236}">
                <a16:creationId xmlns:a16="http://schemas.microsoft.com/office/drawing/2014/main" id="{00000000-0008-0000-0000-000009000000}"/>
              </a:ext>
            </a:extLst>
          </xdr:cNvPr>
          <xdr:cNvSpPr txBox="1"/>
        </xdr:nvSpPr>
        <xdr:spPr>
          <a:xfrm>
            <a:off x="3783919" y="42589450"/>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F</a:t>
            </a:r>
          </a:p>
        </xdr:txBody>
      </xdr:sp>
      <xdr:sp macro="" textlink="">
        <xdr:nvSpPr>
          <xdr:cNvPr id="76" name="TextBox 75">
            <a:extLst>
              <a:ext uri="{FF2B5EF4-FFF2-40B4-BE49-F238E27FC236}">
                <a16:creationId xmlns:a16="http://schemas.microsoft.com/office/drawing/2014/main" id="{00000000-0008-0000-0000-000009000000}"/>
              </a:ext>
            </a:extLst>
          </xdr:cNvPr>
          <xdr:cNvSpPr txBox="1"/>
        </xdr:nvSpPr>
        <xdr:spPr>
          <a:xfrm>
            <a:off x="5440800" y="42170350"/>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E</a:t>
            </a:r>
          </a:p>
        </xdr:txBody>
      </xdr:sp>
      <xdr:sp macro="" textlink="">
        <xdr:nvSpPr>
          <xdr:cNvPr id="77" name="TextBox 76">
            <a:extLst>
              <a:ext uri="{FF2B5EF4-FFF2-40B4-BE49-F238E27FC236}">
                <a16:creationId xmlns:a16="http://schemas.microsoft.com/office/drawing/2014/main" id="{00000000-0008-0000-0000-000009000000}"/>
              </a:ext>
            </a:extLst>
          </xdr:cNvPr>
          <xdr:cNvSpPr txBox="1"/>
        </xdr:nvSpPr>
        <xdr:spPr>
          <a:xfrm>
            <a:off x="857038" y="45336181"/>
            <a:ext cx="72072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a:ln w="0"/>
                <a:solidFill>
                  <a:srgbClr val="FFFF00"/>
                </a:solidFill>
                <a:effectLst>
                  <a:outerShdw blurRad="38100" dist="25400" dir="5400000" algn="ctr" rotWithShape="0">
                    <a:srgbClr val="6E747A">
                      <a:alpha val="43000"/>
                    </a:srgbClr>
                  </a:outerShdw>
                </a:effectLst>
              </a:rPr>
              <a:t>Wing F</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9Wvuiw2De4y6QtC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7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2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61" t="s">
        <v>162</v>
      </c>
      <c r="B1" s="161"/>
      <c r="C1" s="161"/>
      <c r="D1" s="161"/>
      <c r="E1" s="161"/>
      <c r="F1" s="161"/>
      <c r="G1" s="161"/>
      <c r="H1" s="161"/>
    </row>
    <row r="2" spans="1:26" ht="16.5" customHeight="1" x14ac:dyDescent="0.35">
      <c r="A2" s="162" t="s">
        <v>0</v>
      </c>
      <c r="B2" s="162"/>
      <c r="C2" s="162"/>
      <c r="D2" s="162"/>
      <c r="E2" s="162"/>
      <c r="F2" s="162"/>
      <c r="G2" s="162"/>
      <c r="H2" s="162"/>
    </row>
    <row r="3" spans="1:26" x14ac:dyDescent="0.35">
      <c r="A3" s="133" t="s">
        <v>1</v>
      </c>
      <c r="B3" s="133"/>
      <c r="C3" s="133"/>
      <c r="D3" s="133"/>
      <c r="E3" s="133" t="str">
        <f ca="1">TEXT(TODAY(),"DD/MM/YYYY")</f>
        <v>10/09/2025</v>
      </c>
      <c r="F3" s="133"/>
      <c r="G3" s="133"/>
      <c r="H3" s="133"/>
      <c r="K3" s="48" t="s">
        <v>233</v>
      </c>
      <c r="L3" s="47" t="s">
        <v>231</v>
      </c>
      <c r="M3" s="47" t="s">
        <v>236</v>
      </c>
      <c r="N3" s="47" t="s">
        <v>234</v>
      </c>
      <c r="O3" s="47" t="s">
        <v>235</v>
      </c>
      <c r="P3" s="47" t="s">
        <v>237</v>
      </c>
    </row>
    <row r="4" spans="1:26" ht="15" customHeight="1" x14ac:dyDescent="0.35">
      <c r="A4" s="133" t="s">
        <v>230</v>
      </c>
      <c r="B4" s="133"/>
      <c r="C4" s="133"/>
      <c r="D4" s="133"/>
      <c r="E4" s="152" t="s">
        <v>231</v>
      </c>
      <c r="F4" s="152"/>
      <c r="G4" s="152"/>
      <c r="H4" s="152"/>
      <c r="K4" s="46" t="s">
        <v>232</v>
      </c>
      <c r="L4" s="47" t="s">
        <v>168</v>
      </c>
      <c r="M4" s="47" t="s">
        <v>241</v>
      </c>
      <c r="N4" s="47" t="s">
        <v>243</v>
      </c>
      <c r="O4" s="47" t="s">
        <v>245</v>
      </c>
      <c r="P4" s="47"/>
    </row>
    <row r="5" spans="1:26" ht="15" customHeight="1" x14ac:dyDescent="0.35">
      <c r="A5" s="133" t="s">
        <v>2</v>
      </c>
      <c r="B5" s="133"/>
      <c r="C5" s="133"/>
      <c r="D5" s="133"/>
      <c r="E5" s="152" t="s">
        <v>240</v>
      </c>
      <c r="F5" s="152"/>
      <c r="G5" s="152"/>
      <c r="H5" s="152"/>
      <c r="K5" s="46"/>
      <c r="L5" s="47" t="s">
        <v>238</v>
      </c>
      <c r="M5" s="47" t="s">
        <v>242</v>
      </c>
      <c r="N5" s="47" t="s">
        <v>244</v>
      </c>
      <c r="O5" s="47" t="s">
        <v>246</v>
      </c>
      <c r="P5" s="47"/>
    </row>
    <row r="6" spans="1:26" x14ac:dyDescent="0.35">
      <c r="A6" s="133" t="s">
        <v>3</v>
      </c>
      <c r="B6" s="133"/>
      <c r="C6" s="133"/>
      <c r="D6" s="133"/>
      <c r="E6" s="164">
        <v>45908</v>
      </c>
      <c r="F6" s="133"/>
      <c r="G6" s="133"/>
      <c r="H6" s="133"/>
      <c r="K6" s="46"/>
      <c r="L6" s="47" t="s">
        <v>239</v>
      </c>
      <c r="M6" s="47"/>
      <c r="N6" s="47"/>
      <c r="O6" s="47" t="s">
        <v>247</v>
      </c>
      <c r="P6" s="47"/>
    </row>
    <row r="7" spans="1:26" ht="16.5" customHeight="1" x14ac:dyDescent="0.35">
      <c r="A7" s="133" t="s">
        <v>4</v>
      </c>
      <c r="B7" s="133"/>
      <c r="C7" s="133"/>
      <c r="D7" s="133"/>
      <c r="E7" s="133" t="s">
        <v>332</v>
      </c>
      <c r="F7" s="133"/>
      <c r="G7" s="133"/>
      <c r="H7" s="133"/>
      <c r="K7" s="46"/>
      <c r="L7" s="47" t="s">
        <v>240</v>
      </c>
      <c r="M7" s="47"/>
      <c r="N7" s="47"/>
      <c r="O7" s="47" t="s">
        <v>247</v>
      </c>
      <c r="P7" s="47"/>
    </row>
    <row r="8" spans="1:26" ht="15" customHeight="1" x14ac:dyDescent="0.35">
      <c r="A8" s="133" t="s">
        <v>5</v>
      </c>
      <c r="B8" s="133"/>
      <c r="C8" s="133"/>
      <c r="D8" s="133"/>
      <c r="E8" s="133" t="str">
        <f>E7</f>
        <v>Om Vastu Homes NX</v>
      </c>
      <c r="F8" s="133"/>
      <c r="G8" s="133"/>
      <c r="H8" s="133"/>
      <c r="K8" s="46"/>
      <c r="L8" s="47"/>
      <c r="M8" s="47"/>
      <c r="N8" s="47"/>
      <c r="O8" s="47" t="s">
        <v>248</v>
      </c>
      <c r="P8" s="47"/>
    </row>
    <row r="9" spans="1:26" x14ac:dyDescent="0.35">
      <c r="A9" s="133" t="s">
        <v>6</v>
      </c>
      <c r="B9" s="133"/>
      <c r="C9" s="133"/>
      <c r="D9" s="133"/>
      <c r="E9" s="163" t="s">
        <v>333</v>
      </c>
      <c r="F9" s="163"/>
      <c r="G9" s="163"/>
      <c r="H9" s="163"/>
      <c r="K9" s="46"/>
      <c r="L9" s="47"/>
      <c r="M9" s="47"/>
      <c r="N9" s="47"/>
      <c r="O9" s="47" t="s">
        <v>249</v>
      </c>
      <c r="P9" s="47"/>
    </row>
    <row r="10" spans="1:26" x14ac:dyDescent="0.35">
      <c r="A10" s="133" t="s">
        <v>165</v>
      </c>
      <c r="B10" s="133"/>
      <c r="C10" s="133"/>
      <c r="D10" s="133"/>
      <c r="E10" s="118" t="s">
        <v>334</v>
      </c>
      <c r="F10" s="133"/>
      <c r="G10" s="133"/>
      <c r="H10" s="133"/>
      <c r="K10" s="46"/>
      <c r="L10" s="47"/>
      <c r="M10" s="47"/>
      <c r="N10" s="47"/>
      <c r="O10" s="47"/>
      <c r="P10" s="47"/>
    </row>
    <row r="11" spans="1:26" x14ac:dyDescent="0.35">
      <c r="A11" s="133" t="s">
        <v>166</v>
      </c>
      <c r="B11" s="133"/>
      <c r="C11" s="133"/>
      <c r="D11" s="133"/>
      <c r="E11" s="133" t="s">
        <v>28</v>
      </c>
      <c r="F11" s="133"/>
      <c r="G11" s="133"/>
      <c r="H11" s="133"/>
    </row>
    <row r="12" spans="1:26" x14ac:dyDescent="0.35">
      <c r="A12" s="133" t="s">
        <v>7</v>
      </c>
      <c r="B12" s="133"/>
      <c r="C12" s="133"/>
      <c r="D12" s="133"/>
      <c r="E12" s="133" t="s">
        <v>335</v>
      </c>
      <c r="F12" s="133"/>
      <c r="G12" s="133"/>
      <c r="H12" s="133"/>
    </row>
    <row r="13" spans="1:26" x14ac:dyDescent="0.35">
      <c r="A13" s="133" t="s">
        <v>169</v>
      </c>
      <c r="B13" s="133"/>
      <c r="C13" s="133"/>
      <c r="D13" s="133"/>
      <c r="E13" s="133" t="s">
        <v>28</v>
      </c>
      <c r="F13" s="133"/>
      <c r="G13" s="133"/>
      <c r="H13" s="133"/>
      <c r="S13" s="47" t="s">
        <v>176</v>
      </c>
      <c r="T13" s="47" t="s">
        <v>185</v>
      </c>
      <c r="U13" s="47" t="s">
        <v>170</v>
      </c>
      <c r="V13" s="47" t="s">
        <v>190</v>
      </c>
      <c r="W13" s="47" t="s">
        <v>208</v>
      </c>
      <c r="X13"/>
      <c r="Y13" t="s">
        <v>190</v>
      </c>
      <c r="Z13" t="e">
        <f ca="1">OFFSET($S$13,1,MATCH($G20,$S$13:$W$13,0)-1,15,1)</f>
        <v>#VALUE!</v>
      </c>
    </row>
    <row r="14" spans="1:26" x14ac:dyDescent="0.35">
      <c r="A14" s="79" t="s">
        <v>276</v>
      </c>
      <c r="B14" s="79"/>
      <c r="C14" s="79"/>
      <c r="D14" s="79"/>
      <c r="E14" s="159" t="s">
        <v>370</v>
      </c>
      <c r="F14" s="159"/>
      <c r="G14" s="159"/>
      <c r="H14" s="159"/>
      <c r="S14" s="47" t="s">
        <v>176</v>
      </c>
      <c r="T14" s="47" t="s">
        <v>183</v>
      </c>
      <c r="U14" s="47" t="s">
        <v>205</v>
      </c>
      <c r="V14" s="47" t="s">
        <v>191</v>
      </c>
      <c r="W14" s="47" t="s">
        <v>209</v>
      </c>
      <c r="X14"/>
      <c r="Y14"/>
      <c r="Z14"/>
    </row>
    <row r="15" spans="1:26" x14ac:dyDescent="0.35">
      <c r="A15" s="79" t="s">
        <v>8</v>
      </c>
      <c r="B15" s="79"/>
      <c r="C15" s="79"/>
      <c r="D15" s="79"/>
      <c r="E15" s="159" t="s">
        <v>336</v>
      </c>
      <c r="F15" s="152"/>
      <c r="G15" s="152"/>
      <c r="H15" s="152"/>
      <c r="I15" s="209" t="e">
        <f ca="1">OFFSET($D$5,1,MATCH($J13,$D$5:$H$5,0)-1,15,1)</f>
        <v>#N/A</v>
      </c>
      <c r="J15" s="210"/>
      <c r="K15" s="210"/>
      <c r="L15" s="210"/>
      <c r="M15" s="210"/>
      <c r="N15" s="210"/>
      <c r="O15" s="210"/>
      <c r="P15" s="210"/>
      <c r="S15" s="47" t="s">
        <v>177</v>
      </c>
      <c r="T15" s="47" t="s">
        <v>184</v>
      </c>
      <c r="U15" s="47" t="s">
        <v>206</v>
      </c>
      <c r="V15" s="47" t="s">
        <v>192</v>
      </c>
      <c r="W15" s="47" t="s">
        <v>222</v>
      </c>
      <c r="X15"/>
      <c r="Y15"/>
      <c r="Z15"/>
    </row>
    <row r="16" spans="1:26" ht="33" customHeight="1" x14ac:dyDescent="0.35">
      <c r="A16" s="158" t="s">
        <v>9</v>
      </c>
      <c r="B16" s="158"/>
      <c r="C16" s="158" t="str">
        <f>CONCATENATE((IF(OR(E9="",E9="NA"),"",E9)),", ",(IF(OR(A17="",A17="NA"),"",A17)),".",(IF(OR(C17="",C17="NA"),"",C17)),", near ",(IF(OR(C22="",C22="NA"),"",C22)),", ",(IF(OR(C19="",C19="NA"),"",C19)),", ",(IF(OR(C18="",C18="NA"),"",C18)),", ",(IF(OR(G19="",G19="NA"),"",G19)),", ",(IF(OR(C20="",C20="NA"),"",C20)),", ",(IF(OR(C21="",C21="NA"),"",C21)),", ",(IF(OR(G20="",G20="NA"),"",G20))," - ",(IF(OR(G21="",G21="NA"),"",G21)),".")</f>
        <v>Sanveg Residency, Survey No.180 &amp; Hissa No. 2, near Popular Arcade, Internal Road, Badlapur, Badlapur, Badlapur (West), Ambernath, Thane - 421503.</v>
      </c>
      <c r="D16" s="158"/>
      <c r="E16" s="158"/>
      <c r="F16" s="158"/>
      <c r="G16" s="158"/>
      <c r="H16" s="158"/>
      <c r="S16" s="47" t="s">
        <v>178</v>
      </c>
      <c r="T16" s="47" t="s">
        <v>186</v>
      </c>
      <c r="U16" s="47" t="s">
        <v>207</v>
      </c>
      <c r="V16" s="47" t="s">
        <v>193</v>
      </c>
      <c r="W16" s="47" t="s">
        <v>210</v>
      </c>
      <c r="X16"/>
      <c r="Y16"/>
      <c r="Z16"/>
    </row>
    <row r="17" spans="1:26" x14ac:dyDescent="0.35">
      <c r="A17" s="159" t="s">
        <v>337</v>
      </c>
      <c r="B17" s="159"/>
      <c r="C17" s="159" t="s">
        <v>338</v>
      </c>
      <c r="D17" s="159"/>
      <c r="E17" s="159"/>
      <c r="F17" s="159"/>
      <c r="G17" s="159"/>
      <c r="H17" s="159"/>
      <c r="S17" s="47" t="s">
        <v>179</v>
      </c>
      <c r="T17" s="47" t="s">
        <v>187</v>
      </c>
      <c r="U17" s="47" t="s">
        <v>170</v>
      </c>
      <c r="V17" s="47" t="s">
        <v>194</v>
      </c>
      <c r="W17" s="47" t="s">
        <v>211</v>
      </c>
      <c r="X17"/>
      <c r="Y17"/>
      <c r="Z17"/>
    </row>
    <row r="18" spans="1:26" ht="15.75" customHeight="1" x14ac:dyDescent="0.35">
      <c r="A18" s="159" t="s">
        <v>160</v>
      </c>
      <c r="B18" s="159"/>
      <c r="C18" s="159" t="s">
        <v>339</v>
      </c>
      <c r="D18" s="159"/>
      <c r="E18" s="159"/>
      <c r="F18" s="159"/>
      <c r="G18" s="159"/>
      <c r="H18" s="159"/>
      <c r="S18" s="47" t="s">
        <v>180</v>
      </c>
      <c r="T18" s="47" t="s">
        <v>185</v>
      </c>
      <c r="U18" s="47"/>
      <c r="V18" s="47" t="s">
        <v>195</v>
      </c>
      <c r="W18" s="47" t="s">
        <v>212</v>
      </c>
      <c r="X18"/>
      <c r="Y18"/>
      <c r="Z18"/>
    </row>
    <row r="19" spans="1:26" ht="15.75" customHeight="1" x14ac:dyDescent="0.35">
      <c r="A19" s="159" t="s">
        <v>10</v>
      </c>
      <c r="B19" s="159"/>
      <c r="C19" s="152" t="s">
        <v>340</v>
      </c>
      <c r="D19" s="152"/>
      <c r="E19" s="159" t="s">
        <v>68</v>
      </c>
      <c r="F19" s="159"/>
      <c r="G19" s="159" t="s">
        <v>339</v>
      </c>
      <c r="H19" s="159"/>
      <c r="S19" s="47" t="s">
        <v>181</v>
      </c>
      <c r="T19" s="47" t="s">
        <v>188</v>
      </c>
      <c r="U19" s="47"/>
      <c r="V19" s="47" t="s">
        <v>196</v>
      </c>
      <c r="W19" s="47" t="s">
        <v>213</v>
      </c>
      <c r="X19"/>
      <c r="Y19"/>
      <c r="Z19"/>
    </row>
    <row r="20" spans="1:26" x14ac:dyDescent="0.35">
      <c r="A20" s="152" t="s">
        <v>12</v>
      </c>
      <c r="B20" s="152"/>
      <c r="C20" s="159" t="s">
        <v>389</v>
      </c>
      <c r="D20" s="159"/>
      <c r="E20" s="159" t="s">
        <v>11</v>
      </c>
      <c r="F20" s="159"/>
      <c r="G20" s="160" t="s">
        <v>176</v>
      </c>
      <c r="H20" s="160"/>
      <c r="S20" s="47" t="s">
        <v>182</v>
      </c>
      <c r="T20" s="47" t="s">
        <v>189</v>
      </c>
      <c r="U20" s="47"/>
      <c r="V20" s="47" t="s">
        <v>197</v>
      </c>
      <c r="W20" s="47" t="s">
        <v>214</v>
      </c>
      <c r="X20"/>
      <c r="Y20"/>
      <c r="Z20"/>
    </row>
    <row r="21" spans="1:26" x14ac:dyDescent="0.35">
      <c r="A21" s="152" t="s">
        <v>69</v>
      </c>
      <c r="B21" s="152"/>
      <c r="C21" s="159" t="s">
        <v>181</v>
      </c>
      <c r="D21" s="159"/>
      <c r="E21" s="159" t="s">
        <v>13</v>
      </c>
      <c r="F21" s="159"/>
      <c r="G21" s="159">
        <v>421503</v>
      </c>
      <c r="H21" s="159"/>
      <c r="S21" s="47"/>
      <c r="T21" s="47"/>
      <c r="U21" s="47"/>
      <c r="V21" s="47" t="s">
        <v>198</v>
      </c>
      <c r="W21" s="47" t="s">
        <v>215</v>
      </c>
      <c r="X21"/>
      <c r="Y21"/>
      <c r="Z21"/>
    </row>
    <row r="22" spans="1:26" ht="32.25" customHeight="1" x14ac:dyDescent="0.35">
      <c r="A22" s="152" t="s">
        <v>116</v>
      </c>
      <c r="B22" s="152"/>
      <c r="C22" s="159" t="s">
        <v>372</v>
      </c>
      <c r="D22" s="159"/>
      <c r="E22" s="159" t="s">
        <v>14</v>
      </c>
      <c r="F22" s="159"/>
      <c r="G22" s="159" t="s">
        <v>341</v>
      </c>
      <c r="H22" s="159"/>
      <c r="S22" s="47"/>
      <c r="T22" s="47"/>
      <c r="U22" s="47"/>
      <c r="V22" s="47" t="s">
        <v>199</v>
      </c>
      <c r="W22" s="47" t="s">
        <v>216</v>
      </c>
      <c r="X22"/>
      <c r="Y22"/>
      <c r="Z22"/>
    </row>
    <row r="23" spans="1:26" ht="15" customHeight="1" x14ac:dyDescent="0.35">
      <c r="A23" s="158" t="s">
        <v>71</v>
      </c>
      <c r="B23" s="158"/>
      <c r="C23" s="158"/>
      <c r="D23" s="158"/>
      <c r="E23" s="133" t="s">
        <v>15</v>
      </c>
      <c r="F23" s="133"/>
      <c r="G23" s="133"/>
      <c r="H23" s="133"/>
      <c r="S23" s="47"/>
      <c r="T23" s="47"/>
      <c r="U23" s="47"/>
      <c r="V23" s="47" t="s">
        <v>200</v>
      </c>
      <c r="W23" s="47" t="s">
        <v>217</v>
      </c>
      <c r="X23"/>
      <c r="Y23"/>
      <c r="Z23"/>
    </row>
    <row r="24" spans="1:26" ht="18.75" customHeight="1" x14ac:dyDescent="0.35">
      <c r="A24" s="158"/>
      <c r="B24" s="158"/>
      <c r="C24" s="158"/>
      <c r="D24" s="158"/>
      <c r="E24" s="133"/>
      <c r="F24" s="133"/>
      <c r="G24" s="133"/>
      <c r="H24" s="133"/>
      <c r="S24" s="47"/>
      <c r="T24" s="47"/>
      <c r="U24" s="47"/>
      <c r="V24" s="47" t="s">
        <v>201</v>
      </c>
      <c r="W24" s="47" t="s">
        <v>218</v>
      </c>
      <c r="X24"/>
      <c r="Y24"/>
      <c r="Z24"/>
    </row>
    <row r="25" spans="1:26" ht="15" customHeight="1" x14ac:dyDescent="0.35">
      <c r="A25" s="158" t="s">
        <v>16</v>
      </c>
      <c r="B25" s="158"/>
      <c r="C25" s="158"/>
      <c r="D25" s="158"/>
      <c r="E25" s="118" t="s">
        <v>17</v>
      </c>
      <c r="F25" s="118"/>
      <c r="G25" s="118"/>
      <c r="H25" s="118"/>
      <c r="S25" s="47"/>
      <c r="T25" s="47"/>
      <c r="U25" s="47"/>
      <c r="V25" s="47" t="s">
        <v>202</v>
      </c>
      <c r="W25" s="47" t="s">
        <v>219</v>
      </c>
      <c r="X25"/>
      <c r="Y25"/>
      <c r="Z25"/>
    </row>
    <row r="26" spans="1:26" ht="15" customHeight="1" x14ac:dyDescent="0.35">
      <c r="A26" s="79" t="s">
        <v>18</v>
      </c>
      <c r="B26" s="79"/>
      <c r="C26" s="79"/>
      <c r="D26" s="79"/>
      <c r="E26" s="118" t="str">
        <f>IF(AND(G20="Mumbai"),"Upper Class","Middle Class")</f>
        <v>Middle Class</v>
      </c>
      <c r="F26" s="118"/>
      <c r="G26" s="118"/>
      <c r="H26" s="118"/>
      <c r="S26" s="47"/>
      <c r="T26" s="47"/>
      <c r="U26" s="47"/>
      <c r="V26" s="47" t="s">
        <v>203</v>
      </c>
      <c r="W26" s="47" t="s">
        <v>220</v>
      </c>
      <c r="X26"/>
      <c r="Y26"/>
      <c r="Z26"/>
    </row>
    <row r="27" spans="1:26" x14ac:dyDescent="0.35">
      <c r="A27" s="79" t="s">
        <v>19</v>
      </c>
      <c r="B27" s="79"/>
      <c r="C27" s="79"/>
      <c r="D27" s="79"/>
      <c r="E27" s="118" t="s">
        <v>20</v>
      </c>
      <c r="F27" s="118"/>
      <c r="G27" s="118"/>
      <c r="H27" s="118"/>
      <c r="S27" s="47"/>
      <c r="T27" s="47"/>
      <c r="U27" s="47"/>
      <c r="V27" s="47" t="s">
        <v>204</v>
      </c>
      <c r="W27" s="47" t="s">
        <v>221</v>
      </c>
      <c r="X27"/>
      <c r="Y27"/>
      <c r="Z27"/>
    </row>
    <row r="28" spans="1:26" ht="15.75" customHeight="1" x14ac:dyDescent="0.35">
      <c r="A28" s="79" t="s">
        <v>21</v>
      </c>
      <c r="B28" s="79"/>
      <c r="C28" s="79"/>
      <c r="D28" s="79"/>
      <c r="E28" s="118" t="str">
        <f>IF(AND(G20="Mumbai"),"Developed","Developing")</f>
        <v>Developing</v>
      </c>
      <c r="F28" s="118"/>
      <c r="G28" s="118"/>
      <c r="H28" s="118"/>
    </row>
    <row r="29" spans="1:26" x14ac:dyDescent="0.35">
      <c r="A29" s="79" t="s">
        <v>22</v>
      </c>
      <c r="B29" s="79"/>
      <c r="C29" s="79"/>
      <c r="D29" s="79"/>
      <c r="E29" s="118" t="s">
        <v>23</v>
      </c>
      <c r="F29" s="118"/>
      <c r="G29" s="118"/>
      <c r="H29" s="118"/>
    </row>
    <row r="30" spans="1:26" ht="15.75" customHeight="1" x14ac:dyDescent="0.35">
      <c r="A30" s="79" t="s">
        <v>76</v>
      </c>
      <c r="B30" s="79"/>
      <c r="C30" s="79"/>
      <c r="D30" s="79"/>
      <c r="E30" s="118" t="s">
        <v>77</v>
      </c>
      <c r="F30" s="118"/>
      <c r="G30" s="118"/>
      <c r="H30" s="118"/>
    </row>
    <row r="31" spans="1:26" ht="15" customHeight="1" x14ac:dyDescent="0.35">
      <c r="A31" s="79" t="s">
        <v>30</v>
      </c>
      <c r="B31" s="79"/>
      <c r="C31" s="79"/>
      <c r="D31" s="79"/>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35">
      <c r="A32" s="79" t="s">
        <v>88</v>
      </c>
      <c r="B32" s="79"/>
      <c r="C32" s="79"/>
      <c r="D32" s="79"/>
      <c r="E32" s="118" t="s">
        <v>31</v>
      </c>
      <c r="F32" s="118"/>
      <c r="G32" s="118"/>
      <c r="H32" s="118"/>
    </row>
    <row r="33" spans="1:19" s="19" customFormat="1" x14ac:dyDescent="0.35">
      <c r="A33" s="157" t="s">
        <v>89</v>
      </c>
      <c r="B33" s="157"/>
      <c r="C33" s="154" t="s">
        <v>171</v>
      </c>
      <c r="D33" s="155"/>
      <c r="E33" s="156"/>
      <c r="F33" s="154" t="s">
        <v>29</v>
      </c>
      <c r="G33" s="155"/>
      <c r="H33" s="156"/>
      <c r="S33" s="19" t="e">
        <f ca="1">OFFSET($S$13,1,MATCH($G20,$S$13:$W$13,0)-1,15,1)</f>
        <v>#VALUE!</v>
      </c>
    </row>
    <row r="34" spans="1:19" s="19" customFormat="1" x14ac:dyDescent="0.35">
      <c r="A34" s="139" t="s">
        <v>24</v>
      </c>
      <c r="B34" s="139" t="s">
        <v>28</v>
      </c>
      <c r="C34" s="140" t="s">
        <v>344</v>
      </c>
      <c r="D34" s="141"/>
      <c r="E34" s="142"/>
      <c r="F34" s="140" t="s">
        <v>345</v>
      </c>
      <c r="G34" s="141"/>
      <c r="H34" s="142"/>
    </row>
    <row r="35" spans="1:19" x14ac:dyDescent="0.35">
      <c r="A35" s="139" t="s">
        <v>25</v>
      </c>
      <c r="B35" s="139" t="s">
        <v>28</v>
      </c>
      <c r="C35" s="140" t="s">
        <v>344</v>
      </c>
      <c r="D35" s="141"/>
      <c r="E35" s="142"/>
      <c r="F35" s="140" t="s">
        <v>372</v>
      </c>
      <c r="G35" s="141"/>
      <c r="H35" s="142"/>
    </row>
    <row r="36" spans="1:19" s="19" customFormat="1" x14ac:dyDescent="0.35">
      <c r="A36" s="139" t="s">
        <v>27</v>
      </c>
      <c r="B36" s="139" t="s">
        <v>28</v>
      </c>
      <c r="C36" s="140" t="s">
        <v>344</v>
      </c>
      <c r="D36" s="141"/>
      <c r="E36" s="142"/>
      <c r="F36" s="140" t="s">
        <v>346</v>
      </c>
      <c r="G36" s="141"/>
      <c r="H36" s="142"/>
    </row>
    <row r="37" spans="1:19" x14ac:dyDescent="0.35">
      <c r="A37" s="139" t="s">
        <v>26</v>
      </c>
      <c r="B37" s="139" t="s">
        <v>28</v>
      </c>
      <c r="C37" s="140" t="s">
        <v>374</v>
      </c>
      <c r="D37" s="141"/>
      <c r="E37" s="142"/>
      <c r="F37" s="140" t="s">
        <v>373</v>
      </c>
      <c r="G37" s="141"/>
      <c r="H37" s="142"/>
    </row>
    <row r="38" spans="1:19" x14ac:dyDescent="0.35">
      <c r="A38" s="79" t="s">
        <v>277</v>
      </c>
      <c r="B38" s="79"/>
      <c r="C38" s="79"/>
      <c r="D38" s="79"/>
      <c r="E38" s="79"/>
      <c r="F38" s="79"/>
      <c r="G38" s="79"/>
      <c r="H38" s="79"/>
    </row>
    <row r="39" spans="1:19" ht="15.75" customHeight="1" x14ac:dyDescent="0.35">
      <c r="A39" s="79" t="s">
        <v>163</v>
      </c>
      <c r="B39" s="79"/>
      <c r="C39" s="124" t="s">
        <v>343</v>
      </c>
      <c r="D39" s="124"/>
      <c r="E39" s="124"/>
      <c r="F39" s="124"/>
      <c r="G39" s="124"/>
      <c r="H39" s="124"/>
    </row>
    <row r="40" spans="1:19" x14ac:dyDescent="0.35">
      <c r="A40" s="79" t="s">
        <v>159</v>
      </c>
      <c r="B40" s="79"/>
      <c r="C40" s="117" t="s">
        <v>342</v>
      </c>
      <c r="D40" s="118"/>
      <c r="E40" s="118"/>
      <c r="F40" s="118"/>
      <c r="G40" s="118"/>
      <c r="H40" s="118"/>
    </row>
    <row r="41" spans="1:19" x14ac:dyDescent="0.35">
      <c r="A41" s="144" t="s">
        <v>384</v>
      </c>
      <c r="B41" s="144"/>
      <c r="C41" s="144"/>
      <c r="D41" s="144"/>
      <c r="E41" s="144"/>
      <c r="F41" s="144"/>
      <c r="G41" s="144"/>
      <c r="H41" s="144"/>
    </row>
    <row r="42" spans="1:19" x14ac:dyDescent="0.35">
      <c r="A42" s="79" t="s">
        <v>32</v>
      </c>
      <c r="B42" s="79"/>
      <c r="C42" s="79"/>
      <c r="D42" s="79"/>
      <c r="E42" s="143">
        <v>2549.64</v>
      </c>
      <c r="F42" s="143"/>
      <c r="G42" s="143"/>
      <c r="H42" s="143"/>
    </row>
    <row r="43" spans="1:19" x14ac:dyDescent="0.35">
      <c r="A43" s="79" t="s">
        <v>33</v>
      </c>
      <c r="B43" s="79"/>
      <c r="C43" s="79"/>
      <c r="D43" s="79"/>
      <c r="E43" s="150">
        <f>2549.64/E42</f>
        <v>1</v>
      </c>
      <c r="F43" s="150"/>
      <c r="G43" s="150"/>
      <c r="H43" s="150"/>
    </row>
    <row r="44" spans="1:19" x14ac:dyDescent="0.35">
      <c r="A44" s="79" t="s">
        <v>34</v>
      </c>
      <c r="B44" s="79"/>
      <c r="C44" s="79"/>
      <c r="D44" s="79"/>
      <c r="E44" s="150">
        <f>E46/E42-E43</f>
        <v>0.5962763370515054</v>
      </c>
      <c r="F44" s="150"/>
      <c r="G44" s="150"/>
      <c r="H44" s="150"/>
    </row>
    <row r="45" spans="1:19" x14ac:dyDescent="0.35">
      <c r="A45" s="79" t="s">
        <v>35</v>
      </c>
      <c r="B45" s="79"/>
      <c r="C45" s="79"/>
      <c r="D45" s="79"/>
      <c r="E45" s="150">
        <f>E43+E44</f>
        <v>1.5962763370515054</v>
      </c>
      <c r="F45" s="150"/>
      <c r="G45" s="150"/>
      <c r="H45" s="150"/>
    </row>
    <row r="46" spans="1:19" ht="31" x14ac:dyDescent="0.35">
      <c r="A46" s="79" t="s">
        <v>87</v>
      </c>
      <c r="B46" s="79"/>
      <c r="C46" s="79"/>
      <c r="D46" s="79"/>
      <c r="E46" s="151">
        <v>4069.93</v>
      </c>
      <c r="F46" s="151"/>
      <c r="G46" s="151"/>
      <c r="H46" s="151"/>
      <c r="I46" s="68" t="s">
        <v>375</v>
      </c>
    </row>
    <row r="47" spans="1:19" x14ac:dyDescent="0.35">
      <c r="A47" s="133" t="s">
        <v>36</v>
      </c>
      <c r="B47" s="133"/>
      <c r="C47" s="133"/>
      <c r="D47" s="133"/>
      <c r="E47" s="152" t="s">
        <v>347</v>
      </c>
      <c r="F47" s="152"/>
      <c r="G47" s="152"/>
      <c r="H47" s="152"/>
    </row>
    <row r="48" spans="1:19" x14ac:dyDescent="0.35">
      <c r="A48" s="124" t="s">
        <v>37</v>
      </c>
      <c r="B48" s="124"/>
      <c r="C48" s="124"/>
      <c r="D48" s="124"/>
      <c r="E48" s="124"/>
      <c r="F48" s="124"/>
      <c r="G48" s="124"/>
      <c r="H48" s="124"/>
    </row>
    <row r="49" spans="1:24" ht="33.75" customHeight="1" x14ac:dyDescent="0.35">
      <c r="A49" s="158" t="s">
        <v>148</v>
      </c>
      <c r="B49" s="158"/>
      <c r="C49" s="114" t="s">
        <v>259</v>
      </c>
      <c r="D49" s="114"/>
      <c r="E49" s="114"/>
      <c r="F49" s="114"/>
      <c r="G49" s="114"/>
      <c r="H49" s="114"/>
      <c r="R49" t="s">
        <v>250</v>
      </c>
      <c r="S49" t="s">
        <v>170</v>
      </c>
      <c r="T49" t="s">
        <v>176</v>
      </c>
      <c r="U49" t="s">
        <v>190</v>
      </c>
      <c r="V49" t="s">
        <v>185</v>
      </c>
    </row>
    <row r="50" spans="1:24" ht="15.75" customHeight="1" x14ac:dyDescent="0.35">
      <c r="A50" s="122" t="s">
        <v>38</v>
      </c>
      <c r="B50" s="123"/>
      <c r="C50" s="122" t="s">
        <v>348</v>
      </c>
      <c r="D50" s="153"/>
      <c r="E50" s="123"/>
      <c r="F50" s="15" t="s">
        <v>39</v>
      </c>
      <c r="G50" s="197">
        <v>45260</v>
      </c>
      <c r="H50" s="123"/>
      <c r="R50"/>
      <c r="S50" t="s">
        <v>251</v>
      </c>
      <c r="T50" t="s">
        <v>256</v>
      </c>
      <c r="U50" t="s">
        <v>267</v>
      </c>
      <c r="V50" t="s">
        <v>272</v>
      </c>
    </row>
    <row r="51" spans="1:24" x14ac:dyDescent="0.35">
      <c r="A51" s="122" t="s">
        <v>40</v>
      </c>
      <c r="B51" s="123"/>
      <c r="C51" s="122" t="str">
        <f>C50</f>
        <v>KBNP/NRV/BD/2831-82</v>
      </c>
      <c r="D51" s="153"/>
      <c r="E51" s="123"/>
      <c r="F51" s="15" t="s">
        <v>39</v>
      </c>
      <c r="G51" s="197">
        <f>G50</f>
        <v>45260</v>
      </c>
      <c r="H51" s="198"/>
      <c r="R51"/>
      <c r="S51" t="s">
        <v>252</v>
      </c>
      <c r="T51" t="s">
        <v>257</v>
      </c>
      <c r="U51" t="s">
        <v>265</v>
      </c>
      <c r="V51" t="s">
        <v>273</v>
      </c>
    </row>
    <row r="52" spans="1:24" s="20" customFormat="1" ht="30" customHeight="1" x14ac:dyDescent="0.35">
      <c r="A52" s="205" t="s">
        <v>152</v>
      </c>
      <c r="B52" s="206"/>
      <c r="C52" s="122" t="s">
        <v>349</v>
      </c>
      <c r="D52" s="153"/>
      <c r="E52" s="123"/>
      <c r="F52" s="15" t="s">
        <v>39</v>
      </c>
      <c r="G52" s="197">
        <f>G51</f>
        <v>45260</v>
      </c>
      <c r="H52" s="198"/>
      <c r="R52"/>
      <c r="S52" t="s">
        <v>253</v>
      </c>
      <c r="T52" t="s">
        <v>258</v>
      </c>
      <c r="U52" t="s">
        <v>255</v>
      </c>
      <c r="V52" t="s">
        <v>274</v>
      </c>
    </row>
    <row r="53" spans="1:24" s="20" customFormat="1" ht="33.75" customHeight="1" x14ac:dyDescent="0.35">
      <c r="A53" s="207"/>
      <c r="B53" s="208"/>
      <c r="C53" s="122" t="s">
        <v>376</v>
      </c>
      <c r="D53" s="153"/>
      <c r="E53" s="153"/>
      <c r="F53" s="153"/>
      <c r="G53" s="153"/>
      <c r="H53" s="123"/>
      <c r="R53"/>
      <c r="S53" t="s">
        <v>254</v>
      </c>
      <c r="T53" t="s">
        <v>261</v>
      </c>
      <c r="U53" t="s">
        <v>268</v>
      </c>
    </row>
    <row r="54" spans="1:24" s="20" customFormat="1" hidden="1" x14ac:dyDescent="0.35">
      <c r="A54" s="201" t="s">
        <v>278</v>
      </c>
      <c r="B54" s="202"/>
      <c r="C54" s="122" t="str">
        <f>C53</f>
        <v>Wing E &amp; F = Stilt + 1st to7th Floor
Wing G = Stilt + 1st to 6th Floor</v>
      </c>
      <c r="D54" s="153"/>
      <c r="E54" s="123"/>
      <c r="F54" s="15" t="s">
        <v>39</v>
      </c>
      <c r="G54" s="122"/>
      <c r="H54" s="123"/>
      <c r="R54"/>
      <c r="S54" t="s">
        <v>253</v>
      </c>
      <c r="T54" t="s">
        <v>258</v>
      </c>
      <c r="U54" t="s">
        <v>255</v>
      </c>
      <c r="V54" t="s">
        <v>274</v>
      </c>
    </row>
    <row r="55" spans="1:24" s="20" customFormat="1" ht="32.25" hidden="1" customHeight="1" x14ac:dyDescent="0.35">
      <c r="A55" s="203"/>
      <c r="B55" s="204"/>
      <c r="C55" s="119"/>
      <c r="D55" s="120"/>
      <c r="E55" s="120"/>
      <c r="F55" s="120"/>
      <c r="G55" s="120"/>
      <c r="H55" s="121"/>
      <c r="R55"/>
      <c r="S55" t="s">
        <v>255</v>
      </c>
      <c r="T55" t="s">
        <v>259</v>
      </c>
      <c r="U55" t="s">
        <v>269</v>
      </c>
      <c r="V55" s="18"/>
      <c r="W55" s="18"/>
      <c r="X55" s="18"/>
    </row>
    <row r="56" spans="1:24" s="20" customFormat="1" ht="34.5" hidden="1" customHeight="1" x14ac:dyDescent="0.35">
      <c r="A56" s="201" t="s">
        <v>279</v>
      </c>
      <c r="B56" s="202"/>
      <c r="C56" s="122">
        <f>C55</f>
        <v>0</v>
      </c>
      <c r="D56" s="153"/>
      <c r="E56" s="123"/>
      <c r="F56" s="15" t="s">
        <v>39</v>
      </c>
      <c r="G56" s="122">
        <f>G55</f>
        <v>0</v>
      </c>
      <c r="H56" s="123"/>
      <c r="R56"/>
      <c r="S56" s="18"/>
      <c r="T56" t="s">
        <v>260</v>
      </c>
      <c r="U56" t="s">
        <v>270</v>
      </c>
      <c r="V56" s="18"/>
      <c r="W56" s="18"/>
      <c r="X56" s="18"/>
    </row>
    <row r="57" spans="1:24" s="20" customFormat="1" ht="41.25" hidden="1" customHeight="1" x14ac:dyDescent="0.35">
      <c r="A57" s="203"/>
      <c r="B57" s="204"/>
      <c r="C57" s="122"/>
      <c r="D57" s="153"/>
      <c r="E57" s="153"/>
      <c r="F57" s="153"/>
      <c r="G57" s="153"/>
      <c r="H57" s="123"/>
      <c r="R57"/>
      <c r="S57" s="18"/>
      <c r="T57" t="s">
        <v>262</v>
      </c>
      <c r="U57" t="s">
        <v>271</v>
      </c>
      <c r="V57" s="18"/>
      <c r="W57" s="18"/>
      <c r="X57" s="18"/>
    </row>
    <row r="58" spans="1:24" s="20" customFormat="1" ht="15.75" hidden="1" customHeight="1" x14ac:dyDescent="0.35">
      <c r="A58" s="201" t="s">
        <v>280</v>
      </c>
      <c r="B58" s="202"/>
      <c r="C58" s="122">
        <f>C57</f>
        <v>0</v>
      </c>
      <c r="D58" s="153"/>
      <c r="E58" s="123"/>
      <c r="F58" s="15" t="s">
        <v>39</v>
      </c>
      <c r="G58" s="122">
        <f>G57</f>
        <v>0</v>
      </c>
      <c r="H58" s="123"/>
      <c r="R58"/>
      <c r="S58" s="18"/>
      <c r="T58" t="s">
        <v>263</v>
      </c>
      <c r="U58" s="18" t="s">
        <v>294</v>
      </c>
      <c r="V58" s="18"/>
      <c r="W58" s="18"/>
      <c r="X58" s="18"/>
    </row>
    <row r="59" spans="1:24" s="20" customFormat="1" ht="33.75" hidden="1" customHeight="1" x14ac:dyDescent="0.35">
      <c r="A59" s="203"/>
      <c r="B59" s="204"/>
      <c r="C59" s="122"/>
      <c r="D59" s="153"/>
      <c r="E59" s="153"/>
      <c r="F59" s="153"/>
      <c r="G59" s="153"/>
      <c r="H59" s="123"/>
      <c r="R59"/>
      <c r="S59" s="18"/>
      <c r="T59" t="s">
        <v>264</v>
      </c>
      <c r="U59" s="18"/>
      <c r="V59" s="18"/>
      <c r="W59" s="18"/>
      <c r="X59" s="18"/>
    </row>
    <row r="60" spans="1:24" x14ac:dyDescent="0.35">
      <c r="A60" s="212" t="s">
        <v>41</v>
      </c>
      <c r="B60" s="213"/>
      <c r="C60" s="212" t="s">
        <v>100</v>
      </c>
      <c r="D60" s="214"/>
      <c r="E60" s="213"/>
      <c r="F60" s="40" t="s">
        <v>39</v>
      </c>
      <c r="G60" s="199" t="s">
        <v>28</v>
      </c>
      <c r="H60" s="200"/>
      <c r="R60"/>
      <c r="T60" t="s">
        <v>266</v>
      </c>
    </row>
    <row r="61" spans="1:24" x14ac:dyDescent="0.35">
      <c r="A61" s="172" t="s">
        <v>43</v>
      </c>
      <c r="B61" s="172"/>
      <c r="C61" s="172"/>
      <c r="D61" s="172"/>
      <c r="E61" s="172"/>
      <c r="F61" s="172"/>
      <c r="G61" s="172"/>
      <c r="H61" s="172"/>
      <c r="T61" t="s">
        <v>275</v>
      </c>
    </row>
    <row r="62" spans="1:24" x14ac:dyDescent="0.35">
      <c r="A62" s="158" t="s">
        <v>86</v>
      </c>
      <c r="B62" s="158"/>
      <c r="C62" s="158"/>
      <c r="D62" s="79">
        <f>2898.83+1171.1</f>
        <v>4069.93</v>
      </c>
      <c r="E62" s="79"/>
      <c r="F62" s="79"/>
      <c r="G62" s="79"/>
      <c r="H62" s="79"/>
      <c r="R62"/>
    </row>
    <row r="63" spans="1:24" x14ac:dyDescent="0.35">
      <c r="A63" s="118" t="s">
        <v>44</v>
      </c>
      <c r="B63" s="133"/>
      <c r="C63" s="133"/>
      <c r="D63" s="152" t="s">
        <v>369</v>
      </c>
      <c r="E63" s="152"/>
      <c r="F63" s="152"/>
      <c r="G63" s="152"/>
      <c r="H63" s="152"/>
      <c r="I63" s="21"/>
      <c r="R63"/>
    </row>
    <row r="64" spans="1:24" ht="30" customHeight="1" x14ac:dyDescent="0.35">
      <c r="A64" s="136" t="s">
        <v>45</v>
      </c>
      <c r="B64" s="137"/>
      <c r="C64" s="138"/>
      <c r="D64" s="134" t="s">
        <v>350</v>
      </c>
      <c r="E64" s="135"/>
      <c r="F64" s="135"/>
      <c r="G64" s="135"/>
      <c r="H64" s="135"/>
      <c r="R64"/>
    </row>
    <row r="65" spans="1:19" ht="15.75" customHeight="1" x14ac:dyDescent="0.35">
      <c r="A65" s="136" t="s">
        <v>84</v>
      </c>
      <c r="B65" s="137"/>
      <c r="C65" s="137"/>
      <c r="D65" s="190" t="s">
        <v>351</v>
      </c>
      <c r="E65" s="191"/>
      <c r="F65" s="191"/>
      <c r="G65" s="191"/>
      <c r="H65" s="192"/>
      <c r="R65"/>
    </row>
    <row r="66" spans="1:19" ht="15.75" customHeight="1" x14ac:dyDescent="0.35">
      <c r="A66" s="186"/>
      <c r="B66" s="187"/>
      <c r="C66" s="187"/>
      <c r="D66" s="193" t="s">
        <v>352</v>
      </c>
      <c r="E66" s="194"/>
      <c r="F66" s="194"/>
      <c r="G66" s="194"/>
      <c r="H66" s="195"/>
      <c r="R66"/>
    </row>
    <row r="67" spans="1:19" ht="15.75" customHeight="1" x14ac:dyDescent="0.35">
      <c r="A67" s="188"/>
      <c r="B67" s="189"/>
      <c r="C67" s="189"/>
      <c r="D67" s="183" t="s">
        <v>353</v>
      </c>
      <c r="E67" s="184"/>
      <c r="F67" s="184"/>
      <c r="G67" s="184"/>
      <c r="H67" s="185"/>
      <c r="S67"/>
    </row>
    <row r="68" spans="1:19" ht="15.75" customHeight="1" x14ac:dyDescent="0.35">
      <c r="A68" s="79" t="s">
        <v>42</v>
      </c>
      <c r="B68" s="79"/>
      <c r="C68" s="79"/>
      <c r="D68" s="145" t="s">
        <v>354</v>
      </c>
      <c r="E68" s="145"/>
      <c r="F68" s="145"/>
      <c r="G68" s="145"/>
      <c r="H68" s="145"/>
      <c r="J68" s="22"/>
      <c r="K68" s="21"/>
      <c r="N68" s="21"/>
      <c r="S68"/>
    </row>
    <row r="69" spans="1:19" ht="15.75" customHeight="1" x14ac:dyDescent="0.35">
      <c r="A69" s="79" t="s">
        <v>82</v>
      </c>
      <c r="B69" s="79"/>
      <c r="C69" s="79"/>
      <c r="D69" s="149" t="str">
        <f>(IF(G60="NA","60 Years After Completion",IF(G60&lt;&gt;"NA",""&amp;60-ROUNDDOWN((E3-G60)/360,0)&amp;" Years"," ")))</f>
        <v>60 Years After Completion</v>
      </c>
      <c r="E69" s="149"/>
      <c r="F69" s="149"/>
      <c r="G69" s="149"/>
      <c r="H69" s="149"/>
      <c r="N69" s="21"/>
      <c r="S69"/>
    </row>
    <row r="70" spans="1:19" ht="15.75" customHeight="1" x14ac:dyDescent="0.35">
      <c r="A70" s="79" t="s">
        <v>83</v>
      </c>
      <c r="B70" s="79"/>
      <c r="C70" s="79"/>
      <c r="D70" s="158" t="s">
        <v>23</v>
      </c>
      <c r="E70" s="158"/>
      <c r="F70" s="158"/>
      <c r="G70" s="158"/>
      <c r="H70" s="158"/>
      <c r="J70" s="23"/>
      <c r="K70" s="23"/>
      <c r="S70"/>
    </row>
    <row r="71" spans="1:19" x14ac:dyDescent="0.35">
      <c r="A71" s="152" t="s">
        <v>379</v>
      </c>
      <c r="B71" s="152"/>
      <c r="C71" s="152"/>
      <c r="D71" s="159" t="s">
        <v>380</v>
      </c>
      <c r="E71" s="159"/>
      <c r="F71" s="159"/>
      <c r="G71" s="159"/>
      <c r="H71" s="159"/>
      <c r="S71"/>
    </row>
    <row r="72" spans="1:19" x14ac:dyDescent="0.35">
      <c r="A72" s="158" t="s">
        <v>144</v>
      </c>
      <c r="B72" s="158"/>
      <c r="C72" s="158"/>
      <c r="D72" s="158" t="s">
        <v>28</v>
      </c>
      <c r="E72" s="158"/>
      <c r="F72" s="158"/>
      <c r="G72" s="158"/>
      <c r="H72" s="158"/>
      <c r="I72" s="24"/>
      <c r="J72" s="24"/>
      <c r="K72" s="24"/>
      <c r="L72" s="24"/>
      <c r="M72" s="24"/>
      <c r="N72" s="24"/>
    </row>
    <row r="73" spans="1:19" ht="15.75" customHeight="1" x14ac:dyDescent="0.35">
      <c r="A73" s="215" t="s">
        <v>81</v>
      </c>
      <c r="B73" s="215"/>
      <c r="C73" s="215"/>
      <c r="D73" s="166" t="str">
        <f ca="1">(IF(G79&gt;95%,"Nothing",IF(G79&gt;0%,"Cement, Aggregate, Steel, etc",IF(G79=0%,"Work not yet Started"))))</f>
        <v>Cement, Aggregate, Steel, etc</v>
      </c>
      <c r="E73" s="166"/>
      <c r="F73" s="166"/>
      <c r="G73" s="166"/>
      <c r="H73" s="166"/>
      <c r="J73" s="23"/>
      <c r="S73"/>
    </row>
    <row r="74" spans="1:19" ht="33.75" customHeight="1" thickBot="1" x14ac:dyDescent="0.4">
      <c r="A74" s="165" t="s">
        <v>113</v>
      </c>
      <c r="B74" s="165"/>
      <c r="C74" s="165"/>
      <c r="D74" s="166" t="str">
        <f ca="1">(IF(D73="Nothing","Yes",IF(D73="Cement, Aggregate, Steel, etc","Under Construction",IF(D73="Work not yet Started","Work not yet Started"))))</f>
        <v>Under Construction</v>
      </c>
      <c r="E74" s="166"/>
      <c r="F74" s="166" t="str">
        <f ca="1">(IF(D73="Nothing","Yes",IF(D73="Cement, Aggregate, Steel, etc","Under Construction",IF(D73="Work not yet Started","Work not yet Started"))))</f>
        <v>Under Construction</v>
      </c>
      <c r="G74" s="166"/>
      <c r="H74" s="166"/>
      <c r="S74"/>
    </row>
    <row r="75" spans="1:19" x14ac:dyDescent="0.35">
      <c r="A75" s="125" t="s">
        <v>134</v>
      </c>
      <c r="B75" s="126"/>
      <c r="C75" s="127" t="s">
        <v>351</v>
      </c>
      <c r="D75" s="128"/>
      <c r="E75" s="128"/>
      <c r="F75" s="128"/>
      <c r="G75" s="128"/>
      <c r="H75" s="129"/>
      <c r="I75" s="42" t="str">
        <f ca="1">IF(D88=100%,"All work Completed. Possession granted to the Building.",IF(D87=100%,"All work Completed, Waiting for OC",I76&amp;""&amp;I77&amp;""&amp;J76&amp;""&amp;J75&amp;" "&amp;J77))</f>
        <v>Excavation, Plinth Completed, RCC upto 7 Slab, Brickwork upto 4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7 Slab, Brickwork upto 4 Floor</v>
      </c>
      <c r="S75"/>
    </row>
    <row r="76" spans="1:19" x14ac:dyDescent="0.35">
      <c r="A76" s="70" t="s">
        <v>136</v>
      </c>
      <c r="B76" s="71">
        <f>IF(AND(ISNUMBER(SEARCH("1B",C75))),1,IF(AND(ISNUMBER(SEARCH("2B",C75))),2,IF(AND(ISNUMBER(SEARCH("3B",C75))),3,IF(AND(ISNUMBER(SEARCH("4B",C75))),4,IF(ISNUMBER(SEARCH("5B",C75)),5,0)))))</f>
        <v>0</v>
      </c>
      <c r="C76" s="71" t="s">
        <v>67</v>
      </c>
      <c r="D76" s="71">
        <v>1</v>
      </c>
      <c r="E76" s="71" t="s">
        <v>66</v>
      </c>
      <c r="F76" s="71">
        <v>0</v>
      </c>
      <c r="G76" s="71" t="s">
        <v>75</v>
      </c>
      <c r="H76" s="72">
        <f ca="1">--TRIM(RIGHT(SUBSTITUTE(LEFT(C75,_xlfn.AGGREGATE(16,6,FIND({0,1,2,3,4,5,6,7,8,9},C75,ROW(INDIRECT("1:"&amp;LEN(C75)))),1))," ",REPT(" ",LEN(C75))),LEN(C75)))</f>
        <v>7</v>
      </c>
      <c r="I76" s="44"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13" t="s">
        <v>85</v>
      </c>
      <c r="B77" s="114"/>
      <c r="C77" s="87" t="str">
        <f ca="1">I75</f>
        <v>Excavation, Plinth Completed, RCC upto 7 Slab, Brickwork upto 4 Floor Completed</v>
      </c>
      <c r="D77" s="87"/>
      <c r="E77" s="87"/>
      <c r="F77" s="87"/>
      <c r="G77" s="87"/>
      <c r="H77" s="88"/>
      <c r="I77" s="44" t="str">
        <f ca="1">IF(I76&lt;&gt;""," Completed","")</f>
        <v xml:space="preserve"> Completed</v>
      </c>
      <c r="J77" s="45" t="str">
        <f ca="1">IF(J75&lt;&gt;"","Completed","")</f>
        <v>Completed</v>
      </c>
      <c r="S77"/>
    </row>
    <row r="78" spans="1:19" ht="15.75" customHeight="1" x14ac:dyDescent="0.35">
      <c r="A78" s="82" t="s">
        <v>46</v>
      </c>
      <c r="B78" s="83"/>
      <c r="C78" s="67" t="s">
        <v>133</v>
      </c>
      <c r="D78" s="67" t="s">
        <v>78</v>
      </c>
      <c r="E78" s="83" t="s">
        <v>80</v>
      </c>
      <c r="F78" s="83"/>
      <c r="G78" s="83" t="s">
        <v>79</v>
      </c>
      <c r="H78" s="112"/>
      <c r="I78" s="13" t="s">
        <v>135</v>
      </c>
      <c r="J78" s="25">
        <f ca="1">H76*25%</f>
        <v>1.75</v>
      </c>
      <c r="S78"/>
    </row>
    <row r="79" spans="1:19" x14ac:dyDescent="0.35">
      <c r="A79" s="82" t="s">
        <v>122</v>
      </c>
      <c r="B79" s="83"/>
      <c r="C79" s="73">
        <f ca="1">J80</f>
        <v>7</v>
      </c>
      <c r="D79" s="16">
        <f ca="1">((100/H76)*C79)/100</f>
        <v>1</v>
      </c>
      <c r="E79" s="104">
        <f ca="1">(((C80/H76*10)+(40/(D76+F76+H76)*C81)+(7.5/(H76)*C82)+(7.5/(H76)*C83)+(10/H76*C84)+(10/H76*C85)+(5/H76*C86)+(5/H76*C87)+(5/H76*C88))/100)</f>
        <v>0.49285714285714283</v>
      </c>
      <c r="F79" s="146"/>
      <c r="G79" s="104">
        <f ca="1">((((C79/H76)*20)+((C80/H76)*25)+(30/(H76+F76+D76)*C81)+(5/H76*C82)+(5/H76*C83)+(5/H76*C84)+(5/H76*C85)+(0/H76*C86)+(0/H76*C87)+(5/H76*C88))/100)</f>
        <v>0.7410714285714286</v>
      </c>
      <c r="H79" s="105"/>
      <c r="I79" s="13" t="s">
        <v>95</v>
      </c>
      <c r="J79" s="26">
        <f ca="1">H76*50%</f>
        <v>3.5</v>
      </c>
    </row>
    <row r="80" spans="1:19" x14ac:dyDescent="0.35">
      <c r="A80" s="82" t="s">
        <v>47</v>
      </c>
      <c r="B80" s="83"/>
      <c r="C80" s="73">
        <f ca="1">J88</f>
        <v>7</v>
      </c>
      <c r="D80" s="16">
        <f ca="1">((100/H76)*C80)/100</f>
        <v>1</v>
      </c>
      <c r="E80" s="106"/>
      <c r="F80" s="147"/>
      <c r="G80" s="106"/>
      <c r="H80" s="107"/>
      <c r="I80" s="13" t="s">
        <v>96</v>
      </c>
      <c r="J80" s="26">
        <f ca="1">H76</f>
        <v>7</v>
      </c>
      <c r="S80"/>
    </row>
    <row r="81" spans="1:19" ht="15.75" customHeight="1" x14ac:dyDescent="0.35">
      <c r="A81" s="82" t="s">
        <v>123</v>
      </c>
      <c r="B81" s="83"/>
      <c r="C81" s="67">
        <v>7</v>
      </c>
      <c r="D81" s="16">
        <f ca="1">((100/(D76+F76+H76))*C81)/100</f>
        <v>0.875</v>
      </c>
      <c r="E81" s="106"/>
      <c r="F81" s="147"/>
      <c r="G81" s="106"/>
      <c r="H81" s="107"/>
      <c r="I81" s="13" t="s">
        <v>97</v>
      </c>
      <c r="J81" s="27">
        <f ca="1">(IF(B76&gt;1,(H76/(B76+2)),H76/4))</f>
        <v>1.75</v>
      </c>
      <c r="S81"/>
    </row>
    <row r="82" spans="1:19" ht="15.75" customHeight="1" x14ac:dyDescent="0.35">
      <c r="A82" s="82" t="s">
        <v>130</v>
      </c>
      <c r="B82" s="83" t="s">
        <v>124</v>
      </c>
      <c r="C82" s="67">
        <v>4</v>
      </c>
      <c r="D82" s="16">
        <f ca="1">((100/H76)*C82)/100</f>
        <v>0.57142857142857151</v>
      </c>
      <c r="E82" s="106"/>
      <c r="F82" s="147"/>
      <c r="G82" s="106"/>
      <c r="H82" s="107"/>
      <c r="I82" s="13" t="s">
        <v>98</v>
      </c>
      <c r="J82" s="27">
        <f ca="1">(IF(B76&gt;1,(H76/(B76+2)+J81),H76/4+J81))</f>
        <v>3.5</v>
      </c>
    </row>
    <row r="83" spans="1:19" ht="15.75" customHeight="1" x14ac:dyDescent="0.35">
      <c r="A83" s="82" t="s">
        <v>131</v>
      </c>
      <c r="B83" s="83" t="s">
        <v>124</v>
      </c>
      <c r="C83" s="67">
        <v>0</v>
      </c>
      <c r="D83" s="16">
        <f ca="1">((100/H76)*C83)/100</f>
        <v>0</v>
      </c>
      <c r="E83" s="106"/>
      <c r="F83" s="147"/>
      <c r="G83" s="106"/>
      <c r="H83" s="107"/>
      <c r="I83" s="13" t="s">
        <v>142</v>
      </c>
      <c r="J83" s="27">
        <f>(IF(B76&gt;1,(H76/(B76+2)+J82),0))</f>
        <v>0</v>
      </c>
    </row>
    <row r="84" spans="1:19" ht="15" customHeight="1" x14ac:dyDescent="0.35">
      <c r="A84" s="82" t="s">
        <v>129</v>
      </c>
      <c r="B84" s="83" t="s">
        <v>126</v>
      </c>
      <c r="C84" s="67">
        <v>0</v>
      </c>
      <c r="D84" s="16">
        <f ca="1">((100/(H76))*C84)/100</f>
        <v>0</v>
      </c>
      <c r="E84" s="106"/>
      <c r="F84" s="147"/>
      <c r="G84" s="106"/>
      <c r="H84" s="107"/>
      <c r="I84" s="13" t="s">
        <v>137</v>
      </c>
      <c r="J84" s="27">
        <f>(IF(B76&gt;2,(H76/(B76+2)+J83),0))</f>
        <v>0</v>
      </c>
    </row>
    <row r="85" spans="1:19" ht="15.75" customHeight="1" x14ac:dyDescent="0.35">
      <c r="A85" s="82" t="s">
        <v>125</v>
      </c>
      <c r="B85" s="83" t="s">
        <v>125</v>
      </c>
      <c r="C85" s="67">
        <v>0</v>
      </c>
      <c r="D85" s="16">
        <f ca="1">((100/H76)*C85)/100</f>
        <v>0</v>
      </c>
      <c r="E85" s="106"/>
      <c r="F85" s="147"/>
      <c r="G85" s="106"/>
      <c r="H85" s="107"/>
      <c r="I85" s="13" t="s">
        <v>138</v>
      </c>
      <c r="J85" s="28">
        <f>(IF(B76&gt;3,(H76/(B76+2)+J84),0))</f>
        <v>0</v>
      </c>
    </row>
    <row r="86" spans="1:19" ht="15.75" customHeight="1" x14ac:dyDescent="0.35">
      <c r="A86" s="82" t="s">
        <v>132</v>
      </c>
      <c r="B86" s="83"/>
      <c r="C86" s="67">
        <v>0</v>
      </c>
      <c r="D86" s="16">
        <f ca="1">((100/H76)*C86)/100</f>
        <v>0</v>
      </c>
      <c r="E86" s="106"/>
      <c r="F86" s="147"/>
      <c r="G86" s="106"/>
      <c r="H86" s="107"/>
      <c r="I86" s="13" t="s">
        <v>139</v>
      </c>
      <c r="J86" s="27">
        <f>(IF(B76&gt;4,(H76/(B76+2)+J85),0))</f>
        <v>0</v>
      </c>
    </row>
    <row r="87" spans="1:19" ht="15.75" customHeight="1" x14ac:dyDescent="0.35">
      <c r="A87" s="82" t="s">
        <v>127</v>
      </c>
      <c r="B87" s="83" t="s">
        <v>127</v>
      </c>
      <c r="C87" s="67">
        <v>0</v>
      </c>
      <c r="D87" s="16">
        <f ca="1">((100/(H76))*C87)/100</f>
        <v>0</v>
      </c>
      <c r="E87" s="106"/>
      <c r="F87" s="147"/>
      <c r="G87" s="106"/>
      <c r="H87" s="107"/>
      <c r="I87" s="13" t="s">
        <v>143</v>
      </c>
      <c r="J87" s="27">
        <f ca="1">(IF(B76=1,(H76/(B76+3)+J82),IF(B76=0,(H76/4+J82),IF(B76&gt;1,0))))</f>
        <v>5.25</v>
      </c>
    </row>
    <row r="88" spans="1:19" ht="16" thickBot="1" x14ac:dyDescent="0.4">
      <c r="A88" s="80" t="s">
        <v>128</v>
      </c>
      <c r="B88" s="81"/>
      <c r="C88" s="66">
        <v>0</v>
      </c>
      <c r="D88" s="17">
        <f ca="1">((100/(H76))*C88)/100</f>
        <v>0</v>
      </c>
      <c r="E88" s="108"/>
      <c r="F88" s="148"/>
      <c r="G88" s="108"/>
      <c r="H88" s="109"/>
      <c r="I88" s="14" t="s">
        <v>99</v>
      </c>
      <c r="J88" s="29">
        <f ca="1">(IF(B76&gt;1.5,(H76/(B76+2)+J82+MAX(0,J83-J82)+MAX(0,J84-J83)+MAX(0,J85-J84)+MAX(0,J86-J85)+MAX(0,J87-J86)),IF(B76=1,(H76/(B76+3)+J87),IF(B76=0,H76/4+J87))))</f>
        <v>7</v>
      </c>
    </row>
    <row r="89" spans="1:19" ht="15.75" customHeight="1" x14ac:dyDescent="0.35">
      <c r="A89" s="125" t="s">
        <v>134</v>
      </c>
      <c r="B89" s="126"/>
      <c r="C89" s="127" t="str">
        <f>D66</f>
        <v>F Wing = G + 1st to 7th Floor</v>
      </c>
      <c r="D89" s="128"/>
      <c r="E89" s="128"/>
      <c r="F89" s="128"/>
      <c r="G89" s="128"/>
      <c r="H89" s="129"/>
      <c r="I89" s="42" t="str">
        <f ca="1">IF(D102=100%,"All work Completed. Possession granted to the Building.",IF(D101=100%,"All work Completed, Waiting for OC",I90&amp;""&amp;I91&amp;""&amp;J90&amp;""&amp;J89&amp;" "&amp;J91))</f>
        <v>Excavation, Plinth, RCC Slab Completed, Brickwork upto 6 Floor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Brickwork upto 6 Floor</v>
      </c>
    </row>
    <row r="90" spans="1:19" x14ac:dyDescent="0.35">
      <c r="A90" s="70" t="s">
        <v>136</v>
      </c>
      <c r="B90" s="71">
        <f>IF(AND(ISNUMBER(SEARCH("1B",C89))),1,IF(AND(ISNUMBER(SEARCH("2B",C89))),2,IF(AND(ISNUMBER(SEARCH("3B",C89))),3,IF(AND(ISNUMBER(SEARCH("4B",C89))),4,IF(ISNUMBER(SEARCH("5B",C89)),5,0)))))</f>
        <v>0</v>
      </c>
      <c r="C90" s="71" t="s">
        <v>67</v>
      </c>
      <c r="D90" s="71">
        <v>1</v>
      </c>
      <c r="E90" s="71" t="s">
        <v>66</v>
      </c>
      <c r="F90" s="71">
        <v>0</v>
      </c>
      <c r="G90" s="71" t="s">
        <v>75</v>
      </c>
      <c r="H90" s="72">
        <f ca="1">--TRIM(RIGHT(SUBSTITUTE(LEFT(C89,_xlfn.AGGREGATE(16,6,FIND({0,1,2,3,4,5,6,7,8,9},C89,ROW(INDIRECT("1:"&amp;LEN(C89)))),1))," ",REPT(" ",LEN(C89))),LEN(C89)))</f>
        <v>7</v>
      </c>
      <c r="I90" s="44" t="str">
        <f ca="1">IF(D93=100%,"Excavation","")&amp;IF(D94=100%,", Plinth","")&amp;IF(D95=100%,", RCC Slab","")&amp;IF(D96=100%,", Brickwork","")&amp;IF(D97=100%,", Internal Plaster","")&amp;IF(D98=100%,", External Plaster","")&amp;IF(D99=100%,", Flooring","")&amp;IF(D100=100%,", Painting","")&amp;IF(D101=100%,", Building common Amenities","")</f>
        <v>Excavation, Plinth, RCC Slab</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x14ac:dyDescent="0.35">
      <c r="A91" s="113" t="s">
        <v>85</v>
      </c>
      <c r="B91" s="114"/>
      <c r="C91" s="87" t="str">
        <f ca="1">(IF($G$60="NA",I89,"All work Completed. OC Received."))</f>
        <v>Excavation, Plinth, RCC Slab Completed, Brickwork upto 6 Floor Completed</v>
      </c>
      <c r="D91" s="87"/>
      <c r="E91" s="87"/>
      <c r="F91" s="87"/>
      <c r="G91" s="87"/>
      <c r="H91" s="88"/>
      <c r="I91" s="44" t="str">
        <f ca="1">IF(I90&lt;&gt;""," Completed","")</f>
        <v xml:space="preserve"> Completed</v>
      </c>
      <c r="J91" s="45" t="str">
        <f ca="1">IF(J89&lt;&gt;"","Completed","")</f>
        <v>Completed</v>
      </c>
    </row>
    <row r="92" spans="1:19" ht="15.75" customHeight="1" x14ac:dyDescent="0.35">
      <c r="A92" s="82" t="s">
        <v>46</v>
      </c>
      <c r="B92" s="83"/>
      <c r="C92" s="67" t="s">
        <v>133</v>
      </c>
      <c r="D92" s="67" t="s">
        <v>78</v>
      </c>
      <c r="E92" s="83" t="s">
        <v>80</v>
      </c>
      <c r="F92" s="83"/>
      <c r="G92" s="83" t="s">
        <v>79</v>
      </c>
      <c r="H92" s="112"/>
      <c r="I92" s="13" t="s">
        <v>135</v>
      </c>
      <c r="J92" s="25">
        <f ca="1">H90*25%</f>
        <v>1.75</v>
      </c>
    </row>
    <row r="93" spans="1:19" x14ac:dyDescent="0.35">
      <c r="A93" s="82" t="s">
        <v>122</v>
      </c>
      <c r="B93" s="83"/>
      <c r="C93" s="73">
        <f ca="1">J94</f>
        <v>7</v>
      </c>
      <c r="D93" s="16">
        <f ca="1">((100/H90)*C93)/100</f>
        <v>1</v>
      </c>
      <c r="E93" s="104">
        <f ca="1">(((C94/H90*10)+(40/(D90+F90+H90)*C95)+(7.5/(H90)*C96)+(7.5/(H90)*C97)+(10/H90*C98)+(10/H90*C99)+(5/H90*C100)+(5/H90*C101)+(5/H90*C102))/100)</f>
        <v>0.56428571428571428</v>
      </c>
      <c r="F93" s="146"/>
      <c r="G93" s="104">
        <f ca="1">((((C93/H90)*20)+((C94/H90)*25)+(30/(H90+F90+D90)*C95)+(5/H90*C96)+(5/H90*C97)+(5/H90*C98)+(5/H90*C99)+(0/H90*C100)+(0/H90*C101)+(5/H90*C102))/100)</f>
        <v>0.79285714285714293</v>
      </c>
      <c r="H93" s="105"/>
      <c r="I93" s="13" t="s">
        <v>95</v>
      </c>
      <c r="J93" s="26">
        <f ca="1">H90*50%</f>
        <v>3.5</v>
      </c>
    </row>
    <row r="94" spans="1:19" x14ac:dyDescent="0.35">
      <c r="A94" s="82" t="s">
        <v>47</v>
      </c>
      <c r="B94" s="83"/>
      <c r="C94" s="73">
        <f ca="1">J102</f>
        <v>7</v>
      </c>
      <c r="D94" s="16">
        <f ca="1">((100/H90)*C94)/100</f>
        <v>1</v>
      </c>
      <c r="E94" s="106"/>
      <c r="F94" s="147"/>
      <c r="G94" s="106"/>
      <c r="H94" s="107"/>
      <c r="I94" s="13" t="s">
        <v>96</v>
      </c>
      <c r="J94" s="26">
        <f ca="1">H90</f>
        <v>7</v>
      </c>
    </row>
    <row r="95" spans="1:19" ht="15.75" customHeight="1" x14ac:dyDescent="0.35">
      <c r="A95" s="82" t="s">
        <v>123</v>
      </c>
      <c r="B95" s="83"/>
      <c r="C95" s="67">
        <v>8</v>
      </c>
      <c r="D95" s="16">
        <f ca="1">((100/(D90+F90+H90))*C95)/100</f>
        <v>1</v>
      </c>
      <c r="E95" s="106"/>
      <c r="F95" s="147"/>
      <c r="G95" s="106"/>
      <c r="H95" s="107"/>
      <c r="I95" s="13" t="s">
        <v>97</v>
      </c>
      <c r="J95" s="27">
        <f ca="1">(IF(B90&gt;1,(H90/(B90+2)),H90/4))</f>
        <v>1.75</v>
      </c>
    </row>
    <row r="96" spans="1:19" ht="15.75" customHeight="1" x14ac:dyDescent="0.35">
      <c r="A96" s="82" t="s">
        <v>130</v>
      </c>
      <c r="B96" s="83" t="s">
        <v>124</v>
      </c>
      <c r="C96" s="67">
        <v>6</v>
      </c>
      <c r="D96" s="16">
        <f ca="1">((100/H90)*C96)/100</f>
        <v>0.85714285714285721</v>
      </c>
      <c r="E96" s="106"/>
      <c r="F96" s="147"/>
      <c r="G96" s="106"/>
      <c r="H96" s="107"/>
      <c r="I96" s="13" t="s">
        <v>98</v>
      </c>
      <c r="J96" s="27">
        <f ca="1">(IF(B90&gt;1,(H90/(B90+2)+J95),H90/4+J95))</f>
        <v>3.5</v>
      </c>
    </row>
    <row r="97" spans="1:10" ht="15.75" customHeight="1" x14ac:dyDescent="0.35">
      <c r="A97" s="82" t="s">
        <v>131</v>
      </c>
      <c r="B97" s="83" t="s">
        <v>124</v>
      </c>
      <c r="C97" s="67">
        <v>0</v>
      </c>
      <c r="D97" s="16">
        <f ca="1">((100/H90)*C97)/100</f>
        <v>0</v>
      </c>
      <c r="E97" s="106"/>
      <c r="F97" s="147"/>
      <c r="G97" s="106"/>
      <c r="H97" s="107"/>
      <c r="I97" s="13" t="s">
        <v>142</v>
      </c>
      <c r="J97" s="27">
        <f>(IF(B90&gt;1,(H90/(B90+2)+J96),0))</f>
        <v>0</v>
      </c>
    </row>
    <row r="98" spans="1:10" ht="15" customHeight="1" x14ac:dyDescent="0.35">
      <c r="A98" s="82" t="s">
        <v>129</v>
      </c>
      <c r="B98" s="83" t="s">
        <v>126</v>
      </c>
      <c r="C98" s="67">
        <v>0</v>
      </c>
      <c r="D98" s="16">
        <f ca="1">((100/(H90))*C98)/100</f>
        <v>0</v>
      </c>
      <c r="E98" s="106"/>
      <c r="F98" s="147"/>
      <c r="G98" s="106"/>
      <c r="H98" s="107"/>
      <c r="I98" s="13" t="s">
        <v>137</v>
      </c>
      <c r="J98" s="27">
        <f>(IF(B90&gt;2,(H90/(B90+2)+J97),0))</f>
        <v>0</v>
      </c>
    </row>
    <row r="99" spans="1:10" ht="15.75" customHeight="1" x14ac:dyDescent="0.35">
      <c r="A99" s="82" t="s">
        <v>125</v>
      </c>
      <c r="B99" s="83" t="s">
        <v>125</v>
      </c>
      <c r="C99" s="67">
        <v>0</v>
      </c>
      <c r="D99" s="16">
        <f ca="1">((100/H90)*C99)/100</f>
        <v>0</v>
      </c>
      <c r="E99" s="106"/>
      <c r="F99" s="147"/>
      <c r="G99" s="106"/>
      <c r="H99" s="107"/>
      <c r="I99" s="13" t="s">
        <v>138</v>
      </c>
      <c r="J99" s="28">
        <f>(IF(B90&gt;3,(H90/(B90+2)+J98),0))</f>
        <v>0</v>
      </c>
    </row>
    <row r="100" spans="1:10" ht="15.75" customHeight="1" x14ac:dyDescent="0.35">
      <c r="A100" s="82" t="s">
        <v>132</v>
      </c>
      <c r="B100" s="83"/>
      <c r="C100" s="67">
        <v>0</v>
      </c>
      <c r="D100" s="16">
        <f ca="1">((100/H90)*C100)/100</f>
        <v>0</v>
      </c>
      <c r="E100" s="106"/>
      <c r="F100" s="147"/>
      <c r="G100" s="106"/>
      <c r="H100" s="107"/>
      <c r="I100" s="13" t="s">
        <v>139</v>
      </c>
      <c r="J100" s="27">
        <f>(IF(B90&gt;4,(H90/(B90+2)+J99),0))</f>
        <v>0</v>
      </c>
    </row>
    <row r="101" spans="1:10" ht="15.75" customHeight="1" x14ac:dyDescent="0.35">
      <c r="A101" s="82" t="s">
        <v>127</v>
      </c>
      <c r="B101" s="83" t="s">
        <v>127</v>
      </c>
      <c r="C101" s="67">
        <v>0</v>
      </c>
      <c r="D101" s="16">
        <f ca="1">((100/(H90))*C101)/100</f>
        <v>0</v>
      </c>
      <c r="E101" s="106"/>
      <c r="F101" s="147"/>
      <c r="G101" s="106"/>
      <c r="H101" s="107"/>
      <c r="I101" s="13" t="s">
        <v>143</v>
      </c>
      <c r="J101" s="27">
        <f ca="1">(IF(B90=1,(H90/(B90+3)+J96),IF(B90=0,(H90/4+J96),IF(B90&gt;1,0))))</f>
        <v>5.25</v>
      </c>
    </row>
    <row r="102" spans="1:10" ht="16" thickBot="1" x14ac:dyDescent="0.4">
      <c r="A102" s="80" t="s">
        <v>128</v>
      </c>
      <c r="B102" s="81"/>
      <c r="C102" s="66">
        <v>0</v>
      </c>
      <c r="D102" s="17">
        <f ca="1">((100/(H90))*C102)/100</f>
        <v>0</v>
      </c>
      <c r="E102" s="108"/>
      <c r="F102" s="148"/>
      <c r="G102" s="108"/>
      <c r="H102" s="109"/>
      <c r="I102" s="14" t="s">
        <v>99</v>
      </c>
      <c r="J102" s="29">
        <f ca="1">(IF(B90&gt;1.5,(H90/(B90+2)+J96+MAX(0,J97-J96)+MAX(0,J98-J97)+MAX(0,J99-J98)+MAX(0,J100-J99)+MAX(0,J101-J100)),IF(B90=1,(H90/(B90+3)+J101),IF(B90=0,H90/4+J101))))</f>
        <v>7</v>
      </c>
    </row>
    <row r="103" spans="1:10" ht="15.75" customHeight="1" x14ac:dyDescent="0.35">
      <c r="A103" s="125" t="s">
        <v>134</v>
      </c>
      <c r="B103" s="126"/>
      <c r="C103" s="127" t="str">
        <f>D67</f>
        <v>G Wing = G + 1st to 6th Floor</v>
      </c>
      <c r="D103" s="128"/>
      <c r="E103" s="128"/>
      <c r="F103" s="128"/>
      <c r="G103" s="128"/>
      <c r="H103" s="129"/>
      <c r="I103" s="42" t="str">
        <f ca="1">IF(D116=100%,"All work Completed. Possession granted to the Building.",IF(D115=100%,"All work Completed, Waiting for OC",I104&amp;""&amp;I105&amp;""&amp;J104&amp;""&amp;J103&amp;" "&amp;J105))</f>
        <v>All work Completed. Possession granted to the Building.</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x14ac:dyDescent="0.35">
      <c r="A104" s="70" t="s">
        <v>136</v>
      </c>
      <c r="B104" s="71">
        <f>IF(AND(ISNUMBER(SEARCH("1B",C103))),1,IF(AND(ISNUMBER(SEARCH("2B",C103))),2,IF(AND(ISNUMBER(SEARCH("3B",C103))),3,IF(AND(ISNUMBER(SEARCH("4B",C103))),4,IF(ISNUMBER(SEARCH("5B",C103)),5,0)))))</f>
        <v>0</v>
      </c>
      <c r="C104" s="71" t="s">
        <v>67</v>
      </c>
      <c r="D104" s="71">
        <v>1</v>
      </c>
      <c r="E104" s="71" t="s">
        <v>66</v>
      </c>
      <c r="F104" s="71">
        <v>0</v>
      </c>
      <c r="G104" s="71" t="s">
        <v>75</v>
      </c>
      <c r="H104" s="72">
        <f ca="1">--TRIM(RIGHT(SUBSTITUTE(LEFT(C103,_xlfn.AGGREGATE(16,6,FIND({0,1,2,3,4,5,6,7,8,9},C103,ROW(INDIRECT("1:"&amp;LEN(C103)))),1))," ",REPT(" ",LEN(C103))),LEN(C103)))</f>
        <v>6</v>
      </c>
      <c r="I104" s="44" t="str">
        <f ca="1">IF(D107=100%,"Excavation","")&amp;IF(D108=100%,", Plinth","")&amp;IF(D109=100%,", RCC Slab","")&amp;IF(D110=100%,", Brickwork","")&amp;IF(D111=100%,", Internal Plaster","")&amp;IF(D112=100%,", External Plaster","")&amp;IF(D113=100%,", Flooring","")&amp;IF(D114=100%,", Painting","")&amp;IF(D115=100%,", Building common Amenities","")</f>
        <v>Excavation, Plinth, RCC Slab, Brickwork, Internal Plaster, External Plaster, Flooring, Painting, Building common Amenities</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x14ac:dyDescent="0.35">
      <c r="A105" s="113" t="s">
        <v>85</v>
      </c>
      <c r="B105" s="114"/>
      <c r="C105" s="87" t="str">
        <f ca="1">(IF($G$60="NA",I103,"All work Completed. OC Received."))</f>
        <v>All work Completed. Possession granted to the Building.</v>
      </c>
      <c r="D105" s="87"/>
      <c r="E105" s="87"/>
      <c r="F105" s="87"/>
      <c r="G105" s="87"/>
      <c r="H105" s="88"/>
      <c r="I105" s="44" t="str">
        <f ca="1">IF(I104&lt;&gt;""," Completed","")</f>
        <v xml:space="preserve"> Completed</v>
      </c>
      <c r="J105" s="45" t="str">
        <f ca="1">IF(J103&lt;&gt;"","Completed","")</f>
        <v/>
      </c>
    </row>
    <row r="106" spans="1:10" ht="15.75" customHeight="1" x14ac:dyDescent="0.35">
      <c r="A106" s="82" t="s">
        <v>46</v>
      </c>
      <c r="B106" s="83"/>
      <c r="C106" s="67" t="s">
        <v>133</v>
      </c>
      <c r="D106" s="67" t="s">
        <v>78</v>
      </c>
      <c r="E106" s="83" t="s">
        <v>80</v>
      </c>
      <c r="F106" s="83"/>
      <c r="G106" s="83" t="s">
        <v>79</v>
      </c>
      <c r="H106" s="112"/>
      <c r="I106" s="13" t="s">
        <v>135</v>
      </c>
      <c r="J106" s="25">
        <f ca="1">H104*25%</f>
        <v>1.5</v>
      </c>
    </row>
    <row r="107" spans="1:10" x14ac:dyDescent="0.35">
      <c r="A107" s="82" t="s">
        <v>122</v>
      </c>
      <c r="B107" s="83"/>
      <c r="C107" s="67">
        <f ca="1">J108</f>
        <v>6</v>
      </c>
      <c r="D107" s="16">
        <f ca="1">((100/H104)*C107)/100</f>
        <v>1</v>
      </c>
      <c r="E107" s="104">
        <f ca="1">(((C108/H104*10)+(40/(D104+F104+H104)*C109)+(7.5/(H104)*C110)+(7.5/(H104)*C111)+(10/H104*C112)+(10/H104*C113)+(5/H104*C114)+(5/H104*C115)+(5/H104*C116))/100)</f>
        <v>1</v>
      </c>
      <c r="F107" s="146"/>
      <c r="G107" s="104">
        <f ca="1">((((C107/H104)*20)+((C108/H104)*25)+(30/(H104+F104+D104)*C109)+(5/H104*C110)+(5/H104*C111)+(5/H104*C112)+(5/H104*C113)+(0/H104*C114)+(0/H104*C115)+(5/H104*C116))/100)</f>
        <v>1</v>
      </c>
      <c r="H107" s="105"/>
      <c r="I107" s="13" t="s">
        <v>95</v>
      </c>
      <c r="J107" s="26">
        <f ca="1">H104*50%</f>
        <v>3</v>
      </c>
    </row>
    <row r="108" spans="1:10" x14ac:dyDescent="0.35">
      <c r="A108" s="82" t="s">
        <v>47</v>
      </c>
      <c r="B108" s="83"/>
      <c r="C108" s="67">
        <f ca="1">J116</f>
        <v>6</v>
      </c>
      <c r="D108" s="16">
        <f ca="1">((100/H104)*C108)/100</f>
        <v>1</v>
      </c>
      <c r="E108" s="106"/>
      <c r="F108" s="147"/>
      <c r="G108" s="106"/>
      <c r="H108" s="107"/>
      <c r="I108" s="13" t="s">
        <v>96</v>
      </c>
      <c r="J108" s="26">
        <f ca="1">H104</f>
        <v>6</v>
      </c>
    </row>
    <row r="109" spans="1:10" ht="15.75" customHeight="1" x14ac:dyDescent="0.35">
      <c r="A109" s="82" t="s">
        <v>123</v>
      </c>
      <c r="B109" s="83"/>
      <c r="C109" s="67">
        <v>7</v>
      </c>
      <c r="D109" s="16">
        <f ca="1">((100/(D104+F104+H104))*C109)/100</f>
        <v>1</v>
      </c>
      <c r="E109" s="106"/>
      <c r="F109" s="147"/>
      <c r="G109" s="106"/>
      <c r="H109" s="107"/>
      <c r="I109" s="13" t="s">
        <v>97</v>
      </c>
      <c r="J109" s="27">
        <f ca="1">(IF(B104&gt;1,(H104/(B104+2)),H104/4))</f>
        <v>1.5</v>
      </c>
    </row>
    <row r="110" spans="1:10" ht="15.75" customHeight="1" x14ac:dyDescent="0.35">
      <c r="A110" s="82" t="s">
        <v>130</v>
      </c>
      <c r="B110" s="83" t="s">
        <v>124</v>
      </c>
      <c r="C110" s="67">
        <v>6</v>
      </c>
      <c r="D110" s="16">
        <f ca="1">((100/H104)*C110)/100</f>
        <v>1</v>
      </c>
      <c r="E110" s="106"/>
      <c r="F110" s="147"/>
      <c r="G110" s="106"/>
      <c r="H110" s="107"/>
      <c r="I110" s="13" t="s">
        <v>98</v>
      </c>
      <c r="J110" s="27">
        <f ca="1">(IF(B104&gt;1,(H104/(B104+2)+J109),H104/4+J109))</f>
        <v>3</v>
      </c>
    </row>
    <row r="111" spans="1:10" ht="15.75" customHeight="1" x14ac:dyDescent="0.35">
      <c r="A111" s="82" t="s">
        <v>131</v>
      </c>
      <c r="B111" s="83" t="s">
        <v>124</v>
      </c>
      <c r="C111" s="75">
        <v>6</v>
      </c>
      <c r="D111" s="16">
        <f ca="1">((100/H104)*C111)/100</f>
        <v>1</v>
      </c>
      <c r="E111" s="106"/>
      <c r="F111" s="147"/>
      <c r="G111" s="106"/>
      <c r="H111" s="107"/>
      <c r="I111" s="13" t="s">
        <v>142</v>
      </c>
      <c r="J111" s="27">
        <f>(IF(B104&gt;1,(H104/(B104+2)+J110),0))</f>
        <v>0</v>
      </c>
    </row>
    <row r="112" spans="1:10" ht="15" customHeight="1" x14ac:dyDescent="0.35">
      <c r="A112" s="82" t="s">
        <v>129</v>
      </c>
      <c r="B112" s="83" t="s">
        <v>126</v>
      </c>
      <c r="C112" s="75">
        <v>6</v>
      </c>
      <c r="D112" s="16">
        <f ca="1">((100/(H104))*C112)/100</f>
        <v>1</v>
      </c>
      <c r="E112" s="106"/>
      <c r="F112" s="147"/>
      <c r="G112" s="106"/>
      <c r="H112" s="107"/>
      <c r="I112" s="13" t="s">
        <v>137</v>
      </c>
      <c r="J112" s="27">
        <f>(IF(B104&gt;2,(H104/(B104+2)+J111),0))</f>
        <v>0</v>
      </c>
    </row>
    <row r="113" spans="1:22" ht="15.75" customHeight="1" x14ac:dyDescent="0.35">
      <c r="A113" s="82" t="s">
        <v>125</v>
      </c>
      <c r="B113" s="83" t="s">
        <v>125</v>
      </c>
      <c r="C113" s="75">
        <v>6</v>
      </c>
      <c r="D113" s="16">
        <f ca="1">((100/H104)*C113)/100</f>
        <v>1</v>
      </c>
      <c r="E113" s="106"/>
      <c r="F113" s="147"/>
      <c r="G113" s="106"/>
      <c r="H113" s="107"/>
      <c r="I113" s="13" t="s">
        <v>138</v>
      </c>
      <c r="J113" s="28">
        <f>(IF(B104&gt;3,(H104/(B104+2)+J112),0))</f>
        <v>0</v>
      </c>
    </row>
    <row r="114" spans="1:22" ht="15.75" customHeight="1" x14ac:dyDescent="0.35">
      <c r="A114" s="82" t="s">
        <v>132</v>
      </c>
      <c r="B114" s="83"/>
      <c r="C114" s="75">
        <v>6</v>
      </c>
      <c r="D114" s="16">
        <f ca="1">((100/H104)*C114)/100</f>
        <v>1</v>
      </c>
      <c r="E114" s="106"/>
      <c r="F114" s="147"/>
      <c r="G114" s="106"/>
      <c r="H114" s="107"/>
      <c r="I114" s="13" t="s">
        <v>139</v>
      </c>
      <c r="J114" s="27">
        <f>(IF(B104&gt;4,(H104/(B104+2)+J113),0))</f>
        <v>0</v>
      </c>
    </row>
    <row r="115" spans="1:22" ht="15.75" customHeight="1" x14ac:dyDescent="0.35">
      <c r="A115" s="82" t="s">
        <v>127</v>
      </c>
      <c r="B115" s="83" t="s">
        <v>127</v>
      </c>
      <c r="C115" s="75">
        <v>6</v>
      </c>
      <c r="D115" s="16">
        <f ca="1">((100/(H104))*C115)/100</f>
        <v>1</v>
      </c>
      <c r="E115" s="106"/>
      <c r="F115" s="147"/>
      <c r="G115" s="106"/>
      <c r="H115" s="107"/>
      <c r="I115" s="13" t="s">
        <v>143</v>
      </c>
      <c r="J115" s="27">
        <f ca="1">(IF(B104=1,(H104/(B104+3)+J110),IF(B104=0,(H104/4+J110),IF(B104&gt;1,0))))</f>
        <v>4.5</v>
      </c>
    </row>
    <row r="116" spans="1:22" ht="16" thickBot="1" x14ac:dyDescent="0.4">
      <c r="A116" s="80" t="s">
        <v>128</v>
      </c>
      <c r="B116" s="81"/>
      <c r="C116" s="66">
        <v>6</v>
      </c>
      <c r="D116" s="17">
        <f ca="1">((100/(H104))*C116)/100</f>
        <v>1</v>
      </c>
      <c r="E116" s="108"/>
      <c r="F116" s="148"/>
      <c r="G116" s="108"/>
      <c r="H116" s="109"/>
      <c r="I116" s="14" t="s">
        <v>99</v>
      </c>
      <c r="J116" s="29">
        <f ca="1">(IF(B104&gt;1.5,(H104/(B104+2)+J110+MAX(0,J111-J110)+MAX(0,J112-J111)+MAX(0,J113-J112)+MAX(0,J114-J113)+MAX(0,J115-J114)),IF(B104=1,(H104/(B104+3)+J115),IF(B104=0,H104/4+J115))))</f>
        <v>6</v>
      </c>
    </row>
    <row r="117" spans="1:22" x14ac:dyDescent="0.35">
      <c r="A117" s="111" t="s">
        <v>154</v>
      </c>
      <c r="B117" s="111"/>
      <c r="C117" s="111"/>
      <c r="D117" s="111"/>
      <c r="E117" s="111"/>
      <c r="F117" s="115" t="s">
        <v>158</v>
      </c>
      <c r="G117" s="115"/>
      <c r="H117" s="115"/>
      <c r="R117" t="s">
        <v>250</v>
      </c>
      <c r="S117" t="s">
        <v>170</v>
      </c>
      <c r="T117" t="s">
        <v>175</v>
      </c>
      <c r="U117" t="s">
        <v>190</v>
      </c>
      <c r="V117" t="s">
        <v>185</v>
      </c>
    </row>
    <row r="118" spans="1:22" x14ac:dyDescent="0.35">
      <c r="A118" s="79" t="s">
        <v>156</v>
      </c>
      <c r="B118" s="79"/>
      <c r="C118" s="79"/>
      <c r="D118" s="79"/>
      <c r="E118" s="79"/>
      <c r="F118" s="110">
        <v>3900</v>
      </c>
      <c r="G118" s="110"/>
      <c r="H118" s="110"/>
      <c r="R118"/>
      <c r="S118">
        <v>800000</v>
      </c>
      <c r="T118">
        <v>150000</v>
      </c>
      <c r="U118">
        <v>100000</v>
      </c>
      <c r="V118">
        <v>100000</v>
      </c>
    </row>
    <row r="119" spans="1:22" hidden="1" x14ac:dyDescent="0.35">
      <c r="A119" s="79" t="s">
        <v>155</v>
      </c>
      <c r="B119" s="79"/>
      <c r="C119" s="79"/>
      <c r="D119" s="79"/>
      <c r="E119" s="79"/>
      <c r="F119" s="110"/>
      <c r="G119" s="110"/>
      <c r="H119" s="110"/>
      <c r="R119"/>
      <c r="S119">
        <v>900000</v>
      </c>
      <c r="T119">
        <v>200000</v>
      </c>
      <c r="U119">
        <v>150000</v>
      </c>
      <c r="V119">
        <v>150000</v>
      </c>
    </row>
    <row r="120" spans="1:22" hidden="1" x14ac:dyDescent="0.35">
      <c r="A120" s="79" t="s">
        <v>157</v>
      </c>
      <c r="B120" s="79"/>
      <c r="C120" s="79"/>
      <c r="D120" s="79"/>
      <c r="E120" s="79"/>
      <c r="F120" s="110"/>
      <c r="G120" s="110"/>
      <c r="H120" s="110"/>
      <c r="R120"/>
      <c r="S120">
        <v>1000000</v>
      </c>
      <c r="T120">
        <v>250000</v>
      </c>
      <c r="U120">
        <v>200000</v>
      </c>
      <c r="V120">
        <v>200000</v>
      </c>
    </row>
    <row r="121" spans="1:22" s="30" customFormat="1" hidden="1" x14ac:dyDescent="0.35">
      <c r="A121" s="79" t="s">
        <v>371</v>
      </c>
      <c r="B121" s="79"/>
      <c r="C121" s="79"/>
      <c r="D121" s="79"/>
      <c r="E121" s="79"/>
      <c r="F121" s="110"/>
      <c r="G121" s="110"/>
      <c r="H121" s="110"/>
      <c r="R121"/>
      <c r="S121">
        <v>1100000</v>
      </c>
      <c r="T121">
        <v>300000</v>
      </c>
      <c r="U121">
        <v>250000</v>
      </c>
      <c r="V121" s="20">
        <v>250000</v>
      </c>
    </row>
    <row r="122" spans="1:22" s="30" customFormat="1" x14ac:dyDescent="0.35">
      <c r="A122" s="79" t="s">
        <v>90</v>
      </c>
      <c r="B122" s="79"/>
      <c r="C122" s="79"/>
      <c r="D122" s="79"/>
      <c r="E122" s="79"/>
      <c r="F122" s="110">
        <v>100000</v>
      </c>
      <c r="G122" s="110"/>
      <c r="H122" s="110"/>
      <c r="R122"/>
      <c r="S122">
        <v>1200000</v>
      </c>
      <c r="T122">
        <v>350000</v>
      </c>
      <c r="U122">
        <v>300000</v>
      </c>
      <c r="V122">
        <v>300000</v>
      </c>
    </row>
    <row r="123" spans="1:22" s="30" customFormat="1" x14ac:dyDescent="0.35">
      <c r="A123" s="79" t="s">
        <v>383</v>
      </c>
      <c r="B123" s="79"/>
      <c r="C123" s="79"/>
      <c r="D123" s="79"/>
      <c r="E123" s="79"/>
      <c r="F123" s="110">
        <v>50000</v>
      </c>
      <c r="G123" s="110"/>
      <c r="H123" s="110"/>
      <c r="R123"/>
      <c r="S123">
        <v>1300000</v>
      </c>
      <c r="T123">
        <v>400000</v>
      </c>
      <c r="U123">
        <v>350000</v>
      </c>
      <c r="V123" s="20">
        <v>400000</v>
      </c>
    </row>
    <row r="124" spans="1:22" s="30" customFormat="1" hidden="1" x14ac:dyDescent="0.35">
      <c r="A124" s="79" t="s">
        <v>91</v>
      </c>
      <c r="B124" s="79"/>
      <c r="C124" s="79"/>
      <c r="D124" s="79"/>
      <c r="E124" s="79"/>
      <c r="F124" s="110"/>
      <c r="G124" s="110"/>
      <c r="H124" s="110"/>
      <c r="R124"/>
      <c r="S124">
        <v>1400000</v>
      </c>
      <c r="T124">
        <v>500000</v>
      </c>
      <c r="U124">
        <v>400000</v>
      </c>
      <c r="V124"/>
    </row>
    <row r="125" spans="1:22" s="30" customFormat="1" hidden="1" x14ac:dyDescent="0.35">
      <c r="A125" s="79" t="s">
        <v>92</v>
      </c>
      <c r="B125" s="79"/>
      <c r="C125" s="79"/>
      <c r="D125" s="79"/>
      <c r="E125" s="79"/>
      <c r="F125" s="110"/>
      <c r="G125" s="110"/>
      <c r="H125" s="110"/>
      <c r="R125"/>
      <c r="S125">
        <v>1500000</v>
      </c>
      <c r="T125">
        <v>600000</v>
      </c>
      <c r="U125">
        <v>500000</v>
      </c>
      <c r="V125" s="20"/>
    </row>
    <row r="126" spans="1:22" s="30" customFormat="1" hidden="1" x14ac:dyDescent="0.35">
      <c r="A126" s="79" t="s">
        <v>93</v>
      </c>
      <c r="B126" s="79"/>
      <c r="C126" s="79"/>
      <c r="D126" s="79"/>
      <c r="E126" s="79"/>
      <c r="F126" s="110"/>
      <c r="G126" s="110"/>
      <c r="H126" s="110"/>
      <c r="R126"/>
      <c r="S126">
        <v>1600000</v>
      </c>
      <c r="T126">
        <v>700000</v>
      </c>
      <c r="U126">
        <v>600000</v>
      </c>
      <c r="V126"/>
    </row>
    <row r="127" spans="1:22" s="30" customFormat="1" hidden="1" x14ac:dyDescent="0.35">
      <c r="A127" s="79" t="s">
        <v>94</v>
      </c>
      <c r="B127" s="79"/>
      <c r="C127" s="79"/>
      <c r="D127" s="79"/>
      <c r="E127" s="79"/>
      <c r="F127" s="110"/>
      <c r="G127" s="110"/>
      <c r="H127" s="110"/>
      <c r="R127"/>
      <c r="S127">
        <v>1700000</v>
      </c>
      <c r="T127">
        <v>800000</v>
      </c>
      <c r="U127"/>
      <c r="V127" s="20"/>
    </row>
    <row r="128" spans="1:22" x14ac:dyDescent="0.35">
      <c r="A128" s="79" t="s">
        <v>48</v>
      </c>
      <c r="B128" s="79"/>
      <c r="C128" s="79"/>
      <c r="D128" s="79"/>
      <c r="E128" s="79"/>
      <c r="F128" s="170">
        <v>100000</v>
      </c>
      <c r="G128" s="170"/>
      <c r="H128" s="170"/>
      <c r="R128"/>
      <c r="S128">
        <v>1800000</v>
      </c>
      <c r="T128">
        <v>900000</v>
      </c>
      <c r="U128"/>
    </row>
    <row r="129" spans="1:22" s="31" customFormat="1" x14ac:dyDescent="0.35">
      <c r="A129" s="124" t="s">
        <v>49</v>
      </c>
      <c r="B129" s="124"/>
      <c r="C129" s="124"/>
      <c r="D129" s="124"/>
      <c r="E129" s="124"/>
      <c r="F129" s="110">
        <f>F118*0.8</f>
        <v>3120</v>
      </c>
      <c r="G129" s="110"/>
      <c r="H129" s="110"/>
      <c r="R129" s="18"/>
      <c r="S129" s="18"/>
      <c r="T129">
        <v>1000000</v>
      </c>
      <c r="U129"/>
      <c r="V129" s="18"/>
    </row>
    <row r="130" spans="1:22" s="32" customFormat="1" ht="15.75" hidden="1" customHeight="1" x14ac:dyDescent="0.35">
      <c r="A130" s="92" t="s">
        <v>70</v>
      </c>
      <c r="B130" s="92"/>
      <c r="C130" s="92"/>
      <c r="D130" s="92"/>
      <c r="E130" s="92"/>
      <c r="F130" s="92"/>
      <c r="G130" s="92"/>
      <c r="H130" s="92"/>
      <c r="R130"/>
      <c r="S130" s="18"/>
      <c r="T130"/>
      <c r="U130"/>
      <c r="V130" s="18"/>
    </row>
    <row r="131" spans="1:22" s="32" customFormat="1" ht="15.75" hidden="1" customHeight="1" x14ac:dyDescent="0.35">
      <c r="A131" s="95" t="s">
        <v>50</v>
      </c>
      <c r="B131" s="95"/>
      <c r="C131" s="93" t="s">
        <v>73</v>
      </c>
      <c r="D131" s="93"/>
      <c r="E131" s="94" t="s">
        <v>51</v>
      </c>
      <c r="F131" s="94"/>
      <c r="G131" s="95" t="s">
        <v>52</v>
      </c>
      <c r="H131" s="95"/>
      <c r="R131"/>
      <c r="S131" s="18"/>
      <c r="T131"/>
      <c r="U131" s="18"/>
      <c r="V131" s="18"/>
    </row>
    <row r="132" spans="1:22" s="32" customFormat="1" hidden="1" x14ac:dyDescent="0.35">
      <c r="A132" s="96"/>
      <c r="B132" s="96"/>
      <c r="C132" s="89"/>
      <c r="D132" s="89"/>
      <c r="E132" s="90"/>
      <c r="F132" s="90"/>
      <c r="G132" s="91"/>
      <c r="H132" s="91"/>
      <c r="R132"/>
      <c r="S132" s="18"/>
      <c r="T132"/>
      <c r="U132" s="18"/>
      <c r="V132" s="18"/>
    </row>
    <row r="133" spans="1:22" s="32" customFormat="1" hidden="1" x14ac:dyDescent="0.35">
      <c r="A133" s="96"/>
      <c r="B133" s="96"/>
      <c r="C133" s="89"/>
      <c r="D133" s="89"/>
      <c r="E133" s="90"/>
      <c r="F133" s="90"/>
      <c r="G133" s="91"/>
      <c r="H133" s="91"/>
      <c r="R133"/>
      <c r="S133" s="18"/>
      <c r="T133"/>
      <c r="U133" s="18"/>
      <c r="V133" s="18"/>
    </row>
    <row r="134" spans="1:22" s="32" customFormat="1" hidden="1" x14ac:dyDescent="0.35">
      <c r="A134" s="92" t="s">
        <v>147</v>
      </c>
      <c r="B134" s="92"/>
      <c r="C134" s="93"/>
      <c r="D134" s="93"/>
      <c r="E134" s="94"/>
      <c r="F134" s="94"/>
      <c r="G134" s="95"/>
      <c r="H134" s="95"/>
      <c r="R134"/>
      <c r="S134" s="18"/>
      <c r="T134"/>
      <c r="U134" s="18"/>
      <c r="V134" s="18"/>
    </row>
    <row r="135" spans="1:22" s="32" customFormat="1" x14ac:dyDescent="0.35">
      <c r="A135" s="92" t="s">
        <v>367</v>
      </c>
      <c r="B135" s="92"/>
      <c r="C135" s="92"/>
      <c r="D135" s="92"/>
      <c r="E135" s="92"/>
      <c r="F135" s="92"/>
      <c r="G135" s="92"/>
      <c r="H135" s="92"/>
      <c r="T135"/>
    </row>
    <row r="136" spans="1:22" s="32" customFormat="1" ht="15.75" customHeight="1" x14ac:dyDescent="0.35">
      <c r="A136" s="95" t="s">
        <v>50</v>
      </c>
      <c r="B136" s="95"/>
      <c r="C136" s="93" t="s">
        <v>73</v>
      </c>
      <c r="D136" s="93"/>
      <c r="E136" s="94" t="s">
        <v>51</v>
      </c>
      <c r="F136" s="94"/>
      <c r="G136" s="95" t="s">
        <v>52</v>
      </c>
      <c r="H136" s="95"/>
      <c r="T136"/>
    </row>
    <row r="137" spans="1:22" s="32" customFormat="1" x14ac:dyDescent="0.35">
      <c r="A137" s="96" t="s">
        <v>355</v>
      </c>
      <c r="B137" s="96"/>
      <c r="C137" s="97">
        <f>COUNT(D157:D162)*6+COUNT(D164:D169)</f>
        <v>42</v>
      </c>
      <c r="D137" s="97"/>
      <c r="E137" s="97">
        <f>SUM(F157:F162)*6+SUM(F164:F169)</f>
        <v>15184.720979999998</v>
      </c>
      <c r="F137" s="97"/>
      <c r="G137" s="97">
        <f t="shared" ref="G137" si="0">SUM(H157:H162)*6+SUM(H164:H169)</f>
        <v>22080.007521</v>
      </c>
      <c r="H137" s="97"/>
      <c r="T137"/>
    </row>
    <row r="138" spans="1:22" s="32" customFormat="1" x14ac:dyDescent="0.35">
      <c r="A138" s="96" t="s">
        <v>362</v>
      </c>
      <c r="B138" s="96"/>
      <c r="C138" s="97">
        <f>COUNT(D173:D178)*6+COUNT(D180:D182)</f>
        <v>39</v>
      </c>
      <c r="D138" s="97"/>
      <c r="E138" s="97">
        <f>SUM(F173:F178)*6+SUM(F180:F182)</f>
        <v>13980.121740000001</v>
      </c>
      <c r="F138" s="97"/>
      <c r="G138" s="97">
        <f t="shared" ref="G138" si="1">SUM(H173:H178)*6+SUM(H180:H182)</f>
        <v>20457.662822999999</v>
      </c>
      <c r="H138" s="97"/>
      <c r="T138"/>
    </row>
    <row r="139" spans="1:22" s="32" customFormat="1" x14ac:dyDescent="0.35">
      <c r="A139" s="96" t="s">
        <v>365</v>
      </c>
      <c r="B139" s="96"/>
      <c r="C139" s="97">
        <f>COUNT(D189:D194)*6</f>
        <v>36</v>
      </c>
      <c r="D139" s="97"/>
      <c r="E139" s="97">
        <f>SUM(F189:F194)*6</f>
        <v>12306.804120000003</v>
      </c>
      <c r="F139" s="97"/>
      <c r="G139" s="97">
        <f t="shared" ref="G139" si="2">SUM(H189:H194)*6</f>
        <v>17844.865974</v>
      </c>
      <c r="H139" s="97"/>
      <c r="T139"/>
    </row>
    <row r="140" spans="1:22" s="32" customFormat="1" ht="16" thickBot="1" x14ac:dyDescent="0.4">
      <c r="A140" s="84" t="s">
        <v>147</v>
      </c>
      <c r="B140" s="84"/>
      <c r="C140" s="85">
        <f>SUM(C137:D139)</f>
        <v>117</v>
      </c>
      <c r="D140" s="86"/>
      <c r="E140" s="85">
        <f t="shared" ref="E140" si="3">SUM(E137:F139)</f>
        <v>41471.646840000001</v>
      </c>
      <c r="F140" s="86"/>
      <c r="G140" s="85">
        <f t="shared" ref="G140" si="4">SUM(G137:H139)</f>
        <v>60382.536317999999</v>
      </c>
      <c r="H140" s="86"/>
      <c r="T140"/>
    </row>
    <row r="141" spans="1:22" s="32" customFormat="1" x14ac:dyDescent="0.35">
      <c r="A141" s="230" t="s">
        <v>164</v>
      </c>
      <c r="B141" s="231"/>
      <c r="C141" s="232">
        <f>C134+C140</f>
        <v>117</v>
      </c>
      <c r="D141" s="232"/>
      <c r="E141" s="233">
        <f>E134+E140</f>
        <v>41471.646840000001</v>
      </c>
      <c r="F141" s="233"/>
      <c r="G141" s="234">
        <f>G134+G140</f>
        <v>60382.536317999999</v>
      </c>
      <c r="H141" s="235"/>
      <c r="T141"/>
    </row>
    <row r="142" spans="1:22" s="31" customFormat="1" x14ac:dyDescent="0.35">
      <c r="A142" s="162" t="s">
        <v>53</v>
      </c>
      <c r="B142" s="162"/>
      <c r="C142" s="162"/>
      <c r="D142" s="162"/>
      <c r="E142" s="162"/>
      <c r="F142" s="162"/>
      <c r="G142" s="162"/>
      <c r="H142" s="162"/>
      <c r="T142" s="32"/>
    </row>
    <row r="143" spans="1:22" x14ac:dyDescent="0.35">
      <c r="A143" s="211" t="s">
        <v>366</v>
      </c>
      <c r="B143" s="211"/>
      <c r="C143" s="211"/>
      <c r="D143" s="211"/>
      <c r="E143" s="211"/>
      <c r="F143" s="211"/>
      <c r="G143" s="211"/>
      <c r="H143" s="211"/>
      <c r="T143" s="32"/>
    </row>
    <row r="144" spans="1:22" ht="47.25" hidden="1" customHeight="1" x14ac:dyDescent="0.35">
      <c r="A144" s="236" t="s">
        <v>377</v>
      </c>
      <c r="B144" s="236" t="s">
        <v>172</v>
      </c>
      <c r="C144" s="236" t="s">
        <v>54</v>
      </c>
      <c r="D144" s="236" t="s">
        <v>228</v>
      </c>
      <c r="E144" s="237" t="s">
        <v>153</v>
      </c>
      <c r="F144" s="236" t="s">
        <v>55</v>
      </c>
      <c r="G144" s="237" t="s">
        <v>56</v>
      </c>
      <c r="H144" s="238" t="s">
        <v>145</v>
      </c>
      <c r="T144" s="32"/>
    </row>
    <row r="145" spans="1:20" s="34" customFormat="1" hidden="1" x14ac:dyDescent="0.35">
      <c r="A145" s="236"/>
      <c r="B145" s="236"/>
      <c r="C145" s="236"/>
      <c r="D145" s="236"/>
      <c r="E145" s="237"/>
      <c r="F145" s="236"/>
      <c r="G145" s="237"/>
      <c r="H145" s="239">
        <v>0.45</v>
      </c>
      <c r="T145" s="32"/>
    </row>
    <row r="146" spans="1:20" s="34" customFormat="1" hidden="1" x14ac:dyDescent="0.35">
      <c r="A146" s="240" t="s">
        <v>114</v>
      </c>
      <c r="B146" s="240"/>
      <c r="C146" s="240"/>
      <c r="D146" s="240"/>
      <c r="E146" s="240"/>
      <c r="F146" s="240"/>
      <c r="G146" s="240"/>
      <c r="H146" s="240"/>
      <c r="J146" s="33"/>
      <c r="T146" s="32"/>
    </row>
    <row r="147" spans="1:20" s="34" customFormat="1" ht="15.75" hidden="1" customHeight="1" x14ac:dyDescent="0.35">
      <c r="A147" s="241">
        <v>1</v>
      </c>
      <c r="B147" s="241"/>
      <c r="C147" s="69"/>
      <c r="D147" s="69">
        <v>0</v>
      </c>
      <c r="E147" s="69">
        <v>0</v>
      </c>
      <c r="F147" s="69">
        <f>D147+(IF(E147&lt;201,E147,IF(E147&lt;301,E147/2,E147/3)))</f>
        <v>0</v>
      </c>
      <c r="G147" s="69">
        <v>0</v>
      </c>
      <c r="H147" s="69">
        <f>(F147+(IF(G147&lt;101,G147,IF(G147&lt;201,G147/2,IF(G147&lt;=301,G147/3,G147/4)))))*(($H$145)+1)</f>
        <v>0</v>
      </c>
      <c r="I147" s="33"/>
      <c r="L147" s="116"/>
      <c r="M147" s="116"/>
      <c r="N147" s="33"/>
      <c r="T147" s="32"/>
    </row>
    <row r="148" spans="1:20" s="34" customFormat="1" ht="15.75" hidden="1" customHeight="1" x14ac:dyDescent="0.35">
      <c r="A148" s="241">
        <f>A147+1</f>
        <v>2</v>
      </c>
      <c r="B148" s="241"/>
      <c r="C148" s="69"/>
      <c r="D148" s="69"/>
      <c r="E148" s="69">
        <v>0</v>
      </c>
      <c r="F148" s="69">
        <f t="shared" ref="F148:F150" si="5">D148+(IF(E148&lt;201,E148,IF(E148&lt;301,E148/2,E148/3)))</f>
        <v>0</v>
      </c>
      <c r="G148" s="69">
        <v>0</v>
      </c>
      <c r="H148" s="69">
        <f t="shared" ref="H148:H150" si="6">(F148+(IF(G148&lt;101,G148,IF(G148&lt;201,G148/2,IF(G148&lt;=301,G148/3,G148/4)))))*(($H$145)+1)</f>
        <v>0</v>
      </c>
      <c r="I148" s="33"/>
      <c r="L148" s="116"/>
      <c r="M148" s="116"/>
      <c r="N148" s="33"/>
      <c r="T148" s="31"/>
    </row>
    <row r="149" spans="1:20" s="34" customFormat="1" ht="15.75" hidden="1" customHeight="1" x14ac:dyDescent="0.35">
      <c r="A149" s="241">
        <f>A148+1</f>
        <v>3</v>
      </c>
      <c r="B149" s="241"/>
      <c r="C149" s="69"/>
      <c r="D149" s="69"/>
      <c r="E149" s="69">
        <v>0</v>
      </c>
      <c r="F149" s="69">
        <f t="shared" si="5"/>
        <v>0</v>
      </c>
      <c r="G149" s="69">
        <v>0</v>
      </c>
      <c r="H149" s="69">
        <f t="shared" si="6"/>
        <v>0</v>
      </c>
      <c r="I149" s="33"/>
      <c r="L149" s="116"/>
      <c r="M149" s="116"/>
      <c r="N149" s="33"/>
      <c r="T149" s="18"/>
    </row>
    <row r="150" spans="1:20" s="34" customFormat="1" ht="15.75" hidden="1" customHeight="1" x14ac:dyDescent="0.35">
      <c r="A150" s="241">
        <f>A149+1</f>
        <v>4</v>
      </c>
      <c r="B150" s="241"/>
      <c r="C150" s="69"/>
      <c r="D150" s="69"/>
      <c r="E150" s="69">
        <v>0</v>
      </c>
      <c r="F150" s="69">
        <f t="shared" si="5"/>
        <v>0</v>
      </c>
      <c r="G150" s="69">
        <v>0</v>
      </c>
      <c r="H150" s="69">
        <f t="shared" si="6"/>
        <v>0</v>
      </c>
      <c r="I150" s="33"/>
      <c r="L150" s="116"/>
      <c r="M150" s="116"/>
      <c r="N150" s="33"/>
      <c r="T150" s="18"/>
    </row>
    <row r="151" spans="1:20" s="34" customFormat="1" hidden="1" x14ac:dyDescent="0.35">
      <c r="A151" s="241"/>
      <c r="B151" s="241"/>
      <c r="C151" s="241"/>
      <c r="D151" s="241"/>
      <c r="E151" s="241"/>
      <c r="F151" s="241"/>
      <c r="G151" s="241"/>
      <c r="H151" s="241"/>
      <c r="I151" s="33"/>
      <c r="N151" s="33"/>
    </row>
    <row r="152" spans="1:20" ht="47.25" customHeight="1" x14ac:dyDescent="0.35">
      <c r="A152" s="236" t="s">
        <v>378</v>
      </c>
      <c r="B152" s="236" t="s">
        <v>173</v>
      </c>
      <c r="C152" s="236" t="s">
        <v>54</v>
      </c>
      <c r="D152" s="236" t="s">
        <v>228</v>
      </c>
      <c r="E152" s="236" t="s">
        <v>381</v>
      </c>
      <c r="F152" s="236" t="s">
        <v>55</v>
      </c>
      <c r="G152" s="237" t="s">
        <v>56</v>
      </c>
      <c r="H152" s="238" t="s">
        <v>145</v>
      </c>
      <c r="I152" s="33"/>
      <c r="T152" s="34"/>
    </row>
    <row r="153" spans="1:20" s="34" customFormat="1" x14ac:dyDescent="0.35">
      <c r="A153" s="236"/>
      <c r="B153" s="236"/>
      <c r="C153" s="236"/>
      <c r="D153" s="236"/>
      <c r="E153" s="236"/>
      <c r="F153" s="236"/>
      <c r="G153" s="237"/>
      <c r="H153" s="239">
        <v>0.45</v>
      </c>
      <c r="I153" s="33"/>
    </row>
    <row r="154" spans="1:20" s="34" customFormat="1" x14ac:dyDescent="0.35">
      <c r="A154" s="130" t="s">
        <v>355</v>
      </c>
      <c r="B154" s="131"/>
      <c r="C154" s="131"/>
      <c r="D154" s="131"/>
      <c r="E154" s="131"/>
      <c r="F154" s="131"/>
      <c r="G154" s="131"/>
      <c r="H154" s="132"/>
      <c r="J154" s="65">
        <f>10.764</f>
        <v>10.763999999999999</v>
      </c>
    </row>
    <row r="155" spans="1:20" s="34" customFormat="1" x14ac:dyDescent="0.35">
      <c r="A155" s="173" t="s">
        <v>356</v>
      </c>
      <c r="B155" s="174"/>
      <c r="C155" s="174"/>
      <c r="D155" s="174"/>
      <c r="E155" s="174"/>
      <c r="F155" s="174"/>
      <c r="G155" s="174"/>
      <c r="H155" s="175"/>
      <c r="J155" s="33"/>
    </row>
    <row r="156" spans="1:20" s="34" customFormat="1" x14ac:dyDescent="0.35">
      <c r="A156" s="173" t="s">
        <v>359</v>
      </c>
      <c r="B156" s="174"/>
      <c r="C156" s="174"/>
      <c r="D156" s="174"/>
      <c r="E156" s="174"/>
      <c r="F156" s="174"/>
      <c r="G156" s="174"/>
      <c r="H156" s="175"/>
      <c r="I156" s="33"/>
    </row>
    <row r="157" spans="1:20" s="34" customFormat="1" ht="15.75" customHeight="1" x14ac:dyDescent="0.35">
      <c r="A157" s="101"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10^ROW(INDIRECT("1:"&amp;LEN((LEFT(A156,SUM(LEN(A156)-LEN(SUBSTITUTE(A156,{"0","1","2"},""))))))))/10))*100+1&amp;""&amp;"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",LEN(A156))),LEN(A156)))))))/10))*100+1</f>
        <v>101 to 601</v>
      </c>
      <c r="B157" s="102"/>
      <c r="C157" s="39" t="s">
        <v>357</v>
      </c>
      <c r="D157" s="65">
        <f>(31.15)*(10.764)</f>
        <v>335.29859999999996</v>
      </c>
      <c r="E157" s="65">
        <f>(0.9*(2.75+2.1+2.75))*(10.764)</f>
        <v>73.62576</v>
      </c>
      <c r="F157" s="39">
        <f t="shared" ref="F157:F162" si="7">D157+E157</f>
        <v>408.92435999999998</v>
      </c>
      <c r="G157" s="39">
        <v>0</v>
      </c>
      <c r="H157" s="39">
        <f t="shared" ref="H157:H162" si="8">F157*(($H$153)+1)+(IF(G157&lt;101,G157,IF(G157&lt;201,G157/2,IF(G157&lt;=301,G157/3,G157/4))))</f>
        <v>592.94032199999992</v>
      </c>
      <c r="I157" s="33">
        <f>(2.75*3.95+2.1*2.2+2.75*3.2+1.2*1.65+1.2*1.05+0.9*2.4+1.2*0.3)</f>
        <v>30.042500000000004</v>
      </c>
      <c r="J157" s="34">
        <f>2.75*3.95+2.1*2.2+2.75*3.2+1.2*1.65+1.2*1.05+0.9*2.1</f>
        <v>29.412500000000005</v>
      </c>
      <c r="K157" s="34">
        <f>0.9*(2.75+2.1+2.75)</f>
        <v>6.84</v>
      </c>
    </row>
    <row r="158" spans="1:20" s="34" customFormat="1" ht="15.75" customHeight="1" x14ac:dyDescent="0.35">
      <c r="A158" s="101"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102 to 602</v>
      </c>
      <c r="B158" s="102"/>
      <c r="C158" s="39" t="s">
        <v>358</v>
      </c>
      <c r="D158" s="65">
        <f>(21.46)*(10.764)</f>
        <v>230.99544</v>
      </c>
      <c r="E158" s="65">
        <f>(0.9*(2.75+2.2))*(10.764)</f>
        <v>47.953620000000001</v>
      </c>
      <c r="F158" s="39">
        <f t="shared" si="7"/>
        <v>278.94906000000003</v>
      </c>
      <c r="G158" s="39">
        <v>0</v>
      </c>
      <c r="H158" s="39">
        <f t="shared" si="8"/>
        <v>404.47613700000005</v>
      </c>
      <c r="I158" s="33">
        <f>2.75*3.95+2.2*2.5+0.9*1.2+1.2*1.5+1.35*1.05</f>
        <v>20.660000000000004</v>
      </c>
    </row>
    <row r="159" spans="1:20" s="34" customFormat="1" ht="15.75" customHeight="1" x14ac:dyDescent="0.35">
      <c r="A159" s="101"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to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103 to 603</v>
      </c>
      <c r="B159" s="102"/>
      <c r="C159" s="39" t="s">
        <v>358</v>
      </c>
      <c r="D159" s="65">
        <f>(20.8)*(10.764)</f>
        <v>223.8912</v>
      </c>
      <c r="E159" s="65">
        <f>(0.9*(2.75+2.2))*(10.764)</f>
        <v>47.953620000000001</v>
      </c>
      <c r="F159" s="39">
        <f t="shared" si="7"/>
        <v>271.84482000000003</v>
      </c>
      <c r="G159" s="39">
        <v>0</v>
      </c>
      <c r="H159" s="39">
        <f t="shared" si="8"/>
        <v>394.17498900000004</v>
      </c>
      <c r="I159" s="33"/>
    </row>
    <row r="160" spans="1:20" s="34" customFormat="1" ht="15.75" customHeight="1" x14ac:dyDescent="0.35">
      <c r="A160" s="101"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104 to 604</v>
      </c>
      <c r="B160" s="102"/>
      <c r="C160" s="39" t="s">
        <v>357</v>
      </c>
      <c r="D160" s="65">
        <f>(31.13)*(10.764)</f>
        <v>335.08331999999996</v>
      </c>
      <c r="E160" s="65">
        <f>(0.9*(2.75+2.1+2.75))*(10.764)</f>
        <v>73.62576</v>
      </c>
      <c r="F160" s="39">
        <f t="shared" si="7"/>
        <v>408.70907999999997</v>
      </c>
      <c r="G160" s="39">
        <v>0</v>
      </c>
      <c r="H160" s="39">
        <f t="shared" si="8"/>
        <v>592.62816599999996</v>
      </c>
      <c r="I160" s="33"/>
    </row>
    <row r="161" spans="1:14" s="34" customFormat="1" ht="15.75" customHeight="1" x14ac:dyDescent="0.35">
      <c r="A161" s="101"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105 to 605</v>
      </c>
      <c r="B161" s="102"/>
      <c r="C161" s="39" t="s">
        <v>357</v>
      </c>
      <c r="D161" s="65">
        <f>(31.05)*(10.764)</f>
        <v>334.22219999999999</v>
      </c>
      <c r="E161" s="65">
        <f>(0.9*(2.75+2.2+2.75))*(10.764)</f>
        <v>74.594520000000003</v>
      </c>
      <c r="F161" s="39">
        <f t="shared" si="7"/>
        <v>408.81671999999998</v>
      </c>
      <c r="G161" s="39">
        <v>0</v>
      </c>
      <c r="H161" s="39">
        <f t="shared" si="8"/>
        <v>592.78424399999994</v>
      </c>
      <c r="I161" s="33"/>
    </row>
    <row r="162" spans="1:14" s="34" customFormat="1" ht="15.75" customHeight="1" x14ac:dyDescent="0.35">
      <c r="A162" s="101"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106 to 606</v>
      </c>
      <c r="B162" s="102"/>
      <c r="C162" s="39" t="s">
        <v>357</v>
      </c>
      <c r="D162" s="65">
        <f>(31.15)*(10.764)</f>
        <v>335.29859999999996</v>
      </c>
      <c r="E162" s="65">
        <f>(0.9*(2.75+2.1+2.75))*(10.764)</f>
        <v>73.62576</v>
      </c>
      <c r="F162" s="39">
        <f t="shared" si="7"/>
        <v>408.92435999999998</v>
      </c>
      <c r="G162" s="39">
        <v>0</v>
      </c>
      <c r="H162" s="39">
        <f t="shared" si="8"/>
        <v>592.94032199999992</v>
      </c>
      <c r="I162" s="33"/>
    </row>
    <row r="163" spans="1:14" s="34" customFormat="1" x14ac:dyDescent="0.35">
      <c r="A163" s="171" t="s">
        <v>360</v>
      </c>
      <c r="B163" s="171"/>
      <c r="C163" s="171"/>
      <c r="D163" s="171"/>
      <c r="E163" s="171"/>
      <c r="F163" s="171"/>
      <c r="G163" s="171"/>
      <c r="H163" s="171"/>
      <c r="I163" s="33"/>
      <c r="J163" s="34">
        <v>3900</v>
      </c>
      <c r="L163" s="116"/>
      <c r="M163" s="116"/>
    </row>
    <row r="164" spans="1:14" s="34" customFormat="1" x14ac:dyDescent="0.35">
      <c r="A164" s="103">
        <f>LEFT(A163,SUM(LEN(A163)-LEN(SUBSTITUTE(A163,{"0","1","2","3","4","5","6","7","8","9"},""))))*100+1</f>
        <v>701</v>
      </c>
      <c r="B164" s="103"/>
      <c r="C164" s="74" t="s">
        <v>357</v>
      </c>
      <c r="D164" s="65">
        <f>(31.15)*(10.764)</f>
        <v>335.29859999999996</v>
      </c>
      <c r="E164" s="65">
        <f>(0.9*(2.75+2.1+2.75))*(10.764)</f>
        <v>73.62576</v>
      </c>
      <c r="F164" s="74">
        <f t="shared" ref="F164:F169" si="9">D164+E164</f>
        <v>408.92435999999998</v>
      </c>
      <c r="G164" s="74">
        <v>0</v>
      </c>
      <c r="H164" s="74">
        <f t="shared" ref="H164:H169" si="10">F164*(($H$153)+1)+(IF(G164&lt;101,G164,IF(G164&lt;201,G164/2,IF(G164&lt;=301,G164/3,G164/4))))</f>
        <v>592.94032199999992</v>
      </c>
      <c r="I164" s="33"/>
      <c r="J164" s="34">
        <f>J$163*H164</f>
        <v>2312467.2557999999</v>
      </c>
      <c r="K164" s="34">
        <f>J164+150000</f>
        <v>2462467.2557999999</v>
      </c>
      <c r="N164" s="33"/>
    </row>
    <row r="165" spans="1:14" s="34" customFormat="1" x14ac:dyDescent="0.35">
      <c r="A165" s="103">
        <f>A164+1</f>
        <v>702</v>
      </c>
      <c r="B165" s="103"/>
      <c r="C165" s="74" t="s">
        <v>358</v>
      </c>
      <c r="D165" s="65">
        <f>(21.46)*(10.764)</f>
        <v>230.99544</v>
      </c>
      <c r="E165" s="65">
        <f>(0.9*(2.75+2.2))*(10.764)</f>
        <v>47.953620000000001</v>
      </c>
      <c r="F165" s="74">
        <f t="shared" si="9"/>
        <v>278.94906000000003</v>
      </c>
      <c r="G165" s="74">
        <v>0</v>
      </c>
      <c r="H165" s="74">
        <f t="shared" si="10"/>
        <v>404.47613700000005</v>
      </c>
      <c r="I165" s="33"/>
      <c r="J165" s="34">
        <f t="shared" ref="J165:J169" si="11">J$163*H165</f>
        <v>1577456.9343000003</v>
      </c>
      <c r="K165" s="34">
        <f t="shared" ref="K165:K169" si="12">J165+150000</f>
        <v>1727456.9343000003</v>
      </c>
      <c r="N165" s="33"/>
    </row>
    <row r="166" spans="1:14" s="34" customFormat="1" x14ac:dyDescent="0.35">
      <c r="A166" s="103">
        <f>A165+1</f>
        <v>703</v>
      </c>
      <c r="B166" s="103"/>
      <c r="C166" s="74" t="s">
        <v>358</v>
      </c>
      <c r="D166" s="65">
        <f>(20.8)*(10.764)</f>
        <v>223.8912</v>
      </c>
      <c r="E166" s="65">
        <f>(0.9*(2.75+2.2))*(10.764)</f>
        <v>47.953620000000001</v>
      </c>
      <c r="F166" s="74">
        <f t="shared" si="9"/>
        <v>271.84482000000003</v>
      </c>
      <c r="G166" s="74">
        <v>0</v>
      </c>
      <c r="H166" s="74">
        <f t="shared" si="10"/>
        <v>394.17498900000004</v>
      </c>
      <c r="I166" s="33"/>
      <c r="J166" s="34">
        <f t="shared" si="11"/>
        <v>1537282.4571000002</v>
      </c>
      <c r="K166" s="34">
        <f t="shared" si="12"/>
        <v>1687282.4571000002</v>
      </c>
      <c r="N166" s="33"/>
    </row>
    <row r="167" spans="1:14" s="34" customFormat="1" x14ac:dyDescent="0.35">
      <c r="A167" s="103">
        <f>A166+1</f>
        <v>704</v>
      </c>
      <c r="B167" s="103"/>
      <c r="C167" s="74" t="s">
        <v>357</v>
      </c>
      <c r="D167" s="65">
        <f>(31.13)*(10.764)</f>
        <v>335.08331999999996</v>
      </c>
      <c r="E167" s="65">
        <f>(0.9*(2.75+2.1+2.75))*(10.764)</f>
        <v>73.62576</v>
      </c>
      <c r="F167" s="74">
        <f t="shared" si="9"/>
        <v>408.70907999999997</v>
      </c>
      <c r="G167" s="74">
        <v>0</v>
      </c>
      <c r="H167" s="74">
        <f t="shared" si="10"/>
        <v>592.62816599999996</v>
      </c>
      <c r="I167" s="33"/>
      <c r="J167" s="34">
        <f t="shared" si="11"/>
        <v>2311249.8473999999</v>
      </c>
      <c r="K167" s="34">
        <f t="shared" si="12"/>
        <v>2461249.8473999999</v>
      </c>
      <c r="N167" s="33"/>
    </row>
    <row r="168" spans="1:14" s="34" customFormat="1" x14ac:dyDescent="0.35">
      <c r="A168" s="103">
        <f>A167+1</f>
        <v>705</v>
      </c>
      <c r="B168" s="103"/>
      <c r="C168" s="74" t="s">
        <v>358</v>
      </c>
      <c r="D168" s="65">
        <f>(22.52)*(10.764)</f>
        <v>242.40527999999998</v>
      </c>
      <c r="E168" s="65">
        <f>(0.9*(2.75+2.2))*(10.764)</f>
        <v>47.953620000000001</v>
      </c>
      <c r="F168" s="74">
        <f t="shared" si="9"/>
        <v>290.35889999999995</v>
      </c>
      <c r="G168" s="65">
        <f>(2.75*4.2)*(10.764)</f>
        <v>124.3242</v>
      </c>
      <c r="H168" s="74">
        <f t="shared" si="10"/>
        <v>483.18250499999994</v>
      </c>
      <c r="I168" s="33">
        <f>2.75*3.95+2.2*2.2+1.2*1.65+0.9*1.2+0.9*2.3+0.4*1.2</f>
        <v>21.312500000000004</v>
      </c>
      <c r="J168" s="34">
        <f t="shared" si="11"/>
        <v>1884411.7694999997</v>
      </c>
      <c r="K168" s="34">
        <f t="shared" si="12"/>
        <v>2034411.7694999997</v>
      </c>
      <c r="N168" s="33"/>
    </row>
    <row r="169" spans="1:14" s="34" customFormat="1" x14ac:dyDescent="0.35">
      <c r="A169" s="103">
        <f>A168+1</f>
        <v>706</v>
      </c>
      <c r="B169" s="103"/>
      <c r="C169" s="39" t="s">
        <v>357</v>
      </c>
      <c r="D169" s="65">
        <f>(31.15)*(10.764)</f>
        <v>335.29859999999996</v>
      </c>
      <c r="E169" s="65">
        <f>(0.9*(2.75+2.1+2.75))*(10.764)</f>
        <v>73.62576</v>
      </c>
      <c r="F169" s="39">
        <f t="shared" si="9"/>
        <v>408.92435999999998</v>
      </c>
      <c r="G169" s="39">
        <v>0</v>
      </c>
      <c r="H169" s="39">
        <f t="shared" si="10"/>
        <v>592.94032199999992</v>
      </c>
      <c r="I169" s="33"/>
      <c r="J169" s="34">
        <f t="shared" si="11"/>
        <v>2312467.2557999999</v>
      </c>
      <c r="K169" s="34">
        <f t="shared" si="12"/>
        <v>2462467.2557999999</v>
      </c>
      <c r="N169" s="33"/>
    </row>
    <row r="170" spans="1:14" s="34" customFormat="1" x14ac:dyDescent="0.35">
      <c r="A170" s="173" t="s">
        <v>362</v>
      </c>
      <c r="B170" s="174"/>
      <c r="C170" s="174"/>
      <c r="D170" s="174"/>
      <c r="E170" s="174"/>
      <c r="F170" s="174"/>
      <c r="G170" s="174"/>
      <c r="H170" s="175"/>
      <c r="J170" s="33"/>
    </row>
    <row r="171" spans="1:14" s="34" customFormat="1" x14ac:dyDescent="0.35">
      <c r="A171" s="173" t="s">
        <v>363</v>
      </c>
      <c r="B171" s="174"/>
      <c r="C171" s="174"/>
      <c r="D171" s="174"/>
      <c r="E171" s="174"/>
      <c r="F171" s="174"/>
      <c r="G171" s="174"/>
      <c r="H171" s="175"/>
      <c r="J171" s="33"/>
    </row>
    <row r="172" spans="1:14" s="34" customFormat="1" x14ac:dyDescent="0.35">
      <c r="A172" s="173" t="s">
        <v>359</v>
      </c>
      <c r="B172" s="174"/>
      <c r="C172" s="174"/>
      <c r="D172" s="174"/>
      <c r="E172" s="174"/>
      <c r="F172" s="174"/>
      <c r="G172" s="174"/>
      <c r="H172" s="175"/>
      <c r="I172" s="33"/>
    </row>
    <row r="173" spans="1:14" s="34" customFormat="1" ht="15.75" customHeight="1" x14ac:dyDescent="0.35">
      <c r="A173" s="101"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101 to 601</v>
      </c>
      <c r="B173" s="102"/>
      <c r="C173" s="39" t="s">
        <v>357</v>
      </c>
      <c r="D173" s="65">
        <f>(31.15)*(10.764)</f>
        <v>335.29859999999996</v>
      </c>
      <c r="E173" s="65">
        <f>(0.9*(2.75+2.1+2.75))*(10.764)</f>
        <v>73.62576</v>
      </c>
      <c r="F173" s="39">
        <f t="shared" ref="F173:F178" si="13">D173+E173</f>
        <v>408.92435999999998</v>
      </c>
      <c r="G173" s="39">
        <v>0</v>
      </c>
      <c r="H173" s="39">
        <f t="shared" ref="H173:H178" si="14">F173*(($H$153)+1)+(IF(G173&lt;101,G173,IF(G173&lt;201,G173/2,IF(G173&lt;=301,G173/3,G173/4))))</f>
        <v>592.94032199999992</v>
      </c>
      <c r="I173" s="33"/>
      <c r="J173" s="34">
        <f>1400000/H173</f>
        <v>2361.1145136457767</v>
      </c>
    </row>
    <row r="174" spans="1:14" s="34" customFormat="1" ht="15.75" customHeight="1" x14ac:dyDescent="0.35">
      <c r="A174" s="101"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102 to 602</v>
      </c>
      <c r="B174" s="102"/>
      <c r="C174" s="39" t="s">
        <v>357</v>
      </c>
      <c r="D174" s="65">
        <f>(31.05)*(10.764)</f>
        <v>334.22219999999999</v>
      </c>
      <c r="E174" s="65">
        <f>(0.9*(2.75+2.2+2.75))*(10.764)</f>
        <v>74.594520000000003</v>
      </c>
      <c r="F174" s="39">
        <f t="shared" si="13"/>
        <v>408.81671999999998</v>
      </c>
      <c r="G174" s="39">
        <v>0</v>
      </c>
      <c r="H174" s="39">
        <f t="shared" si="14"/>
        <v>592.78424399999994</v>
      </c>
      <c r="I174" s="33"/>
    </row>
    <row r="175" spans="1:14" s="34" customFormat="1" ht="15.75" customHeight="1" x14ac:dyDescent="0.35">
      <c r="A175" s="101"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103 to 603</v>
      </c>
      <c r="B175" s="102"/>
      <c r="C175" s="39" t="s">
        <v>357</v>
      </c>
      <c r="D175" s="65">
        <f>(31.13)*(10.764)</f>
        <v>335.08331999999996</v>
      </c>
      <c r="E175" s="65">
        <f>(0.9*(2.75+2.2+2.75))*(10.764)</f>
        <v>74.594520000000003</v>
      </c>
      <c r="F175" s="39">
        <f t="shared" si="13"/>
        <v>409.67783999999995</v>
      </c>
      <c r="G175" s="39">
        <v>0</v>
      </c>
      <c r="H175" s="39">
        <f t="shared" si="14"/>
        <v>594.03286799999989</v>
      </c>
      <c r="I175" s="33"/>
      <c r="J175" s="34">
        <f>1442000/H175</f>
        <v>2427.4751073201564</v>
      </c>
    </row>
    <row r="176" spans="1:14" s="34" customFormat="1" ht="15.75" customHeight="1" x14ac:dyDescent="0.35">
      <c r="A176" s="101"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104 to 604</v>
      </c>
      <c r="B176" s="102"/>
      <c r="C176" s="39" t="s">
        <v>358</v>
      </c>
      <c r="D176" s="65">
        <f>(20.8)*(10.764)</f>
        <v>223.8912</v>
      </c>
      <c r="E176" s="65">
        <f>(0.9*(2.75+2.2))*(10.764)</f>
        <v>47.953620000000001</v>
      </c>
      <c r="F176" s="39">
        <f t="shared" si="13"/>
        <v>271.84482000000003</v>
      </c>
      <c r="G176" s="39">
        <v>0</v>
      </c>
      <c r="H176" s="39">
        <f t="shared" si="14"/>
        <v>394.17498900000004</v>
      </c>
      <c r="I176" s="33">
        <f>(2.75*3.95+2.2*2.2+1.2*1.5+0.9*1.2+1.2*1.1)</f>
        <v>19.902500000000003</v>
      </c>
      <c r="J176" s="34">
        <f>1800000/H176</f>
        <v>4566.4997786046742</v>
      </c>
    </row>
    <row r="177" spans="1:14" s="34" customFormat="1" ht="15.75" customHeight="1" x14ac:dyDescent="0.35">
      <c r="A177" s="101"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105 to 605</v>
      </c>
      <c r="B177" s="102"/>
      <c r="C177" s="39" t="s">
        <v>358</v>
      </c>
      <c r="D177" s="65">
        <f>(21.46)*(10.764)</f>
        <v>230.99544</v>
      </c>
      <c r="E177" s="65">
        <f>(0.9*(2.75+2.2))*(10.764)</f>
        <v>47.953620000000001</v>
      </c>
      <c r="F177" s="39">
        <f t="shared" si="13"/>
        <v>278.94906000000003</v>
      </c>
      <c r="G177" s="39">
        <v>0</v>
      </c>
      <c r="H177" s="39">
        <f t="shared" si="14"/>
        <v>404.47613700000005</v>
      </c>
      <c r="I177" s="33"/>
    </row>
    <row r="178" spans="1:14" s="34" customFormat="1" ht="15.75" customHeight="1" x14ac:dyDescent="0.35">
      <c r="A178" s="101"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106 to 606</v>
      </c>
      <c r="B178" s="102"/>
      <c r="C178" s="39" t="s">
        <v>357</v>
      </c>
      <c r="D178" s="65">
        <f>(31.15)*(10.764)</f>
        <v>335.29859999999996</v>
      </c>
      <c r="E178" s="65">
        <f>(0.9*(2.75+2.1+2.75))*(10.764)</f>
        <v>73.62576</v>
      </c>
      <c r="F178" s="39">
        <f t="shared" si="13"/>
        <v>408.92435999999998</v>
      </c>
      <c r="G178" s="39">
        <v>0</v>
      </c>
      <c r="H178" s="39">
        <f t="shared" si="14"/>
        <v>592.94032199999992</v>
      </c>
      <c r="I178" s="33">
        <f>(2.75*3.95+2.1*2.2+2.75*3.2+1.2*1.65+1.2*1.05+0.9*2.4+1.2*0.3)</f>
        <v>30.042500000000004</v>
      </c>
      <c r="J178" s="34">
        <f>2600000/H178</f>
        <v>4384.9269539135848</v>
      </c>
    </row>
    <row r="179" spans="1:14" s="34" customFormat="1" x14ac:dyDescent="0.35">
      <c r="A179" s="171" t="s">
        <v>361</v>
      </c>
      <c r="B179" s="171"/>
      <c r="C179" s="171"/>
      <c r="D179" s="171"/>
      <c r="E179" s="171"/>
      <c r="F179" s="171"/>
      <c r="G179" s="171"/>
      <c r="H179" s="171"/>
      <c r="I179" s="33"/>
      <c r="L179" s="116"/>
      <c r="M179" s="116"/>
    </row>
    <row r="180" spans="1:14" s="34" customFormat="1" x14ac:dyDescent="0.35">
      <c r="A180" s="103">
        <f>LEFT(A179,SUM(LEN(A179)-LEN(SUBSTITUTE(A179,{"0","1","2","3","4","5","6","7","8","9"},""))))*100+1</f>
        <v>701</v>
      </c>
      <c r="B180" s="103"/>
      <c r="C180" s="64" t="s">
        <v>358</v>
      </c>
      <c r="D180" s="65">
        <f>(21.99)*(10.764)</f>
        <v>236.70035999999996</v>
      </c>
      <c r="E180" s="65">
        <f>(0.9*(2.75+2.1))*(10.764)</f>
        <v>46.984859999999998</v>
      </c>
      <c r="F180" s="39">
        <f>D180+E180</f>
        <v>283.68521999999996</v>
      </c>
      <c r="G180" s="65">
        <f>(2.75*4.2)*(10.764)</f>
        <v>124.3242</v>
      </c>
      <c r="H180" s="39">
        <f>F180*(($H$153)+1)+(IF(G180&lt;101,G180,IF(G180&lt;201,G180/2,IF(G180&lt;=301,G180/3,G180/4))))</f>
        <v>473.50566899999995</v>
      </c>
      <c r="I180" s="33">
        <f>(2.75*3.95+2.1*2.2+1.2*1.65+1.2*1.05+0.9*2.3+0.2*1.2)</f>
        <v>21.032500000000002</v>
      </c>
      <c r="N180" s="33"/>
    </row>
    <row r="181" spans="1:14" s="34" customFormat="1" x14ac:dyDescent="0.35">
      <c r="A181" s="103">
        <f>A180+1</f>
        <v>702</v>
      </c>
      <c r="B181" s="103"/>
      <c r="C181" s="64" t="s">
        <v>358</v>
      </c>
      <c r="D181" s="65">
        <f>(22.52)*(10.764)</f>
        <v>242.40527999999998</v>
      </c>
      <c r="E181" s="65">
        <f>(0.9*(2.75+2.2))*(10.764)</f>
        <v>47.953620000000001</v>
      </c>
      <c r="F181" s="39">
        <f>D181+E181</f>
        <v>290.35889999999995</v>
      </c>
      <c r="G181" s="65">
        <f>(2.75*4.2)*(10.764)</f>
        <v>124.3242</v>
      </c>
      <c r="H181" s="39">
        <f>F181*(($H$153)+1)+(IF(G181&lt;101,G181,IF(G181&lt;201,G181/2,IF(G181&lt;=301,G181/3,G181/4))))</f>
        <v>483.18250499999994</v>
      </c>
      <c r="I181" s="33"/>
      <c r="N181" s="33"/>
    </row>
    <row r="182" spans="1:14" s="34" customFormat="1" x14ac:dyDescent="0.35">
      <c r="A182" s="103">
        <f>A181+1</f>
        <v>703</v>
      </c>
      <c r="B182" s="103"/>
      <c r="C182" s="64" t="s">
        <v>358</v>
      </c>
      <c r="D182" s="65">
        <f>(21.86)*(10.764)</f>
        <v>235.30103999999997</v>
      </c>
      <c r="E182" s="65">
        <f>(0.9*(2.75+2.2))*(10.764)</f>
        <v>47.953620000000001</v>
      </c>
      <c r="F182" s="39">
        <f>D182+E182</f>
        <v>283.25465999999994</v>
      </c>
      <c r="G182" s="65">
        <f>(2.75*4.2)*(10.764)</f>
        <v>124.3242</v>
      </c>
      <c r="H182" s="39">
        <f>F182*(($H$153)+1)+(IF(G182&lt;101,G182,IF(G182&lt;201,G182/2,IF(G182&lt;=301,G182/3,G182/4))))</f>
        <v>472.88135699999992</v>
      </c>
      <c r="I182" s="33"/>
      <c r="N182" s="33"/>
    </row>
    <row r="183" spans="1:14" s="34" customFormat="1" x14ac:dyDescent="0.35">
      <c r="A183" s="103">
        <f>A182+1</f>
        <v>704</v>
      </c>
      <c r="B183" s="103"/>
      <c r="C183" s="216" t="s">
        <v>364</v>
      </c>
      <c r="D183" s="217"/>
      <c r="E183" s="217"/>
      <c r="F183" s="217"/>
      <c r="G183" s="217"/>
      <c r="H183" s="218"/>
      <c r="I183" s="33"/>
      <c r="N183" s="33"/>
    </row>
    <row r="184" spans="1:14" s="34" customFormat="1" x14ac:dyDescent="0.35">
      <c r="A184" s="103">
        <f>A183+1</f>
        <v>705</v>
      </c>
      <c r="B184" s="103"/>
      <c r="C184" s="219"/>
      <c r="D184" s="220"/>
      <c r="E184" s="220"/>
      <c r="F184" s="220"/>
      <c r="G184" s="220"/>
      <c r="H184" s="221"/>
      <c r="I184" s="33"/>
      <c r="N184" s="33"/>
    </row>
    <row r="185" spans="1:14" s="34" customFormat="1" x14ac:dyDescent="0.35">
      <c r="A185" s="103">
        <f>A184+1</f>
        <v>706</v>
      </c>
      <c r="B185" s="103"/>
      <c r="C185" s="222"/>
      <c r="D185" s="223"/>
      <c r="E185" s="223"/>
      <c r="F185" s="223"/>
      <c r="G185" s="223"/>
      <c r="H185" s="224"/>
      <c r="I185" s="33"/>
      <c r="N185" s="33"/>
    </row>
    <row r="186" spans="1:14" s="34" customFormat="1" x14ac:dyDescent="0.35">
      <c r="A186" s="173" t="s">
        <v>365</v>
      </c>
      <c r="B186" s="174"/>
      <c r="C186" s="174"/>
      <c r="D186" s="174"/>
      <c r="E186" s="174"/>
      <c r="F186" s="174"/>
      <c r="G186" s="174"/>
      <c r="H186" s="175"/>
      <c r="J186" s="33"/>
    </row>
    <row r="187" spans="1:14" s="34" customFormat="1" x14ac:dyDescent="0.35">
      <c r="A187" s="173" t="s">
        <v>363</v>
      </c>
      <c r="B187" s="174"/>
      <c r="C187" s="174"/>
      <c r="D187" s="174"/>
      <c r="E187" s="174"/>
      <c r="F187" s="174"/>
      <c r="G187" s="174"/>
      <c r="H187" s="175"/>
      <c r="J187" s="33"/>
    </row>
    <row r="188" spans="1:14" s="34" customFormat="1" x14ac:dyDescent="0.35">
      <c r="A188" s="173" t="s">
        <v>359</v>
      </c>
      <c r="B188" s="174"/>
      <c r="C188" s="174"/>
      <c r="D188" s="174"/>
      <c r="E188" s="174"/>
      <c r="F188" s="174"/>
      <c r="G188" s="174"/>
      <c r="H188" s="175"/>
      <c r="I188" s="33"/>
    </row>
    <row r="189" spans="1:14" s="34" customFormat="1" ht="15.75" customHeight="1" x14ac:dyDescent="0.35">
      <c r="A189" s="101"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101 to 601</v>
      </c>
      <c r="B189" s="102"/>
      <c r="C189" s="39" t="s">
        <v>358</v>
      </c>
      <c r="D189" s="65">
        <f>(20.98)*(10.764)</f>
        <v>225.82872</v>
      </c>
      <c r="E189" s="65">
        <f>(0.9*(2.75+2.2))*(10.764)</f>
        <v>47.953620000000001</v>
      </c>
      <c r="F189" s="39">
        <f t="shared" ref="F189:F194" si="15">D189+E189</f>
        <v>273.78233999999998</v>
      </c>
      <c r="G189" s="39">
        <v>0</v>
      </c>
      <c r="H189" s="39">
        <f t="shared" ref="H189:H194" si="16">F189*(($H$153)+1)+(IF(G189&lt;101,G189,IF(G189&lt;201,G189/2,IF(G189&lt;=301,G189/3,G189/4))))</f>
        <v>396.98439299999995</v>
      </c>
      <c r="I189" s="33">
        <f>2.75*3.95+2.2*2.1+1.05*1.2+1.5*1.2+1.3*1.05</f>
        <v>19.907500000000006</v>
      </c>
    </row>
    <row r="190" spans="1:14" s="34" customFormat="1" ht="15.75" customHeight="1" x14ac:dyDescent="0.35">
      <c r="A190" s="101"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102 to 602</v>
      </c>
      <c r="B190" s="102"/>
      <c r="C190" s="39" t="s">
        <v>357</v>
      </c>
      <c r="D190" s="65">
        <f>(31.05)*(10.764)</f>
        <v>334.22219999999999</v>
      </c>
      <c r="E190" s="65">
        <f>(0.9*(2.75+2.1+2.75))*(10.764)</f>
        <v>73.62576</v>
      </c>
      <c r="F190" s="39">
        <f t="shared" si="15"/>
        <v>407.84796</v>
      </c>
      <c r="G190" s="39">
        <v>0</v>
      </c>
      <c r="H190" s="39">
        <f t="shared" si="16"/>
        <v>591.37954200000001</v>
      </c>
      <c r="I190" s="33"/>
    </row>
    <row r="191" spans="1:14" s="34" customFormat="1" ht="15.75" customHeight="1" x14ac:dyDescent="0.35">
      <c r="A191" s="101"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103 to 603</v>
      </c>
      <c r="B191" s="102"/>
      <c r="C191" s="39" t="s">
        <v>357</v>
      </c>
      <c r="D191" s="65">
        <f>(31.15)*(10.764)</f>
        <v>335.29859999999996</v>
      </c>
      <c r="E191" s="65">
        <f>(0.9*(2.75+2.1+2.75))*(10.764)</f>
        <v>73.62576</v>
      </c>
      <c r="F191" s="39">
        <f t="shared" si="15"/>
        <v>408.92435999999998</v>
      </c>
      <c r="G191" s="39">
        <v>0</v>
      </c>
      <c r="H191" s="39">
        <f t="shared" si="16"/>
        <v>592.94032199999992</v>
      </c>
      <c r="I191" s="33">
        <f>(2.75*3.95+2.1*2.2+2.75*3.2+1.2*1.05+1.2*1.65+0.9*2.3+0.2*1.2)</f>
        <v>29.832500000000003</v>
      </c>
    </row>
    <row r="192" spans="1:14" s="34" customFormat="1" ht="15.75" customHeight="1" x14ac:dyDescent="0.35">
      <c r="A192" s="101"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104 to 604</v>
      </c>
      <c r="B192" s="102"/>
      <c r="C192" s="39" t="s">
        <v>358</v>
      </c>
      <c r="D192" s="65">
        <f>(21.46)*(10.764)</f>
        <v>230.99544</v>
      </c>
      <c r="E192" s="65">
        <f>(0.9*(2.75+2.2))*(10.764)</f>
        <v>47.953620000000001</v>
      </c>
      <c r="F192" s="39">
        <f t="shared" si="15"/>
        <v>278.94906000000003</v>
      </c>
      <c r="G192" s="39">
        <v>0</v>
      </c>
      <c r="H192" s="39">
        <f t="shared" si="16"/>
        <v>404.47613700000005</v>
      </c>
      <c r="I192" s="33"/>
    </row>
    <row r="193" spans="1:20" s="34" customFormat="1" ht="15.75" customHeight="1" x14ac:dyDescent="0.35">
      <c r="A193" s="10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105 to 605</v>
      </c>
      <c r="B193" s="102"/>
      <c r="C193" s="39" t="s">
        <v>357</v>
      </c>
      <c r="D193" s="65">
        <f>(31.05)*(10.764)</f>
        <v>334.22219999999999</v>
      </c>
      <c r="E193" s="65">
        <f>(0.9*(2.75+2.1+2.75))*(10.764)</f>
        <v>73.62576</v>
      </c>
      <c r="F193" s="39">
        <f t="shared" si="15"/>
        <v>407.84796</v>
      </c>
      <c r="G193" s="39">
        <v>0</v>
      </c>
      <c r="H193" s="39">
        <f t="shared" si="16"/>
        <v>591.37954200000001</v>
      </c>
      <c r="I193" s="33"/>
    </row>
    <row r="194" spans="1:20" s="34" customFormat="1" ht="15.75" customHeight="1" x14ac:dyDescent="0.35">
      <c r="A194" s="101"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106 to 606</v>
      </c>
      <c r="B194" s="102"/>
      <c r="C194" s="39" t="s">
        <v>358</v>
      </c>
      <c r="D194" s="65">
        <f>(20.98)*(10.764)</f>
        <v>225.82872</v>
      </c>
      <c r="E194" s="65">
        <f>(0.9*(2.75+2.2))*(10.764)</f>
        <v>47.953620000000001</v>
      </c>
      <c r="F194" s="39">
        <f t="shared" si="15"/>
        <v>273.78233999999998</v>
      </c>
      <c r="G194" s="39">
        <v>0</v>
      </c>
      <c r="H194" s="39">
        <f t="shared" si="16"/>
        <v>396.98439299999995</v>
      </c>
      <c r="I194" s="33"/>
    </row>
    <row r="195" spans="1:20" s="34" customFormat="1" hidden="1" x14ac:dyDescent="0.35">
      <c r="A195" s="173" t="s">
        <v>114</v>
      </c>
      <c r="B195" s="174"/>
      <c r="C195" s="174"/>
      <c r="D195" s="174"/>
      <c r="E195" s="174"/>
      <c r="F195" s="174"/>
      <c r="G195" s="174"/>
      <c r="H195" s="175"/>
      <c r="J195" s="33"/>
    </row>
    <row r="196" spans="1:20" s="34" customFormat="1" ht="15.75" hidden="1" customHeight="1" x14ac:dyDescent="0.35">
      <c r="A196" s="101">
        <v>1</v>
      </c>
      <c r="B196" s="102"/>
      <c r="C196" s="39"/>
      <c r="D196" s="39"/>
      <c r="E196" s="39">
        <v>0</v>
      </c>
      <c r="F196" s="39">
        <f>D196+E196</f>
        <v>0</v>
      </c>
      <c r="G196" s="39">
        <v>0</v>
      </c>
      <c r="H196" s="39">
        <f>F196*(($H$153)+1)+(IF(G196&lt;101,G196,IF(G196&lt;201,G196/2,IF(G196&lt;=301,G196/3,G196/4))))</f>
        <v>0</v>
      </c>
      <c r="I196" s="33"/>
      <c r="L196" s="116"/>
      <c r="M196" s="116"/>
      <c r="N196" s="33"/>
    </row>
    <row r="197" spans="1:20" s="34" customFormat="1" ht="15.75" hidden="1" customHeight="1" x14ac:dyDescent="0.35">
      <c r="A197" s="101">
        <f>A196+1</f>
        <v>2</v>
      </c>
      <c r="B197" s="102"/>
      <c r="C197" s="39"/>
      <c r="D197" s="39"/>
      <c r="E197" s="39">
        <v>0</v>
      </c>
      <c r="F197" s="39">
        <f>D197+E197</f>
        <v>0</v>
      </c>
      <c r="G197" s="39">
        <v>0</v>
      </c>
      <c r="H197" s="39">
        <f>F197*(($H$153)+1)+(IF(G197&lt;101,G197,IF(G197&lt;201,G197/2,IF(G197&lt;=301,G197/3,G197/4))))</f>
        <v>0</v>
      </c>
      <c r="I197" s="33"/>
      <c r="L197" s="116"/>
      <c r="M197" s="116"/>
      <c r="N197" s="33"/>
    </row>
    <row r="198" spans="1:20" s="34" customFormat="1" ht="15.75" hidden="1" customHeight="1" x14ac:dyDescent="0.35">
      <c r="A198" s="101">
        <f>A197+1</f>
        <v>3</v>
      </c>
      <c r="B198" s="102"/>
      <c r="C198" s="39"/>
      <c r="D198" s="39"/>
      <c r="E198" s="39">
        <v>0</v>
      </c>
      <c r="F198" s="39">
        <f>D198+E198</f>
        <v>0</v>
      </c>
      <c r="G198" s="39">
        <v>0</v>
      </c>
      <c r="H198" s="39">
        <f>F198*(($H$153)+1)+(IF(G198&lt;101,G198,IF(G198&lt;201,G198/2,IF(G198&lt;=301,G198/3,G198/4))))</f>
        <v>0</v>
      </c>
      <c r="I198" s="33"/>
      <c r="L198" s="116"/>
      <c r="M198" s="116"/>
      <c r="N198" s="33"/>
    </row>
    <row r="199" spans="1:20" s="34" customFormat="1" ht="15.75" hidden="1" customHeight="1" x14ac:dyDescent="0.35">
      <c r="A199" s="101">
        <f>A198+1</f>
        <v>4</v>
      </c>
      <c r="B199" s="102"/>
      <c r="C199" s="39"/>
      <c r="D199" s="39"/>
      <c r="E199" s="39">
        <v>0</v>
      </c>
      <c r="F199" s="39">
        <f>D199+E199</f>
        <v>0</v>
      </c>
      <c r="G199" s="39">
        <v>0</v>
      </c>
      <c r="H199" s="39">
        <f>F199*(($H$153)+1)+(IF(G199&lt;101,G199,IF(G199&lt;201,G199/2,IF(G199&lt;=301,G199/3,G199/4))))</f>
        <v>0</v>
      </c>
      <c r="I199" s="33"/>
      <c r="L199" s="116"/>
      <c r="M199" s="116"/>
      <c r="N199" s="33"/>
      <c r="T199" s="18"/>
    </row>
    <row r="200" spans="1:20" s="34" customFormat="1" hidden="1" x14ac:dyDescent="0.35">
      <c r="A200" s="171" t="s">
        <v>115</v>
      </c>
      <c r="B200" s="171"/>
      <c r="C200" s="171"/>
      <c r="D200" s="171"/>
      <c r="E200" s="171"/>
      <c r="F200" s="171"/>
      <c r="G200" s="171"/>
      <c r="H200" s="171"/>
      <c r="I200" s="33"/>
      <c r="L200" s="116"/>
      <c r="M200" s="116"/>
    </row>
    <row r="201" spans="1:20" s="34" customFormat="1" hidden="1" x14ac:dyDescent="0.35">
      <c r="A201" s="103">
        <f>LEFT(A200,SUM(LEN(A200)-LEN(SUBSTITUTE(A200,{"0","1","2","3","4","5","6","7","8","9"},""))))*100+1</f>
        <v>201</v>
      </c>
      <c r="B201" s="103"/>
      <c r="C201" s="39"/>
      <c r="D201" s="39"/>
      <c r="E201" s="39">
        <v>0</v>
      </c>
      <c r="F201" s="39">
        <f>D201+E201</f>
        <v>0</v>
      </c>
      <c r="G201" s="39">
        <v>0</v>
      </c>
      <c r="H201" s="39">
        <f>F201*(($H$153)+1)+(IF(G201&lt;101,G201,IF(G201&lt;201,G201/2,IF(G201&lt;=301,G201/3,G201/4))))</f>
        <v>0</v>
      </c>
      <c r="I201" s="33"/>
      <c r="N201" s="33"/>
    </row>
    <row r="202" spans="1:20" s="34" customFormat="1" hidden="1" x14ac:dyDescent="0.35">
      <c r="A202" s="103">
        <f>A201+1</f>
        <v>202</v>
      </c>
      <c r="B202" s="103"/>
      <c r="C202" s="39"/>
      <c r="D202" s="39"/>
      <c r="E202" s="39">
        <v>0</v>
      </c>
      <c r="F202" s="39">
        <f>D202+E202</f>
        <v>0</v>
      </c>
      <c r="G202" s="39">
        <v>0</v>
      </c>
      <c r="H202" s="39">
        <f>F202*(($H$153)+1)+(IF(G202&lt;101,G202,IF(G202&lt;201,G202/2,IF(G202&lt;=301,G202/3,G202/4))))</f>
        <v>0</v>
      </c>
      <c r="I202" s="33"/>
      <c r="N202" s="33"/>
    </row>
    <row r="203" spans="1:20" s="34" customFormat="1" hidden="1" x14ac:dyDescent="0.35">
      <c r="A203" s="103">
        <f>A202+1</f>
        <v>203</v>
      </c>
      <c r="B203" s="103"/>
      <c r="C203" s="39"/>
      <c r="D203" s="39"/>
      <c r="E203" s="39">
        <v>0</v>
      </c>
      <c r="F203" s="39">
        <f>D203+E203</f>
        <v>0</v>
      </c>
      <c r="G203" s="39">
        <v>0</v>
      </c>
      <c r="H203" s="39">
        <f>F203*(($H$153)+1)+(IF(G203&lt;101,G203,IF(G203&lt;201,G203/2,IF(G203&lt;=301,G203/3,G203/4))))</f>
        <v>0</v>
      </c>
      <c r="I203" s="33"/>
      <c r="N203" s="33"/>
    </row>
    <row r="204" spans="1:20" s="34" customFormat="1" hidden="1" x14ac:dyDescent="0.35">
      <c r="A204" s="103">
        <f>A203+1</f>
        <v>204</v>
      </c>
      <c r="B204" s="103"/>
      <c r="C204" s="39"/>
      <c r="D204" s="39"/>
      <c r="E204" s="39">
        <v>0</v>
      </c>
      <c r="F204" s="39">
        <f>D204+E204</f>
        <v>0</v>
      </c>
      <c r="G204" s="39">
        <v>0</v>
      </c>
      <c r="H204" s="39">
        <f>F204*(($H$153)+1)+(IF(G204&lt;101,G204,IF(G204&lt;201,G204/2,IF(G204&lt;=301,G204/3,G204/4))))</f>
        <v>0</v>
      </c>
      <c r="I204" s="33"/>
      <c r="N204" s="33"/>
    </row>
    <row r="205" spans="1:20" s="34" customFormat="1" hidden="1" x14ac:dyDescent="0.35">
      <c r="A205" s="103">
        <f>A204+1</f>
        <v>205</v>
      </c>
      <c r="B205" s="103"/>
      <c r="C205" s="39"/>
      <c r="D205" s="39"/>
      <c r="E205" s="39">
        <v>0</v>
      </c>
      <c r="F205" s="39">
        <f>D205+E205</f>
        <v>0</v>
      </c>
      <c r="G205" s="39">
        <v>0</v>
      </c>
      <c r="H205" s="39">
        <f>F205*(($H$153)+1)+(IF(G205&lt;101,G205,IF(G205&lt;201,G205/2,IF(G205&lt;=301,G205/3,G205/4))))</f>
        <v>0</v>
      </c>
      <c r="I205" s="33"/>
      <c r="N205" s="33"/>
    </row>
    <row r="206" spans="1:20" s="34" customFormat="1" ht="15.75" hidden="1" customHeight="1" x14ac:dyDescent="0.35">
      <c r="A206" s="173" t="s">
        <v>146</v>
      </c>
      <c r="B206" s="174"/>
      <c r="C206" s="174"/>
      <c r="D206" s="174"/>
      <c r="E206" s="174"/>
      <c r="F206" s="174"/>
      <c r="G206" s="174"/>
      <c r="H206" s="175"/>
      <c r="I206" s="33"/>
    </row>
    <row r="207" spans="1:20" s="34" customFormat="1" ht="15.75" hidden="1" customHeight="1" x14ac:dyDescent="0.35">
      <c r="A207" s="101"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301 ,.., 1501</v>
      </c>
      <c r="B207" s="102"/>
      <c r="C207" s="39"/>
      <c r="D207" s="39"/>
      <c r="E207" s="39">
        <v>0</v>
      </c>
      <c r="F207" s="39">
        <f>D207+E207</f>
        <v>0</v>
      </c>
      <c r="G207" s="39">
        <v>0</v>
      </c>
      <c r="H207" s="39">
        <f>F207*(($H$153)+1)+(IF(G207&lt;101,G207,IF(G207&lt;201,G207/2,IF(G207&lt;=301,G207/3,G207/4))))</f>
        <v>0</v>
      </c>
      <c r="I207" s="33"/>
    </row>
    <row r="208" spans="1:20" s="34" customFormat="1" ht="15.75" hidden="1" customHeight="1" x14ac:dyDescent="0.35">
      <c r="A208" s="101"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302 ,.., 1502</v>
      </c>
      <c r="B208" s="102"/>
      <c r="C208" s="39"/>
      <c r="D208" s="39"/>
      <c r="E208" s="39">
        <v>0</v>
      </c>
      <c r="F208" s="39">
        <f>D208+E208</f>
        <v>0</v>
      </c>
      <c r="G208" s="39">
        <v>0</v>
      </c>
      <c r="H208" s="39">
        <f>F208*(($H$153)+1)+(IF(G208&lt;101,G208,IF(G208&lt;201,G208/2,IF(G208&lt;=301,G208/3,G208/4))))</f>
        <v>0</v>
      </c>
      <c r="I208" s="33"/>
    </row>
    <row r="209" spans="1:20" s="34" customFormat="1" ht="15.75" hidden="1" customHeight="1" x14ac:dyDescent="0.35">
      <c r="A209" s="101"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303 ,.., 1503</v>
      </c>
      <c r="B209" s="102"/>
      <c r="C209" s="39"/>
      <c r="D209" s="39"/>
      <c r="E209" s="39">
        <v>0</v>
      </c>
      <c r="F209" s="39">
        <f>D209+E209</f>
        <v>0</v>
      </c>
      <c r="G209" s="39">
        <v>0</v>
      </c>
      <c r="H209" s="39">
        <f>F209*(($H$153)+1)+(IF(G209&lt;101,G209,IF(G209&lt;201,G209/2,IF(G209&lt;=301,G209/3,G209/4))))</f>
        <v>0</v>
      </c>
      <c r="I209" s="33"/>
    </row>
    <row r="210" spans="1:20" s="34" customFormat="1" ht="15.75" hidden="1" customHeight="1" x14ac:dyDescent="0.35">
      <c r="A210" s="101"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304 ,.., 1504</v>
      </c>
      <c r="B210" s="102"/>
      <c r="C210" s="39"/>
      <c r="D210" s="39"/>
      <c r="E210" s="39">
        <v>0</v>
      </c>
      <c r="F210" s="39">
        <f>D210+E210</f>
        <v>0</v>
      </c>
      <c r="G210" s="39">
        <v>0</v>
      </c>
      <c r="H210" s="39">
        <f>F210*(($H$153)+1)+(IF(G210&lt;101,G210,IF(G210&lt;201,G210/2,IF(G210&lt;=301,G210/3,G210/4))))</f>
        <v>0</v>
      </c>
      <c r="I210" s="33"/>
    </row>
    <row r="211" spans="1:20" s="34" customFormat="1" ht="15.75" hidden="1" customHeight="1" x14ac:dyDescent="0.35">
      <c r="A211" s="101"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305 ,.., 1505</v>
      </c>
      <c r="B211" s="102"/>
      <c r="C211" s="39"/>
      <c r="D211" s="39"/>
      <c r="E211" s="39">
        <v>0</v>
      </c>
      <c r="F211" s="39">
        <f>D211+E211</f>
        <v>0</v>
      </c>
      <c r="G211" s="39">
        <v>0</v>
      </c>
      <c r="H211" s="39">
        <f>F211*(($H$153)+1)+(IF(G211&lt;101,G211,IF(G211&lt;201,G211/2,IF(G211&lt;=301,G211/3,G211/4))))</f>
        <v>0</v>
      </c>
      <c r="I211" s="33"/>
    </row>
    <row r="212" spans="1:20" s="34" customFormat="1" hidden="1" x14ac:dyDescent="0.35">
      <c r="A212" s="173" t="s">
        <v>140</v>
      </c>
      <c r="B212" s="174"/>
      <c r="C212" s="174"/>
      <c r="D212" s="174"/>
      <c r="E212" s="174"/>
      <c r="F212" s="174"/>
      <c r="G212" s="174"/>
      <c r="H212" s="175"/>
      <c r="I212" s="33"/>
    </row>
    <row r="213" spans="1:20" s="34" customFormat="1" ht="15.75" hidden="1" customHeight="1" x14ac:dyDescent="0.35">
      <c r="A213" s="101"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10^ROW(INDIRECT("1:"&amp;LEN((LEFT(A212,SUM(LEN(A212)-LEN(SUBSTITUTE(A212,{"0","1","2"},""))))))))/10))*100+1&amp;""&amp;" to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",LEN(A212))),LEN(A212)))))))/10))*100+1</f>
        <v>201 to 501</v>
      </c>
      <c r="B213" s="102"/>
      <c r="C213" s="39"/>
      <c r="D213" s="39"/>
      <c r="E213" s="39">
        <v>0</v>
      </c>
      <c r="F213" s="39">
        <f>D213+E213</f>
        <v>0</v>
      </c>
      <c r="G213" s="39">
        <v>0</v>
      </c>
      <c r="H213" s="39">
        <f>F213*(($H$153)+1)+(IF(G213&lt;101,G213,IF(G213&lt;201,G213/2,IF(G213&lt;=301,G213/3,G213/4))))</f>
        <v>0</v>
      </c>
      <c r="I213" s="33"/>
    </row>
    <row r="214" spans="1:20" s="34" customFormat="1" ht="15.75" hidden="1" customHeight="1" x14ac:dyDescent="0.35">
      <c r="A214" s="101"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to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202 to 502</v>
      </c>
      <c r="B214" s="102"/>
      <c r="C214" s="39"/>
      <c r="D214" s="39"/>
      <c r="E214" s="39">
        <v>0</v>
      </c>
      <c r="F214" s="39">
        <f>D214+E214</f>
        <v>0</v>
      </c>
      <c r="G214" s="39">
        <v>0</v>
      </c>
      <c r="H214" s="39">
        <f>F214*(($H$153)+1)+(IF(G214&lt;101,G214,IF(G214&lt;201,G214/2,IF(G214&lt;=301,G214/3,G214/4))))</f>
        <v>0</v>
      </c>
      <c r="I214" s="33"/>
    </row>
    <row r="215" spans="1:20" s="34" customFormat="1" ht="15.75" hidden="1" customHeight="1" x14ac:dyDescent="0.35">
      <c r="A215" s="101"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to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203 to 503</v>
      </c>
      <c r="B215" s="102"/>
      <c r="C215" s="39"/>
      <c r="D215" s="39"/>
      <c r="E215" s="39">
        <v>0</v>
      </c>
      <c r="F215" s="39">
        <f>D215+E215</f>
        <v>0</v>
      </c>
      <c r="G215" s="39">
        <v>0</v>
      </c>
      <c r="H215" s="39">
        <f>F215*(($H$153)+1)+(IF(G215&lt;101,G215,IF(G215&lt;201,G215/2,IF(G215&lt;=301,G215/3,G215/4))))</f>
        <v>0</v>
      </c>
      <c r="I215" s="33"/>
    </row>
    <row r="216" spans="1:20" s="34" customFormat="1" ht="15.75" hidden="1" customHeight="1" x14ac:dyDescent="0.35">
      <c r="A216" s="101"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to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204 to 504</v>
      </c>
      <c r="B216" s="102"/>
      <c r="C216" s="39"/>
      <c r="D216" s="39"/>
      <c r="E216" s="39">
        <v>0</v>
      </c>
      <c r="F216" s="39">
        <f>D216+E216</f>
        <v>0</v>
      </c>
      <c r="G216" s="39">
        <v>0</v>
      </c>
      <c r="H216" s="39">
        <f>F216*(($H$153)+1)+(IF(G216&lt;101,G216,IF(G216&lt;201,G216/2,IF(G216&lt;=301,G216/3,G216/4))))</f>
        <v>0</v>
      </c>
      <c r="I216" s="33"/>
    </row>
    <row r="217" spans="1:20" s="34" customFormat="1" ht="15.75" hidden="1" customHeight="1" x14ac:dyDescent="0.35">
      <c r="A217" s="101"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205 to 505</v>
      </c>
      <c r="B217" s="102"/>
      <c r="C217" s="39"/>
      <c r="D217" s="39"/>
      <c r="E217" s="39">
        <v>0</v>
      </c>
      <c r="F217" s="39">
        <f>D217+E217</f>
        <v>0</v>
      </c>
      <c r="G217" s="39">
        <v>0</v>
      </c>
      <c r="H217" s="39">
        <f>F217*(($H$153)+1)+(IF(G217&lt;101,G217,IF(G217&lt;201,G217/2,IF(G217&lt;=301,G217/3,G217/4))))</f>
        <v>0</v>
      </c>
      <c r="I217" s="33"/>
    </row>
    <row r="218" spans="1:20" s="34" customFormat="1" hidden="1" x14ac:dyDescent="0.35">
      <c r="A218" s="173" t="s">
        <v>141</v>
      </c>
      <c r="B218" s="174"/>
      <c r="C218" s="174"/>
      <c r="D218" s="174"/>
      <c r="E218" s="174"/>
      <c r="F218" s="174"/>
      <c r="G218" s="174"/>
      <c r="H218" s="175"/>
      <c r="I218" s="33"/>
    </row>
    <row r="219" spans="1:20" s="34" customFormat="1" ht="15.75" hidden="1" customHeight="1" x14ac:dyDescent="0.35">
      <c r="A219" s="101"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10^ROW(INDIRECT("1:"&amp;LEN((LEFT(A218,SUM(LEN(A218)-LEN(SUBSTITUTE(A218,{"0","1","2"},""))))))))/10))*100+1&amp;""&amp;" &amp;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",LEN(A218))),LEN(A218)))))))/10))*100+1</f>
        <v>201 &amp; 501</v>
      </c>
      <c r="B219" s="102"/>
      <c r="C219" s="39"/>
      <c r="D219" s="39"/>
      <c r="E219" s="39">
        <v>0</v>
      </c>
      <c r="F219" s="39">
        <f>D219+E219</f>
        <v>0</v>
      </c>
      <c r="G219" s="39">
        <v>0</v>
      </c>
      <c r="H219" s="39">
        <f>F219*(($H$153)+1)+(IF(G219&lt;101,G219,IF(G219&lt;201,G219/2,IF(G219&lt;=301,G219/3,G219/4))))</f>
        <v>0</v>
      </c>
      <c r="I219" s="33"/>
    </row>
    <row r="220" spans="1:20" s="34" customFormat="1" ht="15.75" hidden="1" customHeight="1" x14ac:dyDescent="0.35">
      <c r="A220" s="101"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&amp;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202 &amp; 502</v>
      </c>
      <c r="B220" s="102"/>
      <c r="C220" s="39"/>
      <c r="D220" s="39"/>
      <c r="E220" s="39">
        <v>0</v>
      </c>
      <c r="F220" s="39">
        <f>D220+E220</f>
        <v>0</v>
      </c>
      <c r="G220" s="39">
        <v>0</v>
      </c>
      <c r="H220" s="39">
        <f>F220*(($H$153)+1)+(IF(G220&lt;101,G220,IF(G220&lt;201,G220/2,IF(G220&lt;=301,G220/3,G220/4))))</f>
        <v>0</v>
      </c>
      <c r="I220" s="33"/>
    </row>
    <row r="221" spans="1:20" s="34" customFormat="1" ht="15.75" hidden="1" customHeight="1" x14ac:dyDescent="0.35">
      <c r="A221" s="101"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&amp;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203 &amp; 503</v>
      </c>
      <c r="B221" s="102"/>
      <c r="C221" s="39"/>
      <c r="D221" s="39"/>
      <c r="E221" s="39">
        <v>0</v>
      </c>
      <c r="F221" s="39">
        <f>D221+E221</f>
        <v>0</v>
      </c>
      <c r="G221" s="39">
        <v>0</v>
      </c>
      <c r="H221" s="39">
        <f>F221*(($H$153)+1)+(IF(G221&lt;101,G221,IF(G221&lt;201,G221/2,IF(G221&lt;=301,G221/3,G221/4))))</f>
        <v>0</v>
      </c>
      <c r="I221" s="33"/>
    </row>
    <row r="222" spans="1:20" s="34" customFormat="1" ht="15.75" hidden="1" customHeight="1" x14ac:dyDescent="0.35">
      <c r="A222" s="101"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&amp;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204 &amp; 504</v>
      </c>
      <c r="B222" s="102"/>
      <c r="C222" s="39"/>
      <c r="D222" s="39"/>
      <c r="E222" s="39">
        <v>0</v>
      </c>
      <c r="F222" s="39">
        <f>D222+E222</f>
        <v>0</v>
      </c>
      <c r="G222" s="39">
        <v>0</v>
      </c>
      <c r="H222" s="39">
        <f>F222*(($H$153)+1)+(IF(G222&lt;101,G222,IF(G222&lt;201,G222/2,IF(G222&lt;=301,G222/3,G222/4))))</f>
        <v>0</v>
      </c>
      <c r="I222" s="33"/>
    </row>
    <row r="223" spans="1:20" s="34" customFormat="1" ht="15.75" hidden="1" customHeight="1" x14ac:dyDescent="0.35">
      <c r="A223" s="101"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&amp;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205 &amp; 505</v>
      </c>
      <c r="B223" s="102"/>
      <c r="C223" s="39"/>
      <c r="D223" s="39"/>
      <c r="E223" s="39">
        <v>0</v>
      </c>
      <c r="F223" s="39">
        <f>D223+E223</f>
        <v>0</v>
      </c>
      <c r="G223" s="39">
        <v>0</v>
      </c>
      <c r="H223" s="39">
        <f>F223*(($H$153)+1)+(IF(G223&lt;101,G223,IF(G223&lt;201,G223/2,IF(G223&lt;=301,G223/3,G223/4))))</f>
        <v>0</v>
      </c>
      <c r="I223" s="33"/>
    </row>
    <row r="224" spans="1:20" s="32" customFormat="1" x14ac:dyDescent="0.35">
      <c r="A224" s="182" t="s">
        <v>64</v>
      </c>
      <c r="B224" s="182"/>
      <c r="C224" s="182"/>
      <c r="D224" s="182"/>
      <c r="E224" s="182"/>
      <c r="F224" s="182"/>
      <c r="G224" s="182"/>
      <c r="H224" s="182"/>
      <c r="T224" s="34"/>
    </row>
    <row r="225" spans="1:20" s="32" customFormat="1" ht="33" customHeight="1" x14ac:dyDescent="0.35">
      <c r="A225" s="41">
        <v>1</v>
      </c>
      <c r="B225" s="76" t="s">
        <v>387</v>
      </c>
      <c r="C225" s="77"/>
      <c r="D225" s="77"/>
      <c r="E225" s="77"/>
      <c r="F225" s="77"/>
      <c r="G225" s="77"/>
      <c r="H225" s="78"/>
      <c r="T225" s="34"/>
    </row>
    <row r="226" spans="1:20" s="32" customFormat="1" x14ac:dyDescent="0.35">
      <c r="A226" s="41">
        <f>A225+1</f>
        <v>2</v>
      </c>
      <c r="B226" s="179" t="str">
        <f>(IF(H152="Saleable area Loading :","We have considered Saleable area of Flats as per our Calculation.","We considered Saleable area of Flat as per Builder area Sheet."))</f>
        <v>We have considered Saleable area of Flats as per our Calculation.</v>
      </c>
      <c r="C226" s="180"/>
      <c r="D226" s="180"/>
      <c r="E226" s="180"/>
      <c r="F226" s="180"/>
      <c r="G226" s="180"/>
      <c r="H226" s="181"/>
      <c r="T226" s="34"/>
    </row>
    <row r="227" spans="1:20" s="32" customFormat="1" hidden="1" x14ac:dyDescent="0.35">
      <c r="A227" s="41">
        <f t="shared" ref="A227:A234" si="17">A226+1</f>
        <v>3</v>
      </c>
      <c r="B227" s="179" t="str">
        <f>(IF(H144="Saleable area Loading :","We have considered Saleable area of Commercial as per our Calculation.","We considered Saleable area of Commercial as per Builder area Sheet."))</f>
        <v>We have considered Saleable area of Commercial as per our Calculation.</v>
      </c>
      <c r="C227" s="180"/>
      <c r="D227" s="180"/>
      <c r="E227" s="180"/>
      <c r="F227" s="180"/>
      <c r="G227" s="180"/>
      <c r="H227" s="181"/>
      <c r="T227" s="34"/>
    </row>
    <row r="228" spans="1:20" s="32" customFormat="1" x14ac:dyDescent="0.35">
      <c r="A228" s="41">
        <f t="shared" si="17"/>
        <v>4</v>
      </c>
      <c r="B228" s="98" t="s">
        <v>117</v>
      </c>
      <c r="C228" s="99"/>
      <c r="D228" s="99"/>
      <c r="E228" s="99"/>
      <c r="F228" s="99"/>
      <c r="G228" s="99"/>
      <c r="H228" s="100"/>
      <c r="T228" s="34"/>
    </row>
    <row r="229" spans="1:20" s="32" customFormat="1" x14ac:dyDescent="0.35">
      <c r="A229" s="41">
        <f t="shared" si="17"/>
        <v>5</v>
      </c>
      <c r="B229" s="98" t="s">
        <v>368</v>
      </c>
      <c r="C229" s="99"/>
      <c r="D229" s="99"/>
      <c r="E229" s="99"/>
      <c r="F229" s="99"/>
      <c r="G229" s="99"/>
      <c r="H229" s="100"/>
      <c r="T229" s="34"/>
    </row>
    <row r="230" spans="1:20" s="32" customFormat="1" x14ac:dyDescent="0.35">
      <c r="A230" s="41">
        <f t="shared" si="17"/>
        <v>6</v>
      </c>
      <c r="B230" s="98" t="s">
        <v>149</v>
      </c>
      <c r="C230" s="99"/>
      <c r="D230" s="99"/>
      <c r="E230" s="99"/>
      <c r="F230" s="99"/>
      <c r="G230" s="99"/>
      <c r="H230" s="100"/>
    </row>
    <row r="231" spans="1:20" s="32" customFormat="1" x14ac:dyDescent="0.35">
      <c r="A231" s="41">
        <f t="shared" si="17"/>
        <v>7</v>
      </c>
      <c r="B231" s="98" t="s">
        <v>118</v>
      </c>
      <c r="C231" s="99"/>
      <c r="D231" s="99"/>
      <c r="E231" s="99"/>
      <c r="F231" s="99"/>
      <c r="G231" s="99"/>
      <c r="H231" s="100"/>
    </row>
    <row r="232" spans="1:20" s="32" customFormat="1" ht="34.5" customHeight="1" x14ac:dyDescent="0.35">
      <c r="A232" s="41">
        <f t="shared" si="17"/>
        <v>8</v>
      </c>
      <c r="B232" s="98" t="s">
        <v>151</v>
      </c>
      <c r="C232" s="99"/>
      <c r="D232" s="99"/>
      <c r="E232" s="99"/>
      <c r="F232" s="99"/>
      <c r="G232" s="99"/>
      <c r="H232" s="100"/>
    </row>
    <row r="233" spans="1:20" s="32" customFormat="1" x14ac:dyDescent="0.35">
      <c r="A233" s="41">
        <f t="shared" si="17"/>
        <v>9</v>
      </c>
      <c r="B233" s="98" t="s">
        <v>119</v>
      </c>
      <c r="C233" s="99"/>
      <c r="D233" s="99"/>
      <c r="E233" s="99"/>
      <c r="F233" s="99"/>
      <c r="G233" s="99"/>
      <c r="H233" s="100"/>
    </row>
    <row r="234" spans="1:20" s="32" customFormat="1" ht="33.75" customHeight="1" x14ac:dyDescent="0.35">
      <c r="A234" s="41">
        <f t="shared" si="17"/>
        <v>10</v>
      </c>
      <c r="B234" s="176" t="s">
        <v>385</v>
      </c>
      <c r="C234" s="177"/>
      <c r="D234" s="177"/>
      <c r="E234" s="177"/>
      <c r="F234" s="177"/>
      <c r="G234" s="177"/>
      <c r="H234" s="178"/>
    </row>
    <row r="235" spans="1:20" s="32" customFormat="1" ht="32.25" hidden="1" customHeight="1" x14ac:dyDescent="0.35">
      <c r="A235" s="41" t="s">
        <v>150</v>
      </c>
      <c r="B235" s="76" t="s">
        <v>174</v>
      </c>
      <c r="C235" s="77"/>
      <c r="D235" s="77"/>
      <c r="E235" s="77"/>
      <c r="F235" s="77"/>
      <c r="G235" s="77"/>
      <c r="H235" s="78"/>
    </row>
    <row r="236" spans="1:20" s="32" customFormat="1" hidden="1" x14ac:dyDescent="0.35">
      <c r="A236" s="41" t="s">
        <v>150</v>
      </c>
      <c r="B236" s="76" t="s">
        <v>229</v>
      </c>
      <c r="C236" s="77"/>
      <c r="D236" s="77"/>
      <c r="E236" s="77"/>
      <c r="F236" s="77"/>
      <c r="G236" s="77"/>
      <c r="H236" s="78"/>
    </row>
    <row r="237" spans="1:20" x14ac:dyDescent="0.35">
      <c r="A237" s="172" t="s">
        <v>57</v>
      </c>
      <c r="B237" s="172"/>
      <c r="C237" s="172"/>
      <c r="D237" s="172"/>
      <c r="E237" s="172"/>
      <c r="F237" s="172"/>
      <c r="G237" s="172"/>
      <c r="H237" s="172"/>
      <c r="T237" s="32"/>
    </row>
    <row r="238" spans="1:20" x14ac:dyDescent="0.35">
      <c r="A238" s="79" t="s">
        <v>58</v>
      </c>
      <c r="B238" s="79"/>
      <c r="C238" s="79"/>
      <c r="D238" s="79"/>
      <c r="E238" s="79"/>
      <c r="F238" s="79"/>
      <c r="G238" s="79"/>
      <c r="H238" s="79"/>
      <c r="T238" s="32"/>
    </row>
    <row r="239" spans="1:20" ht="15.75" customHeight="1" x14ac:dyDescent="0.35">
      <c r="A239" s="196" t="s">
        <v>59</v>
      </c>
      <c r="B239" s="196"/>
      <c r="C239" s="196"/>
      <c r="D239" s="196"/>
      <c r="E239" s="196"/>
      <c r="F239" s="196"/>
      <c r="G239" s="196"/>
      <c r="H239" s="196"/>
      <c r="T239" s="32"/>
    </row>
    <row r="240" spans="1:20" x14ac:dyDescent="0.35">
      <c r="A240" s="79" t="s">
        <v>60</v>
      </c>
      <c r="B240" s="79"/>
      <c r="C240" s="79"/>
      <c r="D240" s="79"/>
      <c r="E240" s="79"/>
      <c r="F240" s="79"/>
      <c r="G240" s="79"/>
      <c r="H240" s="79"/>
      <c r="T240" s="32"/>
    </row>
    <row r="241" spans="1:20" x14ac:dyDescent="0.35">
      <c r="A241" s="79" t="s">
        <v>61</v>
      </c>
      <c r="B241" s="79"/>
      <c r="C241" s="79"/>
      <c r="D241" s="79"/>
      <c r="E241" s="79"/>
      <c r="F241" s="79"/>
      <c r="G241" s="79"/>
      <c r="H241" s="79"/>
      <c r="T241" s="32"/>
    </row>
    <row r="242" spans="1:20" hidden="1" x14ac:dyDescent="0.35">
      <c r="A242" s="79" t="s">
        <v>120</v>
      </c>
      <c r="B242" s="79"/>
      <c r="C242" s="79"/>
      <c r="D242" s="79"/>
      <c r="E242" s="79"/>
      <c r="F242" s="79"/>
      <c r="G242" s="79"/>
      <c r="H242" s="79"/>
      <c r="T242" s="32"/>
    </row>
    <row r="243" spans="1:20" ht="34" hidden="1" customHeight="1" x14ac:dyDescent="0.35">
      <c r="A243" s="158" t="s">
        <v>121</v>
      </c>
      <c r="B243" s="158"/>
      <c r="C243" s="158"/>
      <c r="D243" s="158"/>
      <c r="E243" s="158"/>
      <c r="F243" s="158"/>
      <c r="G243" s="158"/>
      <c r="H243" s="158"/>
    </row>
    <row r="244" spans="1:20" x14ac:dyDescent="0.35">
      <c r="A244" s="168" t="s">
        <v>72</v>
      </c>
      <c r="B244" s="168"/>
      <c r="C244" s="168" t="s">
        <v>386</v>
      </c>
      <c r="D244" s="168"/>
      <c r="E244" s="168" t="s">
        <v>101</v>
      </c>
      <c r="F244" s="168"/>
      <c r="G244" s="169" t="s">
        <v>388</v>
      </c>
      <c r="H244" s="169"/>
    </row>
    <row r="245" spans="1:20" x14ac:dyDescent="0.35">
      <c r="A245" s="167" t="s">
        <v>74</v>
      </c>
      <c r="B245" s="167"/>
      <c r="C245" s="167"/>
      <c r="D245" s="167"/>
      <c r="E245" s="167"/>
      <c r="F245" s="167"/>
      <c r="G245" s="167"/>
      <c r="H245" s="167"/>
    </row>
    <row r="246" spans="1:20" x14ac:dyDescent="0.35">
      <c r="A246" s="167"/>
      <c r="B246" s="167"/>
      <c r="C246" s="167"/>
      <c r="D246" s="167"/>
      <c r="E246" s="167"/>
      <c r="F246" s="167"/>
      <c r="G246" s="167"/>
      <c r="H246" s="167"/>
    </row>
    <row r="247" spans="1:20" x14ac:dyDescent="0.35">
      <c r="A247" s="167"/>
      <c r="B247" s="167"/>
      <c r="C247" s="167"/>
      <c r="D247" s="167"/>
      <c r="E247" s="167"/>
      <c r="F247" s="167"/>
      <c r="G247" s="167"/>
      <c r="H247" s="167"/>
    </row>
    <row r="248" spans="1:20" x14ac:dyDescent="0.35">
      <c r="A248" s="167"/>
      <c r="B248" s="167"/>
      <c r="C248" s="167"/>
      <c r="D248" s="167"/>
      <c r="E248" s="167"/>
      <c r="F248" s="167"/>
      <c r="G248" s="167"/>
      <c r="H248" s="167"/>
    </row>
    <row r="249" spans="1:20" x14ac:dyDescent="0.35">
      <c r="A249" s="35" t="s">
        <v>62</v>
      </c>
      <c r="B249" s="36"/>
      <c r="C249" s="36"/>
      <c r="D249" s="35" t="str">
        <f>E9</f>
        <v>Sanveg Residency</v>
      </c>
      <c r="F249" s="36"/>
      <c r="G249" s="36"/>
      <c r="H249" s="36"/>
    </row>
    <row r="250" spans="1:20" x14ac:dyDescent="0.35">
      <c r="A250" s="36"/>
      <c r="B250" s="36"/>
      <c r="C250" s="36"/>
      <c r="D250" s="36"/>
      <c r="E250" s="36"/>
      <c r="F250" s="36"/>
      <c r="G250" s="36"/>
      <c r="H250" s="36"/>
    </row>
    <row r="251" spans="1:20" x14ac:dyDescent="0.35">
      <c r="A251" s="36"/>
      <c r="B251" s="36"/>
      <c r="C251" s="36"/>
      <c r="D251" s="36"/>
      <c r="E251" s="36"/>
      <c r="F251" s="36"/>
      <c r="G251" s="36"/>
      <c r="H251" s="36"/>
    </row>
    <row r="252" spans="1:20" ht="15" customHeight="1" x14ac:dyDescent="0.35"/>
    <row r="291" spans="1:1" x14ac:dyDescent="0.35">
      <c r="A291" s="38" t="s">
        <v>161</v>
      </c>
    </row>
    <row r="333" spans="1:1" x14ac:dyDescent="0.35">
      <c r="A333" s="38" t="s">
        <v>382</v>
      </c>
    </row>
    <row r="375" spans="1:1" x14ac:dyDescent="0.35">
      <c r="A375" s="38" t="s">
        <v>63</v>
      </c>
    </row>
  </sheetData>
  <mergeCells count="409">
    <mergeCell ref="B233:H233"/>
    <mergeCell ref="A188:H188"/>
    <mergeCell ref="A189:B189"/>
    <mergeCell ref="A190:B190"/>
    <mergeCell ref="A191:B191"/>
    <mergeCell ref="A192:B192"/>
    <mergeCell ref="A193:B193"/>
    <mergeCell ref="A194:B194"/>
    <mergeCell ref="A138:B138"/>
    <mergeCell ref="C138:D138"/>
    <mergeCell ref="E138:F138"/>
    <mergeCell ref="G138:H138"/>
    <mergeCell ref="A180:B180"/>
    <mergeCell ref="A181:B181"/>
    <mergeCell ref="A182:B182"/>
    <mergeCell ref="A183:B183"/>
    <mergeCell ref="A184:B184"/>
    <mergeCell ref="A185:B185"/>
    <mergeCell ref="C183:H185"/>
    <mergeCell ref="A186:H186"/>
    <mergeCell ref="A187:H187"/>
    <mergeCell ref="A172:H172"/>
    <mergeCell ref="A173:B173"/>
    <mergeCell ref="A174:B174"/>
    <mergeCell ref="A177:B177"/>
    <mergeCell ref="A178:B178"/>
    <mergeCell ref="A179:H179"/>
    <mergeCell ref="L179:M179"/>
    <mergeCell ref="L163:M163"/>
    <mergeCell ref="A164:B164"/>
    <mergeCell ref="A165:B165"/>
    <mergeCell ref="A166:B166"/>
    <mergeCell ref="A167:B167"/>
    <mergeCell ref="A168:B168"/>
    <mergeCell ref="A169:B169"/>
    <mergeCell ref="A170:H170"/>
    <mergeCell ref="A171:H171"/>
    <mergeCell ref="A154:H154"/>
    <mergeCell ref="A157:B157"/>
    <mergeCell ref="A158:B158"/>
    <mergeCell ref="A159:B159"/>
    <mergeCell ref="A160:B160"/>
    <mergeCell ref="A161:B161"/>
    <mergeCell ref="A162:B162"/>
    <mergeCell ref="A163:H163"/>
    <mergeCell ref="A176:B176"/>
    <mergeCell ref="A175:B175"/>
    <mergeCell ref="I15:P15"/>
    <mergeCell ref="F127:H127"/>
    <mergeCell ref="F125:H125"/>
    <mergeCell ref="A208:B208"/>
    <mergeCell ref="A143:H143"/>
    <mergeCell ref="G131:H131"/>
    <mergeCell ref="A126:E126"/>
    <mergeCell ref="A148:B148"/>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42:H242"/>
    <mergeCell ref="A239:H239"/>
    <mergeCell ref="A201:B201"/>
    <mergeCell ref="A136:B136"/>
    <mergeCell ref="D152:D153"/>
    <mergeCell ref="E152:E153"/>
    <mergeCell ref="A97:B97"/>
    <mergeCell ref="A98:B98"/>
    <mergeCell ref="A99:B99"/>
    <mergeCell ref="A113:B113"/>
    <mergeCell ref="F118:H118"/>
    <mergeCell ref="G132:H132"/>
    <mergeCell ref="A116:B116"/>
    <mergeCell ref="F124:H124"/>
    <mergeCell ref="C131:D131"/>
    <mergeCell ref="C140:D140"/>
    <mergeCell ref="A195:H195"/>
    <mergeCell ref="A210:B210"/>
    <mergeCell ref="A207:B207"/>
    <mergeCell ref="A147:B147"/>
    <mergeCell ref="B235:H235"/>
    <mergeCell ref="A141:B141"/>
    <mergeCell ref="C141:D141"/>
    <mergeCell ref="E141:F141"/>
    <mergeCell ref="B234:H234"/>
    <mergeCell ref="B231:H231"/>
    <mergeCell ref="B227:H227"/>
    <mergeCell ref="A221:B221"/>
    <mergeCell ref="A218:H218"/>
    <mergeCell ref="A219:B219"/>
    <mergeCell ref="A220:B220"/>
    <mergeCell ref="A223:B223"/>
    <mergeCell ref="A222:B222"/>
    <mergeCell ref="B225:H225"/>
    <mergeCell ref="B226:H226"/>
    <mergeCell ref="B228:H228"/>
    <mergeCell ref="B229:H229"/>
    <mergeCell ref="A224:H224"/>
    <mergeCell ref="A216:B216"/>
    <mergeCell ref="A217:B217"/>
    <mergeCell ref="A212:H212"/>
    <mergeCell ref="A206:H206"/>
    <mergeCell ref="A196:B196"/>
    <mergeCell ref="A150:B150"/>
    <mergeCell ref="A149:B149"/>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1:H151"/>
    <mergeCell ref="E136:F136"/>
    <mergeCell ref="A142:H142"/>
    <mergeCell ref="A152:A153"/>
    <mergeCell ref="F152:F153"/>
    <mergeCell ref="A156:H156"/>
    <mergeCell ref="A155:H155"/>
    <mergeCell ref="A245:H248"/>
    <mergeCell ref="A244:B244"/>
    <mergeCell ref="E244:F244"/>
    <mergeCell ref="C244:D244"/>
    <mergeCell ref="G244:H244"/>
    <mergeCell ref="A130:H130"/>
    <mergeCell ref="A128:E128"/>
    <mergeCell ref="F128:H128"/>
    <mergeCell ref="A129:E129"/>
    <mergeCell ref="F129:H129"/>
    <mergeCell ref="A200:H200"/>
    <mergeCell ref="A137:B137"/>
    <mergeCell ref="A209:B209"/>
    <mergeCell ref="A132:B132"/>
    <mergeCell ref="A240:H240"/>
    <mergeCell ref="A135:H135"/>
    <mergeCell ref="A243:H243"/>
    <mergeCell ref="A241:H241"/>
    <mergeCell ref="A237:H237"/>
    <mergeCell ref="G136:H136"/>
    <mergeCell ref="A211:B211"/>
    <mergeCell ref="C144:C145"/>
    <mergeCell ref="B152:B153"/>
    <mergeCell ref="A238:H238"/>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78:B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39:B39"/>
    <mergeCell ref="C39:H39"/>
    <mergeCell ref="A46:D46"/>
    <mergeCell ref="L150:M150"/>
    <mergeCell ref="L149:M149"/>
    <mergeCell ref="L148:M148"/>
    <mergeCell ref="L147:M147"/>
    <mergeCell ref="A86:B86"/>
    <mergeCell ref="C137:D137"/>
    <mergeCell ref="E137:F137"/>
    <mergeCell ref="G137:H137"/>
    <mergeCell ref="A118:E118"/>
    <mergeCell ref="A103:B103"/>
    <mergeCell ref="C103:H103"/>
    <mergeCell ref="A146:H146"/>
    <mergeCell ref="E144:E145"/>
    <mergeCell ref="A93:B93"/>
    <mergeCell ref="A47:D47"/>
    <mergeCell ref="A48:H48"/>
    <mergeCell ref="D64:H64"/>
    <mergeCell ref="A64:C64"/>
    <mergeCell ref="A85:B85"/>
    <mergeCell ref="C91:H91"/>
    <mergeCell ref="A81:B81"/>
    <mergeCell ref="L200:M200"/>
    <mergeCell ref="A205:B205"/>
    <mergeCell ref="A202:B202"/>
    <mergeCell ref="A203:B203"/>
    <mergeCell ref="A213:B213"/>
    <mergeCell ref="A40:B40"/>
    <mergeCell ref="C40:H40"/>
    <mergeCell ref="F144:F145"/>
    <mergeCell ref="C132:D132"/>
    <mergeCell ref="E132:F132"/>
    <mergeCell ref="B144:B145"/>
    <mergeCell ref="A144:A145"/>
    <mergeCell ref="C152:C153"/>
    <mergeCell ref="G152:G153"/>
    <mergeCell ref="L199:M199"/>
    <mergeCell ref="L196:M196"/>
    <mergeCell ref="A197:B197"/>
    <mergeCell ref="G141:H141"/>
    <mergeCell ref="L197:M197"/>
    <mergeCell ref="A198:B198"/>
    <mergeCell ref="L198:M198"/>
    <mergeCell ref="C55:H55"/>
    <mergeCell ref="A199:B199"/>
    <mergeCell ref="A49:B49"/>
    <mergeCell ref="A204:B204"/>
    <mergeCell ref="B230:H230"/>
    <mergeCell ref="A108:B108"/>
    <mergeCell ref="A109:B109"/>
    <mergeCell ref="G93:H102"/>
    <mergeCell ref="A94:B94"/>
    <mergeCell ref="A95:B95"/>
    <mergeCell ref="A96:B96"/>
    <mergeCell ref="F119:H119"/>
    <mergeCell ref="A119:E119"/>
    <mergeCell ref="D144:D145"/>
    <mergeCell ref="A121:E121"/>
    <mergeCell ref="A112:B112"/>
    <mergeCell ref="A114:B114"/>
    <mergeCell ref="A115:B115"/>
    <mergeCell ref="A120:E120"/>
    <mergeCell ref="A117:E117"/>
    <mergeCell ref="F121:H121"/>
    <mergeCell ref="G106:H106"/>
    <mergeCell ref="A105:B105"/>
    <mergeCell ref="G144:G145"/>
    <mergeCell ref="A214:B214"/>
    <mergeCell ref="F117:H117"/>
    <mergeCell ref="F122:H122"/>
    <mergeCell ref="C49:H49"/>
    <mergeCell ref="B236:H236"/>
    <mergeCell ref="A122:E122"/>
    <mergeCell ref="A102:B102"/>
    <mergeCell ref="A107:B107"/>
    <mergeCell ref="A140:B140"/>
    <mergeCell ref="E140:F140"/>
    <mergeCell ref="C105:H105"/>
    <mergeCell ref="A106:B106"/>
    <mergeCell ref="A127:E127"/>
    <mergeCell ref="G140:H140"/>
    <mergeCell ref="C133:D133"/>
    <mergeCell ref="E133:F133"/>
    <mergeCell ref="G133:H133"/>
    <mergeCell ref="A134:B134"/>
    <mergeCell ref="C134:D134"/>
    <mergeCell ref="E134:F134"/>
    <mergeCell ref="G134:H134"/>
    <mergeCell ref="A139:B139"/>
    <mergeCell ref="C139:D139"/>
    <mergeCell ref="E139:F139"/>
    <mergeCell ref="G139:H139"/>
    <mergeCell ref="B232:H232"/>
    <mergeCell ref="A215:B21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44:H244">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4:B145">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"Fungible area,C.P Area,Chajja Area,Cornice Area,AP Area,WS Area"</formula1>
    </dataValidation>
    <dataValidation type="list" allowBlank="1" showInputMessage="1" showErrorMessage="1" sqref="H145 H153">
      <formula1>".45,.50,.55,.60"</formula1>
    </dataValidation>
    <dataValidation type="list" allowBlank="1" showInputMessage="1" showErrorMessage="1" sqref="E4:H4">
      <formula1>$L$3:$P$3</formula1>
    </dataValidation>
    <dataValidation type="whole" allowBlank="1" showInputMessage="1" showErrorMessage="1" sqref="C84">
      <formula1>0</formula1>
      <formula2>H76</formula2>
    </dataValidation>
    <dataValidation type="list" allowBlank="1" showInputMessage="1" showErrorMessage="1" sqref="H144 H152">
      <formula1>"Saleable area Loading :,Builder Saleable Area"</formula1>
    </dataValidation>
    <dataValidation type="list" allowBlank="1" showInputMessage="1" showErrorMessage="1" sqref="D144:D145 D152:D153">
      <formula1>"Carpet area,RERA Carpet area"</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3" fitToHeight="0" orientation="portrait" r:id="rId2"/>
  <headerFooter>
    <oddHeader>&amp;C&amp;G</oddHeader>
    <oddFooter>&amp;L&amp;"Times New Roman,Bold"&amp;12Ref No: &amp;F&amp;C&amp;G&amp;R&amp;"Times New Roman,Bold"&amp;12&amp;P</oddFooter>
  </headerFooter>
  <rowBreaks count="5" manualBreakCount="5">
    <brk id="223" max="16383" man="1"/>
    <brk id="248" max="16383" man="1"/>
    <brk id="290" max="16383" man="1"/>
    <brk id="332" max="7" man="1"/>
    <brk id="37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5" t="s">
        <v>102</v>
      </c>
      <c r="C3" s="225"/>
      <c r="D3" s="225"/>
      <c r="E3" s="225"/>
      <c r="F3" s="225"/>
      <c r="G3" s="225"/>
      <c r="H3" s="225"/>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175</v>
      </c>
      <c r="E4" s="47" t="s">
        <v>185</v>
      </c>
      <c r="F4" s="47" t="s">
        <v>170</v>
      </c>
      <c r="G4" s="47" t="s">
        <v>190</v>
      </c>
      <c r="H4" s="47" t="s">
        <v>208</v>
      </c>
      <c r="J4" t="s">
        <v>190</v>
      </c>
      <c r="K4" t="s">
        <v>206</v>
      </c>
    </row>
    <row r="5" spans="2:11" x14ac:dyDescent="0.35">
      <c r="B5" s="46"/>
      <c r="C5" s="46"/>
      <c r="D5" s="47" t="s">
        <v>176</v>
      </c>
      <c r="E5" s="47" t="s">
        <v>183</v>
      </c>
      <c r="F5" s="47" t="s">
        <v>205</v>
      </c>
      <c r="G5" s="47" t="s">
        <v>191</v>
      </c>
      <c r="H5" s="47" t="s">
        <v>209</v>
      </c>
    </row>
    <row r="6" spans="2:11" x14ac:dyDescent="0.35">
      <c r="B6" s="46"/>
      <c r="C6" s="46"/>
      <c r="D6" s="47" t="s">
        <v>177</v>
      </c>
      <c r="E6" s="47" t="s">
        <v>184</v>
      </c>
      <c r="F6" s="47" t="s">
        <v>206</v>
      </c>
      <c r="G6" s="47" t="s">
        <v>192</v>
      </c>
      <c r="H6" s="47" t="s">
        <v>222</v>
      </c>
    </row>
    <row r="7" spans="2:11" x14ac:dyDescent="0.35">
      <c r="B7" s="46"/>
      <c r="C7" s="46"/>
      <c r="D7" s="47" t="s">
        <v>178</v>
      </c>
      <c r="E7" s="47" t="s">
        <v>186</v>
      </c>
      <c r="F7" s="47" t="s">
        <v>207</v>
      </c>
      <c r="G7" s="47" t="s">
        <v>193</v>
      </c>
      <c r="H7" s="47" t="s">
        <v>210</v>
      </c>
    </row>
    <row r="8" spans="2:11" x14ac:dyDescent="0.35">
      <c r="B8" s="46"/>
      <c r="C8" s="46"/>
      <c r="D8" s="47" t="s">
        <v>179</v>
      </c>
      <c r="E8" s="47" t="s">
        <v>187</v>
      </c>
      <c r="F8" s="47"/>
      <c r="G8" s="47" t="s">
        <v>194</v>
      </c>
      <c r="H8" s="47" t="s">
        <v>211</v>
      </c>
    </row>
    <row r="9" spans="2:11" x14ac:dyDescent="0.35">
      <c r="B9" s="46"/>
      <c r="C9" s="46"/>
      <c r="D9" s="47" t="s">
        <v>180</v>
      </c>
      <c r="E9" s="47" t="s">
        <v>185</v>
      </c>
      <c r="F9" s="47"/>
      <c r="G9" s="47" t="s">
        <v>195</v>
      </c>
      <c r="H9" s="47" t="s">
        <v>212</v>
      </c>
    </row>
    <row r="10" spans="2:11" x14ac:dyDescent="0.35">
      <c r="B10" s="46"/>
      <c r="C10" s="46"/>
      <c r="D10" s="47" t="s">
        <v>181</v>
      </c>
      <c r="E10" s="47" t="s">
        <v>188</v>
      </c>
      <c r="F10" s="47"/>
      <c r="G10" s="47" t="s">
        <v>196</v>
      </c>
      <c r="H10" s="47" t="s">
        <v>213</v>
      </c>
    </row>
    <row r="11" spans="2:11" x14ac:dyDescent="0.35">
      <c r="B11" s="46"/>
      <c r="C11" s="46"/>
      <c r="D11" s="47" t="s">
        <v>182</v>
      </c>
      <c r="E11" s="47" t="s">
        <v>189</v>
      </c>
      <c r="F11" s="47"/>
      <c r="G11" s="47" t="s">
        <v>197</v>
      </c>
      <c r="H11" s="47" t="s">
        <v>214</v>
      </c>
    </row>
    <row r="12" spans="2:11" x14ac:dyDescent="0.35">
      <c r="B12" s="46"/>
      <c r="C12" s="46"/>
      <c r="D12" s="47"/>
      <c r="E12" s="47"/>
      <c r="F12" s="47"/>
      <c r="G12" s="47" t="s">
        <v>198</v>
      </c>
      <c r="H12" s="47" t="s">
        <v>215</v>
      </c>
    </row>
    <row r="13" spans="2:11" x14ac:dyDescent="0.35">
      <c r="B13" s="46"/>
      <c r="C13" s="46"/>
      <c r="D13" s="47"/>
      <c r="E13" s="47"/>
      <c r="F13" s="47"/>
      <c r="G13" s="47" t="s">
        <v>199</v>
      </c>
      <c r="H13" s="47" t="s">
        <v>216</v>
      </c>
    </row>
    <row r="14" spans="2:11" x14ac:dyDescent="0.35">
      <c r="B14" s="46"/>
      <c r="C14" s="46"/>
      <c r="D14" s="47"/>
      <c r="E14" s="47"/>
      <c r="F14" s="47"/>
      <c r="G14" s="47" t="s">
        <v>200</v>
      </c>
      <c r="H14" s="47" t="s">
        <v>217</v>
      </c>
    </row>
    <row r="15" spans="2:11" x14ac:dyDescent="0.35">
      <c r="B15" s="46"/>
      <c r="C15" s="46"/>
      <c r="D15" s="47"/>
      <c r="E15" s="47"/>
      <c r="F15" s="47"/>
      <c r="G15" s="47" t="s">
        <v>201</v>
      </c>
      <c r="H15" s="47" t="s">
        <v>218</v>
      </c>
    </row>
    <row r="16" spans="2:11" x14ac:dyDescent="0.35">
      <c r="B16" s="46"/>
      <c r="C16" s="46"/>
      <c r="D16" s="47"/>
      <c r="E16" s="47"/>
      <c r="F16" s="47"/>
      <c r="G16" s="47" t="s">
        <v>202</v>
      </c>
      <c r="H16" s="47" t="s">
        <v>219</v>
      </c>
    </row>
    <row r="17" spans="2:8" x14ac:dyDescent="0.35">
      <c r="B17" s="46"/>
      <c r="C17" s="46"/>
      <c r="D17" s="47"/>
      <c r="E17" s="47"/>
      <c r="F17" s="47"/>
      <c r="G17" s="47" t="s">
        <v>203</v>
      </c>
      <c r="H17" s="47" t="s">
        <v>220</v>
      </c>
    </row>
    <row r="18" spans="2:8" x14ac:dyDescent="0.35">
      <c r="B18" s="46"/>
      <c r="C18" s="46"/>
      <c r="D18" s="47"/>
      <c r="E18" s="47"/>
      <c r="F18" s="47"/>
      <c r="G18" s="47" t="s">
        <v>204</v>
      </c>
      <c r="H18" s="47" t="s">
        <v>221</v>
      </c>
    </row>
    <row r="24" spans="2:8" x14ac:dyDescent="0.35">
      <c r="C24" t="s">
        <v>167</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167</v>
      </c>
    </row>
    <row r="33" spans="3:11" x14ac:dyDescent="0.35">
      <c r="J33">
        <v>1</v>
      </c>
      <c r="K33">
        <v>2</v>
      </c>
    </row>
    <row r="34" spans="3:11" x14ac:dyDescent="0.35">
      <c r="C34" s="48" t="s">
        <v>233</v>
      </c>
      <c r="D34" s="47" t="s">
        <v>231</v>
      </c>
      <c r="E34" s="47" t="s">
        <v>236</v>
      </c>
      <c r="F34" s="47" t="s">
        <v>234</v>
      </c>
      <c r="G34" s="47" t="s">
        <v>235</v>
      </c>
      <c r="H34" s="47" t="s">
        <v>237</v>
      </c>
      <c r="J34" t="s">
        <v>190</v>
      </c>
      <c r="K34" t="s">
        <v>206</v>
      </c>
    </row>
    <row r="35" spans="3:11" x14ac:dyDescent="0.35">
      <c r="C35" s="46" t="s">
        <v>232</v>
      </c>
      <c r="D35" s="47" t="s">
        <v>168</v>
      </c>
      <c r="E35" s="47" t="s">
        <v>241</v>
      </c>
      <c r="F35" s="47" t="s">
        <v>243</v>
      </c>
      <c r="G35" s="47" t="s">
        <v>245</v>
      </c>
      <c r="H35" s="47"/>
    </row>
    <row r="36" spans="3:11" x14ac:dyDescent="0.35">
      <c r="C36" s="46"/>
      <c r="D36" s="47" t="s">
        <v>238</v>
      </c>
      <c r="E36" s="47" t="s">
        <v>242</v>
      </c>
      <c r="F36" s="47" t="s">
        <v>244</v>
      </c>
      <c r="G36" s="47" t="s">
        <v>246</v>
      </c>
      <c r="H36" s="47"/>
    </row>
    <row r="37" spans="3:11" x14ac:dyDescent="0.35">
      <c r="C37" s="46"/>
      <c r="D37" s="47" t="s">
        <v>239</v>
      </c>
      <c r="E37" s="47"/>
      <c r="F37" s="47"/>
      <c r="G37" s="47" t="s">
        <v>247</v>
      </c>
      <c r="H37" s="47"/>
    </row>
    <row r="38" spans="3:11" x14ac:dyDescent="0.35">
      <c r="C38" s="46"/>
      <c r="D38" s="47" t="s">
        <v>240</v>
      </c>
      <c r="E38" s="47"/>
      <c r="F38" s="47"/>
      <c r="G38" s="47" t="s">
        <v>247</v>
      </c>
      <c r="H38" s="47"/>
    </row>
    <row r="39" spans="3:11" x14ac:dyDescent="0.35">
      <c r="C39" s="46"/>
      <c r="D39" s="47"/>
      <c r="E39" s="47"/>
      <c r="F39" s="47"/>
      <c r="G39" s="47" t="s">
        <v>248</v>
      </c>
      <c r="H39" s="47"/>
    </row>
    <row r="40" spans="3:11" x14ac:dyDescent="0.35">
      <c r="C40" s="46"/>
      <c r="D40" s="47"/>
      <c r="E40" s="47"/>
      <c r="F40" s="47"/>
      <c r="G40" s="47" t="s">
        <v>249</v>
      </c>
      <c r="H40" s="47"/>
    </row>
    <row r="41" spans="3:11" x14ac:dyDescent="0.35">
      <c r="C41" s="46"/>
      <c r="D41" s="47"/>
      <c r="E41" s="47"/>
      <c r="F41" s="47"/>
      <c r="G41" s="47"/>
      <c r="H41" s="47"/>
    </row>
    <row r="43" spans="3:11" x14ac:dyDescent="0.35">
      <c r="C43" t="s">
        <v>250</v>
      </c>
    </row>
    <row r="44" spans="3:11" x14ac:dyDescent="0.35">
      <c r="C44" t="s">
        <v>170</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26953125" customWidth="1"/>
  </cols>
  <sheetData>
    <row r="2" spans="2:3" ht="15" customHeight="1" x14ac:dyDescent="0.35">
      <c r="B2" s="49">
        <v>1</v>
      </c>
      <c r="C2" s="51" t="s">
        <v>281</v>
      </c>
    </row>
    <row r="3" spans="2:3" x14ac:dyDescent="0.35">
      <c r="B3" s="49">
        <v>2</v>
      </c>
      <c r="C3" s="50" t="s">
        <v>282</v>
      </c>
    </row>
    <row r="4" spans="2:3" x14ac:dyDescent="0.35">
      <c r="B4" s="49">
        <v>3</v>
      </c>
      <c r="C4" s="49" t="s">
        <v>283</v>
      </c>
    </row>
    <row r="5" spans="2:3" x14ac:dyDescent="0.35">
      <c r="B5" s="49">
        <v>4</v>
      </c>
      <c r="C5" s="50" t="s">
        <v>284</v>
      </c>
    </row>
    <row r="6" spans="2:3" x14ac:dyDescent="0.35">
      <c r="B6" s="49">
        <v>5</v>
      </c>
      <c r="C6" s="49" t="s">
        <v>285</v>
      </c>
    </row>
    <row r="7" spans="2:3" ht="29" x14ac:dyDescent="0.35">
      <c r="B7" s="49">
        <v>6</v>
      </c>
      <c r="C7" s="50" t="s">
        <v>286</v>
      </c>
    </row>
    <row r="8" spans="2:3" ht="72.5" x14ac:dyDescent="0.35">
      <c r="B8" s="49">
        <v>7</v>
      </c>
      <c r="C8" s="50" t="s">
        <v>287</v>
      </c>
    </row>
    <row r="9" spans="2:3" x14ac:dyDescent="0.35">
      <c r="B9" s="49">
        <v>8</v>
      </c>
      <c r="C9" s="49" t="s">
        <v>288</v>
      </c>
    </row>
    <row r="10" spans="2:3" x14ac:dyDescent="0.35">
      <c r="B10" s="49">
        <v>9</v>
      </c>
      <c r="C10" s="49" t="s">
        <v>289</v>
      </c>
    </row>
    <row r="11" spans="2:3" x14ac:dyDescent="0.35">
      <c r="B11" s="49">
        <v>10</v>
      </c>
      <c r="C11" s="49" t="s">
        <v>290</v>
      </c>
    </row>
    <row r="12" spans="2:3" x14ac:dyDescent="0.35">
      <c r="B12" s="49">
        <v>11</v>
      </c>
      <c r="C12" s="49" t="s">
        <v>291</v>
      </c>
    </row>
    <row r="13" spans="2:3" x14ac:dyDescent="0.35">
      <c r="B13" s="49">
        <v>12</v>
      </c>
      <c r="C13" s="49" t="s">
        <v>292</v>
      </c>
    </row>
    <row r="14" spans="2:3" x14ac:dyDescent="0.35">
      <c r="B14" s="49">
        <v>13</v>
      </c>
      <c r="C14" s="49" t="s">
        <v>293</v>
      </c>
    </row>
    <row r="15" spans="2:3" x14ac:dyDescent="0.35">
      <c r="B15" s="49">
        <v>14</v>
      </c>
      <c r="C15" s="49" t="s">
        <v>283</v>
      </c>
    </row>
    <row r="16" spans="2:3" x14ac:dyDescent="0.35">
      <c r="B16" s="49">
        <v>15</v>
      </c>
      <c r="C16" s="49" t="s">
        <v>295</v>
      </c>
    </row>
    <row r="17" spans="2:3" ht="31.5" customHeight="1" x14ac:dyDescent="0.35">
      <c r="B17" s="52">
        <v>16</v>
      </c>
      <c r="C17" s="54" t="s">
        <v>296</v>
      </c>
    </row>
    <row r="18" spans="2:3" x14ac:dyDescent="0.35">
      <c r="B18" s="53">
        <v>17</v>
      </c>
      <c r="C18" s="54" t="s">
        <v>297</v>
      </c>
    </row>
    <row r="19" spans="2:3" x14ac:dyDescent="0.35">
      <c r="B19" s="52">
        <v>18</v>
      </c>
      <c r="C19" s="49" t="s">
        <v>298</v>
      </c>
    </row>
    <row r="20" spans="2:3" x14ac:dyDescent="0.35">
      <c r="B20" s="53">
        <v>19</v>
      </c>
      <c r="C20" s="49" t="s">
        <v>299</v>
      </c>
    </row>
    <row r="21" spans="2:3" x14ac:dyDescent="0.35">
      <c r="B21" s="49">
        <v>20</v>
      </c>
      <c r="C21" s="49" t="s">
        <v>300</v>
      </c>
    </row>
    <row r="22" spans="2:3" x14ac:dyDescent="0.35">
      <c r="B22" s="53">
        <v>21</v>
      </c>
      <c r="C22" s="49" t="s">
        <v>298</v>
      </c>
    </row>
    <row r="23" spans="2:3" s="62" customFormat="1" ht="29.25" customHeight="1" x14ac:dyDescent="0.35">
      <c r="B23" s="61">
        <v>22</v>
      </c>
      <c r="C23" s="51" t="s">
        <v>327</v>
      </c>
    </row>
    <row r="24" spans="2:3" s="62" customFormat="1" ht="30.75" customHeight="1" x14ac:dyDescent="0.35">
      <c r="B24" s="63">
        <v>23</v>
      </c>
      <c r="C24" s="51" t="s">
        <v>328</v>
      </c>
    </row>
    <row r="25" spans="2:3" x14ac:dyDescent="0.35">
      <c r="B25" s="49">
        <v>24</v>
      </c>
      <c r="C25" s="49" t="s">
        <v>331</v>
      </c>
    </row>
    <row r="26" spans="2:3" x14ac:dyDescent="0.35">
      <c r="B26" s="53">
        <v>25</v>
      </c>
      <c r="C26" s="49" t="s">
        <v>329</v>
      </c>
    </row>
    <row r="27" spans="2:3" x14ac:dyDescent="0.35">
      <c r="B27" s="63">
        <v>26</v>
      </c>
      <c r="C27" s="49" t="s">
        <v>330</v>
      </c>
    </row>
    <row r="28" spans="2:3" x14ac:dyDescent="0.35">
      <c r="B28" s="53">
        <v>27</v>
      </c>
      <c r="C28" s="49"/>
    </row>
    <row r="29" spans="2:3" x14ac:dyDescent="0.35">
      <c r="B29" s="53">
        <v>28</v>
      </c>
      <c r="C29" s="49"/>
    </row>
    <row r="30" spans="2:3" x14ac:dyDescent="0.35">
      <c r="B30" s="63">
        <v>29</v>
      </c>
      <c r="C30" s="49"/>
    </row>
    <row r="31" spans="2:3" x14ac:dyDescent="0.35">
      <c r="B31" s="53">
        <v>30</v>
      </c>
      <c r="C31" s="49"/>
    </row>
    <row r="32" spans="2:3" x14ac:dyDescent="0.35">
      <c r="B32" s="53">
        <v>31</v>
      </c>
      <c r="C32" s="49"/>
    </row>
    <row r="33" spans="2:3" x14ac:dyDescent="0.35">
      <c r="B33" s="63">
        <v>32</v>
      </c>
      <c r="C33" s="49"/>
    </row>
    <row r="34" spans="2:3" x14ac:dyDescent="0.35">
      <c r="B34" s="53">
        <v>33</v>
      </c>
      <c r="C34" s="49"/>
    </row>
    <row r="35" spans="2:3" x14ac:dyDescent="0.35">
      <c r="B35" s="53">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6"/>
    <col min="2" max="2" width="12.26953125" style="46" customWidth="1"/>
    <col min="3" max="16384" width="9.1796875" style="46"/>
  </cols>
  <sheetData>
    <row r="2" spans="1:12" x14ac:dyDescent="0.35">
      <c r="B2" s="55" t="s">
        <v>301</v>
      </c>
      <c r="C2" s="226"/>
      <c r="D2" s="226"/>
    </row>
    <row r="3" spans="1:12" x14ac:dyDescent="0.35">
      <c r="D3" s="56"/>
      <c r="E3" s="56"/>
      <c r="F3" s="56"/>
      <c r="G3" s="56"/>
      <c r="H3" s="56"/>
      <c r="I3" s="56"/>
    </row>
    <row r="4" spans="1:12" x14ac:dyDescent="0.35">
      <c r="A4" s="55" t="s">
        <v>65</v>
      </c>
      <c r="B4" s="57" t="s">
        <v>302</v>
      </c>
      <c r="C4" s="227" t="s">
        <v>303</v>
      </c>
      <c r="D4" s="227"/>
      <c r="E4" s="227"/>
      <c r="F4" s="57"/>
      <c r="G4" s="228" t="s">
        <v>304</v>
      </c>
      <c r="H4" s="228"/>
      <c r="I4" s="228"/>
      <c r="J4" s="229" t="s">
        <v>305</v>
      </c>
      <c r="K4" s="229"/>
      <c r="L4" s="229"/>
    </row>
    <row r="5" spans="1:12" x14ac:dyDescent="0.35">
      <c r="A5" s="55"/>
      <c r="B5" s="57"/>
      <c r="C5" s="57" t="s">
        <v>306</v>
      </c>
      <c r="D5" s="57" t="s">
        <v>307</v>
      </c>
      <c r="E5" s="57" t="s">
        <v>308</v>
      </c>
      <c r="F5" s="57"/>
      <c r="G5" s="57" t="s">
        <v>306</v>
      </c>
      <c r="H5" s="57" t="s">
        <v>307</v>
      </c>
      <c r="I5" s="57" t="s">
        <v>308</v>
      </c>
      <c r="J5" s="57" t="s">
        <v>306</v>
      </c>
      <c r="K5" s="57" t="s">
        <v>307</v>
      </c>
      <c r="L5" s="57" t="s">
        <v>308</v>
      </c>
    </row>
    <row r="6" spans="1:12" x14ac:dyDescent="0.35">
      <c r="B6" s="47" t="s">
        <v>309</v>
      </c>
      <c r="C6" s="47"/>
      <c r="D6" s="47"/>
      <c r="E6" s="47">
        <f>C6*D6</f>
        <v>0</v>
      </c>
      <c r="F6" s="47" t="s">
        <v>326</v>
      </c>
      <c r="G6" s="47"/>
      <c r="H6" s="47"/>
      <c r="I6" s="47">
        <f>G6*H6</f>
        <v>0</v>
      </c>
      <c r="J6" s="47"/>
      <c r="K6" s="47"/>
      <c r="L6" s="47">
        <f>J6*K6</f>
        <v>0</v>
      </c>
    </row>
    <row r="7" spans="1:12" x14ac:dyDescent="0.35">
      <c r="B7" s="47"/>
      <c r="C7" s="47"/>
      <c r="D7" s="47"/>
      <c r="E7" s="47">
        <f t="shared" ref="E7:E41" si="0">C7*D7</f>
        <v>0</v>
      </c>
      <c r="F7" s="47" t="s">
        <v>326</v>
      </c>
      <c r="G7" s="47"/>
      <c r="H7" s="47"/>
      <c r="I7" s="47">
        <f t="shared" ref="I7:I35" si="1">G7*H7</f>
        <v>0</v>
      </c>
      <c r="J7" s="47"/>
      <c r="K7" s="47"/>
      <c r="L7" s="47">
        <f t="shared" ref="L7:L35" si="2">J7*K7</f>
        <v>0</v>
      </c>
    </row>
    <row r="8" spans="1:12" x14ac:dyDescent="0.35">
      <c r="B8" s="47"/>
      <c r="C8" s="47"/>
      <c r="D8" s="47"/>
      <c r="E8" s="47">
        <f t="shared" si="0"/>
        <v>0</v>
      </c>
      <c r="F8" s="47"/>
      <c r="G8" s="47"/>
      <c r="H8" s="47"/>
      <c r="I8" s="47">
        <f t="shared" si="1"/>
        <v>0</v>
      </c>
      <c r="J8" s="47"/>
      <c r="K8" s="47"/>
      <c r="L8" s="47">
        <f t="shared" si="2"/>
        <v>0</v>
      </c>
    </row>
    <row r="9" spans="1:12" x14ac:dyDescent="0.35">
      <c r="B9" s="47"/>
      <c r="C9" s="47"/>
      <c r="D9" s="47"/>
      <c r="E9" s="47">
        <f t="shared" si="0"/>
        <v>0</v>
      </c>
      <c r="F9" s="47" t="s">
        <v>310</v>
      </c>
      <c r="G9" s="47"/>
      <c r="H9" s="47"/>
      <c r="I9" s="47">
        <f t="shared" si="1"/>
        <v>0</v>
      </c>
      <c r="J9" s="47"/>
      <c r="K9" s="47"/>
      <c r="L9" s="47">
        <f t="shared" si="2"/>
        <v>0</v>
      </c>
    </row>
    <row r="10" spans="1:12" x14ac:dyDescent="0.35">
      <c r="B10" s="47" t="s">
        <v>311</v>
      </c>
      <c r="C10" s="47"/>
      <c r="D10" s="47"/>
      <c r="E10" s="47">
        <f t="shared" si="0"/>
        <v>0</v>
      </c>
      <c r="F10" s="47" t="s">
        <v>310</v>
      </c>
      <c r="G10" s="47"/>
      <c r="H10" s="47"/>
      <c r="I10" s="47">
        <f t="shared" si="1"/>
        <v>0</v>
      </c>
      <c r="J10" s="47"/>
      <c r="K10" s="47"/>
      <c r="L10" s="47">
        <f t="shared" si="2"/>
        <v>0</v>
      </c>
    </row>
    <row r="11" spans="1:12" x14ac:dyDescent="0.35">
      <c r="B11" s="47"/>
      <c r="C11" s="47"/>
      <c r="D11" s="47"/>
      <c r="E11" s="47">
        <f t="shared" si="0"/>
        <v>0</v>
      </c>
      <c r="F11" s="47" t="s">
        <v>312</v>
      </c>
      <c r="G11" s="47"/>
      <c r="H11" s="47"/>
      <c r="I11" s="47">
        <f t="shared" si="1"/>
        <v>0</v>
      </c>
      <c r="J11" s="47"/>
      <c r="K11" s="47"/>
      <c r="L11" s="47">
        <f t="shared" si="2"/>
        <v>0</v>
      </c>
    </row>
    <row r="12" spans="1:12" x14ac:dyDescent="0.35">
      <c r="B12" s="47"/>
      <c r="C12" s="47"/>
      <c r="D12" s="47"/>
      <c r="E12" s="47">
        <f t="shared" si="0"/>
        <v>0</v>
      </c>
      <c r="F12" s="47"/>
      <c r="G12" s="47"/>
      <c r="H12" s="47"/>
      <c r="I12" s="47">
        <f t="shared" si="1"/>
        <v>0</v>
      </c>
      <c r="J12" s="47"/>
      <c r="K12" s="47"/>
      <c r="L12" s="47">
        <f t="shared" si="2"/>
        <v>0</v>
      </c>
    </row>
    <row r="13" spans="1:12" x14ac:dyDescent="0.35">
      <c r="B13" s="47"/>
      <c r="C13" s="47"/>
      <c r="D13" s="47"/>
      <c r="E13" s="47">
        <f t="shared" si="0"/>
        <v>0</v>
      </c>
      <c r="F13" s="47"/>
      <c r="G13" s="47"/>
      <c r="H13" s="47"/>
      <c r="I13" s="47">
        <f t="shared" si="1"/>
        <v>0</v>
      </c>
      <c r="J13" s="47"/>
      <c r="K13" s="47"/>
      <c r="L13" s="47">
        <f t="shared" si="2"/>
        <v>0</v>
      </c>
    </row>
    <row r="14" spans="1:12" x14ac:dyDescent="0.35">
      <c r="B14" s="47" t="s">
        <v>313</v>
      </c>
      <c r="C14" s="47"/>
      <c r="D14" s="47"/>
      <c r="E14" s="47">
        <f t="shared" si="0"/>
        <v>0</v>
      </c>
      <c r="F14" s="47" t="s">
        <v>310</v>
      </c>
      <c r="G14" s="47"/>
      <c r="H14" s="47"/>
      <c r="I14" s="47">
        <f t="shared" si="1"/>
        <v>0</v>
      </c>
      <c r="J14" s="47"/>
      <c r="K14" s="47"/>
      <c r="L14" s="47">
        <f t="shared" si="2"/>
        <v>0</v>
      </c>
    </row>
    <row r="15" spans="1:12" x14ac:dyDescent="0.35">
      <c r="B15" s="47"/>
      <c r="C15" s="47"/>
      <c r="D15" s="47"/>
      <c r="E15" s="47">
        <f t="shared" si="0"/>
        <v>0</v>
      </c>
      <c r="F15" s="47" t="s">
        <v>312</v>
      </c>
      <c r="G15" s="47"/>
      <c r="H15" s="47"/>
      <c r="I15" s="47">
        <f t="shared" si="1"/>
        <v>0</v>
      </c>
      <c r="J15" s="47"/>
      <c r="K15" s="47"/>
      <c r="L15" s="47">
        <f t="shared" si="2"/>
        <v>0</v>
      </c>
    </row>
    <row r="16" spans="1:12" x14ac:dyDescent="0.35">
      <c r="B16" s="47"/>
      <c r="C16" s="47"/>
      <c r="D16" s="47"/>
      <c r="E16" s="47">
        <f t="shared" si="0"/>
        <v>0</v>
      </c>
      <c r="F16" s="47"/>
      <c r="G16" s="47"/>
      <c r="H16" s="47"/>
      <c r="I16" s="47">
        <f t="shared" si="1"/>
        <v>0</v>
      </c>
      <c r="J16" s="47"/>
      <c r="K16" s="47"/>
      <c r="L16" s="47">
        <f t="shared" si="2"/>
        <v>0</v>
      </c>
    </row>
    <row r="17" spans="2:12" x14ac:dyDescent="0.35">
      <c r="B17" s="47"/>
      <c r="C17" s="47"/>
      <c r="D17" s="47"/>
      <c r="E17" s="47">
        <f t="shared" si="0"/>
        <v>0</v>
      </c>
      <c r="F17" s="47"/>
      <c r="G17" s="47"/>
      <c r="H17" s="47"/>
      <c r="I17" s="47">
        <f t="shared" si="1"/>
        <v>0</v>
      </c>
      <c r="J17" s="47"/>
      <c r="K17" s="47"/>
      <c r="L17" s="47">
        <f t="shared" si="2"/>
        <v>0</v>
      </c>
    </row>
    <row r="18" spans="2:12" x14ac:dyDescent="0.35">
      <c r="B18" s="47" t="s">
        <v>314</v>
      </c>
      <c r="C18" s="47"/>
      <c r="D18" s="47"/>
      <c r="E18" s="47">
        <f t="shared" si="0"/>
        <v>0</v>
      </c>
      <c r="F18" s="47" t="s">
        <v>310</v>
      </c>
      <c r="G18" s="47"/>
      <c r="H18" s="47"/>
      <c r="I18" s="47">
        <f t="shared" si="1"/>
        <v>0</v>
      </c>
      <c r="J18" s="47"/>
      <c r="K18" s="47"/>
      <c r="L18" s="47">
        <f t="shared" si="2"/>
        <v>0</v>
      </c>
    </row>
    <row r="19" spans="2:12" x14ac:dyDescent="0.35">
      <c r="B19" s="47"/>
      <c r="C19" s="47"/>
      <c r="D19" s="47"/>
      <c r="E19" s="47">
        <f t="shared" si="0"/>
        <v>0</v>
      </c>
      <c r="F19" s="47" t="s">
        <v>312</v>
      </c>
      <c r="G19" s="47"/>
      <c r="H19" s="47"/>
      <c r="I19" s="47">
        <f t="shared" si="1"/>
        <v>0</v>
      </c>
      <c r="J19" s="47"/>
      <c r="K19" s="47"/>
      <c r="L19" s="47">
        <f t="shared" si="2"/>
        <v>0</v>
      </c>
    </row>
    <row r="20" spans="2:12" x14ac:dyDescent="0.35">
      <c r="B20" s="47"/>
      <c r="C20" s="47"/>
      <c r="D20" s="47"/>
      <c r="E20" s="47">
        <f t="shared" si="0"/>
        <v>0</v>
      </c>
      <c r="F20" s="47"/>
      <c r="G20" s="47"/>
      <c r="H20" s="47"/>
      <c r="I20" s="47">
        <f t="shared" si="1"/>
        <v>0</v>
      </c>
      <c r="J20" s="47"/>
      <c r="K20" s="47"/>
      <c r="L20" s="47">
        <f t="shared" si="2"/>
        <v>0</v>
      </c>
    </row>
    <row r="21" spans="2:12" x14ac:dyDescent="0.35">
      <c r="B21" s="47" t="s">
        <v>315</v>
      </c>
      <c r="C21" s="47"/>
      <c r="D21" s="47"/>
      <c r="E21" s="47">
        <f t="shared" si="0"/>
        <v>0</v>
      </c>
      <c r="F21" s="47" t="s">
        <v>310</v>
      </c>
      <c r="G21" s="47"/>
      <c r="H21" s="47"/>
      <c r="I21" s="47">
        <f t="shared" si="1"/>
        <v>0</v>
      </c>
      <c r="J21" s="47"/>
      <c r="K21" s="47"/>
      <c r="L21" s="47">
        <f t="shared" si="2"/>
        <v>0</v>
      </c>
    </row>
    <row r="22" spans="2:12" x14ac:dyDescent="0.35">
      <c r="B22" s="47"/>
      <c r="C22" s="47"/>
      <c r="D22" s="47"/>
      <c r="E22" s="47">
        <f t="shared" si="0"/>
        <v>0</v>
      </c>
      <c r="F22" s="47" t="s">
        <v>312</v>
      </c>
      <c r="G22" s="47"/>
      <c r="H22" s="47"/>
      <c r="I22" s="47">
        <f t="shared" si="1"/>
        <v>0</v>
      </c>
      <c r="J22" s="47"/>
      <c r="K22" s="47"/>
      <c r="L22" s="47">
        <f t="shared" si="2"/>
        <v>0</v>
      </c>
    </row>
    <row r="23" spans="2:12" x14ac:dyDescent="0.35">
      <c r="B23" s="47"/>
      <c r="C23" s="47"/>
      <c r="D23" s="47"/>
      <c r="E23" s="47">
        <f t="shared" si="0"/>
        <v>0</v>
      </c>
      <c r="F23" s="47"/>
      <c r="G23" s="47"/>
      <c r="H23" s="47"/>
      <c r="I23" s="47">
        <f t="shared" si="1"/>
        <v>0</v>
      </c>
      <c r="J23" s="47"/>
      <c r="K23" s="47"/>
      <c r="L23" s="47">
        <f t="shared" si="2"/>
        <v>0</v>
      </c>
    </row>
    <row r="24" spans="2:12" x14ac:dyDescent="0.35">
      <c r="B24" s="47" t="s">
        <v>316</v>
      </c>
      <c r="C24" s="47"/>
      <c r="D24" s="47"/>
      <c r="E24" s="47">
        <f t="shared" si="0"/>
        <v>0</v>
      </c>
      <c r="F24" s="47" t="s">
        <v>317</v>
      </c>
      <c r="G24" s="47"/>
      <c r="H24" s="47"/>
      <c r="I24" s="47">
        <f t="shared" si="1"/>
        <v>0</v>
      </c>
      <c r="J24" s="47"/>
      <c r="K24" s="47"/>
      <c r="L24" s="47">
        <f t="shared" si="2"/>
        <v>0</v>
      </c>
    </row>
    <row r="25" spans="2:12" x14ac:dyDescent="0.35">
      <c r="B25" s="47"/>
      <c r="C25" s="47"/>
      <c r="D25" s="47"/>
      <c r="E25" s="47">
        <f t="shared" ref="E25:E27" si="3">C25*D25</f>
        <v>0</v>
      </c>
      <c r="F25" s="47" t="s">
        <v>317</v>
      </c>
      <c r="G25" s="47"/>
      <c r="H25" s="47"/>
      <c r="I25" s="47">
        <f t="shared" ref="I25:I27" si="4">G25*H25</f>
        <v>0</v>
      </c>
      <c r="J25" s="47"/>
      <c r="K25" s="47"/>
      <c r="L25" s="47">
        <f t="shared" ref="L25:L27" si="5">J25*K25</f>
        <v>0</v>
      </c>
    </row>
    <row r="26" spans="2:12" x14ac:dyDescent="0.35">
      <c r="B26" s="47"/>
      <c r="C26" s="47"/>
      <c r="D26" s="47"/>
      <c r="E26" s="47">
        <f t="shared" si="3"/>
        <v>0</v>
      </c>
      <c r="F26" s="47" t="s">
        <v>317</v>
      </c>
      <c r="G26" s="47"/>
      <c r="H26" s="47"/>
      <c r="I26" s="47">
        <f t="shared" si="4"/>
        <v>0</v>
      </c>
      <c r="J26" s="47"/>
      <c r="K26" s="47"/>
      <c r="L26" s="47">
        <f t="shared" si="5"/>
        <v>0</v>
      </c>
    </row>
    <row r="27" spans="2:12" x14ac:dyDescent="0.35">
      <c r="B27" s="47"/>
      <c r="C27" s="47"/>
      <c r="D27" s="47"/>
      <c r="E27" s="47">
        <f t="shared" si="3"/>
        <v>0</v>
      </c>
      <c r="F27" s="47" t="s">
        <v>317</v>
      </c>
      <c r="G27" s="47"/>
      <c r="H27" s="47"/>
      <c r="I27" s="47">
        <f t="shared" si="4"/>
        <v>0</v>
      </c>
      <c r="J27" s="47"/>
      <c r="K27" s="47"/>
      <c r="L27" s="47">
        <f t="shared" si="5"/>
        <v>0</v>
      </c>
    </row>
    <row r="28" spans="2:12" x14ac:dyDescent="0.35">
      <c r="B28" s="47" t="s">
        <v>318</v>
      </c>
      <c r="C28" s="47"/>
      <c r="D28" s="47"/>
      <c r="E28" s="47">
        <f t="shared" si="0"/>
        <v>0</v>
      </c>
      <c r="F28" s="47" t="s">
        <v>317</v>
      </c>
      <c r="G28" s="47"/>
      <c r="H28" s="47"/>
      <c r="I28" s="47">
        <f t="shared" si="1"/>
        <v>0</v>
      </c>
      <c r="J28" s="47"/>
      <c r="K28" s="47"/>
      <c r="L28" s="47">
        <f t="shared" si="2"/>
        <v>0</v>
      </c>
    </row>
    <row r="29" spans="2:12" x14ac:dyDescent="0.35">
      <c r="B29" s="47" t="s">
        <v>319</v>
      </c>
      <c r="C29" s="47"/>
      <c r="D29" s="47"/>
      <c r="E29" s="47">
        <f t="shared" si="0"/>
        <v>0</v>
      </c>
      <c r="F29" s="47" t="s">
        <v>317</v>
      </c>
      <c r="G29" s="47"/>
      <c r="H29" s="47"/>
      <c r="I29" s="47">
        <f t="shared" si="1"/>
        <v>0</v>
      </c>
      <c r="J29" s="47"/>
      <c r="K29" s="47"/>
      <c r="L29" s="47">
        <f t="shared" si="2"/>
        <v>0</v>
      </c>
    </row>
    <row r="30" spans="2:12" x14ac:dyDescent="0.35">
      <c r="B30" s="47" t="s">
        <v>323</v>
      </c>
      <c r="C30" s="47"/>
      <c r="D30" s="47"/>
      <c r="E30" s="47">
        <f t="shared" si="0"/>
        <v>0</v>
      </c>
      <c r="F30" s="47"/>
      <c r="G30" s="47"/>
      <c r="H30" s="47"/>
      <c r="I30" s="47">
        <f t="shared" si="1"/>
        <v>0</v>
      </c>
      <c r="J30" s="47"/>
      <c r="K30" s="47"/>
      <c r="L30" s="47">
        <f t="shared" si="2"/>
        <v>0</v>
      </c>
    </row>
    <row r="31" spans="2:12" x14ac:dyDescent="0.35">
      <c r="B31" s="47"/>
      <c r="C31" s="47"/>
      <c r="D31" s="47"/>
      <c r="E31" s="47">
        <f t="shared" ref="E31:E32" si="6">C31*D31</f>
        <v>0</v>
      </c>
      <c r="F31" s="47"/>
      <c r="G31" s="47"/>
      <c r="H31" s="47"/>
      <c r="I31" s="47">
        <f t="shared" ref="I31:I32" si="7">G31*H31</f>
        <v>0</v>
      </c>
      <c r="J31" s="47"/>
      <c r="K31" s="47"/>
      <c r="L31" s="47">
        <f t="shared" ref="L31:L32" si="8">J31*K31</f>
        <v>0</v>
      </c>
    </row>
    <row r="32" spans="2:12" x14ac:dyDescent="0.35">
      <c r="B32" s="47"/>
      <c r="C32" s="47"/>
      <c r="D32" s="47"/>
      <c r="E32" s="47">
        <f t="shared" si="6"/>
        <v>0</v>
      </c>
      <c r="F32" s="47"/>
      <c r="G32" s="47"/>
      <c r="H32" s="47"/>
      <c r="I32" s="47">
        <f t="shared" si="7"/>
        <v>0</v>
      </c>
      <c r="J32" s="47"/>
      <c r="K32" s="47"/>
      <c r="L32" s="47">
        <f t="shared" si="8"/>
        <v>0</v>
      </c>
    </row>
    <row r="33" spans="2:12" x14ac:dyDescent="0.35">
      <c r="B33" s="47" t="s">
        <v>320</v>
      </c>
      <c r="C33" s="47"/>
      <c r="D33" s="47"/>
      <c r="E33" s="47">
        <f t="shared" si="0"/>
        <v>0</v>
      </c>
      <c r="F33" s="47"/>
      <c r="G33" s="47"/>
      <c r="H33" s="47"/>
      <c r="I33" s="47">
        <f t="shared" si="1"/>
        <v>0</v>
      </c>
      <c r="J33" s="47"/>
      <c r="K33" s="47"/>
      <c r="L33" s="47">
        <f t="shared" si="2"/>
        <v>0</v>
      </c>
    </row>
    <row r="34" spans="2:12" x14ac:dyDescent="0.35">
      <c r="B34" s="47" t="s">
        <v>324</v>
      </c>
      <c r="C34" s="47"/>
      <c r="D34" s="47"/>
      <c r="E34" s="47">
        <f t="shared" si="0"/>
        <v>0</v>
      </c>
      <c r="F34" s="47"/>
      <c r="G34" s="47"/>
      <c r="H34" s="47"/>
      <c r="I34" s="47">
        <f t="shared" si="1"/>
        <v>0</v>
      </c>
      <c r="J34" s="47"/>
      <c r="K34" s="47"/>
      <c r="L34" s="47">
        <f t="shared" si="2"/>
        <v>0</v>
      </c>
    </row>
    <row r="35" spans="2:12" x14ac:dyDescent="0.35">
      <c r="B35" s="47" t="s">
        <v>321</v>
      </c>
      <c r="C35" s="47"/>
      <c r="D35" s="47"/>
      <c r="E35" s="47">
        <f t="shared" si="0"/>
        <v>0</v>
      </c>
      <c r="F35" s="47"/>
      <c r="G35" s="47"/>
      <c r="H35" s="47"/>
      <c r="I35" s="47">
        <f t="shared" si="1"/>
        <v>0</v>
      </c>
      <c r="J35" s="47"/>
      <c r="K35" s="47"/>
      <c r="L35" s="47">
        <f t="shared" si="2"/>
        <v>0</v>
      </c>
    </row>
    <row r="36" spans="2:12" x14ac:dyDescent="0.35">
      <c r="B36" s="47" t="s">
        <v>322</v>
      </c>
      <c r="C36" s="47"/>
      <c r="D36" s="47"/>
      <c r="E36" s="47">
        <f t="shared" si="0"/>
        <v>0</v>
      </c>
      <c r="F36" s="47"/>
      <c r="G36" s="47"/>
      <c r="H36" s="47"/>
      <c r="I36" s="47">
        <f>G36*H36</f>
        <v>0</v>
      </c>
      <c r="J36" s="47"/>
      <c r="K36" s="47"/>
      <c r="L36" s="47">
        <f>J36*K36</f>
        <v>0</v>
      </c>
    </row>
    <row r="37" spans="2:12" x14ac:dyDescent="0.35">
      <c r="B37" s="47"/>
      <c r="C37" s="47"/>
      <c r="D37" s="47"/>
      <c r="E37" s="47">
        <f t="shared" ref="E37:E38" si="9">C37*D37</f>
        <v>0</v>
      </c>
      <c r="F37" s="47"/>
      <c r="G37" s="47"/>
      <c r="H37" s="47"/>
      <c r="I37" s="47">
        <f t="shared" ref="I37:I38" si="10">G37*H37</f>
        <v>0</v>
      </c>
      <c r="J37" s="47"/>
      <c r="K37" s="47"/>
      <c r="L37" s="47">
        <f t="shared" ref="L37:L38" si="11">J37*K37</f>
        <v>0</v>
      </c>
    </row>
    <row r="38" spans="2:12" x14ac:dyDescent="0.35">
      <c r="B38" s="47" t="s">
        <v>325</v>
      </c>
      <c r="C38" s="47"/>
      <c r="D38" s="47"/>
      <c r="E38" s="47">
        <f t="shared" si="9"/>
        <v>0</v>
      </c>
      <c r="F38" s="47"/>
      <c r="G38" s="47"/>
      <c r="H38" s="47"/>
      <c r="I38" s="47">
        <f t="shared" si="10"/>
        <v>0</v>
      </c>
      <c r="J38" s="47"/>
      <c r="K38" s="47"/>
      <c r="L38" s="47">
        <f t="shared" si="11"/>
        <v>0</v>
      </c>
    </row>
    <row r="39" spans="2:12" x14ac:dyDescent="0.35">
      <c r="B39" s="47"/>
      <c r="C39" s="47"/>
      <c r="D39" s="47"/>
      <c r="E39" s="47">
        <f t="shared" si="0"/>
        <v>0</v>
      </c>
      <c r="F39" s="47"/>
      <c r="G39" s="47"/>
      <c r="H39" s="47"/>
      <c r="I39" s="47">
        <f>G39*H39</f>
        <v>0</v>
      </c>
      <c r="J39" s="47"/>
      <c r="K39" s="47"/>
      <c r="L39" s="47">
        <f>J39*K39</f>
        <v>0</v>
      </c>
    </row>
    <row r="40" spans="2:12" x14ac:dyDescent="0.35">
      <c r="B40" s="47"/>
      <c r="C40" s="47"/>
      <c r="D40" s="47"/>
      <c r="E40" s="47">
        <f t="shared" si="0"/>
        <v>0</v>
      </c>
      <c r="F40" s="47"/>
      <c r="G40" s="47"/>
      <c r="H40" s="47"/>
      <c r="I40" s="47">
        <f>G40*H40</f>
        <v>0</v>
      </c>
      <c r="J40" s="47"/>
      <c r="K40" s="47"/>
      <c r="L40" s="47">
        <f>J40*K40</f>
        <v>0</v>
      </c>
    </row>
    <row r="41" spans="2:12" x14ac:dyDescent="0.35">
      <c r="B41" s="47"/>
      <c r="C41" s="47"/>
      <c r="D41" s="47"/>
      <c r="E41" s="47">
        <f t="shared" si="0"/>
        <v>0</v>
      </c>
      <c r="F41" s="47"/>
      <c r="G41" s="47"/>
      <c r="H41" s="47"/>
      <c r="I41" s="47">
        <f>G41*H41</f>
        <v>0</v>
      </c>
      <c r="J41" s="47"/>
      <c r="K41" s="47"/>
      <c r="L41" s="47">
        <f>J41*K41</f>
        <v>0</v>
      </c>
    </row>
    <row r="42" spans="2:12" x14ac:dyDescent="0.35">
      <c r="B42" s="47" t="s">
        <v>147</v>
      </c>
      <c r="C42" s="47"/>
      <c r="D42" s="47">
        <f>E42*10.764</f>
        <v>0</v>
      </c>
      <c r="E42" s="60">
        <f>SUM(E6:E41)</f>
        <v>0</v>
      </c>
      <c r="F42" s="47"/>
      <c r="G42" s="47"/>
      <c r="H42" s="47">
        <f>I42*10.764</f>
        <v>0</v>
      </c>
      <c r="I42" s="59">
        <f>SUM(I6:I41)</f>
        <v>0</v>
      </c>
      <c r="J42" s="47"/>
      <c r="K42" s="47">
        <f>L42*10.764</f>
        <v>0</v>
      </c>
      <c r="L42" s="58">
        <f>SUM(L6:L41)</f>
        <v>0</v>
      </c>
    </row>
    <row r="44" spans="2:12" x14ac:dyDescent="0.35">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2025-05-29T11:12:11Z</cp:lastPrinted>
  <dcterms:created xsi:type="dcterms:W3CDTF">2019-07-16T09:29:46Z</dcterms:created>
  <dcterms:modified xsi:type="dcterms:W3CDTF">2025-09-10T06:37:58Z</dcterms:modified>
</cp:coreProperties>
</file>