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20650 - Godrej Bayview Vashi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7" i="1" l="1"/>
  <c r="I147" i="1"/>
  <c r="E129" i="1"/>
  <c r="C129" i="1"/>
  <c r="J141" i="1"/>
  <c r="K141" i="1"/>
  <c r="I141" i="1"/>
  <c r="A160" i="1" l="1"/>
  <c r="A161" i="1" s="1"/>
  <c r="A162" i="1" s="1"/>
  <c r="A163" i="1" s="1"/>
  <c r="A154" i="1"/>
  <c r="A155" i="1" s="1"/>
  <c r="A156" i="1" s="1"/>
  <c r="A157" i="1" s="1"/>
  <c r="A148" i="1"/>
  <c r="A149" i="1" s="1"/>
  <c r="A150" i="1" s="1"/>
  <c r="A151" i="1" s="1"/>
  <c r="A168" i="1"/>
  <c r="A169" i="1" s="1"/>
  <c r="A170" i="1" s="1"/>
  <c r="A171" i="1" s="1"/>
  <c r="G168" i="1"/>
  <c r="D169" i="1"/>
  <c r="F169" i="1" s="1"/>
  <c r="E169" i="1"/>
  <c r="D170" i="1"/>
  <c r="E170" i="1"/>
  <c r="D171" i="1"/>
  <c r="E171" i="1"/>
  <c r="F171" i="1" s="1"/>
  <c r="A173" i="1"/>
  <c r="A174" i="1" s="1"/>
  <c r="A175" i="1" s="1"/>
  <c r="A176" i="1" s="1"/>
  <c r="D173" i="1"/>
  <c r="E173" i="1"/>
  <c r="G173" i="1"/>
  <c r="D174" i="1"/>
  <c r="F174" i="1" s="1"/>
  <c r="E174" i="1"/>
  <c r="D175" i="1"/>
  <c r="E175" i="1"/>
  <c r="D176" i="1"/>
  <c r="F176" i="1" s="1"/>
  <c r="E176" i="1"/>
  <c r="D178" i="1"/>
  <c r="F178" i="1" s="1"/>
  <c r="E178" i="1"/>
  <c r="G178" i="1"/>
  <c r="P178" i="1"/>
  <c r="O178" i="1"/>
  <c r="F170" i="1" l="1"/>
  <c r="F173" i="1"/>
  <c r="F175" i="1"/>
  <c r="N178" i="1"/>
  <c r="A178" i="1" s="1"/>
  <c r="D179" i="1"/>
  <c r="E179" i="1"/>
  <c r="O179" i="1"/>
  <c r="O180" i="1" s="1"/>
  <c r="P179" i="1"/>
  <c r="P180" i="1" s="1"/>
  <c r="P181" i="1" s="1"/>
  <c r="P182" i="1" s="1"/>
  <c r="D180" i="1"/>
  <c r="F180" i="1" s="1"/>
  <c r="E180" i="1"/>
  <c r="D181" i="1"/>
  <c r="E181" i="1"/>
  <c r="D182" i="1"/>
  <c r="E182" i="1"/>
  <c r="D184" i="1"/>
  <c r="F184" i="1" s="1"/>
  <c r="E184" i="1"/>
  <c r="G184" i="1"/>
  <c r="O184" i="1"/>
  <c r="P184" i="1"/>
  <c r="F179" i="1" l="1"/>
  <c r="F181" i="1"/>
  <c r="F182" i="1"/>
  <c r="N184" i="1"/>
  <c r="A184" i="1" s="1"/>
  <c r="N180" i="1"/>
  <c r="A180" i="1" s="1"/>
  <c r="O181" i="1"/>
  <c r="N179" i="1"/>
  <c r="A179" i="1" s="1"/>
  <c r="D185" i="1"/>
  <c r="F185" i="1" s="1"/>
  <c r="E185" i="1"/>
  <c r="O185" i="1"/>
  <c r="P185" i="1"/>
  <c r="P186" i="1" s="1"/>
  <c r="P187" i="1" s="1"/>
  <c r="P188" i="1" s="1"/>
  <c r="D186" i="1"/>
  <c r="F186" i="1" s="1"/>
  <c r="E186" i="1"/>
  <c r="D187" i="1"/>
  <c r="E187" i="1"/>
  <c r="D188" i="1"/>
  <c r="F188" i="1" s="1"/>
  <c r="E188" i="1"/>
  <c r="A190" i="1"/>
  <c r="A191" i="1" s="1"/>
  <c r="A192" i="1" s="1"/>
  <c r="A193" i="1" s="1"/>
  <c r="A194" i="1" s="1"/>
  <c r="D190" i="1"/>
  <c r="E190" i="1"/>
  <c r="G190" i="1"/>
  <c r="D192" i="1"/>
  <c r="E192" i="1"/>
  <c r="D193" i="1"/>
  <c r="E193" i="1"/>
  <c r="D194" i="1"/>
  <c r="E194" i="1"/>
  <c r="F194" i="1"/>
  <c r="D196" i="1"/>
  <c r="E196" i="1"/>
  <c r="G196" i="1"/>
  <c r="P196" i="1"/>
  <c r="O196" i="1"/>
  <c r="F187" i="1" l="1"/>
  <c r="F196" i="1"/>
  <c r="F192" i="1"/>
  <c r="F190" i="1"/>
  <c r="F193" i="1"/>
  <c r="N185" i="1"/>
  <c r="A185" i="1" s="1"/>
  <c r="N196" i="1"/>
  <c r="A196" i="1" s="1"/>
  <c r="N181" i="1"/>
  <c r="A181" i="1" s="1"/>
  <c r="O182" i="1"/>
  <c r="N182" i="1" s="1"/>
  <c r="A182" i="1" s="1"/>
  <c r="O186" i="1"/>
  <c r="F197" i="1"/>
  <c r="O197" i="1"/>
  <c r="P197" i="1"/>
  <c r="P198" i="1" s="1"/>
  <c r="P199" i="1" s="1"/>
  <c r="P200" i="1" s="1"/>
  <c r="D198" i="1"/>
  <c r="E198" i="1"/>
  <c r="D199" i="1"/>
  <c r="F199" i="1" s="1"/>
  <c r="E199" i="1"/>
  <c r="D200" i="1"/>
  <c r="E200" i="1"/>
  <c r="F200" i="1" s="1"/>
  <c r="A202" i="1"/>
  <c r="A203" i="1" s="1"/>
  <c r="A204" i="1" s="1"/>
  <c r="A205" i="1" s="1"/>
  <c r="A206" i="1" s="1"/>
  <c r="D202" i="1"/>
  <c r="E202" i="1"/>
  <c r="G202" i="1"/>
  <c r="D204" i="1"/>
  <c r="E204" i="1"/>
  <c r="D205" i="1"/>
  <c r="E205" i="1"/>
  <c r="D206" i="1"/>
  <c r="E206" i="1"/>
  <c r="A208" i="1"/>
  <c r="A209" i="1" s="1"/>
  <c r="A210" i="1" s="1"/>
  <c r="A211" i="1" s="1"/>
  <c r="A212" i="1" s="1"/>
  <c r="D208" i="1"/>
  <c r="F208" i="1" s="1"/>
  <c r="E208" i="1"/>
  <c r="G208" i="1"/>
  <c r="D209" i="1"/>
  <c r="E209" i="1"/>
  <c r="D210" i="1"/>
  <c r="E210" i="1"/>
  <c r="D211" i="1"/>
  <c r="E211" i="1"/>
  <c r="D212" i="1"/>
  <c r="E212" i="1"/>
  <c r="A214" i="1"/>
  <c r="A215" i="1" s="1"/>
  <c r="A216" i="1" s="1"/>
  <c r="A217" i="1" s="1"/>
  <c r="A218" i="1" s="1"/>
  <c r="D214" i="1"/>
  <c r="E214" i="1"/>
  <c r="G214" i="1"/>
  <c r="D215" i="1"/>
  <c r="E215" i="1"/>
  <c r="D216" i="1"/>
  <c r="E216" i="1"/>
  <c r="F216" i="1"/>
  <c r="D217" i="1"/>
  <c r="E217" i="1"/>
  <c r="D218" i="1"/>
  <c r="E218" i="1"/>
  <c r="A223" i="1"/>
  <c r="A224" i="1" s="1"/>
  <c r="A225" i="1" s="1"/>
  <c r="A226" i="1" s="1"/>
  <c r="G223" i="1"/>
  <c r="D226" i="1"/>
  <c r="E226" i="1"/>
  <c r="A228" i="1"/>
  <c r="A229" i="1" s="1"/>
  <c r="A230" i="1" s="1"/>
  <c r="A231" i="1" s="1"/>
  <c r="G228" i="1"/>
  <c r="D230" i="1"/>
  <c r="E230" i="1"/>
  <c r="D231" i="1"/>
  <c r="E231" i="1"/>
  <c r="D233" i="1"/>
  <c r="E233" i="1"/>
  <c r="G233" i="1"/>
  <c r="P233" i="1"/>
  <c r="O233" i="1"/>
  <c r="F198" i="1" l="1"/>
  <c r="F218" i="1"/>
  <c r="F206" i="1"/>
  <c r="F202" i="1"/>
  <c r="F209" i="1"/>
  <c r="F226" i="1"/>
  <c r="F205" i="1"/>
  <c r="F204" i="1"/>
  <c r="F212" i="1"/>
  <c r="F230" i="1"/>
  <c r="F215" i="1"/>
  <c r="F211" i="1"/>
  <c r="F210" i="1"/>
  <c r="F233" i="1"/>
  <c r="F217" i="1"/>
  <c r="F214" i="1"/>
  <c r="F231" i="1"/>
  <c r="N197" i="1"/>
  <c r="A197" i="1" s="1"/>
  <c r="N233" i="1"/>
  <c r="A233" i="1" s="1"/>
  <c r="O198" i="1"/>
  <c r="N186" i="1"/>
  <c r="A186" i="1" s="1"/>
  <c r="O187" i="1"/>
  <c r="D234" i="1"/>
  <c r="E234" i="1"/>
  <c r="O234" i="1"/>
  <c r="P234" i="1"/>
  <c r="P235" i="1" s="1"/>
  <c r="P236" i="1" s="1"/>
  <c r="P237" i="1" s="1"/>
  <c r="P238" i="1" s="1"/>
  <c r="D235" i="1"/>
  <c r="E235" i="1"/>
  <c r="D236" i="1"/>
  <c r="E236" i="1"/>
  <c r="D237" i="1"/>
  <c r="E237" i="1"/>
  <c r="D238" i="1"/>
  <c r="E238" i="1"/>
  <c r="D240" i="1"/>
  <c r="F240" i="1" s="1"/>
  <c r="E240" i="1"/>
  <c r="G240" i="1"/>
  <c r="O240" i="1"/>
  <c r="P240" i="1"/>
  <c r="F235" i="1" l="1"/>
  <c r="F234" i="1"/>
  <c r="F237" i="1"/>
  <c r="F236" i="1"/>
  <c r="F238" i="1"/>
  <c r="N234" i="1"/>
  <c r="A234" i="1" s="1"/>
  <c r="O235" i="1"/>
  <c r="N235" i="1" s="1"/>
  <c r="A235" i="1" s="1"/>
  <c r="N240" i="1"/>
  <c r="A240" i="1" s="1"/>
  <c r="O188" i="1"/>
  <c r="N188" i="1" s="1"/>
  <c r="A188" i="1" s="1"/>
  <c r="N187" i="1"/>
  <c r="A187" i="1" s="1"/>
  <c r="N198" i="1"/>
  <c r="A198" i="1" s="1"/>
  <c r="O199" i="1"/>
  <c r="D241" i="1"/>
  <c r="E241" i="1"/>
  <c r="O241" i="1"/>
  <c r="P241" i="1"/>
  <c r="P242" i="1" s="1"/>
  <c r="P243" i="1" s="1"/>
  <c r="P244" i="1" s="1"/>
  <c r="P245" i="1" s="1"/>
  <c r="D242" i="1"/>
  <c r="F242" i="1" s="1"/>
  <c r="E242" i="1"/>
  <c r="D243" i="1"/>
  <c r="E243" i="1"/>
  <c r="F243" i="1"/>
  <c r="D244" i="1"/>
  <c r="F244" i="1" s="1"/>
  <c r="E244" i="1"/>
  <c r="D245" i="1"/>
  <c r="E245" i="1"/>
  <c r="D247" i="1"/>
  <c r="E247" i="1"/>
  <c r="F247" i="1"/>
  <c r="G247" i="1"/>
  <c r="P247" i="1"/>
  <c r="O247" i="1"/>
  <c r="F245" i="1" l="1"/>
  <c r="F241" i="1"/>
  <c r="N241" i="1"/>
  <c r="A241" i="1" s="1"/>
  <c r="O236" i="1"/>
  <c r="O237" i="1" s="1"/>
  <c r="N247" i="1"/>
  <c r="A247" i="1" s="1"/>
  <c r="O242" i="1"/>
  <c r="N199" i="1"/>
  <c r="A199" i="1" s="1"/>
  <c r="O200" i="1"/>
  <c r="N200" i="1" s="1"/>
  <c r="A200" i="1" s="1"/>
  <c r="D248" i="1"/>
  <c r="E248" i="1"/>
  <c r="O248" i="1"/>
  <c r="O249" i="1" s="1"/>
  <c r="P248" i="1"/>
  <c r="D249" i="1"/>
  <c r="E249" i="1"/>
  <c r="F249" i="1"/>
  <c r="I249" i="1" s="1"/>
  <c r="J249" i="1" s="1"/>
  <c r="K249" i="1" s="1"/>
  <c r="L249" i="1" s="1"/>
  <c r="D250" i="1"/>
  <c r="E250" i="1"/>
  <c r="L250" i="1"/>
  <c r="M250" i="1" s="1"/>
  <c r="D251" i="1"/>
  <c r="E251" i="1"/>
  <c r="F251" i="1"/>
  <c r="D252" i="1"/>
  <c r="E252" i="1"/>
  <c r="F252" i="1" s="1"/>
  <c r="A254" i="1"/>
  <c r="A255" i="1" s="1"/>
  <c r="A256" i="1" s="1"/>
  <c r="A257" i="1" s="1"/>
  <c r="A258" i="1" s="1"/>
  <c r="A259" i="1" s="1"/>
  <c r="D254" i="1"/>
  <c r="F254" i="1" s="1"/>
  <c r="E254" i="1"/>
  <c r="G254" i="1"/>
  <c r="G255" i="1" s="1"/>
  <c r="G256" i="1" s="1"/>
  <c r="G257" i="1" s="1"/>
  <c r="G258" i="1" s="1"/>
  <c r="G259" i="1" s="1"/>
  <c r="D256" i="1"/>
  <c r="E256" i="1"/>
  <c r="D257" i="1"/>
  <c r="E257" i="1"/>
  <c r="D258" i="1"/>
  <c r="F258" i="1" s="1"/>
  <c r="E258" i="1"/>
  <c r="D259" i="1"/>
  <c r="E259" i="1"/>
  <c r="F259" i="1"/>
  <c r="D261" i="1"/>
  <c r="E261" i="1"/>
  <c r="G261" i="1"/>
  <c r="O261" i="1"/>
  <c r="P261" i="1"/>
  <c r="F250" i="1" l="1"/>
  <c r="F248" i="1"/>
  <c r="F256" i="1"/>
  <c r="F261" i="1"/>
  <c r="F257" i="1"/>
  <c r="N236" i="1"/>
  <c r="A236" i="1" s="1"/>
  <c r="N248" i="1"/>
  <c r="A248" i="1" s="1"/>
  <c r="N261" i="1"/>
  <c r="A261" i="1" s="1"/>
  <c r="O250" i="1"/>
  <c r="P249" i="1"/>
  <c r="P250" i="1" s="1"/>
  <c r="P251" i="1" s="1"/>
  <c r="P252" i="1" s="1"/>
  <c r="N237" i="1"/>
  <c r="A237" i="1" s="1"/>
  <c r="O238" i="1"/>
  <c r="N238" i="1" s="1"/>
  <c r="A238" i="1" s="1"/>
  <c r="N242" i="1"/>
  <c r="A242" i="1" s="1"/>
  <c r="O243" i="1"/>
  <c r="F262" i="1"/>
  <c r="G262" i="1"/>
  <c r="G263" i="1" s="1"/>
  <c r="G264" i="1" s="1"/>
  <c r="G265" i="1" s="1"/>
  <c r="G266" i="1" s="1"/>
  <c r="O262" i="1"/>
  <c r="O263" i="1" s="1"/>
  <c r="P262" i="1"/>
  <c r="P263" i="1" s="1"/>
  <c r="P264" i="1" s="1"/>
  <c r="P265" i="1" s="1"/>
  <c r="P266" i="1" s="1"/>
  <c r="D263" i="1"/>
  <c r="E263" i="1"/>
  <c r="D264" i="1"/>
  <c r="E264" i="1"/>
  <c r="D265" i="1"/>
  <c r="E265" i="1"/>
  <c r="D266" i="1"/>
  <c r="E266" i="1"/>
  <c r="A268" i="1"/>
  <c r="A269" i="1" s="1"/>
  <c r="A270" i="1" s="1"/>
  <c r="A271" i="1" s="1"/>
  <c r="A272" i="1" s="1"/>
  <c r="A273" i="1" s="1"/>
  <c r="D268" i="1"/>
  <c r="E268" i="1"/>
  <c r="G268" i="1"/>
  <c r="G269" i="1" s="1"/>
  <c r="G270" i="1" s="1"/>
  <c r="G271" i="1" s="1"/>
  <c r="G272" i="1" s="1"/>
  <c r="G273" i="1" s="1"/>
  <c r="D270" i="1"/>
  <c r="E270" i="1"/>
  <c r="D271" i="1"/>
  <c r="E271" i="1"/>
  <c r="D272" i="1"/>
  <c r="F272" i="1" s="1"/>
  <c r="E272" i="1"/>
  <c r="D273" i="1"/>
  <c r="E273" i="1"/>
  <c r="A275" i="1"/>
  <c r="A276" i="1" s="1"/>
  <c r="A277" i="1" s="1"/>
  <c r="A278" i="1" s="1"/>
  <c r="A279" i="1" s="1"/>
  <c r="A280" i="1" s="1"/>
  <c r="D275" i="1"/>
  <c r="F275" i="1" s="1"/>
  <c r="E275" i="1"/>
  <c r="G275" i="1"/>
  <c r="G276" i="1" s="1"/>
  <c r="G277" i="1" s="1"/>
  <c r="G278" i="1" s="1"/>
  <c r="G279" i="1" s="1"/>
  <c r="G280" i="1" s="1"/>
  <c r="D276" i="1"/>
  <c r="E276" i="1"/>
  <c r="D277" i="1"/>
  <c r="E277" i="1"/>
  <c r="F277" i="1"/>
  <c r="D278" i="1"/>
  <c r="F278" i="1" s="1"/>
  <c r="E278" i="1"/>
  <c r="D279" i="1"/>
  <c r="E279" i="1"/>
  <c r="D280" i="1"/>
  <c r="E280" i="1"/>
  <c r="A282" i="1"/>
  <c r="A283" i="1" s="1"/>
  <c r="A284" i="1" s="1"/>
  <c r="A285" i="1" s="1"/>
  <c r="A286" i="1" s="1"/>
  <c r="A287" i="1" s="1"/>
  <c r="D282" i="1"/>
  <c r="E282" i="1"/>
  <c r="G282" i="1"/>
  <c r="D283" i="1"/>
  <c r="E283" i="1"/>
  <c r="F283" i="1" s="1"/>
  <c r="G283" i="1"/>
  <c r="G284" i="1" s="1"/>
  <c r="G285" i="1" s="1"/>
  <c r="G286" i="1" s="1"/>
  <c r="G287" i="1" s="1"/>
  <c r="D284" i="1"/>
  <c r="E284" i="1"/>
  <c r="D285" i="1"/>
  <c r="E285" i="1"/>
  <c r="D286" i="1"/>
  <c r="E286" i="1"/>
  <c r="F286" i="1" s="1"/>
  <c r="D287" i="1"/>
  <c r="E287" i="1"/>
  <c r="F268" i="1" l="1"/>
  <c r="F263" i="1"/>
  <c r="F282" i="1"/>
  <c r="F273" i="1"/>
  <c r="F279" i="1"/>
  <c r="F266" i="1"/>
  <c r="F270" i="1"/>
  <c r="F265" i="1"/>
  <c r="F280" i="1"/>
  <c r="F276" i="1"/>
  <c r="F264" i="1"/>
  <c r="F287" i="1"/>
  <c r="F284" i="1"/>
  <c r="F285" i="1"/>
  <c r="F271" i="1"/>
  <c r="N263" i="1"/>
  <c r="A263" i="1" s="1"/>
  <c r="O264" i="1"/>
  <c r="N262" i="1"/>
  <c r="A262" i="1" s="1"/>
  <c r="N243" i="1"/>
  <c r="A243" i="1" s="1"/>
  <c r="O244" i="1"/>
  <c r="N250" i="1"/>
  <c r="A250" i="1" s="1"/>
  <c r="O251" i="1"/>
  <c r="N249" i="1"/>
  <c r="A249" i="1" s="1"/>
  <c r="J100" i="1"/>
  <c r="J99" i="1"/>
  <c r="H89" i="1"/>
  <c r="N264" i="1" l="1"/>
  <c r="A264" i="1" s="1"/>
  <c r="O265" i="1"/>
  <c r="N251" i="1"/>
  <c r="A251" i="1" s="1"/>
  <c r="O252" i="1"/>
  <c r="N252" i="1" s="1"/>
  <c r="A252" i="1" s="1"/>
  <c r="N244" i="1"/>
  <c r="A244" i="1" s="1"/>
  <c r="O245" i="1"/>
  <c r="N245" i="1" s="1"/>
  <c r="A245" i="1" s="1"/>
  <c r="J93" i="1"/>
  <c r="D94" i="1"/>
  <c r="D101" i="1"/>
  <c r="D99" i="1"/>
  <c r="D97" i="1"/>
  <c r="D95" i="1"/>
  <c r="J94" i="1"/>
  <c r="J95" i="1" s="1"/>
  <c r="D100" i="1"/>
  <c r="D96" i="1"/>
  <c r="J91" i="1"/>
  <c r="D92" i="1"/>
  <c r="D98" i="1"/>
  <c r="J92" i="1"/>
  <c r="F126" i="1"/>
  <c r="N265" i="1" l="1"/>
  <c r="A265" i="1" s="1"/>
  <c r="O266" i="1"/>
  <c r="N266" i="1" s="1"/>
  <c r="A266" i="1" s="1"/>
  <c r="J96" i="1"/>
  <c r="J97" i="1" s="1"/>
  <c r="J98" i="1" s="1"/>
  <c r="C93" i="1" s="1"/>
  <c r="D163" i="1"/>
  <c r="F163" i="1" s="1"/>
  <c r="D162" i="1"/>
  <c r="F162" i="1" s="1"/>
  <c r="D160" i="1"/>
  <c r="D159" i="1"/>
  <c r="F159" i="1" s="1"/>
  <c r="D157" i="1"/>
  <c r="F157" i="1" s="1"/>
  <c r="D156" i="1"/>
  <c r="F156" i="1" s="1"/>
  <c r="D155" i="1"/>
  <c r="F155" i="1" s="1"/>
  <c r="D154" i="1"/>
  <c r="F154" i="1" s="1"/>
  <c r="D153" i="1"/>
  <c r="F153" i="1" s="1"/>
  <c r="D151" i="1"/>
  <c r="F151" i="1" s="1"/>
  <c r="D149" i="1"/>
  <c r="F149" i="1" s="1"/>
  <c r="D148" i="1"/>
  <c r="F148" i="1" s="1"/>
  <c r="D147" i="1"/>
  <c r="F147" i="1" s="1"/>
  <c r="D145" i="1"/>
  <c r="F145" i="1" s="1"/>
  <c r="D143" i="1"/>
  <c r="F143" i="1" s="1"/>
  <c r="D142" i="1"/>
  <c r="F142" i="1" s="1"/>
  <c r="D141" i="1"/>
  <c r="F160" i="1"/>
  <c r="G159" i="1"/>
  <c r="G153" i="1"/>
  <c r="G147" i="1"/>
  <c r="F141" i="1"/>
  <c r="G141" i="1"/>
  <c r="A142" i="1"/>
  <c r="A143" i="1" s="1"/>
  <c r="A144" i="1" s="1"/>
  <c r="A145" i="1" s="1"/>
  <c r="C74" i="1"/>
  <c r="J86" i="1"/>
  <c r="J85" i="1"/>
  <c r="P153" i="1"/>
  <c r="H75" i="1"/>
  <c r="O159" i="1"/>
  <c r="O153" i="1"/>
  <c r="P159" i="1"/>
  <c r="E92" i="1" l="1"/>
  <c r="I88" i="1" s="1"/>
  <c r="C90" i="1" s="1"/>
  <c r="G92" i="1"/>
  <c r="D93" i="1"/>
  <c r="J101" i="1"/>
  <c r="G129" i="1"/>
  <c r="P160" i="1"/>
  <c r="P161" i="1" s="1"/>
  <c r="P162" i="1" s="1"/>
  <c r="P163" i="1" s="1"/>
  <c r="O160" i="1"/>
  <c r="N159" i="1"/>
  <c r="O154" i="1"/>
  <c r="N153" i="1"/>
  <c r="P154" i="1"/>
  <c r="P155" i="1" s="1"/>
  <c r="P156" i="1" s="1"/>
  <c r="P157" i="1" s="1"/>
  <c r="D86" i="1"/>
  <c r="D82" i="1"/>
  <c r="J78" i="1"/>
  <c r="D85" i="1"/>
  <c r="D81" i="1"/>
  <c r="D84" i="1"/>
  <c r="J77" i="1"/>
  <c r="J80" i="1"/>
  <c r="D80" i="1"/>
  <c r="J79" i="1"/>
  <c r="C78" i="1" s="1"/>
  <c r="D87" i="1"/>
  <c r="D83" i="1"/>
  <c r="O155" i="1" l="1"/>
  <c r="N154" i="1"/>
  <c r="N160" i="1"/>
  <c r="O161" i="1"/>
  <c r="D78" i="1"/>
  <c r="J81" i="1"/>
  <c r="O162" i="1" l="1"/>
  <c r="N161" i="1"/>
  <c r="O156" i="1"/>
  <c r="N155" i="1"/>
  <c r="J82" i="1"/>
  <c r="J83" i="1" s="1"/>
  <c r="J84" i="1" s="1"/>
  <c r="O157" i="1" l="1"/>
  <c r="N157" i="1" s="1"/>
  <c r="N156" i="1"/>
  <c r="O163" i="1"/>
  <c r="N163" i="1" s="1"/>
  <c r="N162" i="1"/>
  <c r="J87" i="1"/>
  <c r="C79" i="1" s="1"/>
  <c r="E78" i="1" s="1"/>
  <c r="I74" i="1" s="1"/>
  <c r="C76" i="1" s="1"/>
  <c r="D79" i="1" l="1"/>
  <c r="G78" i="1"/>
  <c r="E3" i="1"/>
  <c r="C131" i="1" l="1"/>
  <c r="C130" i="1"/>
  <c r="E130" i="1"/>
  <c r="E131" i="1"/>
  <c r="E132" i="1" l="1"/>
  <c r="C132" i="1"/>
  <c r="G131" i="1"/>
  <c r="C15" i="1" l="1"/>
  <c r="G130" i="1" l="1"/>
  <c r="G132" i="1" s="1"/>
  <c r="B29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1" i="1"/>
  <c r="A290" i="1"/>
  <c r="J113" i="1"/>
  <c r="D68" i="1"/>
  <c r="G49" i="1"/>
  <c r="C49" i="1"/>
  <c r="E42" i="1"/>
  <c r="E43" i="1" s="1"/>
  <c r="E26" i="1"/>
  <c r="E24" i="1"/>
  <c r="E8" i="1"/>
  <c r="H103" i="1"/>
  <c r="J106" i="1" l="1"/>
  <c r="D115" i="1"/>
  <c r="D113" i="1"/>
  <c r="D111" i="1"/>
  <c r="D109" i="1"/>
  <c r="J107" i="1"/>
  <c r="J105" i="1"/>
  <c r="J108" i="1"/>
  <c r="C107" i="1" s="1"/>
  <c r="D114" i="1"/>
  <c r="D110" i="1"/>
  <c r="D112" i="1"/>
  <c r="D108" i="1"/>
  <c r="J109" i="1" l="1"/>
  <c r="J114" i="1" s="1"/>
  <c r="D106" i="1"/>
  <c r="A292" i="1"/>
  <c r="A293" i="1" s="1"/>
  <c r="A294" i="1" s="1"/>
  <c r="J110" i="1" l="1"/>
  <c r="J111" i="1" s="1"/>
  <c r="J112" i="1" s="1"/>
  <c r="G106" i="1" s="1"/>
  <c r="D72" i="1" s="1"/>
  <c r="F73" i="1" s="1"/>
  <c r="A295" i="1"/>
  <c r="A296" i="1" s="1"/>
  <c r="D73" i="1" l="1"/>
  <c r="D107" i="1"/>
  <c r="E106" i="1"/>
  <c r="I102" i="1" s="1"/>
  <c r="C104" i="1" s="1"/>
  <c r="J115" i="1"/>
</calcChain>
</file>

<file path=xl/sharedStrings.xml><?xml version="1.0" encoding="utf-8"?>
<sst xmlns="http://schemas.openxmlformats.org/spreadsheetml/2006/main" count="484" uniqueCount="260">
  <si>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</si>
  <si>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</si>
  <si>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</si>
  <si>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</si>
  <si>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</si>
  <si>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</si>
  <si>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</si>
  <si>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</si>
  <si>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</si>
  <si>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</si>
  <si>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</si>
  <si>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</si>
  <si>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</si>
  <si>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</si>
  <si>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</si>
  <si>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</si>
  <si>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</si>
  <si>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</si>
  <si>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</si>
  <si>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</si>
  <si>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</si>
  <si>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</si>
  <si>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</si>
  <si>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</si>
  <si>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</si>
  <si>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</si>
  <si>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</si>
  <si>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</si>
  <si>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</si>
  <si>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</si>
  <si>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</si>
  <si>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</si>
  <si>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</si>
  <si>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</si>
  <si>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</si>
  <si>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</si>
  <si>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</si>
  <si>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</si>
  <si>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</si>
  <si>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</si>
  <si>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</si>
  <si>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</si>
  <si>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</si>
  <si>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</si>
  <si>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</si>
  <si>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</si>
  <si>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</si>
  <si>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</si>
  <si>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</si>
  <si>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</si>
  <si>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</si>
  <si>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</si>
  <si>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</si>
  <si>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</si>
  <si>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</si>
  <si>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</si>
  <si>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</si>
  <si>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</si>
  <si>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</si>
  <si>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</si>
  <si>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</si>
  <si>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</si>
  <si>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</si>
  <si>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</si>
  <si>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</si>
  <si>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</si>
  <si>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</si>
  <si>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</si>
  <si>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</si>
  <si>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</si>
  <si>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</si>
  <si>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</si>
  <si>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</si>
  <si>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</si>
  <si>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</si>
  <si>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</si>
  <si>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</si>
  <si>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</si>
  <si>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</si>
  <si>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</si>
  <si>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</si>
  <si>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</si>
  <si>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</si>
  <si>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</si>
  <si>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</si>
  <si>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</si>
  <si>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</si>
  <si>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</si>
  <si>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</si>
  <si>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</si>
  <si>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</si>
  <si>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</si>
  <si>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</si>
  <si>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</si>
  <si>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</si>
  <si>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</si>
  <si>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</si>
  <si>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</si>
  <si>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</si>
  <si>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</si>
  <si>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</si>
  <si>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</si>
  <si>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</si>
  <si>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</si>
  <si>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</si>
  <si>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</si>
  <si>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</si>
  <si>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</si>
  <si>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</si>
  <si>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</si>
  <si>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</si>
  <si>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</si>
  <si>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</si>
  <si>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</si>
  <si>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</si>
  <si>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</si>
  <si>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</si>
  <si>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</si>
  <si>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</si>
  <si>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</si>
  <si>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</si>
  <si>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</si>
  <si>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</si>
  <si>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</si>
  <si>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</si>
  <si>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</si>
  <si>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</si>
  <si>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</si>
  <si>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</si>
  <si>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</si>
  <si>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</si>
  <si>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</si>
  <si>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</si>
  <si>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</si>
  <si>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</si>
  <si>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</si>
  <si>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</si>
  <si>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</si>
  <si>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</si>
  <si>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</si>
  <si>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</si>
  <si>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</si>
  <si>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</si>
  <si>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</si>
  <si>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</si>
  <si>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</si>
  <si>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</si>
  <si>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</si>
  <si>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</si>
  <si>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</si>
  <si>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</si>
  <si>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</si>
  <si>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Dayanshwar Marg</t>
  </si>
  <si>
    <t>India Maharaja CHS</t>
  </si>
  <si>
    <t>Vashi</t>
  </si>
  <si>
    <t>Thane</t>
  </si>
  <si>
    <t>1.6 KM from Vashi Railway Station</t>
  </si>
  <si>
    <t>Vashi East</t>
  </si>
  <si>
    <t>Plot No</t>
  </si>
  <si>
    <t>Juhu Chowpatty Marg, Vashi</t>
  </si>
  <si>
    <t>Residential</t>
  </si>
  <si>
    <t>Navi Mumbai Municipal Corporation (NMMC)</t>
  </si>
  <si>
    <t>NMMC/TPO/BP/Case No. 20201CNMMC17104/1858/2021</t>
  </si>
  <si>
    <t>Tower 2 &amp; 3 (Incentive) = 4B + G + 1st to 24th floor</t>
  </si>
  <si>
    <t>We considered Gross carpet area = Net carpet + Enclose balcony + C.B Area + F.B Area.</t>
  </si>
  <si>
    <t>Only Tower 2 &amp; 3 (Incentive) is registered on RERA, So apf is considered for Tower 2 &amp; 3 (Incentive).</t>
  </si>
  <si>
    <t>Tower 2 (Incentive)</t>
  </si>
  <si>
    <t>1st to 4th Basement For Parking</t>
  </si>
  <si>
    <t>Ground For Parking</t>
  </si>
  <si>
    <t>1st Floor</t>
  </si>
  <si>
    <t>2BHK</t>
  </si>
  <si>
    <t>3BHK</t>
  </si>
  <si>
    <t>2nd Floor (E Deck Floor)</t>
  </si>
  <si>
    <t>Void</t>
  </si>
  <si>
    <t>4th, 6th, 8th, 10th, 14th, 16th, 18th &amp; 20th Floor</t>
  </si>
  <si>
    <t>3rd, 5th, 9th, 11th, 13th, 15th, 19th &amp; 21st Floor</t>
  </si>
  <si>
    <t>12th Floor (Part Refuge Area)</t>
  </si>
  <si>
    <t>Refuge Area</t>
  </si>
  <si>
    <t>7th &amp; 17th Floor (Part Refuge Area)</t>
  </si>
  <si>
    <t>22nd Floor (Part Refuge Area)</t>
  </si>
  <si>
    <t>23rd Floor</t>
  </si>
  <si>
    <t>24th Floor</t>
  </si>
  <si>
    <t>Tower 3 (Incentive)</t>
  </si>
  <si>
    <t>Double Height</t>
  </si>
  <si>
    <t>Fitness Center</t>
  </si>
  <si>
    <t>Tower 2</t>
  </si>
  <si>
    <t>Tower 3</t>
  </si>
  <si>
    <t>M/s. Suncity Infrastructures (Mumbai) LLP</t>
  </si>
  <si>
    <t>Maintenance Charges For 12 months</t>
  </si>
  <si>
    <t>Electricity Charges</t>
  </si>
  <si>
    <t>Corpus Amount</t>
  </si>
  <si>
    <t>Legal Charges</t>
  </si>
  <si>
    <t>Water Connection</t>
  </si>
  <si>
    <t>Share Money</t>
  </si>
  <si>
    <t>Gas Connection Charges</t>
  </si>
  <si>
    <t>Recommended rate of Parking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</si>
  <si>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</si>
  <si>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Location Link</t>
  </si>
  <si>
    <t>21100 to 22200</t>
  </si>
  <si>
    <t>Site Person - Contact Details ( Name &amp; Contact No.)</t>
  </si>
  <si>
    <t>13th Floor</t>
  </si>
  <si>
    <t>22200 to 24700</t>
  </si>
  <si>
    <t>For Case T3=1303 higher side value by smith on 27/01/2025</t>
  </si>
  <si>
    <t>Latitude, Longitude</t>
  </si>
  <si>
    <t>19.077923,72.996174</t>
  </si>
  <si>
    <t>https://maps.app.goo.gl/6WnG9iidG6hoGFAg9</t>
  </si>
  <si>
    <t>NMMCC/RB/2025/APL/00086</t>
  </si>
  <si>
    <t>Tower 1 (Incentive) = 4B + G + 1st to 25th floor</t>
  </si>
  <si>
    <t xml:space="preserve">Commencement Certificate No.
Valid Up to:  </t>
  </si>
  <si>
    <t>Tower 2 &amp; 3 (Incentive) = 4B + G + 1st to 24th floor
Tower 1 (Rehab) = G + 1st to 24th floor
Tower 2 (Rehab) = Stilt + 1st to 26th floor
Tower 1 (Incentive) = 4B + G + 1st to 5th floor</t>
  </si>
  <si>
    <t>Tower 1 (Incentive) = 4B + G + 1st to 25th floor
Tower 2 &amp; 3 (Incentive) = 4B + G + 1st to 24th floor</t>
  </si>
  <si>
    <t>Tower 1 (Incentive)</t>
  </si>
  <si>
    <t>1st to 4th Basement Floor For Parking</t>
  </si>
  <si>
    <t>Ground Floor For Entrance Lobby, Kids Play Area &amp;  Parking</t>
  </si>
  <si>
    <t>1st Floor For Residential</t>
  </si>
  <si>
    <t>2nd Floor (Part Library &amp; Entry to E-Deck Floor)</t>
  </si>
  <si>
    <t>3rd to 6th, 8th to 11th, 13th to 16th, 18th to 21st &amp; 23rd to 25th Floor</t>
  </si>
  <si>
    <t>7th, 12th, 17th &amp; 22nd Floor (Part Refuge Area)</t>
  </si>
  <si>
    <t>Tower 1</t>
  </si>
  <si>
    <t>Layout :</t>
  </si>
  <si>
    <t>Mr. Alok Singh 8928666801</t>
  </si>
  <si>
    <t>SEIAA-EC-0000002153</t>
  </si>
  <si>
    <t>Plot Area : 18272.71 Sqm
Total Builtup Area : 133784 Sqm</t>
  </si>
  <si>
    <t xml:space="preserve">Fire NOC Details
Valid Up to:  </t>
  </si>
  <si>
    <t xml:space="preserve">Environmental Clearance 
Valid Up to:  </t>
  </si>
  <si>
    <t xml:space="preserve">Airport NOC Details
Valid Up to:  </t>
  </si>
  <si>
    <t>NAVI/WEST/B/081419/421656</t>
  </si>
  <si>
    <t>Site Elevation (AMSL) = 4.85M
Permissible Top Elevation (AMSL) = 88.39M</t>
  </si>
  <si>
    <t>Valid Up to 
Dated</t>
  </si>
  <si>
    <t>18.00 M. Wide Road</t>
  </si>
  <si>
    <t>8.00 M. Wide Road</t>
  </si>
  <si>
    <t>Marathi Office Road</t>
  </si>
  <si>
    <t>Garden</t>
  </si>
  <si>
    <t>Rehab Building/Road</t>
  </si>
  <si>
    <t xml:space="preserve">Tower 1 (Incentive) = 4B + G + 1st to 25th floor (Height = 77.45 Mtrs)
Tower 2 (Incentive) = 4B + G + 1st to 24th floor (Height = 76.95 Mtrs)
</t>
  </si>
  <si>
    <t>FIRE/HO/VASHI/4593/2024</t>
  </si>
  <si>
    <t>We have referred Airport NOC from AAI site.</t>
  </si>
  <si>
    <t>Tower 2 (Incentive) = 4B + G + 1st to 24th floor</t>
  </si>
  <si>
    <t>Tower 3 (Incentive) = 4B + G + 1st to 24th floor</t>
  </si>
  <si>
    <t>Construction work was given more to the Tower 3 earlier</t>
  </si>
  <si>
    <t>-</t>
  </si>
  <si>
    <t>As per RERA -
Seabreeze at Godrej Bayview = 31/12/2030
 Godrej Bayview = 31/12/2027</t>
  </si>
  <si>
    <t xml:space="preserve">Shruti </t>
  </si>
  <si>
    <t>Tower 1 Incentive</t>
  </si>
  <si>
    <t>Refered From RERA Site</t>
  </si>
  <si>
    <t>01 Building</t>
  </si>
  <si>
    <t>Flats - 119</t>
  </si>
  <si>
    <t>Seabreeze at Godrej Bayview</t>
  </si>
  <si>
    <t xml:space="preserve">Seabreeze at Godrej Bayview (Incentive Tower-1) = P51700079255 
</t>
  </si>
  <si>
    <t>Library</t>
  </si>
  <si>
    <t>Construction work is in process at the time of visit. (Internal Visit Not Allowed)</t>
  </si>
  <si>
    <t>Tushar Mohite</t>
  </si>
  <si>
    <t>construction work given as per architect certificate provided by the bank officer on mail.</t>
  </si>
  <si>
    <t>Gym, Kids Play Area, Jogging Track, Yoga Zone &amp; Etc.</t>
  </si>
  <si>
    <t>JFL Kopar Khairane</t>
  </si>
  <si>
    <t>Bank :</t>
  </si>
  <si>
    <t>JFL</t>
  </si>
  <si>
    <t>Approved area of building (Sq.Mt)
Tower 1</t>
  </si>
  <si>
    <t>As the project is redevelopement project but rehab statement or rehab flats is not mentioned approved layout plan &amp; floor plan.</t>
  </si>
  <si>
    <t>18 &amp; Plot 3, Sector 9 &amp; Redevelopment of "Gulmohar Co-Operative HSC, Sai Ashirwad CHS &amp; Utkarsh CHS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</si>
</sst>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5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7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6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1" xfId="1" applyFont="1" applyFill="1" applyBorder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0" xfId="1" applyFont="1" applyFill="1" applyBorder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NumberFormat="1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Protection="1">
      <protection hidden="1"/>
    </xf>
    <xf numFmtId="1" fontId="22" fillId="0" borderId="15" xfId="0" applyNumberFormat="1" applyFont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24" xfId="0" applyNumberFormat="1" applyFont="1" applyFill="1" applyBorder="1" applyAlignment="1" applyProtection="1">
      <alignment vertical="top" wrapText="1"/>
      <protection locked="0"/>
    </xf>
    <xf numFmtId="1" fontId="10" fillId="0" borderId="10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9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9" xfId="1" applyNumberFormat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3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23" fillId="0" borderId="9" xfId="9" applyBorder="1" applyAlignment="1" applyProtection="1">
      <alignment horizontal="left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/>
      <protection locked="0"/>
    </xf>
    <xf numFmtId="0" fontId="13" fillId="0" borderId="10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0" xfId="1" applyFont="1" applyBorder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Fill="1" applyBorder="1" applyAlignment="1" applyProtection="1">
      <alignment horizontal="left" vertical="top" wrapText="1"/>
      <protection locked="0"/>
    </xf>
    <xf numFmtId="1" fontId="8" fillId="0" borderId="24" xfId="0" applyNumberFormat="1" applyFont="1" applyFill="1" applyBorder="1" applyAlignment="1" applyProtection="1">
      <alignment horizontal="left" vertical="top" wrapText="1"/>
      <protection locked="0"/>
    </xf>
    <xf numFmtId="1" fontId="8" fillId="0" borderId="10" xfId="0" applyNumberFormat="1" applyFont="1" applyFill="1" applyBorder="1" applyAlignment="1" applyProtection="1">
      <alignment horizontal="left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9" xfId="1" applyFont="1" applyBorder="1" applyAlignment="1" applyProtection="1">
      <alignment vertical="top"/>
      <protection locked="0"/>
    </xf>
    <xf numFmtId="0" fontId="8" fillId="0" borderId="24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6" fillId="0" borderId="24" xfId="1" applyFont="1" applyBorder="1" applyAlignment="1" applyProtection="1">
      <alignment vertical="top"/>
      <protection locked="0"/>
    </xf>
    <xf numFmtId="0" fontId="6" fillId="0" borderId="10" xfId="1" applyFont="1" applyBorder="1" applyAlignment="1" applyProtection="1">
      <alignment vertical="top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27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 vertical="top"/>
      <protection locked="0"/>
    </xf>
    <xf numFmtId="0" fontId="25" fillId="0" borderId="9" xfId="1" applyFont="1" applyBorder="1" applyAlignment="1" applyProtection="1">
      <alignment horizontal="center" vertical="top" wrapText="1"/>
      <protection locked="0"/>
    </xf>
    <xf numFmtId="0" fontId="25" fillId="0" borderId="10" xfId="1" applyFont="1" applyBorder="1" applyAlignment="1" applyProtection="1">
      <alignment horizontal="center"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571502</xdr:colOff>
      <xdr:row>311</xdr:row>
      <xdr:rowOff>26894</xdr:rowOff>
    </xdr:from>
    <xdr:to>
      <xdr:col>19</xdr:col>
      <xdr:colOff>474936</xdr:colOff>
      <xdr:row>338</xdr:row>
      <xdr:rowOff>0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924677" y="33107219"/>
          <a:ext cx="5856559" cy="5364256"/>
          <a:chOff x="268943" y="50061159"/>
          <a:chExt cx="5853758" cy="8446687"/>
        </a:xfrm>
      </xdr:grpSpPr>
      <xdr:pic>
        <xdr:nvPicPr>
          <xdr:cNvPr id="9" name="Picture 8" descr="https://vsjcllp.vsjadon.com/upload/insp-207564-1525.jpg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39235" y="56522471"/>
            <a:ext cx="1483466" cy="19807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07564-845.jpg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8943" y="56527140"/>
            <a:ext cx="2637272" cy="19807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 descr="https://vsjcllp.vsjadon.com/upload/insp-207564-844.jpg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22826" y="53790474"/>
            <a:ext cx="1972295" cy="26333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07564-871.jpg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13846" y="50065642"/>
            <a:ext cx="2714065" cy="36237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07564-874.jpg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5481" y="50061159"/>
            <a:ext cx="2714065" cy="36237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07564-860.jpg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93676" y="53799439"/>
            <a:ext cx="1972295" cy="26333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07564-851.jpg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36797" y="56522472"/>
            <a:ext cx="1483466" cy="19807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271670</xdr:colOff>
      <xdr:row>340</xdr:row>
      <xdr:rowOff>0</xdr:rowOff>
    </xdr:from>
    <xdr:to>
      <xdr:col>7</xdr:col>
      <xdr:colOff>642731</xdr:colOff>
      <xdr:row>380</xdr:row>
      <xdr:rowOff>53009</xdr:rowOff>
    </xdr:to>
    <xdr:grpSp>
      <xdr:nvGrpSpPr>
        <xdr:cNvPr id="34" name="Group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271670" y="38871525"/>
          <a:ext cx="5895561" cy="8054009"/>
          <a:chOff x="365005" y="277339"/>
          <a:chExt cx="5760000" cy="8550024"/>
        </a:xfrm>
      </xdr:grpSpPr>
      <xdr:grpSp>
        <xdr:nvGrpSpPr>
          <xdr:cNvPr id="35" name="Group 34">
            <a:extLst>
              <a:ext uri="{FF2B5EF4-FFF2-40B4-BE49-F238E27FC236}">
                <a16:creationId xmlns=""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365005" y="277339"/>
            <a:ext cx="5760000" cy="4280618"/>
            <a:chOff x="365005" y="277339"/>
            <a:chExt cx="5760000" cy="4280618"/>
          </a:xfrm>
        </xdr:grpSpPr>
        <xdr:pic>
          <xdr:nvPicPr>
            <xdr:cNvPr id="42" name="Picture 41">
              <a:extLst>
                <a:ext uri="{FF2B5EF4-FFF2-40B4-BE49-F238E27FC236}">
                  <a16:creationId xmlns="" xmlns:a16="http://schemas.microsoft.com/office/drawing/2014/main" id="{00000000-0008-0000-0000-00002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365005" y="277339"/>
              <a:ext cx="5760000" cy="42806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3" name="Rectangle 42">
              <a:extLst>
                <a:ext uri="{FF2B5EF4-FFF2-40B4-BE49-F238E27FC236}">
                  <a16:creationId xmlns=""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 rot="18868906">
              <a:off x="2411730" y="765810"/>
              <a:ext cx="1177290" cy="108585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4" name="Rectangle 43">
              <a:extLst>
                <a:ext uri="{FF2B5EF4-FFF2-40B4-BE49-F238E27FC236}">
                  <a16:creationId xmlns="" xmlns:a16="http://schemas.microsoft.com/office/drawing/2014/main" id="{00000000-0008-0000-0000-00002C000000}"/>
                </a:ext>
              </a:extLst>
            </xdr:cNvPr>
            <xdr:cNvSpPr/>
          </xdr:nvSpPr>
          <xdr:spPr>
            <a:xfrm rot="18868906">
              <a:off x="3044191" y="1780032"/>
              <a:ext cx="1177290" cy="108585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5" name="Rectangle 44">
              <a:extLst>
                <a:ext uri="{FF2B5EF4-FFF2-40B4-BE49-F238E27FC236}">
                  <a16:creationId xmlns=""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 rot="18868906">
              <a:off x="1693862" y="2483586"/>
              <a:ext cx="1268860" cy="1211464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6" name="TextBox 10">
              <a:extLst>
                <a:ext uri="{FF2B5EF4-FFF2-40B4-BE49-F238E27FC236}">
                  <a16:creationId xmlns=""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2328292" y="605790"/>
              <a:ext cx="41389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T1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" name="TextBox 11">
              <a:extLst>
                <a:ext uri="{FF2B5EF4-FFF2-40B4-BE49-F238E27FC236}">
                  <a16:creationId xmlns=""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3877683" y="2742984"/>
              <a:ext cx="41549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T2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8" name="TextBox 12">
              <a:extLst>
                <a:ext uri="{FF2B5EF4-FFF2-40B4-BE49-F238E27FC236}">
                  <a16:creationId xmlns=""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1692022" y="3601768"/>
              <a:ext cx="41549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T3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36" name="Group 35">
            <a:extLst>
              <a:ext uri="{FF2B5EF4-FFF2-40B4-BE49-F238E27FC236}">
                <a16:creationId xmlns="" xmlns:a16="http://schemas.microsoft.com/office/drawing/2014/main" id="{00000000-0008-0000-0000-000024000000}"/>
              </a:ext>
            </a:extLst>
          </xdr:cNvPr>
          <xdr:cNvGrpSpPr/>
        </xdr:nvGrpSpPr>
        <xdr:grpSpPr>
          <a:xfrm>
            <a:off x="976150" y="4689703"/>
            <a:ext cx="4606290" cy="4137660"/>
            <a:chOff x="941860" y="4709160"/>
            <a:chExt cx="4606290" cy="4137660"/>
          </a:xfrm>
        </xdr:grpSpPr>
        <xdr:pic>
          <xdr:nvPicPr>
            <xdr:cNvPr id="37" name="Picture 36">
              <a:extLst>
                <a:ext uri="{FF2B5EF4-FFF2-40B4-BE49-F238E27FC236}">
                  <a16:creationId xmlns="" xmlns:a16="http://schemas.microsoft.com/office/drawing/2014/main" id="{00000000-0008-0000-0000-00002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41860" y="4709160"/>
              <a:ext cx="4606290" cy="413766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="" xmlns:a16="http://schemas.microsoft.com/office/drawing/2014/main" id="{00000000-0008-0000-0000-000026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119670" y="4886488"/>
              <a:ext cx="2428480" cy="1891502"/>
            </a:xfrm>
            <a:prstGeom prst="rect">
              <a:avLst/>
            </a:prstGeom>
          </xdr:spPr>
        </xdr:pic>
        <xdr:pic>
          <xdr:nvPicPr>
            <xdr:cNvPr id="39" name="Picture 38">
              <a:extLst>
                <a:ext uri="{FF2B5EF4-FFF2-40B4-BE49-F238E27FC236}">
                  <a16:creationId xmlns="" xmlns:a16="http://schemas.microsoft.com/office/drawing/2014/main" id="{00000000-0008-0000-0000-00002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828960" y="6777990"/>
              <a:ext cx="719190" cy="613461"/>
            </a:xfrm>
            <a:prstGeom prst="rect">
              <a:avLst/>
            </a:prstGeom>
          </xdr:spPr>
        </xdr:pic>
        <xdr:sp macro="" textlink="">
          <xdr:nvSpPr>
            <xdr:cNvPr id="40" name="Rectangle 39">
              <a:extLst>
                <a:ext uri="{FF2B5EF4-FFF2-40B4-BE49-F238E27FC236}">
                  <a16:creationId xmlns=""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 rot="18868906">
              <a:off x="1682985" y="6755234"/>
              <a:ext cx="1608840" cy="1211464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1" name="TextBox 13">
              <a:extLst>
                <a:ext uri="{FF2B5EF4-FFF2-40B4-BE49-F238E27FC236}">
                  <a16:creationId xmlns=""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1407328" y="6777990"/>
              <a:ext cx="579005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Sale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0</xdr:col>
      <xdr:colOff>490329</xdr:colOff>
      <xdr:row>383</xdr:row>
      <xdr:rowOff>33130</xdr:rowOff>
    </xdr:from>
    <xdr:to>
      <xdr:col>7</xdr:col>
      <xdr:colOff>354968</xdr:colOff>
      <xdr:row>423</xdr:row>
      <xdr:rowOff>17510</xdr:rowOff>
    </xdr:to>
    <xdr:grpSp>
      <xdr:nvGrpSpPr>
        <xdr:cNvPr id="49" name="Group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490329" y="47505730"/>
          <a:ext cx="5389139" cy="7985380"/>
          <a:chOff x="729689" y="183133"/>
          <a:chExt cx="5525582" cy="8893811"/>
        </a:xfrm>
      </xdr:grpSpPr>
      <xdr:pic>
        <xdr:nvPicPr>
          <xdr:cNvPr id="50" name="Picture 49">
            <a:extLst>
              <a:ext uri="{FF2B5EF4-FFF2-40B4-BE49-F238E27FC236}">
                <a16:creationId xmlns=""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9689" y="183133"/>
            <a:ext cx="5525582" cy="455132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51" name="Group 50">
            <a:extLst>
              <a:ext uri="{FF2B5EF4-FFF2-40B4-BE49-F238E27FC236}">
                <a16:creationId xmlns="" xmlns:a16="http://schemas.microsoft.com/office/drawing/2014/main" id="{00000000-0008-0000-0000-000033000000}"/>
              </a:ext>
            </a:extLst>
          </xdr:cNvPr>
          <xdr:cNvGrpSpPr/>
        </xdr:nvGrpSpPr>
        <xdr:grpSpPr>
          <a:xfrm>
            <a:off x="792480" y="4849624"/>
            <a:ext cx="5400000" cy="4227320"/>
            <a:chOff x="792480" y="4916680"/>
            <a:chExt cx="5400000" cy="4227320"/>
          </a:xfrm>
        </xdr:grpSpPr>
        <xdr:pic>
          <xdr:nvPicPr>
            <xdr:cNvPr id="52" name="Picture 51">
              <a:extLst>
                <a:ext uri="{FF2B5EF4-FFF2-40B4-BE49-F238E27FC236}">
                  <a16:creationId xmlns="" xmlns:a16="http://schemas.microsoft.com/office/drawing/2014/main" id="{00000000-0008-0000-0000-00003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792480" y="4916680"/>
              <a:ext cx="5400000" cy="422732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53" name="Straight Connector 52">
              <a:extLst>
                <a:ext uri="{FF2B5EF4-FFF2-40B4-BE49-F238E27FC236}">
                  <a16:creationId xmlns="" xmlns:a16="http://schemas.microsoft.com/office/drawing/2014/main" id="{00000000-0008-0000-0000-000035000000}"/>
                </a:ext>
              </a:extLst>
            </xdr:cNvPr>
            <xdr:cNvCxnSpPr/>
          </xdr:nvCxnSpPr>
          <xdr:spPr>
            <a:xfrm>
              <a:off x="2702560" y="5415280"/>
              <a:ext cx="789920" cy="7620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" name="Straight Connector 53">
              <a:extLst>
                <a:ext uri="{FF2B5EF4-FFF2-40B4-BE49-F238E27FC236}">
                  <a16:creationId xmlns="" xmlns:a16="http://schemas.microsoft.com/office/drawing/2014/main" id="{00000000-0008-0000-0000-000036000000}"/>
                </a:ext>
              </a:extLst>
            </xdr:cNvPr>
            <xdr:cNvCxnSpPr/>
          </xdr:nvCxnSpPr>
          <xdr:spPr>
            <a:xfrm flipH="1">
              <a:off x="2545080" y="5410200"/>
              <a:ext cx="152400" cy="17170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Straight Connector 54">
              <a:extLst>
                <a:ext uri="{FF2B5EF4-FFF2-40B4-BE49-F238E27FC236}">
                  <a16:creationId xmlns="" xmlns:a16="http://schemas.microsoft.com/office/drawing/2014/main" id="{00000000-0008-0000-0000-000037000000}"/>
                </a:ext>
              </a:extLst>
            </xdr:cNvPr>
            <xdr:cNvCxnSpPr/>
          </xdr:nvCxnSpPr>
          <xdr:spPr>
            <a:xfrm flipH="1">
              <a:off x="2128520" y="7127240"/>
              <a:ext cx="401320" cy="37592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Straight Connector 55">
              <a:extLst>
                <a:ext uri="{FF2B5EF4-FFF2-40B4-BE49-F238E27FC236}">
                  <a16:creationId xmlns="" xmlns:a16="http://schemas.microsoft.com/office/drawing/2014/main" id="{00000000-0008-0000-0000-000038000000}"/>
                </a:ext>
              </a:extLst>
            </xdr:cNvPr>
            <xdr:cNvCxnSpPr/>
          </xdr:nvCxnSpPr>
          <xdr:spPr>
            <a:xfrm flipH="1">
              <a:off x="2037080" y="7513320"/>
              <a:ext cx="91440" cy="10312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Straight Connector 56">
              <a:extLst>
                <a:ext uri="{FF2B5EF4-FFF2-40B4-BE49-F238E27FC236}">
                  <a16:creationId xmlns="" xmlns:a16="http://schemas.microsoft.com/office/drawing/2014/main" id="{00000000-0008-0000-0000-000039000000}"/>
                </a:ext>
              </a:extLst>
            </xdr:cNvPr>
            <xdr:cNvCxnSpPr/>
          </xdr:nvCxnSpPr>
          <xdr:spPr>
            <a:xfrm>
              <a:off x="2037080" y="8554720"/>
              <a:ext cx="492760" cy="3556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Straight Connector 57">
              <a:extLst>
                <a:ext uri="{FF2B5EF4-FFF2-40B4-BE49-F238E27FC236}">
                  <a16:creationId xmlns="" xmlns:a16="http://schemas.microsoft.com/office/drawing/2014/main" id="{00000000-0008-0000-0000-00003A000000}"/>
                </a:ext>
              </a:extLst>
            </xdr:cNvPr>
            <xdr:cNvCxnSpPr/>
          </xdr:nvCxnSpPr>
          <xdr:spPr>
            <a:xfrm flipV="1">
              <a:off x="2529840" y="8229600"/>
              <a:ext cx="91440" cy="38100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Straight Connector 58">
              <a:extLst>
                <a:ext uri="{FF2B5EF4-FFF2-40B4-BE49-F238E27FC236}">
                  <a16:creationId xmlns="" xmlns:a16="http://schemas.microsoft.com/office/drawing/2014/main" id="{00000000-0008-0000-0000-00003B000000}"/>
                </a:ext>
              </a:extLst>
            </xdr:cNvPr>
            <xdr:cNvCxnSpPr/>
          </xdr:nvCxnSpPr>
          <xdr:spPr>
            <a:xfrm flipV="1">
              <a:off x="2621280" y="7838440"/>
              <a:ext cx="401320" cy="40640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>
              <a:extLst>
                <a:ext uri="{FF2B5EF4-FFF2-40B4-BE49-F238E27FC236}">
                  <a16:creationId xmlns="" xmlns:a16="http://schemas.microsoft.com/office/drawing/2014/main" id="{00000000-0008-0000-0000-00003C000000}"/>
                </a:ext>
              </a:extLst>
            </xdr:cNvPr>
            <xdr:cNvCxnSpPr/>
          </xdr:nvCxnSpPr>
          <xdr:spPr>
            <a:xfrm>
              <a:off x="3022600" y="7853680"/>
              <a:ext cx="1508760" cy="787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>
              <a:extLst>
                <a:ext uri="{FF2B5EF4-FFF2-40B4-BE49-F238E27FC236}">
                  <a16:creationId xmlns="" xmlns:a16="http://schemas.microsoft.com/office/drawing/2014/main" id="{00000000-0008-0000-0000-00003D000000}"/>
                </a:ext>
              </a:extLst>
            </xdr:cNvPr>
            <xdr:cNvCxnSpPr/>
          </xdr:nvCxnSpPr>
          <xdr:spPr>
            <a:xfrm flipV="1">
              <a:off x="4551680" y="7030340"/>
              <a:ext cx="45720" cy="91986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Straight Connector 61">
              <a:extLst>
                <a:ext uri="{FF2B5EF4-FFF2-40B4-BE49-F238E27FC236}">
                  <a16:creationId xmlns="" xmlns:a16="http://schemas.microsoft.com/office/drawing/2014/main" id="{00000000-0008-0000-0000-00003E000000}"/>
                </a:ext>
              </a:extLst>
            </xdr:cNvPr>
            <xdr:cNvCxnSpPr/>
          </xdr:nvCxnSpPr>
          <xdr:spPr>
            <a:xfrm flipH="1" flipV="1">
              <a:off x="3383280" y="6979920"/>
              <a:ext cx="1201400" cy="5042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Straight Connector 62">
              <a:extLst>
                <a:ext uri="{FF2B5EF4-FFF2-40B4-BE49-F238E27FC236}">
                  <a16:creationId xmlns="" xmlns:a16="http://schemas.microsoft.com/office/drawing/2014/main" id="{00000000-0008-0000-0000-00003F000000}"/>
                </a:ext>
              </a:extLst>
            </xdr:cNvPr>
            <xdr:cNvCxnSpPr/>
          </xdr:nvCxnSpPr>
          <xdr:spPr>
            <a:xfrm flipH="1">
              <a:off x="3383280" y="5491480"/>
              <a:ext cx="109200" cy="148844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777323</xdr:colOff>
      <xdr:row>310</xdr:row>
      <xdr:rowOff>104775</xdr:rowOff>
    </xdr:from>
    <xdr:to>
      <xdr:col>20</xdr:col>
      <xdr:colOff>70401</xdr:colOff>
      <xdr:row>338</xdr:row>
      <xdr:rowOff>0</xdr:rowOff>
    </xdr:to>
    <xdr:grpSp>
      <xdr:nvGrpSpPr>
        <xdr:cNvPr id="64" name="Group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7130498" y="32985075"/>
          <a:ext cx="5855803" cy="5486400"/>
          <a:chOff x="0" y="0"/>
          <a:chExt cx="6016400" cy="7188570"/>
        </a:xfrm>
      </xdr:grpSpPr>
      <xdr:pic>
        <xdr:nvPicPr>
          <xdr:cNvPr id="65" name="Picture 64">
            <a:extLst>
              <a:ext uri="{FF2B5EF4-FFF2-40B4-BE49-F238E27FC236}">
                <a16:creationId xmlns=""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82943" y="538857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=""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8611" y="538857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>
            <a:extLst>
              <a:ext uri="{FF2B5EF4-FFF2-40B4-BE49-F238E27FC236}">
                <a16:creationId xmlns="" xmlns:a16="http://schemas.microsoft.com/office/drawing/2014/main" id="{00000000-0008-0000-0000-00004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70048" y="538857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=""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0"/>
            <a:ext cx="3909563" cy="52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>
            <a:extLst>
              <a:ext uri="{FF2B5EF4-FFF2-40B4-BE49-F238E27FC236}">
                <a16:creationId xmlns="" xmlns:a16="http://schemas.microsoft.com/office/drawing/2014/main" id="{00000000-0008-0000-00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025" y="270000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>
            <a:extLst>
              <a:ext uri="{FF2B5EF4-FFF2-40B4-BE49-F238E27FC236}">
                <a16:creationId xmlns=""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025" y="0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771525</xdr:colOff>
      <xdr:row>310</xdr:row>
      <xdr:rowOff>85725</xdr:rowOff>
    </xdr:from>
    <xdr:to>
      <xdr:col>19</xdr:col>
      <xdr:colOff>382953</xdr:colOff>
      <xdr:row>338</xdr:row>
      <xdr:rowOff>0</xdr:rowOff>
    </xdr:to>
    <xdr:grpSp>
      <xdr:nvGrpSpPr>
        <xdr:cNvPr id="71" name="Group 70">
          <a:extLst>
            <a:ext uri="{FF2B5EF4-FFF2-40B4-BE49-F238E27FC236}">
              <a16:creationId xmlns="" xmlns:a16="http://schemas.microsoft.com/office/drawing/2014/main" id="{42CD4F12-1D90-418C-9BB3-6D31423E937D}"/>
            </a:ext>
          </a:extLst>
        </xdr:cNvPr>
        <xdr:cNvGrpSpPr/>
      </xdr:nvGrpSpPr>
      <xdr:grpSpPr>
        <a:xfrm>
          <a:off x="7124700" y="32966025"/>
          <a:ext cx="5564553" cy="5505450"/>
          <a:chOff x="555930" y="329366"/>
          <a:chExt cx="5564553" cy="7570718"/>
        </a:xfrm>
      </xdr:grpSpPr>
      <xdr:grpSp>
        <xdr:nvGrpSpPr>
          <xdr:cNvPr id="72" name="Group 71">
            <a:extLst>
              <a:ext uri="{FF2B5EF4-FFF2-40B4-BE49-F238E27FC236}">
                <a16:creationId xmlns="" xmlns:a16="http://schemas.microsoft.com/office/drawing/2014/main" id="{652A3CB4-086E-43B7-AEA9-E51B72B64B54}"/>
              </a:ext>
            </a:extLst>
          </xdr:cNvPr>
          <xdr:cNvGrpSpPr/>
        </xdr:nvGrpSpPr>
        <xdr:grpSpPr>
          <a:xfrm>
            <a:off x="555930" y="329366"/>
            <a:ext cx="5564553" cy="7570718"/>
            <a:chOff x="555930" y="329366"/>
            <a:chExt cx="5564553" cy="7570718"/>
          </a:xfrm>
        </xdr:grpSpPr>
        <xdr:pic>
          <xdr:nvPicPr>
            <xdr:cNvPr id="76" name="Picture 75">
              <a:extLst>
                <a:ext uri="{FF2B5EF4-FFF2-40B4-BE49-F238E27FC236}">
                  <a16:creationId xmlns="" xmlns:a16="http://schemas.microsoft.com/office/drawing/2014/main" id="{BDBD7885-FD31-4476-B06E-66A73DA305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22922" y="329366"/>
              <a:ext cx="204506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7" name="Picture 76">
              <a:extLst>
                <a:ext uri="{FF2B5EF4-FFF2-40B4-BE49-F238E27FC236}">
                  <a16:creationId xmlns="" xmlns:a16="http://schemas.microsoft.com/office/drawing/2014/main" id="{C307A7E1-EF02-4E77-AC8D-E5748F6E3D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329366"/>
              <a:ext cx="2157001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8" name="Picture 77">
              <a:extLst>
                <a:ext uri="{FF2B5EF4-FFF2-40B4-BE49-F238E27FC236}">
                  <a16:creationId xmlns="" xmlns:a16="http://schemas.microsoft.com/office/drawing/2014/main" id="{B50E0EE8-1DE8-4649-94D9-630777AA8F9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5930" y="3370056"/>
              <a:ext cx="1752564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9" name="Picture 78">
              <a:extLst>
                <a:ext uri="{FF2B5EF4-FFF2-40B4-BE49-F238E27FC236}">
                  <a16:creationId xmlns="" xmlns:a16="http://schemas.microsoft.com/office/drawing/2014/main" id="{ACC0830A-1C9B-4BED-96A7-4D4BDBE5CC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63785" y="3394725"/>
              <a:ext cx="1752563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="" xmlns:a16="http://schemas.microsoft.com/office/drawing/2014/main" id="{46ADA20C-518A-41AD-98D7-B79092BE8B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7920" y="3394725"/>
              <a:ext cx="1752563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="" xmlns:a16="http://schemas.microsoft.com/office/drawing/2014/main" id="{5E3CD7C2-B228-4DAC-87F3-46628C20E1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75435" y="5920084"/>
              <a:ext cx="134812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2" name="Picture 81">
              <a:extLst>
                <a:ext uri="{FF2B5EF4-FFF2-40B4-BE49-F238E27FC236}">
                  <a16:creationId xmlns="" xmlns:a16="http://schemas.microsoft.com/office/drawing/2014/main" id="{468989FD-A028-46E3-8710-DE9235CE07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3235" y="5920084"/>
              <a:ext cx="134812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73" name="TextBox 94">
            <a:extLst>
              <a:ext uri="{FF2B5EF4-FFF2-40B4-BE49-F238E27FC236}">
                <a16:creationId xmlns="" xmlns:a16="http://schemas.microsoft.com/office/drawing/2014/main" id="{69AB6D2B-82B8-43E9-A31D-7E68748336E0}"/>
              </a:ext>
            </a:extLst>
          </xdr:cNvPr>
          <xdr:cNvSpPr txBox="1"/>
        </xdr:nvSpPr>
        <xdr:spPr>
          <a:xfrm>
            <a:off x="1833221" y="1030790"/>
            <a:ext cx="4844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4" name="TextBox 191">
            <a:extLst>
              <a:ext uri="{FF2B5EF4-FFF2-40B4-BE49-F238E27FC236}">
                <a16:creationId xmlns="" xmlns:a16="http://schemas.microsoft.com/office/drawing/2014/main" id="{23FBB344-1C8E-439C-9045-A0698BA91ABE}"/>
              </a:ext>
            </a:extLst>
          </xdr:cNvPr>
          <xdr:cNvSpPr txBox="1"/>
        </xdr:nvSpPr>
        <xdr:spPr>
          <a:xfrm>
            <a:off x="4169453" y="1092262"/>
            <a:ext cx="48603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5" name="TextBox 192">
            <a:extLst>
              <a:ext uri="{FF2B5EF4-FFF2-40B4-BE49-F238E27FC236}">
                <a16:creationId xmlns="" xmlns:a16="http://schemas.microsoft.com/office/drawing/2014/main" id="{A7C0B5E4-5512-4BCB-A7DF-56DE03665339}"/>
              </a:ext>
            </a:extLst>
          </xdr:cNvPr>
          <xdr:cNvSpPr txBox="1"/>
        </xdr:nvSpPr>
        <xdr:spPr>
          <a:xfrm>
            <a:off x="1234622" y="4749862"/>
            <a:ext cx="48603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T-3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504825</xdr:colOff>
      <xdr:row>56</xdr:row>
      <xdr:rowOff>180975</xdr:rowOff>
    </xdr:from>
    <xdr:to>
      <xdr:col>18</xdr:col>
      <xdr:colOff>210255</xdr:colOff>
      <xdr:row>71</xdr:row>
      <xdr:rowOff>143415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82A4CBE-DC21-461B-957D-CDA716A7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58000" y="12477750"/>
          <a:ext cx="5048955" cy="3867690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115</xdr:row>
      <xdr:rowOff>190500</xdr:rowOff>
    </xdr:from>
    <xdr:to>
      <xdr:col>18</xdr:col>
      <xdr:colOff>294600</xdr:colOff>
      <xdr:row>139</xdr:row>
      <xdr:rowOff>140100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06FB3E7-1F70-4D85-BA54-50E99397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591300" y="19411950"/>
          <a:ext cx="5400000" cy="315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392537</xdr:colOff>
      <xdr:row>323</xdr:row>
      <xdr:rowOff>92344</xdr:rowOff>
    </xdr:from>
    <xdr:to>
      <xdr:col>7</xdr:col>
      <xdr:colOff>155195</xdr:colOff>
      <xdr:row>334</xdr:row>
      <xdr:rowOff>52069</xdr:rowOff>
    </xdr:to>
    <xdr:pic>
      <xdr:nvPicPr>
        <xdr:cNvPr id="87" name="Picture 86" descr="insp-247019-1525.jpg (1079×810)"/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2362" y="34353769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763323</xdr:colOff>
      <xdr:row>312</xdr:row>
      <xdr:rowOff>0</xdr:rowOff>
    </xdr:from>
    <xdr:to>
      <xdr:col>7</xdr:col>
      <xdr:colOff>525981</xdr:colOff>
      <xdr:row>322</xdr:row>
      <xdr:rowOff>169275</xdr:rowOff>
    </xdr:to>
    <xdr:pic>
      <xdr:nvPicPr>
        <xdr:cNvPr id="88" name="Picture 87" descr="insp-247019-849.jpg (1079×810)"/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3148" y="32070675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312</xdr:row>
      <xdr:rowOff>0</xdr:rowOff>
    </xdr:from>
    <xdr:to>
      <xdr:col>3</xdr:col>
      <xdr:colOff>677058</xdr:colOff>
      <xdr:row>322</xdr:row>
      <xdr:rowOff>169275</xdr:rowOff>
    </xdr:to>
    <xdr:pic>
      <xdr:nvPicPr>
        <xdr:cNvPr id="89" name="Picture 88" descr="insp-247019-843.jpg (1079×810)"/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32070675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312558</xdr:colOff>
      <xdr:row>323</xdr:row>
      <xdr:rowOff>92344</xdr:rowOff>
    </xdr:from>
    <xdr:to>
      <xdr:col>3</xdr:col>
      <xdr:colOff>283045</xdr:colOff>
      <xdr:row>334</xdr:row>
      <xdr:rowOff>52069</xdr:rowOff>
    </xdr:to>
    <xdr:pic>
      <xdr:nvPicPr>
        <xdr:cNvPr id="90" name="Picture 89" descr="insp-247019-916.jpg (959×1280)"/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4558" y="34353769"/>
          <a:ext cx="1618312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73</xdr:row>
      <xdr:rowOff>28575</xdr:rowOff>
    </xdr:from>
    <xdr:to>
      <xdr:col>18</xdr:col>
      <xdr:colOff>306778</xdr:colOff>
      <xdr:row>83</xdr:row>
      <xdr:rowOff>37382</xdr:rowOff>
    </xdr:to>
    <xdr:pic>
      <xdr:nvPicPr>
        <xdr:cNvPr id="91" name="Picture 90"/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30673" t="38208" r="29414" b="34198"/>
        <a:stretch/>
      </xdr:blipFill>
      <xdr:spPr>
        <a:xfrm>
          <a:off x="6810375" y="16430625"/>
          <a:ext cx="5193103" cy="2018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739589</xdr:colOff>
      <xdr:row>4</xdr:row>
      <xdr:rowOff>100853</xdr:rowOff>
    </xdr:from>
    <xdr:to>
      <xdr:col>6</xdr:col>
      <xdr:colOff>744155</xdr:colOff>
      <xdr:row>23</xdr:row>
      <xdr:rowOff>81353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2295" y="874059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6WnG9iidG6hoGFAg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82"/>
  <sheetViews>
    <sheetView tabSelected="1" view="pageBreakPreview" topLeftCell="A7" zoomScaleNormal="100" zoomScaleSheetLayoutView="100" zoomScalePageLayoutView="85" workbookViewId="0">
      <selection activeCell="K15" sqref="K15"/>
    </sheetView>
  </sheetViews>
  <sheetFormatPr defaultColWidth="9.140625" defaultRowHeight="15.75" x14ac:dyDescent="0.25"/>
  <cols>
    <col min="1" max="1" width="11.42578125" style="10" customWidth="1"/>
    <col min="2" max="2" width="12" style="10" customWidth="1"/>
    <col min="3" max="3" width="12.7109375" style="10" customWidth="1"/>
    <col min="4" max="4" width="14.140625" style="10" customWidth="1"/>
    <col min="5" max="6" width="11.7109375" style="10" customWidth="1"/>
    <col min="7" max="7" width="9.140625" style="10" customWidth="1"/>
    <col min="8" max="8" width="12.42578125" style="10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7109375" style="3" hidden="1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12" ht="46.5" customHeight="1" x14ac:dyDescent="0.25">
      <c r="A1" s="145" t="s">
        <v>196</v>
      </c>
      <c r="B1" s="145"/>
      <c r="C1" s="145"/>
      <c r="D1" s="145"/>
      <c r="E1" s="145"/>
      <c r="F1" s="145"/>
      <c r="G1" s="145"/>
      <c r="H1" s="145"/>
    </row>
    <row r="2" spans="1:12" ht="16.5" customHeight="1" x14ac:dyDescent="0.25">
      <c r="A2" s="146" t="s">
        <v>0</v>
      </c>
      <c r="B2" s="146"/>
      <c r="C2" s="146"/>
      <c r="D2" s="146"/>
      <c r="E2" s="146"/>
      <c r="F2" s="146"/>
      <c r="G2" s="146"/>
      <c r="H2" s="146"/>
    </row>
    <row r="3" spans="1:12" x14ac:dyDescent="0.25">
      <c r="A3" s="140" t="s">
        <v>1</v>
      </c>
      <c r="B3" s="140"/>
      <c r="C3" s="140"/>
      <c r="D3" s="140"/>
      <c r="E3" s="147" t="str">
        <f ca="1">TEXT(TODAY(),"DD/MM/YYYY")</f>
        <v>09/09/2025</v>
      </c>
      <c r="F3" s="147"/>
      <c r="G3" s="147"/>
      <c r="H3" s="147"/>
    </row>
    <row r="4" spans="1:12" ht="15" customHeight="1" x14ac:dyDescent="0.25">
      <c r="A4" s="140" t="s">
        <v>255</v>
      </c>
      <c r="B4" s="140"/>
      <c r="C4" s="140"/>
      <c r="D4" s="140"/>
      <c r="E4" s="136" t="s">
        <v>256</v>
      </c>
      <c r="F4" s="136"/>
      <c r="G4" s="136"/>
      <c r="H4" s="136"/>
    </row>
    <row r="5" spans="1:12" ht="15" customHeight="1" x14ac:dyDescent="0.25">
      <c r="A5" s="140" t="s">
        <v>2</v>
      </c>
      <c r="B5" s="140"/>
      <c r="C5" s="140"/>
      <c r="D5" s="140"/>
      <c r="E5" s="136" t="s">
        <v>254</v>
      </c>
      <c r="F5" s="136"/>
      <c r="G5" s="136"/>
      <c r="H5" s="136"/>
    </row>
    <row r="6" spans="1:12" x14ac:dyDescent="0.25">
      <c r="A6" s="140" t="s">
        <v>3</v>
      </c>
      <c r="B6" s="140"/>
      <c r="C6" s="140"/>
      <c r="D6" s="140"/>
      <c r="E6" s="149">
        <v>45909</v>
      </c>
      <c r="F6" s="149"/>
      <c r="G6" s="149"/>
      <c r="H6" s="149"/>
    </row>
    <row r="7" spans="1:12" ht="16.5" customHeight="1" x14ac:dyDescent="0.25">
      <c r="A7" s="140" t="s">
        <v>4</v>
      </c>
      <c r="B7" s="140"/>
      <c r="C7" s="140"/>
      <c r="D7" s="140"/>
      <c r="E7" s="143" t="s">
        <v>187</v>
      </c>
      <c r="F7" s="143"/>
      <c r="G7" s="143"/>
      <c r="H7" s="143"/>
    </row>
    <row r="8" spans="1:12" ht="15" customHeight="1" x14ac:dyDescent="0.25">
      <c r="A8" s="140" t="s">
        <v>5</v>
      </c>
      <c r="B8" s="140"/>
      <c r="C8" s="140"/>
      <c r="D8" s="140"/>
      <c r="E8" s="143" t="str">
        <f>E7</f>
        <v>M/s. Suncity Infrastructures (Mumbai) LLP</v>
      </c>
      <c r="F8" s="143"/>
      <c r="G8" s="143"/>
      <c r="H8" s="143"/>
    </row>
    <row r="9" spans="1:12" x14ac:dyDescent="0.25">
      <c r="A9" s="140" t="s">
        <v>6</v>
      </c>
      <c r="B9" s="140"/>
      <c r="C9" s="140"/>
      <c r="D9" s="140"/>
      <c r="E9" s="148" t="s">
        <v>247</v>
      </c>
      <c r="F9" s="148"/>
      <c r="G9" s="148"/>
      <c r="H9" s="148"/>
    </row>
    <row r="10" spans="1:12" hidden="1" x14ac:dyDescent="0.25">
      <c r="A10" s="140" t="s">
        <v>120</v>
      </c>
      <c r="B10" s="140"/>
      <c r="C10" s="140"/>
      <c r="D10" s="140"/>
      <c r="E10" s="248" t="s">
        <v>240</v>
      </c>
      <c r="F10" s="248"/>
      <c r="G10" s="248"/>
      <c r="H10" s="248"/>
    </row>
    <row r="11" spans="1:12" hidden="1" x14ac:dyDescent="0.25">
      <c r="A11" s="140" t="s">
        <v>199</v>
      </c>
      <c r="B11" s="140"/>
      <c r="C11" s="140"/>
      <c r="D11" s="140"/>
      <c r="E11" s="248" t="s">
        <v>240</v>
      </c>
      <c r="F11" s="248"/>
      <c r="G11" s="248"/>
      <c r="H11" s="248"/>
      <c r="I11" s="140" t="s">
        <v>220</v>
      </c>
      <c r="J11" s="140"/>
      <c r="K11" s="140"/>
      <c r="L11" s="140"/>
    </row>
    <row r="12" spans="1:12" x14ac:dyDescent="0.25">
      <c r="A12" s="142" t="s">
        <v>7</v>
      </c>
      <c r="B12" s="142"/>
      <c r="C12" s="142"/>
      <c r="D12" s="142"/>
      <c r="E12" s="142" t="s">
        <v>243</v>
      </c>
      <c r="F12" s="142"/>
      <c r="G12" s="142"/>
      <c r="H12" s="142"/>
    </row>
    <row r="13" spans="1:12" ht="15.75" customHeight="1" x14ac:dyDescent="0.25">
      <c r="A13" s="140" t="s">
        <v>8</v>
      </c>
      <c r="B13" s="140"/>
      <c r="C13" s="140"/>
      <c r="D13" s="140"/>
      <c r="E13" s="141" t="s">
        <v>244</v>
      </c>
      <c r="F13" s="141"/>
      <c r="G13" s="141"/>
      <c r="H13" s="141"/>
    </row>
    <row r="14" spans="1:12" ht="32.25" customHeight="1" x14ac:dyDescent="0.25">
      <c r="A14" s="140" t="s">
        <v>9</v>
      </c>
      <c r="B14" s="140"/>
      <c r="C14" s="140"/>
      <c r="D14" s="140"/>
      <c r="E14" s="141" t="s">
        <v>248</v>
      </c>
      <c r="F14" s="142"/>
      <c r="G14" s="142"/>
      <c r="H14" s="142"/>
    </row>
    <row r="15" spans="1:12" ht="62.25" customHeight="1" x14ac:dyDescent="0.25">
      <c r="A15" s="143" t="s">
        <v>10</v>
      </c>
      <c r="B15" s="143"/>
      <c r="C15" s="143" t="str">
        <f>CONCATENATE((IF(OR(E9="",E9="NA"),"",E9)),", ",(IF(OR(A16="",A16="NA"),"",A16)),".",(IF(OR(C16="",C16="NA"),"",C16)),", near ",(IF(OR(C20="",C20="NA"),"",C20)),", ",(IF(OR(C17="",C17="NA"),"",C17)),", ",(IF(OR(G17="",G17="NA"),"",G17)),", ",(IF(OR(C18="",C18="NA"),"",C18)),", ",(IF(OR(C19="",C19="NA"),"",C19)),", ",(IF(OR(G18="",G18="NA"),"",G18))," - ",(IF(OR(G19="",G19="NA"),"",G19)),".")</f>
        <v>Seabreeze at Godrej Bayview, Plot No.18 &amp; Plot 3, Sector 9 &amp; Redevelopment of "Gulmohar Co-Operative HSC, Sai Ashirwad CHS &amp; Utkarsh CHS ", near India Maharaja CHS, Dayanshwar Marg, Vashi, Vashi East, Thane, Thane - 400703.</v>
      </c>
      <c r="D15" s="143"/>
      <c r="E15" s="143"/>
      <c r="F15" s="143"/>
      <c r="G15" s="143"/>
      <c r="H15" s="143"/>
    </row>
    <row r="16" spans="1:12" ht="30.75" customHeight="1" x14ac:dyDescent="0.25">
      <c r="A16" s="134" t="s">
        <v>158</v>
      </c>
      <c r="B16" s="134"/>
      <c r="C16" s="134" t="s">
        <v>259</v>
      </c>
      <c r="D16" s="134"/>
      <c r="E16" s="134"/>
      <c r="F16" s="134"/>
      <c r="G16" s="134"/>
      <c r="H16" s="134"/>
    </row>
    <row r="17" spans="1:8" ht="15.75" customHeight="1" x14ac:dyDescent="0.25">
      <c r="A17" s="108" t="s">
        <v>11</v>
      </c>
      <c r="B17" s="108"/>
      <c r="C17" s="139" t="s">
        <v>152</v>
      </c>
      <c r="D17" s="139"/>
      <c r="E17" s="108" t="s">
        <v>76</v>
      </c>
      <c r="F17" s="108"/>
      <c r="G17" s="134" t="s">
        <v>154</v>
      </c>
      <c r="H17" s="134"/>
    </row>
    <row r="18" spans="1:8" x14ac:dyDescent="0.25">
      <c r="A18" s="106" t="s">
        <v>13</v>
      </c>
      <c r="B18" s="106"/>
      <c r="C18" s="134" t="s">
        <v>157</v>
      </c>
      <c r="D18" s="134"/>
      <c r="E18" s="108" t="s">
        <v>12</v>
      </c>
      <c r="F18" s="108"/>
      <c r="G18" s="144" t="s">
        <v>155</v>
      </c>
      <c r="H18" s="144"/>
    </row>
    <row r="19" spans="1:8" x14ac:dyDescent="0.25">
      <c r="A19" s="106" t="s">
        <v>77</v>
      </c>
      <c r="B19" s="106"/>
      <c r="C19" s="134" t="s">
        <v>155</v>
      </c>
      <c r="D19" s="134"/>
      <c r="E19" s="108" t="s">
        <v>14</v>
      </c>
      <c r="F19" s="108"/>
      <c r="G19" s="134">
        <v>400703</v>
      </c>
      <c r="H19" s="134"/>
    </row>
    <row r="20" spans="1:8" ht="32.25" customHeight="1" x14ac:dyDescent="0.25">
      <c r="A20" s="106" t="s">
        <v>121</v>
      </c>
      <c r="B20" s="106"/>
      <c r="C20" s="138" t="s">
        <v>153</v>
      </c>
      <c r="D20" s="138"/>
      <c r="E20" s="108" t="s">
        <v>15</v>
      </c>
      <c r="F20" s="108"/>
      <c r="G20" s="134" t="s">
        <v>156</v>
      </c>
      <c r="H20" s="134"/>
    </row>
    <row r="21" spans="1:8" ht="15" customHeight="1" x14ac:dyDescent="0.25">
      <c r="A21" s="108" t="s">
        <v>80</v>
      </c>
      <c r="B21" s="108"/>
      <c r="C21" s="108"/>
      <c r="D21" s="108"/>
      <c r="E21" s="139" t="s">
        <v>16</v>
      </c>
      <c r="F21" s="139"/>
      <c r="G21" s="139"/>
      <c r="H21" s="139"/>
    </row>
    <row r="22" spans="1:8" ht="18.75" customHeight="1" x14ac:dyDescent="0.25">
      <c r="A22" s="108"/>
      <c r="B22" s="108"/>
      <c r="C22" s="108"/>
      <c r="D22" s="108"/>
      <c r="E22" s="139"/>
      <c r="F22" s="139"/>
      <c r="G22" s="139"/>
      <c r="H22" s="139"/>
    </row>
    <row r="23" spans="1:8" ht="15" customHeight="1" x14ac:dyDescent="0.25">
      <c r="A23" s="108" t="s">
        <v>17</v>
      </c>
      <c r="B23" s="108"/>
      <c r="C23" s="108"/>
      <c r="D23" s="108"/>
      <c r="E23" s="134" t="s">
        <v>18</v>
      </c>
      <c r="F23" s="134"/>
      <c r="G23" s="134"/>
      <c r="H23" s="134"/>
    </row>
    <row r="24" spans="1:8" ht="15" customHeight="1" x14ac:dyDescent="0.25">
      <c r="A24" s="106" t="s">
        <v>19</v>
      </c>
      <c r="B24" s="106"/>
      <c r="C24" s="106"/>
      <c r="D24" s="106"/>
      <c r="E24" s="134" t="str">
        <f>IF(AND(G18="Mumbai"),"Upper Class","Middle Class")</f>
        <v>Middle Class</v>
      </c>
      <c r="F24" s="134"/>
      <c r="G24" s="134"/>
      <c r="H24" s="134"/>
    </row>
    <row r="25" spans="1:8" x14ac:dyDescent="0.25">
      <c r="A25" s="106" t="s">
        <v>20</v>
      </c>
      <c r="B25" s="106"/>
      <c r="C25" s="106"/>
      <c r="D25" s="106"/>
      <c r="E25" s="134" t="s">
        <v>21</v>
      </c>
      <c r="F25" s="134"/>
      <c r="G25" s="134"/>
      <c r="H25" s="134"/>
    </row>
    <row r="26" spans="1:8" ht="15.75" customHeight="1" x14ac:dyDescent="0.25">
      <c r="A26" s="106" t="s">
        <v>22</v>
      </c>
      <c r="B26" s="106"/>
      <c r="C26" s="106"/>
      <c r="D26" s="106"/>
      <c r="E26" s="134" t="str">
        <f>IF(AND(G18="Mumbai"),"Developed","Developing")</f>
        <v>Developing</v>
      </c>
      <c r="F26" s="134"/>
      <c r="G26" s="134"/>
      <c r="H26" s="134"/>
    </row>
    <row r="27" spans="1:8" x14ac:dyDescent="0.25">
      <c r="A27" s="106" t="s">
        <v>23</v>
      </c>
      <c r="B27" s="106"/>
      <c r="C27" s="106"/>
      <c r="D27" s="106"/>
      <c r="E27" s="134" t="s">
        <v>24</v>
      </c>
      <c r="F27" s="134"/>
      <c r="G27" s="134"/>
      <c r="H27" s="134"/>
    </row>
    <row r="28" spans="1:8" x14ac:dyDescent="0.25">
      <c r="A28" s="106" t="s">
        <v>85</v>
      </c>
      <c r="B28" s="106"/>
      <c r="C28" s="106"/>
      <c r="D28" s="106"/>
      <c r="E28" s="134" t="s">
        <v>86</v>
      </c>
      <c r="F28" s="134"/>
      <c r="G28" s="134"/>
      <c r="H28" s="134"/>
    </row>
    <row r="29" spans="1:8" ht="15" customHeight="1" x14ac:dyDescent="0.25">
      <c r="A29" s="108" t="s">
        <v>33</v>
      </c>
      <c r="B29" s="108"/>
      <c r="C29" s="108"/>
      <c r="D29" s="108"/>
      <c r="E29" s="136" t="s">
        <v>160</v>
      </c>
      <c r="F29" s="136"/>
      <c r="G29" s="136"/>
      <c r="H29" s="136"/>
    </row>
    <row r="30" spans="1:8" x14ac:dyDescent="0.25">
      <c r="A30" s="108" t="s">
        <v>96</v>
      </c>
      <c r="B30" s="108"/>
      <c r="C30" s="108"/>
      <c r="D30" s="108"/>
      <c r="E30" s="108" t="s">
        <v>34</v>
      </c>
      <c r="F30" s="108"/>
      <c r="G30" s="108"/>
      <c r="H30" s="108"/>
    </row>
    <row r="31" spans="1:8" s="6" customFormat="1" x14ac:dyDescent="0.25">
      <c r="A31" s="137" t="s">
        <v>97</v>
      </c>
      <c r="B31" s="137"/>
      <c r="C31" s="135" t="s">
        <v>29</v>
      </c>
      <c r="D31" s="135"/>
      <c r="E31" s="135"/>
      <c r="F31" s="135" t="s">
        <v>31</v>
      </c>
      <c r="G31" s="135"/>
      <c r="H31" s="135"/>
    </row>
    <row r="32" spans="1:8" s="6" customFormat="1" x14ac:dyDescent="0.25">
      <c r="A32" s="127" t="s">
        <v>25</v>
      </c>
      <c r="B32" s="127" t="s">
        <v>30</v>
      </c>
      <c r="C32" s="104" t="s">
        <v>233</v>
      </c>
      <c r="D32" s="104"/>
      <c r="E32" s="104"/>
      <c r="F32" s="104" t="s">
        <v>233</v>
      </c>
      <c r="G32" s="104"/>
      <c r="H32" s="104"/>
    </row>
    <row r="33" spans="1:8" x14ac:dyDescent="0.25">
      <c r="A33" s="127" t="s">
        <v>26</v>
      </c>
      <c r="B33" s="127" t="s">
        <v>30</v>
      </c>
      <c r="C33" s="104" t="s">
        <v>230</v>
      </c>
      <c r="D33" s="104"/>
      <c r="E33" s="104"/>
      <c r="F33" s="104" t="s">
        <v>231</v>
      </c>
      <c r="G33" s="104"/>
      <c r="H33" s="104"/>
    </row>
    <row r="34" spans="1:8" s="6" customFormat="1" x14ac:dyDescent="0.25">
      <c r="A34" s="127" t="s">
        <v>28</v>
      </c>
      <c r="B34" s="127" t="s">
        <v>30</v>
      </c>
      <c r="C34" s="104" t="s">
        <v>232</v>
      </c>
      <c r="D34" s="104"/>
      <c r="E34" s="104"/>
      <c r="F34" s="104" t="s">
        <v>232</v>
      </c>
      <c r="G34" s="104"/>
      <c r="H34" s="104"/>
    </row>
    <row r="35" spans="1:8" x14ac:dyDescent="0.25">
      <c r="A35" s="127" t="s">
        <v>27</v>
      </c>
      <c r="B35" s="127" t="s">
        <v>30</v>
      </c>
      <c r="C35" s="104" t="s">
        <v>229</v>
      </c>
      <c r="D35" s="104"/>
      <c r="E35" s="104"/>
      <c r="F35" s="104" t="s">
        <v>159</v>
      </c>
      <c r="G35" s="104"/>
      <c r="H35" s="104"/>
    </row>
    <row r="36" spans="1:8" x14ac:dyDescent="0.25">
      <c r="A36" s="106" t="s">
        <v>32</v>
      </c>
      <c r="B36" s="106"/>
      <c r="C36" s="106"/>
      <c r="D36" s="106"/>
      <c r="E36" s="106"/>
      <c r="F36" s="106"/>
      <c r="G36" s="106"/>
      <c r="H36" s="106"/>
    </row>
    <row r="37" spans="1:8" ht="15.75" customHeight="1" x14ac:dyDescent="0.25">
      <c r="A37" s="103" t="s">
        <v>203</v>
      </c>
      <c r="B37" s="103"/>
      <c r="C37" s="128" t="s">
        <v>204</v>
      </c>
      <c r="D37" s="129"/>
      <c r="E37" s="129"/>
      <c r="F37" s="129"/>
      <c r="G37" s="129"/>
      <c r="H37" s="130"/>
    </row>
    <row r="38" spans="1:8" ht="15.75" customHeight="1" x14ac:dyDescent="0.25">
      <c r="A38" s="103" t="s">
        <v>197</v>
      </c>
      <c r="B38" s="103"/>
      <c r="C38" s="132" t="s">
        <v>205</v>
      </c>
      <c r="D38" s="129"/>
      <c r="E38" s="129"/>
      <c r="F38" s="129"/>
      <c r="G38" s="129"/>
      <c r="H38" s="130"/>
    </row>
    <row r="39" spans="1:8" x14ac:dyDescent="0.25">
      <c r="A39" s="103" t="s">
        <v>35</v>
      </c>
      <c r="B39" s="103"/>
      <c r="C39" s="103"/>
      <c r="D39" s="103"/>
      <c r="E39" s="103"/>
      <c r="F39" s="103"/>
      <c r="G39" s="103"/>
      <c r="H39" s="103"/>
    </row>
    <row r="40" spans="1:8" x14ac:dyDescent="0.25">
      <c r="A40" s="106" t="s">
        <v>36</v>
      </c>
      <c r="B40" s="106"/>
      <c r="C40" s="106"/>
      <c r="D40" s="106"/>
      <c r="E40" s="133">
        <v>18272.71</v>
      </c>
      <c r="F40" s="133"/>
      <c r="G40" s="133"/>
      <c r="H40" s="133"/>
    </row>
    <row r="41" spans="1:8" x14ac:dyDescent="0.25">
      <c r="A41" s="106" t="s">
        <v>37</v>
      </c>
      <c r="B41" s="106"/>
      <c r="C41" s="106"/>
      <c r="D41" s="106"/>
      <c r="E41" s="131">
        <v>3</v>
      </c>
      <c r="F41" s="131"/>
      <c r="G41" s="131"/>
      <c r="H41" s="131"/>
    </row>
    <row r="42" spans="1:8" x14ac:dyDescent="0.25">
      <c r="A42" s="106" t="s">
        <v>38</v>
      </c>
      <c r="B42" s="106"/>
      <c r="C42" s="106"/>
      <c r="D42" s="106"/>
      <c r="E42" s="131">
        <f>E44/E40-E41</f>
        <v>-3.4899311596364058E-2</v>
      </c>
      <c r="F42" s="131"/>
      <c r="G42" s="131"/>
      <c r="H42" s="131"/>
    </row>
    <row r="43" spans="1:8" x14ac:dyDescent="0.25">
      <c r="A43" s="106" t="s">
        <v>39</v>
      </c>
      <c r="B43" s="106"/>
      <c r="C43" s="106"/>
      <c r="D43" s="106"/>
      <c r="E43" s="131">
        <f>E41+E42</f>
        <v>2.9651006884036359</v>
      </c>
      <c r="F43" s="131"/>
      <c r="G43" s="131"/>
      <c r="H43" s="131"/>
    </row>
    <row r="44" spans="1:8" x14ac:dyDescent="0.25">
      <c r="A44" s="106" t="s">
        <v>95</v>
      </c>
      <c r="B44" s="106"/>
      <c r="C44" s="106"/>
      <c r="D44" s="106"/>
      <c r="E44" s="150">
        <v>54180.425000000003</v>
      </c>
      <c r="F44" s="150"/>
      <c r="G44" s="150"/>
      <c r="H44" s="150"/>
    </row>
    <row r="45" spans="1:8" x14ac:dyDescent="0.25">
      <c r="A45" s="139" t="s">
        <v>40</v>
      </c>
      <c r="B45" s="139"/>
      <c r="C45" s="139"/>
      <c r="D45" s="139"/>
      <c r="E45" s="139" t="s">
        <v>245</v>
      </c>
      <c r="F45" s="139"/>
      <c r="G45" s="139"/>
      <c r="H45" s="139"/>
    </row>
    <row r="46" spans="1:8" x14ac:dyDescent="0.25">
      <c r="A46" s="103" t="s">
        <v>41</v>
      </c>
      <c r="B46" s="103"/>
      <c r="C46" s="103"/>
      <c r="D46" s="103"/>
      <c r="E46" s="103"/>
      <c r="F46" s="103"/>
      <c r="G46" s="103"/>
      <c r="H46" s="103"/>
    </row>
    <row r="47" spans="1:8" ht="33.75" customHeight="1" x14ac:dyDescent="0.25">
      <c r="A47" s="152" t="s">
        <v>150</v>
      </c>
      <c r="B47" s="153"/>
      <c r="C47" s="154" t="s">
        <v>161</v>
      </c>
      <c r="D47" s="155"/>
      <c r="E47" s="155"/>
      <c r="F47" s="155"/>
      <c r="G47" s="155"/>
      <c r="H47" s="156"/>
    </row>
    <row r="48" spans="1:8" x14ac:dyDescent="0.25">
      <c r="A48" s="134" t="s">
        <v>42</v>
      </c>
      <c r="B48" s="134"/>
      <c r="C48" s="126" t="s">
        <v>206</v>
      </c>
      <c r="D48" s="126"/>
      <c r="E48" s="126"/>
      <c r="F48" s="54" t="s">
        <v>43</v>
      </c>
      <c r="G48" s="151">
        <v>45677</v>
      </c>
      <c r="H48" s="151"/>
    </row>
    <row r="49" spans="1:9" x14ac:dyDescent="0.25">
      <c r="A49" s="139" t="s">
        <v>44</v>
      </c>
      <c r="B49" s="139"/>
      <c r="C49" s="126" t="str">
        <f>C48</f>
        <v>NMMCC/RB/2025/APL/00086</v>
      </c>
      <c r="D49" s="126"/>
      <c r="E49" s="126"/>
      <c r="F49" s="54" t="s">
        <v>43</v>
      </c>
      <c r="G49" s="151">
        <f>G48</f>
        <v>45677</v>
      </c>
      <c r="H49" s="151"/>
    </row>
    <row r="50" spans="1:9" s="5" customFormat="1" ht="32.25" hidden="1" customHeight="1" x14ac:dyDescent="0.25">
      <c r="A50" s="134" t="s">
        <v>208</v>
      </c>
      <c r="B50" s="134"/>
      <c r="C50" s="126" t="s">
        <v>162</v>
      </c>
      <c r="D50" s="159"/>
      <c r="E50" s="159"/>
      <c r="F50" s="7" t="s">
        <v>43</v>
      </c>
      <c r="G50" s="151">
        <v>44351</v>
      </c>
      <c r="H50" s="151"/>
    </row>
    <row r="51" spans="1:9" s="5" customFormat="1" ht="17.25" hidden="1" customHeight="1" x14ac:dyDescent="0.25">
      <c r="A51" s="134"/>
      <c r="B51" s="134"/>
      <c r="C51" s="201" t="s">
        <v>209</v>
      </c>
      <c r="D51" s="202"/>
      <c r="E51" s="202"/>
      <c r="F51" s="202"/>
      <c r="G51" s="202"/>
      <c r="H51" s="203"/>
    </row>
    <row r="52" spans="1:9" s="5" customFormat="1" ht="32.450000000000003" customHeight="1" x14ac:dyDescent="0.25">
      <c r="A52" s="134" t="s">
        <v>208</v>
      </c>
      <c r="B52" s="134"/>
      <c r="C52" s="126" t="s">
        <v>206</v>
      </c>
      <c r="D52" s="159"/>
      <c r="E52" s="159"/>
      <c r="F52" s="7" t="s">
        <v>43</v>
      </c>
      <c r="G52" s="151">
        <v>45677</v>
      </c>
      <c r="H52" s="151"/>
    </row>
    <row r="53" spans="1:9" s="5" customFormat="1" ht="17.25" customHeight="1" x14ac:dyDescent="0.25">
      <c r="A53" s="134"/>
      <c r="B53" s="134"/>
      <c r="C53" s="201" t="s">
        <v>207</v>
      </c>
      <c r="D53" s="202"/>
      <c r="E53" s="202"/>
      <c r="F53" s="202"/>
      <c r="G53" s="202"/>
      <c r="H53" s="203"/>
    </row>
    <row r="54" spans="1:9" s="5" customFormat="1" x14ac:dyDescent="0.25">
      <c r="A54" s="134" t="s">
        <v>224</v>
      </c>
      <c r="B54" s="134"/>
      <c r="C54" s="126" t="s">
        <v>221</v>
      </c>
      <c r="D54" s="159"/>
      <c r="E54" s="159"/>
      <c r="F54" s="7" t="s">
        <v>43</v>
      </c>
      <c r="G54" s="151">
        <v>43892</v>
      </c>
      <c r="H54" s="151"/>
    </row>
    <row r="55" spans="1:9" s="5" customFormat="1" ht="33.6" customHeight="1" x14ac:dyDescent="0.25">
      <c r="A55" s="134"/>
      <c r="B55" s="134"/>
      <c r="C55" s="201" t="s">
        <v>222</v>
      </c>
      <c r="D55" s="202"/>
      <c r="E55" s="202"/>
      <c r="F55" s="202"/>
      <c r="G55" s="202"/>
      <c r="H55" s="203"/>
    </row>
    <row r="56" spans="1:9" s="5" customFormat="1" x14ac:dyDescent="0.25">
      <c r="A56" s="134" t="s">
        <v>223</v>
      </c>
      <c r="B56" s="134"/>
      <c r="C56" s="126" t="s">
        <v>235</v>
      </c>
      <c r="D56" s="159"/>
      <c r="E56" s="159"/>
      <c r="F56" s="7" t="s">
        <v>43</v>
      </c>
      <c r="G56" s="151">
        <v>45639</v>
      </c>
      <c r="H56" s="151"/>
    </row>
    <row r="57" spans="1:9" s="5" customFormat="1" ht="36" customHeight="1" x14ac:dyDescent="0.25">
      <c r="A57" s="134"/>
      <c r="B57" s="134"/>
      <c r="C57" s="201" t="s">
        <v>234</v>
      </c>
      <c r="D57" s="202"/>
      <c r="E57" s="202"/>
      <c r="F57" s="202"/>
      <c r="G57" s="202"/>
      <c r="H57" s="203"/>
    </row>
    <row r="58" spans="1:9" s="5" customFormat="1" x14ac:dyDescent="0.25">
      <c r="A58" s="134" t="s">
        <v>225</v>
      </c>
      <c r="B58" s="134"/>
      <c r="C58" s="126" t="s">
        <v>226</v>
      </c>
      <c r="D58" s="159"/>
      <c r="E58" s="159"/>
      <c r="F58" s="7" t="s">
        <v>43</v>
      </c>
      <c r="G58" s="151">
        <v>43703</v>
      </c>
      <c r="H58" s="151"/>
    </row>
    <row r="59" spans="1:9" s="5" customFormat="1" ht="46.15" customHeight="1" x14ac:dyDescent="0.25">
      <c r="A59" s="134"/>
      <c r="B59" s="134"/>
      <c r="C59" s="126" t="s">
        <v>227</v>
      </c>
      <c r="D59" s="159"/>
      <c r="E59" s="159"/>
      <c r="F59" s="83" t="s">
        <v>228</v>
      </c>
      <c r="G59" s="151">
        <v>46624</v>
      </c>
      <c r="H59" s="151"/>
    </row>
    <row r="60" spans="1:9" s="5" customFormat="1" x14ac:dyDescent="0.25">
      <c r="A60" s="157" t="s">
        <v>45</v>
      </c>
      <c r="B60" s="157"/>
      <c r="C60" s="204" t="s">
        <v>104</v>
      </c>
      <c r="D60" s="205"/>
      <c r="E60" s="205" t="s">
        <v>46</v>
      </c>
      <c r="F60" s="55" t="s">
        <v>43</v>
      </c>
      <c r="G60" s="245" t="s">
        <v>30</v>
      </c>
      <c r="H60" s="245"/>
    </row>
    <row r="61" spans="1:9" x14ac:dyDescent="0.25">
      <c r="A61" s="206" t="s">
        <v>48</v>
      </c>
      <c r="B61" s="206"/>
      <c r="C61" s="206"/>
      <c r="D61" s="206"/>
      <c r="E61" s="206"/>
      <c r="F61" s="206"/>
      <c r="G61" s="206"/>
      <c r="H61" s="206"/>
    </row>
    <row r="62" spans="1:9" ht="32.25" customHeight="1" x14ac:dyDescent="0.25">
      <c r="A62" s="134" t="s">
        <v>257</v>
      </c>
      <c r="B62" s="134"/>
      <c r="C62" s="134"/>
      <c r="D62" s="139">
        <v>15895.41</v>
      </c>
      <c r="E62" s="139"/>
      <c r="F62" s="139"/>
      <c r="G62" s="139"/>
      <c r="H62" s="139"/>
    </row>
    <row r="63" spans="1:9" x14ac:dyDescent="0.25">
      <c r="A63" s="134" t="s">
        <v>49</v>
      </c>
      <c r="B63" s="139"/>
      <c r="C63" s="139"/>
      <c r="D63" s="139" t="s">
        <v>246</v>
      </c>
      <c r="E63" s="139"/>
      <c r="F63" s="139"/>
      <c r="G63" s="139"/>
      <c r="H63" s="139"/>
      <c r="I63" s="37"/>
    </row>
    <row r="64" spans="1:9" x14ac:dyDescent="0.25">
      <c r="A64" s="208" t="s">
        <v>50</v>
      </c>
      <c r="B64" s="209"/>
      <c r="C64" s="210"/>
      <c r="D64" s="161" t="s">
        <v>210</v>
      </c>
      <c r="E64" s="207"/>
      <c r="F64" s="207"/>
      <c r="G64" s="207"/>
      <c r="H64" s="207"/>
      <c r="I64" s="38"/>
    </row>
    <row r="65" spans="1:14" ht="15.75" customHeight="1" x14ac:dyDescent="0.25">
      <c r="A65" s="208" t="s">
        <v>93</v>
      </c>
      <c r="B65" s="209"/>
      <c r="C65" s="210"/>
      <c r="D65" s="237" t="s">
        <v>207</v>
      </c>
      <c r="E65" s="238"/>
      <c r="F65" s="238"/>
      <c r="G65" s="238"/>
      <c r="H65" s="239"/>
      <c r="I65" s="38"/>
    </row>
    <row r="66" spans="1:14" ht="15.75" hidden="1" customHeight="1" x14ac:dyDescent="0.25">
      <c r="A66" s="240"/>
      <c r="B66" s="241"/>
      <c r="C66" s="242"/>
      <c r="D66" s="237" t="s">
        <v>163</v>
      </c>
      <c r="E66" s="238"/>
      <c r="F66" s="238"/>
      <c r="G66" s="238"/>
      <c r="H66" s="239"/>
      <c r="I66" s="38"/>
    </row>
    <row r="67" spans="1:14" ht="34.9" customHeight="1" x14ac:dyDescent="0.25">
      <c r="A67" s="106" t="s">
        <v>47</v>
      </c>
      <c r="B67" s="106"/>
      <c r="C67" s="107"/>
      <c r="D67" s="108" t="s">
        <v>241</v>
      </c>
      <c r="E67" s="108"/>
      <c r="F67" s="108"/>
      <c r="G67" s="108"/>
      <c r="H67" s="108"/>
      <c r="J67" s="36"/>
      <c r="K67" s="37"/>
      <c r="N67" s="37"/>
    </row>
    <row r="68" spans="1:14" ht="15.75" customHeight="1" x14ac:dyDescent="0.25">
      <c r="A68" s="106" t="s">
        <v>91</v>
      </c>
      <c r="B68" s="106"/>
      <c r="C68" s="106"/>
      <c r="D68" s="117" t="str">
        <f>(IF(G60="NA","60 Years After Completion",IF(G60&lt;&gt;"NA",""&amp;60-ROUNDDOWN((E3-G60)/360,0)&amp;" Years"," ")))</f>
        <v>60 Years After Completion</v>
      </c>
      <c r="E68" s="117"/>
      <c r="F68" s="117"/>
      <c r="G68" s="117"/>
      <c r="H68" s="117"/>
      <c r="N68" s="37"/>
    </row>
    <row r="69" spans="1:14" ht="15.75" customHeight="1" x14ac:dyDescent="0.25">
      <c r="A69" s="106" t="s">
        <v>92</v>
      </c>
      <c r="B69" s="106"/>
      <c r="C69" s="106"/>
      <c r="D69" s="108" t="s">
        <v>24</v>
      </c>
      <c r="E69" s="108"/>
      <c r="F69" s="108"/>
      <c r="G69" s="108"/>
      <c r="H69" s="108"/>
      <c r="J69" s="12"/>
      <c r="K69" s="12"/>
    </row>
    <row r="70" spans="1:14" ht="17.25" customHeight="1" x14ac:dyDescent="0.25">
      <c r="A70" s="106" t="s">
        <v>78</v>
      </c>
      <c r="B70" s="106"/>
      <c r="C70" s="106"/>
      <c r="D70" s="134" t="s">
        <v>253</v>
      </c>
      <c r="E70" s="108"/>
      <c r="F70" s="108"/>
      <c r="G70" s="108"/>
      <c r="H70" s="108"/>
    </row>
    <row r="71" spans="1:14" x14ac:dyDescent="0.25">
      <c r="A71" s="108" t="s">
        <v>147</v>
      </c>
      <c r="B71" s="108"/>
      <c r="C71" s="108"/>
      <c r="D71" s="108" t="s">
        <v>30</v>
      </c>
      <c r="E71" s="108"/>
      <c r="F71" s="108"/>
      <c r="G71" s="108"/>
      <c r="H71" s="108"/>
      <c r="I71" s="48"/>
      <c r="J71" s="48"/>
      <c r="K71" s="48"/>
      <c r="L71" s="48"/>
      <c r="M71" s="48"/>
      <c r="N71" s="48"/>
    </row>
    <row r="72" spans="1:14" ht="15.75" customHeight="1" x14ac:dyDescent="0.25">
      <c r="A72" s="162" t="s">
        <v>90</v>
      </c>
      <c r="B72" s="162"/>
      <c r="C72" s="162"/>
      <c r="D72" s="161" t="str">
        <f ca="1">(IF(G106&gt;95%,"Nothing",IF(G106&gt;0%,"Cement, Aggregate, Steel, etc",IF(G106=0%,"Work not yet Started"))))</f>
        <v>Cement, Aggregate, Steel, etc</v>
      </c>
      <c r="E72" s="161"/>
      <c r="F72" s="161"/>
      <c r="G72" s="161"/>
      <c r="H72" s="161"/>
      <c r="J72" s="12"/>
    </row>
    <row r="73" spans="1:14" ht="33.75" customHeight="1" thickBot="1" x14ac:dyDescent="0.3">
      <c r="A73" s="160" t="s">
        <v>117</v>
      </c>
      <c r="B73" s="160"/>
      <c r="C73" s="160"/>
      <c r="D73" s="161" t="str">
        <f ca="1">(IF(D72="Nothing","Yes",IF(D72="Cement, Aggregate, Steel, etc","Under Construction",IF(D72="Work not yet Started","Work not yet Started"))))</f>
        <v>Under Construction</v>
      </c>
      <c r="E73" s="161"/>
      <c r="F73" s="161" t="str">
        <f ca="1">(IF(D72="Nothing","Yes",IF(D72="Cement, Aggregate, Steel, etc","Under Construction",IF(D72="Work not yet Started","Work not yet Started"))))</f>
        <v>Under Construction</v>
      </c>
      <c r="G73" s="161"/>
      <c r="H73" s="161"/>
    </row>
    <row r="74" spans="1:14" s="5" customFormat="1" ht="15.75" customHeight="1" x14ac:dyDescent="0.25">
      <c r="A74" s="121" t="s">
        <v>139</v>
      </c>
      <c r="B74" s="122"/>
      <c r="C74" s="234" t="str">
        <f>D65</f>
        <v>Tower 1 (Incentive) = 4B + G + 1st to 25th floor</v>
      </c>
      <c r="D74" s="235"/>
      <c r="E74" s="235"/>
      <c r="F74" s="235"/>
      <c r="G74" s="235"/>
      <c r="H74" s="236"/>
      <c r="I74" s="56" t="str">
        <f ca="1"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completed","0")))))))))))&amp;(IF(C80=(D75+F75+H75),", RCC Slab",IF(C80&gt;0,", RCC upto "&amp;C80&amp;" Slab",""))&amp;(IF(C81=H75,", Brickwork",IF(C81&gt;0,", Brickwork upto "&amp;C81&amp;" Floor",""))&amp;(IF(C82=H75,", Internal Plaster",IF(C82&gt;0,", Internal Plaster upto "&amp;C82&amp;" Floor",""))&amp;(IF(C83=H75,", External Plaster",IF(C83&gt;0,", External Plaster upto "&amp;C83&amp;" Floor",""))&amp;(IF(C84=H75,", Flooring",IF(C84&gt;0,", Flooring upto "&amp;C84&amp;" Floor",""))&amp;(IF(C85=H75,", Painting",IF(C85&gt;0,", Painting upto "&amp;C85&amp;" Floor",""))&amp;(IF(C86&gt;0,", Finishing upto "&amp;C86&amp;" Floor","")&amp;(IF(C80&gt;0.5," Completed",""))))))))))))))</f>
        <v>Excavation work Completed. Plinth work completed</v>
      </c>
      <c r="J74" s="57"/>
    </row>
    <row r="75" spans="1:14" s="5" customFormat="1" x14ac:dyDescent="0.25">
      <c r="A75" s="42" t="s">
        <v>141</v>
      </c>
      <c r="B75" s="80">
        <v>4</v>
      </c>
      <c r="C75" s="80" t="s">
        <v>75</v>
      </c>
      <c r="D75" s="80">
        <v>1</v>
      </c>
      <c r="E75" s="80" t="s">
        <v>74</v>
      </c>
      <c r="F75" s="80">
        <v>0</v>
      </c>
      <c r="G75" s="80" t="s">
        <v>84</v>
      </c>
      <c r="H75" s="45">
        <f ca="1">--TRIM(RIGHT(SUBSTITUTE(LEFT(C74,_xlfn.AGGREGATE(16,6,FIND({0,1,2,3,4,5,6,7,8,9},C74,ROW(INDIRECT("1:"&amp;LEN(C74)))),1))," ",REPT(" ",LEN(C74))),LEN(C74)))</f>
        <v>25</v>
      </c>
      <c r="I75" s="58"/>
      <c r="J75" s="59"/>
    </row>
    <row r="76" spans="1:14" s="5" customFormat="1" ht="17.25" customHeight="1" x14ac:dyDescent="0.25">
      <c r="A76" s="119" t="s">
        <v>94</v>
      </c>
      <c r="B76" s="120"/>
      <c r="C76" s="157" t="str">
        <f ca="1">I74</f>
        <v>Excavation work Completed. Plinth work completed</v>
      </c>
      <c r="D76" s="157"/>
      <c r="E76" s="157"/>
      <c r="F76" s="157"/>
      <c r="G76" s="157"/>
      <c r="H76" s="158"/>
      <c r="I76" s="58" t="s">
        <v>103</v>
      </c>
      <c r="J76" s="59"/>
    </row>
    <row r="77" spans="1:14" s="5" customFormat="1" ht="15.75" customHeight="1" x14ac:dyDescent="0.25">
      <c r="A77" s="113" t="s">
        <v>51</v>
      </c>
      <c r="B77" s="114"/>
      <c r="C77" s="60" t="s">
        <v>138</v>
      </c>
      <c r="D77" s="79" t="s">
        <v>87</v>
      </c>
      <c r="E77" s="114" t="s">
        <v>89</v>
      </c>
      <c r="F77" s="114"/>
      <c r="G77" s="114" t="s">
        <v>88</v>
      </c>
      <c r="H77" s="118"/>
      <c r="I77" s="62" t="s">
        <v>140</v>
      </c>
      <c r="J77" s="63">
        <f ca="1">H75*25%</f>
        <v>6.25</v>
      </c>
    </row>
    <row r="78" spans="1:14" s="5" customFormat="1" x14ac:dyDescent="0.25">
      <c r="A78" s="113" t="s">
        <v>127</v>
      </c>
      <c r="B78" s="114"/>
      <c r="C78" s="64">
        <f ca="1">J79</f>
        <v>25</v>
      </c>
      <c r="D78" s="81">
        <f ca="1">((100/H75)*C78)/100</f>
        <v>1</v>
      </c>
      <c r="E78" s="109">
        <f ca="1">(((C79/H75*10)+(40/(D75+F75+H75)*C80)+(7.5/(H75)*C81)+(7.5/(H75)*C82)+(10/H75*C83)+(10/H75*C84)+(5/H75*C85)+(5/H75*C86)+(5/H75*C87))/100)</f>
        <v>0.1</v>
      </c>
      <c r="F78" s="109"/>
      <c r="G78" s="109">
        <f ca="1">((((C78/H75)*20)+((C79/H75)*25)+(30/(H75+F75+D75)*C80)+(5/H75*C81)+(5/H75*C82)+(5/H75*C83)+(5/H75*C84)+(0/H75*C85)+(0/H75*C86)+(5/H75*C87))/100)</f>
        <v>0.45</v>
      </c>
      <c r="H78" s="111"/>
      <c r="I78" s="62" t="s">
        <v>98</v>
      </c>
      <c r="J78" s="66">
        <f ca="1">H75*50%</f>
        <v>12.5</v>
      </c>
    </row>
    <row r="79" spans="1:14" s="5" customFormat="1" x14ac:dyDescent="0.25">
      <c r="A79" s="113" t="s">
        <v>52</v>
      </c>
      <c r="B79" s="114"/>
      <c r="C79" s="67">
        <f ca="1">J87</f>
        <v>25</v>
      </c>
      <c r="D79" s="81">
        <f ca="1">((100/H75)*C79)/100</f>
        <v>1</v>
      </c>
      <c r="E79" s="109"/>
      <c r="F79" s="109"/>
      <c r="G79" s="109"/>
      <c r="H79" s="111"/>
      <c r="I79" s="62" t="s">
        <v>99</v>
      </c>
      <c r="J79" s="66">
        <f ca="1">H75</f>
        <v>25</v>
      </c>
    </row>
    <row r="80" spans="1:14" s="5" customFormat="1" ht="15.75" customHeight="1" x14ac:dyDescent="0.25">
      <c r="A80" s="113" t="s">
        <v>128</v>
      </c>
      <c r="B80" s="114"/>
      <c r="C80" s="67">
        <v>0</v>
      </c>
      <c r="D80" s="81">
        <f ca="1">((100/(D75+F75+H75))*C80)/100</f>
        <v>0</v>
      </c>
      <c r="E80" s="109"/>
      <c r="F80" s="109"/>
      <c r="G80" s="109"/>
      <c r="H80" s="111"/>
      <c r="I80" s="62" t="s">
        <v>100</v>
      </c>
      <c r="J80" s="68">
        <f ca="1">(IF(B75&gt;1,(H75/(B75+2)),H75/4))</f>
        <v>4.166666666666667</v>
      </c>
    </row>
    <row r="81" spans="1:11" s="5" customFormat="1" ht="15.75" customHeight="1" x14ac:dyDescent="0.25">
      <c r="A81" s="113" t="s">
        <v>135</v>
      </c>
      <c r="B81" s="114" t="s">
        <v>129</v>
      </c>
      <c r="C81" s="64">
        <v>0</v>
      </c>
      <c r="D81" s="81">
        <f ca="1">((100/H75)*C81)/100</f>
        <v>0</v>
      </c>
      <c r="E81" s="109"/>
      <c r="F81" s="109"/>
      <c r="G81" s="109"/>
      <c r="H81" s="111"/>
      <c r="I81" s="62" t="s">
        <v>101</v>
      </c>
      <c r="J81" s="68">
        <f ca="1">(IF(B75&gt;1,(H75/(B75+2)+J80),H75/4+J80))</f>
        <v>8.3333333333333339</v>
      </c>
    </row>
    <row r="82" spans="1:11" s="5" customFormat="1" ht="15.75" customHeight="1" x14ac:dyDescent="0.25">
      <c r="A82" s="113" t="s">
        <v>136</v>
      </c>
      <c r="B82" s="114" t="s">
        <v>129</v>
      </c>
      <c r="C82" s="64">
        <v>0</v>
      </c>
      <c r="D82" s="81">
        <f ca="1">((100/H75)*C82)/100</f>
        <v>0</v>
      </c>
      <c r="E82" s="109"/>
      <c r="F82" s="109"/>
      <c r="G82" s="109"/>
      <c r="H82" s="111"/>
      <c r="I82" s="62" t="s">
        <v>145</v>
      </c>
      <c r="J82" s="68">
        <f ca="1">(IF(B75&gt;1,(H75/(B75+2)+J81),0))</f>
        <v>12.5</v>
      </c>
    </row>
    <row r="83" spans="1:11" s="5" customFormat="1" ht="15" customHeight="1" x14ac:dyDescent="0.25">
      <c r="A83" s="113" t="s">
        <v>134</v>
      </c>
      <c r="B83" s="114" t="s">
        <v>131</v>
      </c>
      <c r="C83" s="64">
        <v>0</v>
      </c>
      <c r="D83" s="81">
        <f ca="1">((100/(H75))*C83)/100</f>
        <v>0</v>
      </c>
      <c r="E83" s="109"/>
      <c r="F83" s="109"/>
      <c r="G83" s="109"/>
      <c r="H83" s="111"/>
      <c r="I83" s="62" t="s">
        <v>142</v>
      </c>
      <c r="J83" s="68">
        <f ca="1">(IF(B75&gt;2,(H75/(B75+2)+J82),0))</f>
        <v>16.666666666666668</v>
      </c>
    </row>
    <row r="84" spans="1:11" s="5" customFormat="1" ht="15.75" customHeight="1" x14ac:dyDescent="0.25">
      <c r="A84" s="113" t="s">
        <v>130</v>
      </c>
      <c r="B84" s="114" t="s">
        <v>130</v>
      </c>
      <c r="C84" s="64">
        <v>0</v>
      </c>
      <c r="D84" s="81">
        <f ca="1">((100/H75)*C84)/100</f>
        <v>0</v>
      </c>
      <c r="E84" s="109"/>
      <c r="F84" s="109"/>
      <c r="G84" s="109"/>
      <c r="H84" s="111"/>
      <c r="I84" s="62" t="s">
        <v>143</v>
      </c>
      <c r="J84" s="69">
        <f ca="1">(IF(B75&gt;3,(H75/(B75+2)+J83),0))</f>
        <v>20.833333333333336</v>
      </c>
    </row>
    <row r="85" spans="1:11" s="5" customFormat="1" ht="15.75" customHeight="1" x14ac:dyDescent="0.25">
      <c r="A85" s="113" t="s">
        <v>137</v>
      </c>
      <c r="B85" s="114"/>
      <c r="C85" s="64">
        <v>0</v>
      </c>
      <c r="D85" s="81">
        <f ca="1">((100/H75)*C85)/100</f>
        <v>0</v>
      </c>
      <c r="E85" s="109"/>
      <c r="F85" s="109"/>
      <c r="G85" s="109"/>
      <c r="H85" s="111"/>
      <c r="I85" s="62" t="s">
        <v>144</v>
      </c>
      <c r="J85" s="68">
        <f>(IF(B75&gt;4,(H75/(B75+2)+J84),0))</f>
        <v>0</v>
      </c>
    </row>
    <row r="86" spans="1:11" s="5" customFormat="1" ht="15.75" customHeight="1" x14ac:dyDescent="0.25">
      <c r="A86" s="113" t="s">
        <v>132</v>
      </c>
      <c r="B86" s="114" t="s">
        <v>132</v>
      </c>
      <c r="C86" s="64">
        <v>0</v>
      </c>
      <c r="D86" s="81">
        <f ca="1">((100/(H75))*C86)/100</f>
        <v>0</v>
      </c>
      <c r="E86" s="109"/>
      <c r="F86" s="109"/>
      <c r="G86" s="109"/>
      <c r="H86" s="111"/>
      <c r="I86" s="62" t="s">
        <v>146</v>
      </c>
      <c r="J86" s="68">
        <f>(IF(B75=1,(H75/(B75+3)+J81),IF(B75=0,(H75/4+J81),IF(B75&gt;1,0))))</f>
        <v>0</v>
      </c>
      <c r="K86" s="5" t="s">
        <v>252</v>
      </c>
    </row>
    <row r="87" spans="1:11" s="5" customFormat="1" ht="16.5" thickBot="1" x14ac:dyDescent="0.3">
      <c r="A87" s="115" t="s">
        <v>133</v>
      </c>
      <c r="B87" s="116"/>
      <c r="C87" s="70">
        <v>0</v>
      </c>
      <c r="D87" s="82">
        <f ca="1">((100/(H75))*C87)/100</f>
        <v>0</v>
      </c>
      <c r="E87" s="110"/>
      <c r="F87" s="110"/>
      <c r="G87" s="110"/>
      <c r="H87" s="112"/>
      <c r="I87" s="72" t="s">
        <v>102</v>
      </c>
      <c r="J87" s="73">
        <f ca="1">(IF(B75&gt;1.5,(H75/(B75+2)+J81+MAX(0,J82-J81)+MAX(0,J83-J82)+MAX(0,J84-J83)+MAX(0,J85-J84)+MAX(0,J86-J85)),IF(B75=1,(H75/(B75+3)+J86),IF(B75=0,H75/4+J86))))</f>
        <v>25</v>
      </c>
    </row>
    <row r="88" spans="1:11" s="5" customFormat="1" ht="15.75" hidden="1" customHeight="1" x14ac:dyDescent="0.25">
      <c r="A88" s="121" t="s">
        <v>139</v>
      </c>
      <c r="B88" s="122"/>
      <c r="C88" s="234" t="s">
        <v>237</v>
      </c>
      <c r="D88" s="235"/>
      <c r="E88" s="235"/>
      <c r="F88" s="235"/>
      <c r="G88" s="235"/>
      <c r="H88" s="236"/>
      <c r="I88" s="56" t="str">
        <f ca="1">(IF(E92&gt;99%,"All work completed. Please provide OC.",IF(E92&gt;89.8%,"Plinth, RCC, Brick, Plaster, Flooring, Painting work Completed. Finishing work is in process.",IF(E92&lt;94%,(IF(C92=0,"Work not yet Started.",IF(D92=25%,"Piling work in process",IF(D92=50%,"Excavation work in process",IF(D92=100%,"Excavation work Completed. ","0")))&amp;(IF(C93=0%,"",IF(C93=J94,"Footing work is process",IF(C93=J95,"Footing work Completed",IF(C93=J96,"1st Basement Completed",IF(C93=J97,"1st &amp; 2nd Basement Completed",IF(C93=J98,"1st to 3rd Basement Completed",IF(C93=J99,"1st to 4th Basement Completed",IF(C93=J100,"Plinth work is process",IF(C93=J101,"Plinth work completed","0")))))))))))&amp;(IF(C94=(D89+F89+H89),", RCC Slab",IF(C94&gt;0,", RCC upto "&amp;C94&amp;" Slab",""))&amp;(IF(C95=H89,", Brickwork",IF(C95&gt;0,", Brickwork upto "&amp;C95&amp;" Floor",""))&amp;(IF(C96=H89,", Internal Plaster",IF(C96&gt;0,", Internal Plaster upto "&amp;C96&amp;" Floor",""))&amp;(IF(C97=H89,", External Plaster",IF(C97&gt;0,", External Plaster upto "&amp;C97&amp;" Floor",""))&amp;(IF(C98=H89,", Flooring",IF(C98&gt;0,", Flooring upto "&amp;C98&amp;" Floor",""))&amp;(IF(C99=H89,", Painting",IF(C99&gt;0,", Painting upto "&amp;C99&amp;" Floor",""))&amp;(IF(C100&gt;0,", Finishing upto "&amp;C100&amp;" Floor","")&amp;(IF(C94&gt;0.5," Completed",""))))))))))))))</f>
        <v>Excavation work Completed. 1st to 3rd Basement Completed</v>
      </c>
      <c r="J88" s="57"/>
    </row>
    <row r="89" spans="1:11" s="5" customFormat="1" hidden="1" x14ac:dyDescent="0.25">
      <c r="A89" s="42" t="s">
        <v>141</v>
      </c>
      <c r="B89" s="87">
        <v>4</v>
      </c>
      <c r="C89" s="87" t="s">
        <v>75</v>
      </c>
      <c r="D89" s="87">
        <v>1</v>
      </c>
      <c r="E89" s="87" t="s">
        <v>74</v>
      </c>
      <c r="F89" s="87">
        <v>0</v>
      </c>
      <c r="G89" s="87" t="s">
        <v>84</v>
      </c>
      <c r="H89" s="45">
        <f ca="1">--TRIM(RIGHT(SUBSTITUTE(LEFT(C88,_xlfn.AGGREGATE(16,6,FIND({0,1,2,3,4,5,6,7,8,9},C88,ROW(INDIRECT("1:"&amp;LEN(C88)))),1))," ",REPT(" ",LEN(C88))),LEN(C88)))</f>
        <v>24</v>
      </c>
      <c r="I89" s="58"/>
      <c r="J89" s="59"/>
    </row>
    <row r="90" spans="1:11" s="5" customFormat="1" ht="17.25" hidden="1" customHeight="1" x14ac:dyDescent="0.25">
      <c r="A90" s="119" t="s">
        <v>94</v>
      </c>
      <c r="B90" s="120"/>
      <c r="C90" s="157" t="str">
        <f ca="1">I88</f>
        <v>Excavation work Completed. 1st to 3rd Basement Completed</v>
      </c>
      <c r="D90" s="157"/>
      <c r="E90" s="157"/>
      <c r="F90" s="157"/>
      <c r="G90" s="157"/>
      <c r="H90" s="158"/>
      <c r="I90" s="58" t="s">
        <v>103</v>
      </c>
      <c r="J90" s="59"/>
    </row>
    <row r="91" spans="1:11" s="5" customFormat="1" ht="15.75" hidden="1" customHeight="1" x14ac:dyDescent="0.25">
      <c r="A91" s="113" t="s">
        <v>51</v>
      </c>
      <c r="B91" s="114"/>
      <c r="C91" s="60" t="s">
        <v>138</v>
      </c>
      <c r="D91" s="84" t="s">
        <v>87</v>
      </c>
      <c r="E91" s="114" t="s">
        <v>89</v>
      </c>
      <c r="F91" s="114"/>
      <c r="G91" s="114" t="s">
        <v>88</v>
      </c>
      <c r="H91" s="118"/>
      <c r="I91" s="62" t="s">
        <v>140</v>
      </c>
      <c r="J91" s="63">
        <f ca="1">H89*25%</f>
        <v>6</v>
      </c>
    </row>
    <row r="92" spans="1:11" s="5" customFormat="1" hidden="1" x14ac:dyDescent="0.25">
      <c r="A92" s="113" t="s">
        <v>127</v>
      </c>
      <c r="B92" s="114"/>
      <c r="C92" s="64">
        <v>24</v>
      </c>
      <c r="D92" s="85">
        <f ca="1">((100/H89)*C92)/100</f>
        <v>1</v>
      </c>
      <c r="E92" s="109">
        <f ca="1">(((C93/H89*10)+(40/(D89+F89+H89)*C94)+(7.5/(H89)*C95)+(7.5/(H89)*C96)+(10/H89*C97)+(10/H89*C98)+(5/H89*C99)+(5/H89*C100)+(5/H89*C101))/100)</f>
        <v>8.3333333333333343E-2</v>
      </c>
      <c r="F92" s="109"/>
      <c r="G92" s="109">
        <f ca="1">((((C92/H89)*20)+((C93/H89)*25)+(30/(H89+F89+D89)*C94)+(5/H89*C95)+(5/H89*C96)+(5/H89*C97)+(5/H89*C98)+(0/H89*C99)+(0/H89*C100)+(5/H89*C101))/100)</f>
        <v>0.40833333333333338</v>
      </c>
      <c r="H92" s="111"/>
      <c r="I92" s="62" t="s">
        <v>98</v>
      </c>
      <c r="J92" s="66">
        <f ca="1">H89*50%</f>
        <v>12</v>
      </c>
    </row>
    <row r="93" spans="1:11" s="5" customFormat="1" hidden="1" x14ac:dyDescent="0.25">
      <c r="A93" s="113" t="s">
        <v>52</v>
      </c>
      <c r="B93" s="114"/>
      <c r="C93" s="67">
        <f ca="1">J98</f>
        <v>20</v>
      </c>
      <c r="D93" s="85">
        <f ca="1">((100/H89)*C93)/100</f>
        <v>0.83333333333333348</v>
      </c>
      <c r="E93" s="109"/>
      <c r="F93" s="109"/>
      <c r="G93" s="109"/>
      <c r="H93" s="111"/>
      <c r="I93" s="62" t="s">
        <v>99</v>
      </c>
      <c r="J93" s="66">
        <f ca="1">H89</f>
        <v>24</v>
      </c>
    </row>
    <row r="94" spans="1:11" s="5" customFormat="1" ht="15.75" hidden="1" customHeight="1" x14ac:dyDescent="0.25">
      <c r="A94" s="113" t="s">
        <v>128</v>
      </c>
      <c r="B94" s="114"/>
      <c r="C94" s="67">
        <v>0</v>
      </c>
      <c r="D94" s="85">
        <f ca="1">((100/(D89+F89+H89))*C94)/100</f>
        <v>0</v>
      </c>
      <c r="E94" s="109"/>
      <c r="F94" s="109"/>
      <c r="G94" s="109"/>
      <c r="H94" s="111"/>
      <c r="I94" s="62" t="s">
        <v>100</v>
      </c>
      <c r="J94" s="68">
        <f ca="1">(IF(B89&gt;1,(H89/(B89+2)),H89/4))</f>
        <v>4</v>
      </c>
    </row>
    <row r="95" spans="1:11" s="5" customFormat="1" ht="15.75" hidden="1" customHeight="1" x14ac:dyDescent="0.25">
      <c r="A95" s="113" t="s">
        <v>135</v>
      </c>
      <c r="B95" s="114" t="s">
        <v>129</v>
      </c>
      <c r="C95" s="64">
        <v>0</v>
      </c>
      <c r="D95" s="85">
        <f ca="1">((100/H89)*C95)/100</f>
        <v>0</v>
      </c>
      <c r="E95" s="109"/>
      <c r="F95" s="109"/>
      <c r="G95" s="109"/>
      <c r="H95" s="111"/>
      <c r="I95" s="62" t="s">
        <v>101</v>
      </c>
      <c r="J95" s="68">
        <f ca="1">(IF(B89&gt;1,(H89/(B89+2)+J94),H89/4+J94))</f>
        <v>8</v>
      </c>
    </row>
    <row r="96" spans="1:11" s="5" customFormat="1" ht="15.75" hidden="1" customHeight="1" x14ac:dyDescent="0.25">
      <c r="A96" s="113" t="s">
        <v>136</v>
      </c>
      <c r="B96" s="114" t="s">
        <v>129</v>
      </c>
      <c r="C96" s="64">
        <v>0</v>
      </c>
      <c r="D96" s="85">
        <f ca="1">((100/H89)*C96)/100</f>
        <v>0</v>
      </c>
      <c r="E96" s="109"/>
      <c r="F96" s="109"/>
      <c r="G96" s="109"/>
      <c r="H96" s="111"/>
      <c r="I96" s="62" t="s">
        <v>145</v>
      </c>
      <c r="J96" s="68">
        <f ca="1">(IF(B89&gt;1,(H89/(B89+2)+J95),0))</f>
        <v>12</v>
      </c>
    </row>
    <row r="97" spans="1:12" s="5" customFormat="1" ht="15" hidden="1" customHeight="1" x14ac:dyDescent="0.25">
      <c r="A97" s="113" t="s">
        <v>134</v>
      </c>
      <c r="B97" s="114" t="s">
        <v>131</v>
      </c>
      <c r="C97" s="64">
        <v>0</v>
      </c>
      <c r="D97" s="85">
        <f ca="1">((100/(H89))*C97)/100</f>
        <v>0</v>
      </c>
      <c r="E97" s="109"/>
      <c r="F97" s="109"/>
      <c r="G97" s="109"/>
      <c r="H97" s="111"/>
      <c r="I97" s="62" t="s">
        <v>142</v>
      </c>
      <c r="J97" s="68">
        <f ca="1">(IF(B89&gt;2,(H89/(B89+2)+J96),0))</f>
        <v>16</v>
      </c>
    </row>
    <row r="98" spans="1:12" s="5" customFormat="1" ht="15.75" hidden="1" customHeight="1" x14ac:dyDescent="0.25">
      <c r="A98" s="113" t="s">
        <v>130</v>
      </c>
      <c r="B98" s="114" t="s">
        <v>130</v>
      </c>
      <c r="C98" s="64">
        <v>0</v>
      </c>
      <c r="D98" s="85">
        <f ca="1">((100/H89)*C98)/100</f>
        <v>0</v>
      </c>
      <c r="E98" s="109"/>
      <c r="F98" s="109"/>
      <c r="G98" s="109"/>
      <c r="H98" s="111"/>
      <c r="I98" s="62" t="s">
        <v>143</v>
      </c>
      <c r="J98" s="69">
        <f ca="1">(IF(B89&gt;3,(H89/(B89+2)+J97),0))</f>
        <v>20</v>
      </c>
    </row>
    <row r="99" spans="1:12" s="5" customFormat="1" ht="15.75" hidden="1" customHeight="1" x14ac:dyDescent="0.25">
      <c r="A99" s="113" t="s">
        <v>137</v>
      </c>
      <c r="B99" s="114"/>
      <c r="C99" s="64">
        <v>0</v>
      </c>
      <c r="D99" s="85">
        <f ca="1">((100/H89)*C99)/100</f>
        <v>0</v>
      </c>
      <c r="E99" s="109"/>
      <c r="F99" s="109"/>
      <c r="G99" s="109"/>
      <c r="H99" s="111"/>
      <c r="I99" s="62" t="s">
        <v>144</v>
      </c>
      <c r="J99" s="68">
        <f>(IF(B89&gt;4,(H89/(B89+2)+J98),0))</f>
        <v>0</v>
      </c>
    </row>
    <row r="100" spans="1:12" s="5" customFormat="1" ht="15.75" hidden="1" customHeight="1" x14ac:dyDescent="0.25">
      <c r="A100" s="113" t="s">
        <v>132</v>
      </c>
      <c r="B100" s="114" t="s">
        <v>132</v>
      </c>
      <c r="C100" s="64">
        <v>0</v>
      </c>
      <c r="D100" s="85">
        <f ca="1">((100/(H89))*C100)/100</f>
        <v>0</v>
      </c>
      <c r="E100" s="109"/>
      <c r="F100" s="109"/>
      <c r="G100" s="109"/>
      <c r="H100" s="111"/>
      <c r="I100" s="62" t="s">
        <v>146</v>
      </c>
      <c r="J100" s="68">
        <f>(IF(B89=1,(H89/(B89+3)+J95),IF(B89=0,(H89/4+J95),IF(B89&gt;1,0))))</f>
        <v>0</v>
      </c>
    </row>
    <row r="101" spans="1:12" s="5" customFormat="1" ht="16.5" hidden="1" thickBot="1" x14ac:dyDescent="0.3">
      <c r="A101" s="115" t="s">
        <v>133</v>
      </c>
      <c r="B101" s="116"/>
      <c r="C101" s="70">
        <v>0</v>
      </c>
      <c r="D101" s="86">
        <f ca="1">((100/(H89))*C101)/100</f>
        <v>0</v>
      </c>
      <c r="E101" s="110"/>
      <c r="F101" s="110"/>
      <c r="G101" s="110"/>
      <c r="H101" s="112"/>
      <c r="I101" s="72" t="s">
        <v>102</v>
      </c>
      <c r="J101" s="73">
        <f ca="1">(IF(B89&gt;1.5,(H89/(B89+2)+J95+MAX(0,J96-J95)+MAX(0,J97-J96)+MAX(0,J98-J97)+MAX(0,J99-J98)+MAX(0,J100-J99)),IF(B89=1,(H89/(B89+3)+J100),IF(B89=0,H89/4+J100))))</f>
        <v>24</v>
      </c>
    </row>
    <row r="102" spans="1:12" s="5" customFormat="1" ht="15.75" hidden="1" customHeight="1" x14ac:dyDescent="0.25">
      <c r="A102" s="121" t="s">
        <v>139</v>
      </c>
      <c r="B102" s="122"/>
      <c r="C102" s="234" t="s">
        <v>238</v>
      </c>
      <c r="D102" s="235"/>
      <c r="E102" s="235"/>
      <c r="F102" s="235"/>
      <c r="G102" s="235"/>
      <c r="H102" s="236"/>
      <c r="I102" s="56" t="str">
        <f ca="1">(IF(E106&gt;99%,"All work completed. Please provide OC.",IF(E106&gt;89.8%,"Plinth, RCC, Brick, Plaster, Flooring, Painting work Completed. Finishing work is in process.",IF(E106&lt;94%,(IF(C106=0,"Work not yet Started.",IF(D106=25%,"Piling work in process",IF(D106=50%,"Excavation work in process",IF(D106=100%,"Excavation work Completed. ","0")))&amp;(IF(C107=0%,"",IF(C107=J108,"Footing work is process",IF(C107=J109,"Footing work Completed",IF(C107=J110,"1st Basement Completed",IF(C107=J111,"1st &amp; 2nd Basement Completed",IF(C107=J112,"1st to 3rd Basement Completed",IF(C107=J113,"1st to 4th Basement Completed",IF(C107=J114,"Plinth work is process",IF(C107=J115,"Plinth work completed","0")))))))))))&amp;(IF(C108=(D103+F103+H103),", RCC Slab",IF(C108&gt;0,", RCC upto "&amp;C108&amp;" Slab",""))&amp;(IF(C109=H103,", Brickwork",IF(C109&gt;0,", Brickwork upto "&amp;C109&amp;" Floor",""))&amp;(IF(C110=H103,", Internal Plaster",IF(C110&gt;0,", Internal Plaster upto "&amp;C110&amp;" Floor",""))&amp;(IF(C111=H103,", External Plaster",IF(C111&gt;0,", External Plaster upto "&amp;C111&amp;" Floor",""))&amp;(IF(C112=H103,", Flooring",IF(C112&gt;0,", Flooring upto "&amp;C112&amp;" Floor",""))&amp;(IF(C113=H103,", Painting",IF(C113&gt;0,", Painting upto "&amp;C113&amp;" Floor",""))&amp;(IF(C114&gt;0,", Finishing upto "&amp;C114&amp;" Floor","")&amp;(IF(C108&gt;0.5," Completed",""))))))))))))))</f>
        <v>Excavation work Completed. Footing work is process</v>
      </c>
      <c r="J102" s="57"/>
    </row>
    <row r="103" spans="1:12" s="5" customFormat="1" hidden="1" x14ac:dyDescent="0.25">
      <c r="A103" s="42" t="s">
        <v>141</v>
      </c>
      <c r="B103" s="52">
        <v>4</v>
      </c>
      <c r="C103" s="52" t="s">
        <v>75</v>
      </c>
      <c r="D103" s="52">
        <v>1</v>
      </c>
      <c r="E103" s="52" t="s">
        <v>74</v>
      </c>
      <c r="F103" s="52">
        <v>0</v>
      </c>
      <c r="G103" s="52" t="s">
        <v>84</v>
      </c>
      <c r="H103" s="45">
        <f ca="1">--TRIM(RIGHT(SUBSTITUTE(LEFT(C102,_xlfn.AGGREGATE(16,6,FIND({0,1,2,3,4,5,6,7,8,9},C102,ROW(INDIRECT("1:"&amp;LEN(C102)))),1))," ",REPT(" ",LEN(C102))),LEN(C102)))</f>
        <v>24</v>
      </c>
      <c r="I103" s="58"/>
      <c r="J103" s="59"/>
    </row>
    <row r="104" spans="1:12" s="5" customFormat="1" ht="17.25" hidden="1" customHeight="1" x14ac:dyDescent="0.25">
      <c r="A104" s="119" t="s">
        <v>94</v>
      </c>
      <c r="B104" s="120"/>
      <c r="C104" s="157" t="str">
        <f ca="1">I102</f>
        <v>Excavation work Completed. Footing work is process</v>
      </c>
      <c r="D104" s="157"/>
      <c r="E104" s="157"/>
      <c r="F104" s="157"/>
      <c r="G104" s="157"/>
      <c r="H104" s="158"/>
      <c r="I104" s="58" t="s">
        <v>103</v>
      </c>
      <c r="J104" s="59"/>
    </row>
    <row r="105" spans="1:12" s="5" customFormat="1" ht="15.75" hidden="1" customHeight="1" x14ac:dyDescent="0.25">
      <c r="A105" s="113" t="s">
        <v>51</v>
      </c>
      <c r="B105" s="114"/>
      <c r="C105" s="60" t="s">
        <v>138</v>
      </c>
      <c r="D105" s="61" t="s">
        <v>87</v>
      </c>
      <c r="E105" s="114" t="s">
        <v>89</v>
      </c>
      <c r="F105" s="114"/>
      <c r="G105" s="114" t="s">
        <v>88</v>
      </c>
      <c r="H105" s="118"/>
      <c r="I105" s="62" t="s">
        <v>140</v>
      </c>
      <c r="J105" s="63">
        <f ca="1">H103*25%</f>
        <v>6</v>
      </c>
      <c r="L105" s="98" t="s">
        <v>239</v>
      </c>
    </row>
    <row r="106" spans="1:12" s="5" customFormat="1" hidden="1" x14ac:dyDescent="0.25">
      <c r="A106" s="113" t="s">
        <v>127</v>
      </c>
      <c r="B106" s="114"/>
      <c r="C106" s="64">
        <v>24</v>
      </c>
      <c r="D106" s="65">
        <f ca="1">((100/H103)*C106)/100</f>
        <v>1</v>
      </c>
      <c r="E106" s="109">
        <f ca="1">(((C107/H103*10)+(40/(D103+F103+H103)*C108)+(7.5/(H103)*C109)+(7.5/(H103)*C110)+(10/H103*C111)+(10/H103*C112)+(5/H103*C113)+(5/H103*C114)+(5/H103*C115))/100)</f>
        <v>1.6666666666666666E-2</v>
      </c>
      <c r="F106" s="109"/>
      <c r="G106" s="109">
        <f ca="1">((((C106/H103)*20)+((C107/H103)*25)+(30/(H103+F103+D103)*C108)+(5/H103*C109)+(5/H103*C110)+(5/H103*C111)+(5/H103*C112)+(0/H103*C113)+(0/H103*C114)+(5/H103*C115))/100)</f>
        <v>0.24166666666666664</v>
      </c>
      <c r="H106" s="111"/>
      <c r="I106" s="62" t="s">
        <v>98</v>
      </c>
      <c r="J106" s="66">
        <f ca="1">H103*50%</f>
        <v>12</v>
      </c>
    </row>
    <row r="107" spans="1:12" s="5" customFormat="1" hidden="1" x14ac:dyDescent="0.25">
      <c r="A107" s="113" t="s">
        <v>52</v>
      </c>
      <c r="B107" s="114"/>
      <c r="C107" s="67">
        <f ca="1">J108</f>
        <v>4</v>
      </c>
      <c r="D107" s="65">
        <f ca="1">((100/H103)*C107)/100</f>
        <v>0.16666666666666669</v>
      </c>
      <c r="E107" s="109"/>
      <c r="F107" s="109"/>
      <c r="G107" s="109"/>
      <c r="H107" s="111"/>
      <c r="I107" s="62" t="s">
        <v>99</v>
      </c>
      <c r="J107" s="66">
        <f ca="1">H103</f>
        <v>24</v>
      </c>
    </row>
    <row r="108" spans="1:12" s="5" customFormat="1" ht="15.75" hidden="1" customHeight="1" x14ac:dyDescent="0.25">
      <c r="A108" s="113" t="s">
        <v>128</v>
      </c>
      <c r="B108" s="114"/>
      <c r="C108" s="67">
        <v>0</v>
      </c>
      <c r="D108" s="65">
        <f ca="1">((100/(D103+F103+H103))*C108)/100</f>
        <v>0</v>
      </c>
      <c r="E108" s="109"/>
      <c r="F108" s="109"/>
      <c r="G108" s="109"/>
      <c r="H108" s="111"/>
      <c r="I108" s="62" t="s">
        <v>100</v>
      </c>
      <c r="J108" s="68">
        <f ca="1">(IF(B103&gt;1,(H103/(B103+2)),H103/4))</f>
        <v>4</v>
      </c>
    </row>
    <row r="109" spans="1:12" s="5" customFormat="1" ht="15.75" hidden="1" customHeight="1" x14ac:dyDescent="0.25">
      <c r="A109" s="113" t="s">
        <v>135</v>
      </c>
      <c r="B109" s="114" t="s">
        <v>129</v>
      </c>
      <c r="C109" s="64">
        <v>0</v>
      </c>
      <c r="D109" s="65">
        <f ca="1">((100/H103)*C109)/100</f>
        <v>0</v>
      </c>
      <c r="E109" s="109"/>
      <c r="F109" s="109"/>
      <c r="G109" s="109"/>
      <c r="H109" s="111"/>
      <c r="I109" s="62" t="s">
        <v>101</v>
      </c>
      <c r="J109" s="68">
        <f ca="1">(IF(B103&gt;1,(H103/(B103+2)+J108),H103/4+J108))</f>
        <v>8</v>
      </c>
    </row>
    <row r="110" spans="1:12" s="5" customFormat="1" ht="15.75" hidden="1" customHeight="1" x14ac:dyDescent="0.25">
      <c r="A110" s="113" t="s">
        <v>136</v>
      </c>
      <c r="B110" s="114" t="s">
        <v>129</v>
      </c>
      <c r="C110" s="64">
        <v>0</v>
      </c>
      <c r="D110" s="65">
        <f ca="1">((100/H103)*C110)/100</f>
        <v>0</v>
      </c>
      <c r="E110" s="109"/>
      <c r="F110" s="109"/>
      <c r="G110" s="109"/>
      <c r="H110" s="111"/>
      <c r="I110" s="62" t="s">
        <v>145</v>
      </c>
      <c r="J110" s="68">
        <f ca="1">(IF(B103&gt;1,(H103/(B103+2)+J109),0))</f>
        <v>12</v>
      </c>
    </row>
    <row r="111" spans="1:12" s="5" customFormat="1" ht="15" hidden="1" customHeight="1" x14ac:dyDescent="0.25">
      <c r="A111" s="113" t="s">
        <v>134</v>
      </c>
      <c r="B111" s="114" t="s">
        <v>131</v>
      </c>
      <c r="C111" s="64">
        <v>0</v>
      </c>
      <c r="D111" s="65">
        <f ca="1">((100/(H103))*C111)/100</f>
        <v>0</v>
      </c>
      <c r="E111" s="109"/>
      <c r="F111" s="109"/>
      <c r="G111" s="109"/>
      <c r="H111" s="111"/>
      <c r="I111" s="62" t="s">
        <v>142</v>
      </c>
      <c r="J111" s="68">
        <f ca="1">(IF(B103&gt;2,(H103/(B103+2)+J110),0))</f>
        <v>16</v>
      </c>
    </row>
    <row r="112" spans="1:12" s="5" customFormat="1" ht="15.75" hidden="1" customHeight="1" x14ac:dyDescent="0.25">
      <c r="A112" s="113" t="s">
        <v>130</v>
      </c>
      <c r="B112" s="114" t="s">
        <v>130</v>
      </c>
      <c r="C112" s="64">
        <v>0</v>
      </c>
      <c r="D112" s="65">
        <f ca="1">((100/H103)*C112)/100</f>
        <v>0</v>
      </c>
      <c r="E112" s="109"/>
      <c r="F112" s="109"/>
      <c r="G112" s="109"/>
      <c r="H112" s="111"/>
      <c r="I112" s="62" t="s">
        <v>143</v>
      </c>
      <c r="J112" s="69">
        <f ca="1">(IF(B103&gt;3,(H103/(B103+2)+J111),0))</f>
        <v>20</v>
      </c>
    </row>
    <row r="113" spans="1:10" s="5" customFormat="1" ht="15.75" hidden="1" customHeight="1" x14ac:dyDescent="0.25">
      <c r="A113" s="113" t="s">
        <v>137</v>
      </c>
      <c r="B113" s="114"/>
      <c r="C113" s="64">
        <v>0</v>
      </c>
      <c r="D113" s="65">
        <f ca="1">((100/H103)*C113)/100</f>
        <v>0</v>
      </c>
      <c r="E113" s="109"/>
      <c r="F113" s="109"/>
      <c r="G113" s="109"/>
      <c r="H113" s="111"/>
      <c r="I113" s="62" t="s">
        <v>144</v>
      </c>
      <c r="J113" s="68">
        <f>(IF(B103&gt;4,(H103/(B103+2)+J112),0))</f>
        <v>0</v>
      </c>
    </row>
    <row r="114" spans="1:10" s="5" customFormat="1" ht="15.75" hidden="1" customHeight="1" x14ac:dyDescent="0.25">
      <c r="A114" s="113" t="s">
        <v>132</v>
      </c>
      <c r="B114" s="114" t="s">
        <v>132</v>
      </c>
      <c r="C114" s="64">
        <v>0</v>
      </c>
      <c r="D114" s="65">
        <f ca="1">((100/(H103))*C114)/100</f>
        <v>0</v>
      </c>
      <c r="E114" s="109"/>
      <c r="F114" s="109"/>
      <c r="G114" s="109"/>
      <c r="H114" s="111"/>
      <c r="I114" s="62" t="s">
        <v>146</v>
      </c>
      <c r="J114" s="68">
        <f>(IF(B103=1,(H103/(B103+3)+J109),IF(B103=0,(H103/4+J109),IF(B103&gt;1,0))))</f>
        <v>0</v>
      </c>
    </row>
    <row r="115" spans="1:10" s="5" customFormat="1" ht="16.5" hidden="1" thickBot="1" x14ac:dyDescent="0.3">
      <c r="A115" s="115" t="s">
        <v>133</v>
      </c>
      <c r="B115" s="116"/>
      <c r="C115" s="70">
        <v>0</v>
      </c>
      <c r="D115" s="71">
        <f ca="1">((100/(H103))*C115)/100</f>
        <v>0</v>
      </c>
      <c r="E115" s="110"/>
      <c r="F115" s="110"/>
      <c r="G115" s="110"/>
      <c r="H115" s="112"/>
      <c r="I115" s="72" t="s">
        <v>102</v>
      </c>
      <c r="J115" s="73">
        <f ca="1">(IF(B103&gt;1.5,(H103/(B103+2)+J109+MAX(0,J110-J109)+MAX(0,J111-J110)+MAX(0,J112-J111)+MAX(0,J113-J112)+MAX(0,J114-J113)),IF(B103=1,(H103/(B103+3)+J114),IF(B103=0,H103/4+J114))))</f>
        <v>24</v>
      </c>
    </row>
    <row r="116" spans="1:10" x14ac:dyDescent="0.25">
      <c r="A116" s="103" t="s">
        <v>53</v>
      </c>
      <c r="B116" s="103"/>
      <c r="C116" s="103"/>
      <c r="D116" s="103"/>
      <c r="E116" s="103"/>
      <c r="F116" s="103"/>
      <c r="G116" s="103"/>
      <c r="H116" s="103"/>
      <c r="I116" s="3" t="s">
        <v>198</v>
      </c>
      <c r="J116" s="36">
        <v>45327</v>
      </c>
    </row>
    <row r="117" spans="1:10" x14ac:dyDescent="0.25">
      <c r="A117" s="106" t="s">
        <v>79</v>
      </c>
      <c r="B117" s="106"/>
      <c r="C117" s="106"/>
      <c r="D117" s="106"/>
      <c r="E117" s="106"/>
      <c r="F117" s="205">
        <v>25000</v>
      </c>
      <c r="G117" s="205"/>
      <c r="H117" s="205"/>
      <c r="I117" s="3" t="s">
        <v>201</v>
      </c>
      <c r="J117" s="3" t="s">
        <v>202</v>
      </c>
    </row>
    <row r="118" spans="1:10" hidden="1" x14ac:dyDescent="0.25">
      <c r="A118" s="106" t="s">
        <v>188</v>
      </c>
      <c r="B118" s="106"/>
      <c r="C118" s="106"/>
      <c r="D118" s="106"/>
      <c r="E118" s="106"/>
      <c r="F118" s="125">
        <v>75000</v>
      </c>
      <c r="G118" s="126"/>
      <c r="H118" s="126"/>
    </row>
    <row r="119" spans="1:10" hidden="1" x14ac:dyDescent="0.25">
      <c r="A119" s="108" t="s">
        <v>189</v>
      </c>
      <c r="B119" s="106"/>
      <c r="C119" s="106"/>
      <c r="D119" s="106"/>
      <c r="E119" s="106"/>
      <c r="F119" s="125">
        <v>25000</v>
      </c>
      <c r="G119" s="126"/>
      <c r="H119" s="126"/>
    </row>
    <row r="120" spans="1:10" hidden="1" x14ac:dyDescent="0.25">
      <c r="A120" s="106" t="s">
        <v>190</v>
      </c>
      <c r="B120" s="106"/>
      <c r="C120" s="106"/>
      <c r="D120" s="106"/>
      <c r="E120" s="106"/>
      <c r="F120" s="125">
        <v>50000</v>
      </c>
      <c r="G120" s="126"/>
      <c r="H120" s="126"/>
    </row>
    <row r="121" spans="1:10" hidden="1" x14ac:dyDescent="0.25">
      <c r="A121" s="106" t="s">
        <v>191</v>
      </c>
      <c r="B121" s="106"/>
      <c r="C121" s="106"/>
      <c r="D121" s="106"/>
      <c r="E121" s="106"/>
      <c r="F121" s="125">
        <v>15000</v>
      </c>
      <c r="G121" s="126"/>
      <c r="H121" s="126"/>
    </row>
    <row r="122" spans="1:10" hidden="1" x14ac:dyDescent="0.25">
      <c r="A122" s="106" t="s">
        <v>192</v>
      </c>
      <c r="B122" s="106"/>
      <c r="C122" s="106"/>
      <c r="D122" s="106"/>
      <c r="E122" s="106"/>
      <c r="F122" s="125">
        <v>25000</v>
      </c>
      <c r="G122" s="126"/>
      <c r="H122" s="126"/>
    </row>
    <row r="123" spans="1:10" hidden="1" x14ac:dyDescent="0.25">
      <c r="A123" s="106" t="s">
        <v>193</v>
      </c>
      <c r="B123" s="106"/>
      <c r="C123" s="106"/>
      <c r="D123" s="106"/>
      <c r="E123" s="106"/>
      <c r="F123" s="126">
        <v>600</v>
      </c>
      <c r="G123" s="126"/>
      <c r="H123" s="126"/>
    </row>
    <row r="124" spans="1:10" hidden="1" x14ac:dyDescent="0.25">
      <c r="A124" s="106" t="s">
        <v>194</v>
      </c>
      <c r="B124" s="106"/>
      <c r="C124" s="106"/>
      <c r="D124" s="106"/>
      <c r="E124" s="106"/>
      <c r="F124" s="125">
        <v>50000</v>
      </c>
      <c r="G124" s="126"/>
      <c r="H124" s="126"/>
    </row>
    <row r="125" spans="1:10" x14ac:dyDescent="0.25">
      <c r="A125" s="106" t="s">
        <v>195</v>
      </c>
      <c r="B125" s="106"/>
      <c r="C125" s="106"/>
      <c r="D125" s="106"/>
      <c r="E125" s="106"/>
      <c r="F125" s="125">
        <v>1000000</v>
      </c>
      <c r="G125" s="126"/>
      <c r="H125" s="126"/>
    </row>
    <row r="126" spans="1:10" s="4" customFormat="1" x14ac:dyDescent="0.25">
      <c r="A126" s="103" t="s">
        <v>54</v>
      </c>
      <c r="B126" s="103"/>
      <c r="C126" s="103"/>
      <c r="D126" s="103"/>
      <c r="E126" s="103"/>
      <c r="F126" s="159">
        <f>F117*0.8</f>
        <v>20000</v>
      </c>
      <c r="G126" s="159"/>
      <c r="H126" s="159"/>
    </row>
    <row r="127" spans="1:10" s="1" customFormat="1" x14ac:dyDescent="0.25">
      <c r="A127" s="188" t="s">
        <v>73</v>
      </c>
      <c r="B127" s="188"/>
      <c r="C127" s="188"/>
      <c r="D127" s="188"/>
      <c r="E127" s="188"/>
      <c r="F127" s="188"/>
      <c r="G127" s="188"/>
      <c r="H127" s="188"/>
    </row>
    <row r="128" spans="1:10" s="1" customFormat="1" ht="15.75" customHeight="1" x14ac:dyDescent="0.25">
      <c r="A128" s="124" t="s">
        <v>55</v>
      </c>
      <c r="B128" s="124"/>
      <c r="C128" s="123" t="s">
        <v>82</v>
      </c>
      <c r="D128" s="123"/>
      <c r="E128" s="200" t="s">
        <v>56</v>
      </c>
      <c r="F128" s="200"/>
      <c r="G128" s="124" t="s">
        <v>57</v>
      </c>
      <c r="H128" s="124"/>
    </row>
    <row r="129" spans="1:14" s="1" customFormat="1" x14ac:dyDescent="0.25">
      <c r="A129" s="184" t="s">
        <v>218</v>
      </c>
      <c r="B129" s="184"/>
      <c r="C129" s="244">
        <f>COUNT(D141:D143,D145)+COUNT(D147:D149,D151)+COUNT(D153:D157)*19+COUNT(D159:D160,D162:D163)*4</f>
        <v>119</v>
      </c>
      <c r="D129" s="244"/>
      <c r="E129" s="105">
        <f>SUM(D141:D143,D145)+SUM(D147:D149,D151)+SUM(D153:D157)*19+SUM(D159:D160,D162:D163)*4</f>
        <v>129001.470156</v>
      </c>
      <c r="F129" s="105"/>
      <c r="G129" s="105">
        <f>SUM(F141:F143,F145)+SUM(F147:F149,F151)+SUM(F153:F157)*19+SUM(F159:F160,F162:F163)*4</f>
        <v>193502.20523399999</v>
      </c>
      <c r="H129" s="105"/>
    </row>
    <row r="130" spans="1:14" s="1" customFormat="1" hidden="1" x14ac:dyDescent="0.25">
      <c r="A130" s="184" t="s">
        <v>185</v>
      </c>
      <c r="B130" s="184"/>
      <c r="C130" s="246">
        <f>COUNT(D169:D171)+COUNT(D173:D176)+COUNT(D178:D182)*8+COUNT(D184:D188)*8+COUNT(D190)+COUNT(D192:D194)+COUNT(D196)*2+COUNT(D198:D200)*2+COUNT(D202)+COUNT(D204:D206)+COUNT(D208:D212)+COUNT(D214:D218)</f>
        <v>113</v>
      </c>
      <c r="D130" s="246"/>
      <c r="E130" s="105">
        <f>SUM(D169:D171)+SUM(D173:D176)+SUM(D178:D182)*8+SUM(D184:D188)*8+SUM(D190)+SUM(D192:D194)+SUM(D196)*2+SUM(D198:D200)*2+SUM(D202)+SUM(D204:D206)+SUM(D208:D212)+SUM(D214:D218)</f>
        <v>83628.346931999986</v>
      </c>
      <c r="F130" s="105"/>
      <c r="G130" s="105">
        <f>SUM(F169:F171)+SUM(F173:F176)+SUM(F178:F182)*8+SUM(F184:F188)*8+SUM(F190)+SUM(F192:F194)+SUM(F196)*2+SUM(F198:F200)*2+SUM(F202)+SUM(F204:F206)+SUM(F208:F212)+SUM(F214:F218)</f>
        <v>131167.23539400002</v>
      </c>
      <c r="H130" s="105"/>
    </row>
    <row r="131" spans="1:14" s="1" customFormat="1" hidden="1" x14ac:dyDescent="0.25">
      <c r="A131" s="184" t="s">
        <v>186</v>
      </c>
      <c r="B131" s="184"/>
      <c r="C131" s="246">
        <f>COUNT(D226)+COUNT(D230:D231)+COUNT(D233:D238)*8+COUNT(D240:D245)*8+COUNT(D254)+COUNT(D256:D259)+COUNT(D261)*2+COUNT(D263:D266)*2+COUNT(D268)+COUNT(D270:D273)+COUNT(D275:D280)+COUNT(D282:D287)</f>
        <v>131</v>
      </c>
      <c r="D131" s="246"/>
      <c r="E131" s="105">
        <f>SUM(D226)+SUM(D230:D231)+SUM(D233:D238)*8+SUM(D240:D245)*8+SUM(D254)+SUM(D256:D259)+SUM(D261)*2+SUM(D263:D266)*2+SUM(D268)+SUM(D270:D273)+SUM(D275:D280)+SUM(D282:D287)</f>
        <v>101600.80397999998</v>
      </c>
      <c r="F131" s="105"/>
      <c r="G131" s="105">
        <f>SUM(F226)+SUM(F230:F231)+SUM(F233:F238)*8+SUM(F240:F245)*8+SUM(F254)+SUM(F256:F259)+SUM(F261)*2+SUM(F263:F266)*2+SUM(F268)+SUM(F270:F273)+SUM(F275:F280)+SUM(F282:F287)</f>
        <v>158928.72161400001</v>
      </c>
      <c r="H131" s="105"/>
    </row>
    <row r="132" spans="1:14" s="1" customFormat="1" hidden="1" x14ac:dyDescent="0.25">
      <c r="A132" s="188" t="s">
        <v>149</v>
      </c>
      <c r="B132" s="188"/>
      <c r="C132" s="243">
        <f>SUM(C129:D131)</f>
        <v>363</v>
      </c>
      <c r="D132" s="123"/>
      <c r="E132" s="243">
        <f>SUM(E129:F131)</f>
        <v>314230.62106799998</v>
      </c>
      <c r="F132" s="123"/>
      <c r="G132" s="243">
        <f>SUM(G129:H131)</f>
        <v>483598.16224199999</v>
      </c>
      <c r="H132" s="123"/>
    </row>
    <row r="133" spans="1:14" s="4" customFormat="1" x14ac:dyDescent="0.25">
      <c r="A133" s="233" t="s">
        <v>58</v>
      </c>
      <c r="B133" s="233"/>
      <c r="C133" s="233"/>
      <c r="D133" s="233"/>
      <c r="E133" s="233"/>
      <c r="F133" s="233"/>
      <c r="G133" s="233"/>
      <c r="H133" s="233"/>
    </row>
    <row r="134" spans="1:14" x14ac:dyDescent="0.25">
      <c r="A134" s="233" t="s">
        <v>59</v>
      </c>
      <c r="B134" s="233"/>
      <c r="C134" s="233"/>
      <c r="D134" s="233"/>
      <c r="E134" s="233"/>
      <c r="F134" s="233"/>
      <c r="G134" s="233"/>
      <c r="H134" s="233"/>
    </row>
    <row r="135" spans="1:14" ht="47.25" customHeight="1" x14ac:dyDescent="0.25">
      <c r="A135" s="195" t="s">
        <v>118</v>
      </c>
      <c r="B135" s="195" t="s">
        <v>119</v>
      </c>
      <c r="C135" s="212" t="s">
        <v>60</v>
      </c>
      <c r="D135" s="212" t="s">
        <v>61</v>
      </c>
      <c r="E135" s="214" t="s">
        <v>62</v>
      </c>
      <c r="F135" s="33" t="s">
        <v>148</v>
      </c>
      <c r="G135" s="195" t="s">
        <v>63</v>
      </c>
      <c r="H135" s="216"/>
      <c r="I135" s="30"/>
    </row>
    <row r="136" spans="1:14" s="32" customFormat="1" x14ac:dyDescent="0.25">
      <c r="A136" s="196"/>
      <c r="B136" s="196"/>
      <c r="C136" s="213"/>
      <c r="D136" s="213"/>
      <c r="E136" s="215"/>
      <c r="F136" s="28">
        <v>0.5</v>
      </c>
      <c r="G136" s="196"/>
      <c r="H136" s="217"/>
      <c r="I136" s="30"/>
    </row>
    <row r="137" spans="1:14" s="77" customFormat="1" x14ac:dyDescent="0.25">
      <c r="A137" s="218" t="s">
        <v>211</v>
      </c>
      <c r="B137" s="218"/>
      <c r="C137" s="218"/>
      <c r="D137" s="218"/>
      <c r="E137" s="218"/>
      <c r="F137" s="218"/>
      <c r="G137" s="218"/>
      <c r="H137" s="218"/>
      <c r="I137" s="30"/>
      <c r="L137" s="220"/>
      <c r="M137" s="220"/>
    </row>
    <row r="138" spans="1:14" s="77" customFormat="1" x14ac:dyDescent="0.25">
      <c r="A138" s="218" t="s">
        <v>212</v>
      </c>
      <c r="B138" s="218"/>
      <c r="C138" s="218"/>
      <c r="D138" s="218"/>
      <c r="E138" s="218"/>
      <c r="F138" s="218"/>
      <c r="G138" s="218"/>
      <c r="H138" s="218"/>
      <c r="I138" s="30"/>
      <c r="L138" s="220"/>
      <c r="M138" s="220"/>
    </row>
    <row r="139" spans="1:14" s="77" customFormat="1" x14ac:dyDescent="0.25">
      <c r="A139" s="218" t="s">
        <v>213</v>
      </c>
      <c r="B139" s="218"/>
      <c r="C139" s="218"/>
      <c r="D139" s="218"/>
      <c r="E139" s="218"/>
      <c r="F139" s="218"/>
      <c r="G139" s="218"/>
      <c r="H139" s="218"/>
      <c r="I139" s="30"/>
      <c r="L139" s="220"/>
      <c r="M139" s="220"/>
    </row>
    <row r="140" spans="1:14" s="77" customFormat="1" x14ac:dyDescent="0.25">
      <c r="A140" s="218" t="s">
        <v>214</v>
      </c>
      <c r="B140" s="218"/>
      <c r="C140" s="218"/>
      <c r="D140" s="218"/>
      <c r="E140" s="218"/>
      <c r="F140" s="218"/>
      <c r="G140" s="218"/>
      <c r="H140" s="218"/>
      <c r="I140" s="30"/>
      <c r="L140" s="220"/>
      <c r="M140" s="220"/>
    </row>
    <row r="141" spans="1:14" s="77" customFormat="1" x14ac:dyDescent="0.25">
      <c r="A141" s="219">
        <v>1</v>
      </c>
      <c r="B141" s="219"/>
      <c r="C141" s="78" t="s">
        <v>170</v>
      </c>
      <c r="D141" s="78">
        <f>(70.962+4.591+4.458)*10.764</f>
        <v>861.23840399999995</v>
      </c>
      <c r="E141" s="78">
        <v>0</v>
      </c>
      <c r="F141" s="78">
        <f t="shared" ref="F141" si="0">D141*(($F$136)+1)+(IF(E141&lt;101,E141,IF(E141&lt;201,E141/2,IF(E141&lt;=301,E141/3,E141/4))))</f>
        <v>1291.857606</v>
      </c>
      <c r="G141" s="165" t="str">
        <f>A140</f>
        <v>1st Floor For Residential</v>
      </c>
      <c r="H141" s="166"/>
      <c r="I141" s="30">
        <f>2.6*1.375+2.45*2.835+5.8*3.2+3.425*0.735+3.65*3.05+4.575*3.35+1*2.515+2.275*1.375+2.275*1.6</f>
        <v>67.339999999999989</v>
      </c>
      <c r="J141" s="77">
        <f>1.05*2.45+1.35*1.42</f>
        <v>4.4895000000000005</v>
      </c>
      <c r="K141" s="77">
        <f>3.4*1.35</f>
        <v>4.59</v>
      </c>
      <c r="N141" s="30"/>
    </row>
    <row r="142" spans="1:14" s="77" customFormat="1" x14ac:dyDescent="0.25">
      <c r="A142" s="219">
        <f>A141+1</f>
        <v>2</v>
      </c>
      <c r="B142" s="219"/>
      <c r="C142" s="78" t="s">
        <v>171</v>
      </c>
      <c r="D142" s="78">
        <f>(98.814+5.078+5.26)*10.764</f>
        <v>1174.9121279999999</v>
      </c>
      <c r="E142" s="78">
        <v>0</v>
      </c>
      <c r="F142" s="78">
        <f t="shared" ref="F142" si="1">D142*(($F$136)+1)+(IF(E142&lt;101,E142,IF(E142&lt;201,E142/2,IF(E142&lt;=301,E142/3,E142/4))))</f>
        <v>1762.3681919999999</v>
      </c>
      <c r="G142" s="167"/>
      <c r="H142" s="168"/>
      <c r="I142" s="30"/>
      <c r="N142" s="30"/>
    </row>
    <row r="143" spans="1:14" s="77" customFormat="1" x14ac:dyDescent="0.25">
      <c r="A143" s="219">
        <f>A142+1</f>
        <v>3</v>
      </c>
      <c r="B143" s="219"/>
      <c r="C143" s="78" t="s">
        <v>170</v>
      </c>
      <c r="D143" s="78">
        <f>(72.225+4.913+4.375)*10.764</f>
        <v>877.40593199999989</v>
      </c>
      <c r="E143" s="78">
        <v>0</v>
      </c>
      <c r="F143" s="78">
        <f>D143*(($F$136)+1)+(IF(E143&lt;101,E143,IF(E143&lt;201,E143/2,IF(E143&lt;=301,E143/3,E143/4))))</f>
        <v>1316.108898</v>
      </c>
      <c r="G143" s="167"/>
      <c r="H143" s="168"/>
      <c r="I143" s="30"/>
      <c r="N143" s="30"/>
    </row>
    <row r="144" spans="1:14" s="77" customFormat="1" x14ac:dyDescent="0.25">
      <c r="A144" s="219">
        <f>A143+1</f>
        <v>4</v>
      </c>
      <c r="B144" s="219"/>
      <c r="C144" s="163" t="s">
        <v>173</v>
      </c>
      <c r="D144" s="211"/>
      <c r="E144" s="211"/>
      <c r="F144" s="164"/>
      <c r="G144" s="167"/>
      <c r="H144" s="168"/>
      <c r="I144" s="30"/>
      <c r="N144" s="30"/>
    </row>
    <row r="145" spans="1:16" s="77" customFormat="1" x14ac:dyDescent="0.25">
      <c r="A145" s="219">
        <f>A144+1</f>
        <v>5</v>
      </c>
      <c r="B145" s="219"/>
      <c r="C145" s="78" t="s">
        <v>171</v>
      </c>
      <c r="D145" s="78">
        <f>(104.999+5.162+5.26)*10.764</f>
        <v>1242.391644</v>
      </c>
      <c r="E145" s="78">
        <v>0</v>
      </c>
      <c r="F145" s="78">
        <f t="shared" ref="F145" si="2">D145*(($F$136)+1)+(IF(E145&lt;101,E145,IF(E145&lt;201,E145/2,IF(E145&lt;=301,E145/3,E145/4))))</f>
        <v>1863.5874659999999</v>
      </c>
      <c r="G145" s="169"/>
      <c r="H145" s="170"/>
      <c r="I145" s="30"/>
      <c r="N145" s="30"/>
    </row>
    <row r="146" spans="1:16" s="77" customFormat="1" x14ac:dyDescent="0.25">
      <c r="A146" s="218" t="s">
        <v>215</v>
      </c>
      <c r="B146" s="218"/>
      <c r="C146" s="218"/>
      <c r="D146" s="218"/>
      <c r="E146" s="218"/>
      <c r="F146" s="218"/>
      <c r="G146" s="218"/>
      <c r="H146" s="218"/>
      <c r="I146" s="30"/>
      <c r="L146" s="220"/>
      <c r="M146" s="220"/>
    </row>
    <row r="147" spans="1:16" s="77" customFormat="1" ht="15.75" customHeight="1" x14ac:dyDescent="0.25">
      <c r="A147" s="219">
        <v>1</v>
      </c>
      <c r="B147" s="219"/>
      <c r="C147" s="78" t="s">
        <v>170</v>
      </c>
      <c r="D147" s="78">
        <f>(70.962+4.591+4.458)*10.764</f>
        <v>861.23840399999995</v>
      </c>
      <c r="E147" s="78">
        <v>0</v>
      </c>
      <c r="F147" s="78">
        <f t="shared" ref="F147:F148" si="3">D147*(($F$136)+1)+(IF(E147&lt;101,E147,IF(E147&lt;201,E147/2,IF(E147&lt;=301,E147/3,E147/4))))</f>
        <v>1291.857606</v>
      </c>
      <c r="G147" s="165" t="str">
        <f>A146</f>
        <v>2nd Floor (Part Library &amp; Entry to E-Deck Floor)</v>
      </c>
      <c r="H147" s="166"/>
      <c r="I147" s="30">
        <f>32000000/F147</f>
        <v>24770.531869284052</v>
      </c>
      <c r="J147" s="77">
        <f>33500000/F147</f>
        <v>25931.650550656741</v>
      </c>
      <c r="N147" s="30"/>
    </row>
    <row r="148" spans="1:16" s="77" customFormat="1" ht="15.75" customHeight="1" x14ac:dyDescent="0.25">
      <c r="A148" s="219">
        <f>A147+1</f>
        <v>2</v>
      </c>
      <c r="B148" s="219"/>
      <c r="C148" s="78" t="s">
        <v>171</v>
      </c>
      <c r="D148" s="78">
        <f>(98.814+5.078+5.26)*10.764</f>
        <v>1174.9121279999999</v>
      </c>
      <c r="E148" s="78">
        <v>0</v>
      </c>
      <c r="F148" s="78">
        <f t="shared" si="3"/>
        <v>1762.3681919999999</v>
      </c>
      <c r="G148" s="167"/>
      <c r="H148" s="168"/>
      <c r="I148" s="30"/>
      <c r="N148" s="30"/>
    </row>
    <row r="149" spans="1:16" s="77" customFormat="1" ht="15.75" customHeight="1" x14ac:dyDescent="0.25">
      <c r="A149" s="219">
        <f>A148+1</f>
        <v>3</v>
      </c>
      <c r="B149" s="219"/>
      <c r="C149" s="78" t="s">
        <v>170</v>
      </c>
      <c r="D149" s="78">
        <f>(72.225+4.913+4.375)*10.764</f>
        <v>877.40593199999989</v>
      </c>
      <c r="E149" s="78">
        <v>0</v>
      </c>
      <c r="F149" s="78">
        <f>D149*(($F$136)+1)+(IF(E149&lt;101,E149,IF(E149&lt;201,E149/2,IF(E149&lt;=301,E149/3,E149/4))))</f>
        <v>1316.108898</v>
      </c>
      <c r="G149" s="167"/>
      <c r="H149" s="168"/>
      <c r="I149" s="30"/>
      <c r="N149" s="30"/>
    </row>
    <row r="150" spans="1:16" s="77" customFormat="1" ht="15.75" customHeight="1" x14ac:dyDescent="0.25">
      <c r="A150" s="219">
        <f>A149+1</f>
        <v>4</v>
      </c>
      <c r="B150" s="219"/>
      <c r="C150" s="163" t="s">
        <v>249</v>
      </c>
      <c r="D150" s="211"/>
      <c r="E150" s="211"/>
      <c r="F150" s="164"/>
      <c r="G150" s="167"/>
      <c r="H150" s="168"/>
      <c r="I150" s="30"/>
      <c r="N150" s="30"/>
    </row>
    <row r="151" spans="1:16" s="77" customFormat="1" ht="15.75" customHeight="1" x14ac:dyDescent="0.25">
      <c r="A151" s="219">
        <f>A150+1</f>
        <v>5</v>
      </c>
      <c r="B151" s="219"/>
      <c r="C151" s="78" t="s">
        <v>171</v>
      </c>
      <c r="D151" s="78">
        <f>(104.999+5.162+5.26)*10.764</f>
        <v>1242.391644</v>
      </c>
      <c r="E151" s="78">
        <v>0</v>
      </c>
      <c r="F151" s="78">
        <f>D151*(($F$136)+1)+(IF(E151&lt;101,E151,IF(E151&lt;201,E151/2,IF(E151&lt;=301,E151/3,E151/4))))</f>
        <v>1863.5874659999999</v>
      </c>
      <c r="G151" s="169"/>
      <c r="H151" s="170"/>
      <c r="I151" s="30"/>
      <c r="N151" s="30"/>
    </row>
    <row r="152" spans="1:16" s="77" customFormat="1" ht="15.75" customHeight="1" x14ac:dyDescent="0.25">
      <c r="A152" s="171" t="s">
        <v>216</v>
      </c>
      <c r="B152" s="172"/>
      <c r="C152" s="172"/>
      <c r="D152" s="172"/>
      <c r="E152" s="172"/>
      <c r="F152" s="172"/>
      <c r="G152" s="172"/>
      <c r="H152" s="173"/>
      <c r="I152" s="30"/>
      <c r="P152" s="31"/>
    </row>
    <row r="153" spans="1:16" s="77" customFormat="1" ht="15.75" customHeight="1" x14ac:dyDescent="0.25">
      <c r="A153" s="219">
        <v>1</v>
      </c>
      <c r="B153" s="219"/>
      <c r="C153" s="78" t="s">
        <v>170</v>
      </c>
      <c r="D153" s="78">
        <f>(70.962+4.591+4.458)*10.764</f>
        <v>861.23840399999995</v>
      </c>
      <c r="E153" s="78">
        <v>0</v>
      </c>
      <c r="F153" s="78">
        <f t="shared" ref="F153:F154" si="4">D153*(($F$136)+1)+(IF(E153&lt;101,E153,IF(E153&lt;201,E153/2,IF(E153&lt;=301,E153/3,E153/4))))</f>
        <v>1291.857606</v>
      </c>
      <c r="G153" s="165" t="str">
        <f>A152</f>
        <v>3rd to 6th, 8th to 11th, 13th to 16th, 18th to 21st &amp; 23rd to 25th Floor</v>
      </c>
      <c r="H153" s="166"/>
      <c r="I153" s="30"/>
      <c r="N153" s="77" t="str">
        <f t="shared" ref="N153:N157" ca="1" si="5">O153&amp;""&amp;",..,"&amp;""&amp;P153</f>
        <v>3601,..,2501</v>
      </c>
      <c r="O153" s="77">
        <f ca="1">(SUMPRODUCT(MID(0&amp;(LEFT(A152,SUM(LEN(A152)-LEN(SUBSTITUTE(A152,{0,1,2},""))))), LARGE(INDEX(ISNUMBER(--MID((LEFT(A152,SUM(LEN(A152)-LEN(SUBSTITUTE(A152,{0,1,2},""))))), ROW(INDIRECT("1:"&amp;LEN((LEFT(A152,SUM(LEN(A152)-LEN(SUBSTITUTE(A152,{0,1,2},"")))))))), 1)) * ROW(INDIRECT("1:"&amp;LEN((LEFT(A152,SUM(LEN(A152)-LEN(SUBSTITUTE(A152,{0,1,2},"")))))))), 0), ROW(INDIRECT("1:"&amp;LEN((LEFT(A152,SUM(LEN(A152)-LEN(SUBSTITUTE(A152,{0,1,2},"")))))))))+1, 1) * 10^ROW(INDIRECT("1:"&amp;LEN((LEFT(A152,SUM(LEN(A152)-LEN(SUBSTITUTE(A152,{0,1,2},""))))))))/10))*100+1</f>
        <v>3601</v>
      </c>
      <c r="P153" s="77">
        <f ca="1">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2501</v>
      </c>
    </row>
    <row r="154" spans="1:16" s="77" customFormat="1" ht="15.75" customHeight="1" x14ac:dyDescent="0.25">
      <c r="A154" s="219">
        <f>A153+1</f>
        <v>2</v>
      </c>
      <c r="B154" s="219"/>
      <c r="C154" s="78" t="s">
        <v>171</v>
      </c>
      <c r="D154" s="78">
        <f>(98.814+5.078+5.26)*10.764</f>
        <v>1174.9121279999999</v>
      </c>
      <c r="E154" s="78">
        <v>0</v>
      </c>
      <c r="F154" s="78">
        <f t="shared" si="4"/>
        <v>1762.3681919999999</v>
      </c>
      <c r="G154" s="167"/>
      <c r="H154" s="168"/>
      <c r="I154" s="30"/>
      <c r="N154" s="77" t="str">
        <f t="shared" ca="1" si="5"/>
        <v>3602,..,2502</v>
      </c>
      <c r="O154" s="77">
        <f t="shared" ref="O154:P154" ca="1" si="6">O153+1</f>
        <v>3602</v>
      </c>
      <c r="P154" s="77">
        <f t="shared" ca="1" si="6"/>
        <v>2502</v>
      </c>
    </row>
    <row r="155" spans="1:16" s="77" customFormat="1" ht="15.75" customHeight="1" x14ac:dyDescent="0.25">
      <c r="A155" s="219">
        <f>A154+1</f>
        <v>3</v>
      </c>
      <c r="B155" s="219"/>
      <c r="C155" s="78" t="s">
        <v>170</v>
      </c>
      <c r="D155" s="78">
        <f>(72.225+4.913+4.375)*10.764</f>
        <v>877.40593199999989</v>
      </c>
      <c r="E155" s="78">
        <v>0</v>
      </c>
      <c r="F155" s="78">
        <f>D155*(($F$136)+1)+(IF(E155&lt;101,E155,IF(E155&lt;201,E155/2,IF(E155&lt;=301,E155/3,E155/4))))</f>
        <v>1316.108898</v>
      </c>
      <c r="G155" s="167"/>
      <c r="H155" s="168"/>
      <c r="I155" s="30"/>
      <c r="N155" s="77" t="str">
        <f t="shared" ca="1" si="5"/>
        <v>3603,..,2503</v>
      </c>
      <c r="O155" s="77">
        <f t="shared" ref="O155:P155" ca="1" si="7">O154+1</f>
        <v>3603</v>
      </c>
      <c r="P155" s="77">
        <f t="shared" ca="1" si="7"/>
        <v>2503</v>
      </c>
    </row>
    <row r="156" spans="1:16" s="77" customFormat="1" ht="15.75" customHeight="1" x14ac:dyDescent="0.25">
      <c r="A156" s="219">
        <f>A155+1</f>
        <v>4</v>
      </c>
      <c r="B156" s="219"/>
      <c r="C156" s="78" t="s">
        <v>171</v>
      </c>
      <c r="D156" s="78">
        <f>(105.15+5.162+5.26)*10.764</f>
        <v>1244.017008</v>
      </c>
      <c r="E156" s="78">
        <v>0</v>
      </c>
      <c r="F156" s="78">
        <f t="shared" ref="F156:F157" si="8">D156*(($F$136)+1)+(IF(E156&lt;101,E156,IF(E156&lt;201,E156/2,IF(E156&lt;=301,E156/3,E156/4))))</f>
        <v>1866.0255120000002</v>
      </c>
      <c r="G156" s="167"/>
      <c r="H156" s="168"/>
      <c r="I156" s="30"/>
      <c r="N156" s="77" t="str">
        <f t="shared" ca="1" si="5"/>
        <v>3604,..,2504</v>
      </c>
      <c r="O156" s="77">
        <f t="shared" ref="O156:P156" ca="1" si="9">O155+1</f>
        <v>3604</v>
      </c>
      <c r="P156" s="77">
        <f t="shared" ca="1" si="9"/>
        <v>2504</v>
      </c>
    </row>
    <row r="157" spans="1:16" s="77" customFormat="1" ht="15.75" customHeight="1" x14ac:dyDescent="0.25">
      <c r="A157" s="219">
        <f>A156+1</f>
        <v>5</v>
      </c>
      <c r="B157" s="219"/>
      <c r="C157" s="78" t="s">
        <v>171</v>
      </c>
      <c r="D157" s="78">
        <f>(104.999+5.162+5.26)*10.764</f>
        <v>1242.391644</v>
      </c>
      <c r="E157" s="78">
        <v>0</v>
      </c>
      <c r="F157" s="78">
        <f t="shared" si="8"/>
        <v>1863.5874659999999</v>
      </c>
      <c r="G157" s="169"/>
      <c r="H157" s="170"/>
      <c r="I157" s="30"/>
      <c r="N157" s="77" t="str">
        <f t="shared" ca="1" si="5"/>
        <v>3605,..,2505</v>
      </c>
      <c r="O157" s="77">
        <f t="shared" ref="O157:P157" ca="1" si="10">O156+1</f>
        <v>3605</v>
      </c>
      <c r="P157" s="77">
        <f t="shared" ca="1" si="10"/>
        <v>2505</v>
      </c>
    </row>
    <row r="158" spans="1:16" s="77" customFormat="1" ht="15.75" customHeight="1" x14ac:dyDescent="0.25">
      <c r="A158" s="171" t="s">
        <v>217</v>
      </c>
      <c r="B158" s="172"/>
      <c r="C158" s="172"/>
      <c r="D158" s="172"/>
      <c r="E158" s="172"/>
      <c r="F158" s="172"/>
      <c r="G158" s="172"/>
      <c r="H158" s="173"/>
      <c r="I158" s="30"/>
      <c r="P158" s="31"/>
    </row>
    <row r="159" spans="1:16" s="77" customFormat="1" ht="15.75" customHeight="1" x14ac:dyDescent="0.25">
      <c r="A159" s="219">
        <v>1</v>
      </c>
      <c r="B159" s="219"/>
      <c r="C159" s="78" t="s">
        <v>170</v>
      </c>
      <c r="D159" s="78">
        <f>(70.962+4.591+4.458)*10.764</f>
        <v>861.23840399999995</v>
      </c>
      <c r="E159" s="78">
        <v>0</v>
      </c>
      <c r="F159" s="78">
        <f t="shared" ref="F159:F160" si="11">D159*(($F$136)+1)+(IF(E159&lt;101,E159,IF(E159&lt;201,E159/2,IF(E159&lt;=301,E159/3,E159/4))))</f>
        <v>1291.857606</v>
      </c>
      <c r="G159" s="165" t="str">
        <f>A158</f>
        <v>7th, 12th, 17th &amp; 22nd Floor (Part Refuge Area)</v>
      </c>
      <c r="H159" s="166"/>
      <c r="I159" s="30"/>
      <c r="N159" s="77" t="str">
        <f t="shared" ref="N159:N163" ca="1" si="12">O159&amp;""&amp;",..,"&amp;""&amp;P159</f>
        <v>701,..,2201</v>
      </c>
      <c r="O159" s="77">
        <f ca="1">(SUMPRODUCT(MID(0&amp;(LEFT(A158,SUM(LEN(A158)-LEN(SUBSTITUTE(A158,{0,1,2},""))))), LARGE(INDEX(ISNUMBER(--MID((LEFT(A158,SUM(LEN(A158)-LEN(SUBSTITUTE(A158,{0,1,2},""))))), ROW(INDIRECT("1:"&amp;LEN((LEFT(A158,SUM(LEN(A158)-LEN(SUBSTITUTE(A158,{0,1,2},"")))))))), 1)) * ROW(INDIRECT("1:"&amp;LEN((LEFT(A158,SUM(LEN(A158)-LEN(SUBSTITUTE(A158,{0,1,2},"")))))))), 0), ROW(INDIRECT("1:"&amp;LEN((LEFT(A158,SUM(LEN(A158)-LEN(SUBSTITUTE(A158,{0,1,2},"")))))))))+1, 1) * 10^ROW(INDIRECT("1:"&amp;LEN((LEFT(A158,SUM(LEN(A158)-LEN(SUBSTITUTE(A158,{0,1,2},""))))))))/10))*100+1</f>
        <v>701</v>
      </c>
      <c r="P159" s="77">
        <f ca="1">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2201</v>
      </c>
    </row>
    <row r="160" spans="1:16" s="77" customFormat="1" ht="15.75" customHeight="1" x14ac:dyDescent="0.25">
      <c r="A160" s="219">
        <f>A159+1</f>
        <v>2</v>
      </c>
      <c r="B160" s="219"/>
      <c r="C160" s="78" t="s">
        <v>171</v>
      </c>
      <c r="D160" s="78">
        <f>(98.814+5.078+5.26)*10.764</f>
        <v>1174.9121279999999</v>
      </c>
      <c r="E160" s="78">
        <v>0</v>
      </c>
      <c r="F160" s="78">
        <f t="shared" si="11"/>
        <v>1762.3681919999999</v>
      </c>
      <c r="G160" s="167"/>
      <c r="H160" s="168"/>
      <c r="I160" s="30"/>
      <c r="N160" s="77" t="str">
        <f t="shared" ca="1" si="12"/>
        <v>702,..,2202</v>
      </c>
      <c r="O160" s="77">
        <f t="shared" ref="O160:P160" ca="1" si="13">O159+1</f>
        <v>702</v>
      </c>
      <c r="P160" s="77">
        <f t="shared" ca="1" si="13"/>
        <v>2202</v>
      </c>
    </row>
    <row r="161" spans="1:16" s="77" customFormat="1" ht="15.75" customHeight="1" x14ac:dyDescent="0.25">
      <c r="A161" s="219">
        <f>A160+1</f>
        <v>3</v>
      </c>
      <c r="B161" s="219"/>
      <c r="C161" s="163" t="s">
        <v>177</v>
      </c>
      <c r="D161" s="211"/>
      <c r="E161" s="211"/>
      <c r="F161" s="164"/>
      <c r="G161" s="167"/>
      <c r="H161" s="168"/>
      <c r="I161" s="30"/>
      <c r="N161" s="77" t="str">
        <f t="shared" ca="1" si="12"/>
        <v>703,..,2203</v>
      </c>
      <c r="O161" s="77">
        <f t="shared" ref="O161:P161" ca="1" si="14">O160+1</f>
        <v>703</v>
      </c>
      <c r="P161" s="77">
        <f t="shared" ca="1" si="14"/>
        <v>2203</v>
      </c>
    </row>
    <row r="162" spans="1:16" s="77" customFormat="1" ht="15.75" customHeight="1" x14ac:dyDescent="0.25">
      <c r="A162" s="219">
        <f>A161+1</f>
        <v>4</v>
      </c>
      <c r="B162" s="219"/>
      <c r="C162" s="78" t="s">
        <v>171</v>
      </c>
      <c r="D162" s="78">
        <f>(105.15+5.162+5.26)*10.764</f>
        <v>1244.017008</v>
      </c>
      <c r="E162" s="78">
        <v>0</v>
      </c>
      <c r="F162" s="78">
        <f t="shared" ref="F162:F163" si="15">D162*(($F$136)+1)+(IF(E162&lt;101,E162,IF(E162&lt;201,E162/2,IF(E162&lt;=301,E162/3,E162/4))))</f>
        <v>1866.0255120000002</v>
      </c>
      <c r="G162" s="167"/>
      <c r="H162" s="168"/>
      <c r="I162" s="30"/>
      <c r="N162" s="77" t="str">
        <f t="shared" ca="1" si="12"/>
        <v>704,..,2204</v>
      </c>
      <c r="O162" s="77">
        <f t="shared" ref="O162:P162" ca="1" si="16">O161+1</f>
        <v>704</v>
      </c>
      <c r="P162" s="77">
        <f t="shared" ca="1" si="16"/>
        <v>2204</v>
      </c>
    </row>
    <row r="163" spans="1:16" s="77" customFormat="1" ht="15.75" customHeight="1" x14ac:dyDescent="0.25">
      <c r="A163" s="219">
        <f>A162+1</f>
        <v>5</v>
      </c>
      <c r="B163" s="219"/>
      <c r="C163" s="78" t="s">
        <v>171</v>
      </c>
      <c r="D163" s="78">
        <f>(104.999+5.162+5.26)*10.764</f>
        <v>1242.391644</v>
      </c>
      <c r="E163" s="78">
        <v>0</v>
      </c>
      <c r="F163" s="78">
        <f t="shared" si="15"/>
        <v>1863.5874659999999</v>
      </c>
      <c r="G163" s="169"/>
      <c r="H163" s="170"/>
      <c r="I163" s="30"/>
      <c r="N163" s="77" t="str">
        <f t="shared" ca="1" si="12"/>
        <v>705,..,2205</v>
      </c>
      <c r="O163" s="77">
        <f t="shared" ref="O163:P163" ca="1" si="17">O162+1</f>
        <v>705</v>
      </c>
      <c r="P163" s="77">
        <f t="shared" ca="1" si="17"/>
        <v>2205</v>
      </c>
    </row>
    <row r="164" spans="1:16" s="53" customFormat="1" ht="15.75" hidden="1" customHeight="1" x14ac:dyDescent="0.25">
      <c r="A164" s="171" t="s">
        <v>166</v>
      </c>
      <c r="B164" s="172"/>
      <c r="C164" s="172"/>
      <c r="D164" s="172"/>
      <c r="E164" s="172"/>
      <c r="F164" s="172"/>
      <c r="G164" s="172"/>
      <c r="H164" s="173"/>
      <c r="I164" s="30"/>
      <c r="L164" s="220"/>
      <c r="M164" s="220"/>
    </row>
    <row r="165" spans="1:16" s="53" customFormat="1" ht="15.75" hidden="1" customHeight="1" x14ac:dyDescent="0.25">
      <c r="A165" s="171" t="s">
        <v>167</v>
      </c>
      <c r="B165" s="172"/>
      <c r="C165" s="172"/>
      <c r="D165" s="172"/>
      <c r="E165" s="172"/>
      <c r="F165" s="172"/>
      <c r="G165" s="172"/>
      <c r="H165" s="173"/>
      <c r="I165" s="30"/>
      <c r="L165" s="220"/>
      <c r="M165" s="220"/>
    </row>
    <row r="166" spans="1:16" s="53" customFormat="1" ht="15.75" hidden="1" customHeight="1" x14ac:dyDescent="0.25">
      <c r="A166" s="171" t="s">
        <v>168</v>
      </c>
      <c r="B166" s="172"/>
      <c r="C166" s="172"/>
      <c r="D166" s="172"/>
      <c r="E166" s="172"/>
      <c r="F166" s="172"/>
      <c r="G166" s="172"/>
      <c r="H166" s="173"/>
      <c r="I166" s="30"/>
      <c r="L166" s="220"/>
      <c r="M166" s="220"/>
    </row>
    <row r="167" spans="1:16" s="2" customFormat="1" hidden="1" x14ac:dyDescent="0.25">
      <c r="A167" s="171" t="s">
        <v>169</v>
      </c>
      <c r="B167" s="172"/>
      <c r="C167" s="172"/>
      <c r="D167" s="172"/>
      <c r="E167" s="172"/>
      <c r="F167" s="172"/>
      <c r="G167" s="172"/>
      <c r="H167" s="173"/>
      <c r="I167" s="30"/>
      <c r="L167" s="220"/>
      <c r="M167" s="220"/>
    </row>
    <row r="168" spans="1:16" s="2" customFormat="1" hidden="1" x14ac:dyDescent="0.25">
      <c r="A168" s="163">
        <f>LEFT(A167,SUM(LEN(A167)-LEN(SUBSTITUTE(A167,{"0","1","2","3","4","5","6","7","8","9"},""))))*100+1</f>
        <v>101</v>
      </c>
      <c r="B168" s="164"/>
      <c r="C168" s="163" t="s">
        <v>173</v>
      </c>
      <c r="D168" s="211"/>
      <c r="E168" s="211"/>
      <c r="F168" s="164"/>
      <c r="G168" s="165" t="str">
        <f>A167</f>
        <v>1st Floor</v>
      </c>
      <c r="H168" s="166"/>
      <c r="I168" s="30"/>
      <c r="L168" s="39"/>
      <c r="M168" s="39"/>
      <c r="N168" s="30"/>
    </row>
    <row r="169" spans="1:16" s="2" customFormat="1" hidden="1" x14ac:dyDescent="0.25">
      <c r="A169" s="163">
        <f>A168+1</f>
        <v>102</v>
      </c>
      <c r="B169" s="164"/>
      <c r="C169" s="13" t="s">
        <v>170</v>
      </c>
      <c r="D169" s="13">
        <f>(51.41+(0.6*(3+3+1.975))+(0.6*(3.125+3.25)))*10.764</f>
        <v>646.05527999999993</v>
      </c>
      <c r="E169" s="40">
        <f>1.5*3.25*10.764</f>
        <v>52.474499999999999</v>
      </c>
      <c r="F169" s="49">
        <f t="shared" ref="F169" si="18">D169*(($F$136)+1)+(IF(E169&lt;101,E169,IF(E169&lt;201,E169/2,IF(E169&lt;=301,E169/3,E169/4))))</f>
        <v>1021.5574199999999</v>
      </c>
      <c r="G169" s="167"/>
      <c r="H169" s="168"/>
      <c r="I169" s="30"/>
      <c r="L169" s="39"/>
      <c r="M169" s="39"/>
      <c r="N169" s="30"/>
    </row>
    <row r="170" spans="1:16" s="2" customFormat="1" hidden="1" x14ac:dyDescent="0.25">
      <c r="A170" s="163">
        <f>A169+1</f>
        <v>103</v>
      </c>
      <c r="B170" s="164"/>
      <c r="C170" s="13" t="s">
        <v>170</v>
      </c>
      <c r="D170" s="51">
        <f>(50.86+(0.6*(3+3+2.785+1.15+1.975))+(0.6*(3.25+3.25)))*10.764</f>
        <v>666.35618399999998</v>
      </c>
      <c r="E170" s="40">
        <f>1.5*3.37*10.764</f>
        <v>54.412019999999991</v>
      </c>
      <c r="F170" s="47">
        <f>D170*(($F$136)+1)+(IF(E170&lt;101,E170,IF(E170&lt;201,E170/2,IF(E170&lt;=301,E170/3,E170/4))))</f>
        <v>1053.9462960000001</v>
      </c>
      <c r="G170" s="167"/>
      <c r="H170" s="168"/>
      <c r="I170" s="30"/>
      <c r="L170" s="39"/>
      <c r="M170" s="39"/>
      <c r="N170" s="30"/>
    </row>
    <row r="171" spans="1:16" s="2" customFormat="1" hidden="1" x14ac:dyDescent="0.25">
      <c r="A171" s="163">
        <f>A170+1</f>
        <v>104</v>
      </c>
      <c r="B171" s="164"/>
      <c r="C171" s="29" t="s">
        <v>171</v>
      </c>
      <c r="D171" s="51">
        <f>(70.89+(0.6*(3+3+1.2))+(0.6*(3.67+3.385)))*10.764</f>
        <v>855.12445200000013</v>
      </c>
      <c r="E171" s="78">
        <f>1.5*2.925*10.764</f>
        <v>47.227049999999991</v>
      </c>
      <c r="F171" s="49">
        <f t="shared" ref="F171" si="19">D171*(($F$136)+1)+(IF(E171&lt;101,E171,IF(E171&lt;201,E171/2,IF(E171&lt;=301,E171/3,E171/4))))</f>
        <v>1329.9137280000002</v>
      </c>
      <c r="G171" s="169"/>
      <c r="H171" s="170"/>
      <c r="I171" s="30"/>
      <c r="L171" s="39"/>
      <c r="M171" s="39"/>
      <c r="N171" s="30"/>
    </row>
    <row r="172" spans="1:16" s="53" customFormat="1" ht="15.75" hidden="1" customHeight="1" x14ac:dyDescent="0.25">
      <c r="A172" s="171" t="s">
        <v>172</v>
      </c>
      <c r="B172" s="172"/>
      <c r="C172" s="172"/>
      <c r="D172" s="172"/>
      <c r="E172" s="172"/>
      <c r="F172" s="172"/>
      <c r="G172" s="172"/>
      <c r="H172" s="173"/>
      <c r="I172" s="30"/>
      <c r="L172" s="220"/>
      <c r="M172" s="220"/>
    </row>
    <row r="173" spans="1:16" s="53" customFormat="1" ht="15.75" hidden="1" customHeight="1" x14ac:dyDescent="0.25">
      <c r="A173" s="163">
        <f>LEFT(A172,SUM(LEN(A172)-LEN(SUBSTITUTE(A172,{"0","1","2","3","4","5","6","7","8","9"},""))))*100+1</f>
        <v>201</v>
      </c>
      <c r="B173" s="164"/>
      <c r="C173" s="51" t="s">
        <v>170</v>
      </c>
      <c r="D173" s="51">
        <f>(51.26+(0.6*(1.975+3+3))+(1.926+1.95))*10.764</f>
        <v>644.98964399999988</v>
      </c>
      <c r="E173" s="51">
        <f>4.687*10.764</f>
        <v>50.450868</v>
      </c>
      <c r="F173" s="51">
        <f t="shared" ref="F173:F174" si="20">D173*(($F$136)+1)+(IF(E173&lt;101,E173,IF(E173&lt;201,E173/2,IF(E173&lt;=301,E173/3,E173/4))))</f>
        <v>1017.9353339999999</v>
      </c>
      <c r="G173" s="165" t="str">
        <f>A172</f>
        <v>2nd Floor (E Deck Floor)</v>
      </c>
      <c r="H173" s="166"/>
      <c r="I173" s="30"/>
      <c r="N173" s="30"/>
    </row>
    <row r="174" spans="1:16" s="53" customFormat="1" ht="15.75" hidden="1" customHeight="1" x14ac:dyDescent="0.25">
      <c r="A174" s="163">
        <f>A173+1</f>
        <v>202</v>
      </c>
      <c r="B174" s="164"/>
      <c r="C174" s="51" t="s">
        <v>170</v>
      </c>
      <c r="D174" s="51">
        <f>(51.41+(0.6*(3+3+1.975))+(0.6*(3.125+3.25)))*10.764</f>
        <v>646.05527999999993</v>
      </c>
      <c r="E174" s="51">
        <f>1.5*3.25*10.764</f>
        <v>52.474499999999999</v>
      </c>
      <c r="F174" s="51">
        <f t="shared" si="20"/>
        <v>1021.5574199999999</v>
      </c>
      <c r="G174" s="167"/>
      <c r="H174" s="168"/>
      <c r="I174" s="30"/>
      <c r="N174" s="30"/>
    </row>
    <row r="175" spans="1:16" s="53" customFormat="1" ht="15.75" hidden="1" customHeight="1" x14ac:dyDescent="0.25">
      <c r="A175" s="163">
        <f>A174+1</f>
        <v>203</v>
      </c>
      <c r="B175" s="164"/>
      <c r="C175" s="51" t="s">
        <v>170</v>
      </c>
      <c r="D175" s="51">
        <f>(50.86+(0.6*(3+3+2.785+1.15+1.975))+(0.6*(3.25+3.25)))*10.764</f>
        <v>666.35618399999998</v>
      </c>
      <c r="E175" s="51">
        <f>1.5*3.37*10.764</f>
        <v>54.412019999999991</v>
      </c>
      <c r="F175" s="51">
        <f>D175*(($F$136)+1)+(IF(E175&lt;101,E175,IF(E175&lt;201,E175/2,IF(E175&lt;=301,E175/3,E175/4))))</f>
        <v>1053.9462960000001</v>
      </c>
      <c r="G175" s="167"/>
      <c r="H175" s="168"/>
      <c r="I175" s="30"/>
      <c r="N175" s="30"/>
    </row>
    <row r="176" spans="1:16" s="53" customFormat="1" ht="15.75" hidden="1" customHeight="1" x14ac:dyDescent="0.25">
      <c r="A176" s="163">
        <f>A175+1</f>
        <v>204</v>
      </c>
      <c r="B176" s="164"/>
      <c r="C176" s="51" t="s">
        <v>171</v>
      </c>
      <c r="D176" s="51">
        <f>(70.89+(0.6*(3+3+1.2))+(0.6*(3.67+3.385)))*10.764</f>
        <v>855.12445200000013</v>
      </c>
      <c r="E176" s="51">
        <f>1.5*2.925*10.764</f>
        <v>47.227049999999991</v>
      </c>
      <c r="F176" s="51">
        <f t="shared" ref="F176" si="21">D176*(($F$136)+1)+(IF(E176&lt;101,E176,IF(E176&lt;201,E176/2,IF(E176&lt;=301,E176/3,E176/4))))</f>
        <v>1329.9137280000002</v>
      </c>
      <c r="G176" s="169"/>
      <c r="H176" s="170"/>
      <c r="I176" s="30"/>
      <c r="N176" s="30"/>
    </row>
    <row r="177" spans="1:16" s="2" customFormat="1" ht="15.75" hidden="1" customHeight="1" x14ac:dyDescent="0.25">
      <c r="A177" s="171" t="s">
        <v>174</v>
      </c>
      <c r="B177" s="172"/>
      <c r="C177" s="172"/>
      <c r="D177" s="172"/>
      <c r="E177" s="172"/>
      <c r="F177" s="172"/>
      <c r="G177" s="172"/>
      <c r="H177" s="173"/>
      <c r="I177" s="30"/>
      <c r="L177" s="39"/>
      <c r="M177" s="39"/>
      <c r="P177" s="31"/>
    </row>
    <row r="178" spans="1:16" s="2" customFormat="1" ht="15.75" hidden="1" customHeight="1" x14ac:dyDescent="0.25">
      <c r="A178" s="163" t="str">
        <f t="shared" ref="A178:A182" ca="1" si="22">N178</f>
        <v>4601,..,2001</v>
      </c>
      <c r="B178" s="164"/>
      <c r="C178" s="13" t="s">
        <v>170</v>
      </c>
      <c r="D178" s="13">
        <f>(51.26+(1.8+1.185+0.69)+(1.926+1.95))*10.764</f>
        <v>633.04160399999989</v>
      </c>
      <c r="E178" s="40">
        <f>4.687*10.764</f>
        <v>50.450868</v>
      </c>
      <c r="F178" s="49">
        <f t="shared" ref="F178:F182" si="23">D178*(($F$136)+1)+(IF(E178&lt;101,E178,IF(E178&lt;201,E178/2,IF(E178&lt;=301,E178/3,E178/4))))</f>
        <v>1000.0132739999998</v>
      </c>
      <c r="G178" s="165" t="str">
        <f>A177</f>
        <v>4th, 6th, 8th, 10th, 14th, 16th, 18th &amp; 20th Floor</v>
      </c>
      <c r="H178" s="166"/>
      <c r="I178" s="30"/>
      <c r="M178" s="39"/>
      <c r="N178" s="39" t="str">
        <f t="shared" ref="N178:N182" ca="1" si="24">O178&amp;""&amp;",..,"&amp;""&amp;P178</f>
        <v>4601,..,2001</v>
      </c>
      <c r="O178" s="46">
        <f ca="1">(SUMPRODUCT(MID(0&amp;(LEFT(A177,SUM(LEN(A177)-LEN(SUBSTITUTE(A177,{0,1,2},""))))), LARGE(INDEX(ISNUMBER(--MID((LEFT(A177,SUM(LEN(A177)-LEN(SUBSTITUTE(A177,{0,1,2},""))))), ROW(INDIRECT("1:"&amp;LEN((LEFT(A177,SUM(LEN(A177)-LEN(SUBSTITUTE(A177,{0,1,2},"")))))))), 1)) * ROW(INDIRECT("1:"&amp;LEN((LEFT(A177,SUM(LEN(A177)-LEN(SUBSTITUTE(A177,{0,1,2},"")))))))), 0), ROW(INDIRECT("1:"&amp;LEN((LEFT(A177,SUM(LEN(A177)-LEN(SUBSTITUTE(A177,{0,1,2},"")))))))))+1, 1) * 10^ROW(INDIRECT("1:"&amp;LEN((LEFT(A177,SUM(LEN(A177)-LEN(SUBSTITUTE(A177,{0,1,2},""))))))))/10))*100+1</f>
        <v>4601</v>
      </c>
      <c r="P178" s="46">
        <f ca="1">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",LEN(A177))),LEN(A177)))))))/10))*100+1</f>
        <v>2001</v>
      </c>
    </row>
    <row r="179" spans="1:16" s="2" customFormat="1" ht="15.75" hidden="1" customHeight="1" x14ac:dyDescent="0.25">
      <c r="A179" s="163" t="str">
        <f t="shared" ca="1" si="22"/>
        <v>4602,..,2002</v>
      </c>
      <c r="B179" s="164"/>
      <c r="C179" s="13" t="s">
        <v>170</v>
      </c>
      <c r="D179" s="13">
        <f>(51.41+(1.8+1.8+1.185)+(1.95+1.95))*10.764</f>
        <v>646.86257999999987</v>
      </c>
      <c r="E179" s="40">
        <f>4.687*10.764</f>
        <v>50.450868</v>
      </c>
      <c r="F179" s="49">
        <f t="shared" si="23"/>
        <v>1020.7447379999998</v>
      </c>
      <c r="G179" s="167"/>
      <c r="H179" s="168"/>
      <c r="I179" s="30"/>
      <c r="M179" s="39"/>
      <c r="N179" s="43" t="str">
        <f t="shared" ca="1" si="24"/>
        <v>4602,..,2002</v>
      </c>
      <c r="O179" s="2">
        <f t="shared" ref="O179:P182" ca="1" si="25">O178+1</f>
        <v>4602</v>
      </c>
      <c r="P179" s="2">
        <f t="shared" ca="1" si="25"/>
        <v>2002</v>
      </c>
    </row>
    <row r="180" spans="1:16" s="2" customFormat="1" ht="15.75" hidden="1" customHeight="1" x14ac:dyDescent="0.25">
      <c r="A180" s="163" t="str">
        <f t="shared" ca="1" si="22"/>
        <v>4603,..,2003</v>
      </c>
      <c r="B180" s="164"/>
      <c r="C180" s="13" t="s">
        <v>170</v>
      </c>
      <c r="D180" s="13">
        <f>(50.86+(1.8+1.8+1.671)+(1.95+2.022))*10.764</f>
        <v>646.94869199999994</v>
      </c>
      <c r="E180" s="40">
        <f>4.875*10.764</f>
        <v>52.474499999999999</v>
      </c>
      <c r="F180" s="49">
        <f t="shared" si="23"/>
        <v>1022.8975379999999</v>
      </c>
      <c r="G180" s="167"/>
      <c r="H180" s="168"/>
      <c r="I180" s="30"/>
      <c r="M180" s="39"/>
      <c r="N180" s="43" t="str">
        <f t="shared" ca="1" si="24"/>
        <v>4603,..,2003</v>
      </c>
      <c r="O180" s="2">
        <f t="shared" ca="1" si="25"/>
        <v>4603</v>
      </c>
      <c r="P180" s="2">
        <f t="shared" ca="1" si="25"/>
        <v>2003</v>
      </c>
    </row>
    <row r="181" spans="1:16" s="2" customFormat="1" ht="15.75" hidden="1" customHeight="1" x14ac:dyDescent="0.25">
      <c r="A181" s="163" t="str">
        <f t="shared" ca="1" si="22"/>
        <v>4604,..,2004</v>
      </c>
      <c r="B181" s="164"/>
      <c r="C181" s="29" t="s">
        <v>171</v>
      </c>
      <c r="D181" s="29">
        <f>(70.89+(1.8+1.8+1.185+0.72)+(1.95+2.202))*10.764</f>
        <v>867.00790799999993</v>
      </c>
      <c r="E181" s="40">
        <f>4.387*10.764</f>
        <v>47.221667999999994</v>
      </c>
      <c r="F181" s="49">
        <f t="shared" si="23"/>
        <v>1347.7335299999997</v>
      </c>
      <c r="G181" s="167"/>
      <c r="H181" s="168"/>
      <c r="I181" s="30"/>
      <c r="M181" s="39"/>
      <c r="N181" s="43" t="str">
        <f t="shared" ca="1" si="24"/>
        <v>4604,..,2004</v>
      </c>
      <c r="O181" s="2">
        <f t="shared" ca="1" si="25"/>
        <v>4604</v>
      </c>
      <c r="P181" s="2">
        <f t="shared" ca="1" si="25"/>
        <v>2004</v>
      </c>
    </row>
    <row r="182" spans="1:16" s="2" customFormat="1" ht="15.75" hidden="1" customHeight="1" x14ac:dyDescent="0.25">
      <c r="A182" s="163" t="str">
        <f t="shared" ca="1" si="22"/>
        <v>4605,..,2005</v>
      </c>
      <c r="B182" s="164"/>
      <c r="C182" s="29" t="s">
        <v>171</v>
      </c>
      <c r="D182" s="29">
        <f>(70.89+(0.72+1.8+1.8)+(2.202+1.95))*10.764</f>
        <v>854.252568</v>
      </c>
      <c r="E182" s="40">
        <f>4.387*10.764</f>
        <v>47.221667999999994</v>
      </c>
      <c r="F182" s="49">
        <f t="shared" si="23"/>
        <v>1328.60052</v>
      </c>
      <c r="G182" s="169"/>
      <c r="H182" s="170"/>
      <c r="I182" s="30"/>
      <c r="M182" s="39"/>
      <c r="N182" s="43" t="str">
        <f t="shared" ca="1" si="24"/>
        <v>4605,..,2005</v>
      </c>
      <c r="O182" s="2">
        <f t="shared" ca="1" si="25"/>
        <v>4605</v>
      </c>
      <c r="P182" s="2">
        <f t="shared" ca="1" si="25"/>
        <v>2005</v>
      </c>
    </row>
    <row r="183" spans="1:16" s="53" customFormat="1" ht="15.75" hidden="1" customHeight="1" x14ac:dyDescent="0.25">
      <c r="A183" s="171" t="s">
        <v>175</v>
      </c>
      <c r="B183" s="172"/>
      <c r="C183" s="172"/>
      <c r="D183" s="172"/>
      <c r="E183" s="172"/>
      <c r="F183" s="172"/>
      <c r="G183" s="172"/>
      <c r="H183" s="173"/>
      <c r="I183" s="30"/>
      <c r="P183" s="31"/>
    </row>
    <row r="184" spans="1:16" s="53" customFormat="1" ht="15.75" hidden="1" customHeight="1" x14ac:dyDescent="0.25">
      <c r="A184" s="163" t="str">
        <f t="shared" ref="A184:A188" ca="1" si="26">N184</f>
        <v>3501,..,2101</v>
      </c>
      <c r="B184" s="164"/>
      <c r="C184" s="51" t="s">
        <v>170</v>
      </c>
      <c r="D184" s="51">
        <f>(51.26+(1.8+1.8+1.185)+(1.926+1.95))*10.764</f>
        <v>644.989644</v>
      </c>
      <c r="E184" s="51">
        <f>4.875*10.764</f>
        <v>52.474499999999999</v>
      </c>
      <c r="F184" s="51">
        <f t="shared" ref="F184:F188" si="27">D184*(($F$136)+1)+(IF(E184&lt;101,E184,IF(E184&lt;201,E184/2,IF(E184&lt;=301,E184/3,E184/4))))</f>
        <v>1019.958966</v>
      </c>
      <c r="G184" s="165" t="str">
        <f>A183</f>
        <v>3rd, 5th, 9th, 11th, 13th, 15th, 19th &amp; 21st Floor</v>
      </c>
      <c r="H184" s="166"/>
      <c r="I184" s="30"/>
      <c r="N184" s="53" t="str">
        <f t="shared" ref="N184:N188" ca="1" si="28">O184&amp;""&amp;",..,"&amp;""&amp;P184</f>
        <v>3501,..,2101</v>
      </c>
      <c r="O184" s="53">
        <f ca="1">(SUMPRODUCT(MID(0&amp;(LEFT(A183,SUM(LEN(A183)-LEN(SUBSTITUTE(A183,{0,1,2},""))))), LARGE(INDEX(ISNUMBER(--MID((LEFT(A183,SUM(LEN(A183)-LEN(SUBSTITUTE(A183,{0,1,2},""))))), ROW(INDIRECT("1:"&amp;LEN((LEFT(A183,SUM(LEN(A183)-LEN(SUBSTITUTE(A183,{0,1,2},"")))))))), 1)) * ROW(INDIRECT("1:"&amp;LEN((LEFT(A183,SUM(LEN(A183)-LEN(SUBSTITUTE(A183,{0,1,2},"")))))))), 0), ROW(INDIRECT("1:"&amp;LEN((LEFT(A183,SUM(LEN(A183)-LEN(SUBSTITUTE(A183,{0,1,2},"")))))))))+1, 1) * 10^ROW(INDIRECT("1:"&amp;LEN((LEFT(A183,SUM(LEN(A183)-LEN(SUBSTITUTE(A183,{0,1,2},""))))))))/10))*100+1</f>
        <v>3501</v>
      </c>
      <c r="P184" s="53">
        <f ca="1">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",LEN(A183))),LEN(A183)))))))/10))*100+1</f>
        <v>2101</v>
      </c>
    </row>
    <row r="185" spans="1:16" s="53" customFormat="1" ht="15.75" hidden="1" customHeight="1" x14ac:dyDescent="0.25">
      <c r="A185" s="163" t="str">
        <f t="shared" ca="1" si="26"/>
        <v>3502,..,2102</v>
      </c>
      <c r="B185" s="164"/>
      <c r="C185" s="51" t="s">
        <v>170</v>
      </c>
      <c r="D185" s="51">
        <f>(51.41+(1.8+1.8+1.185)+(1.875+1.95))*10.764</f>
        <v>646.05527999999993</v>
      </c>
      <c r="E185" s="51">
        <f>4.875*10.764</f>
        <v>52.474499999999999</v>
      </c>
      <c r="F185" s="51">
        <f t="shared" si="27"/>
        <v>1021.5574199999999</v>
      </c>
      <c r="G185" s="167"/>
      <c r="H185" s="168"/>
      <c r="I185" s="30"/>
      <c r="N185" s="53" t="str">
        <f t="shared" ca="1" si="28"/>
        <v>3502,..,2102</v>
      </c>
      <c r="O185" s="53">
        <f t="shared" ref="O185:P185" ca="1" si="29">O184+1</f>
        <v>3502</v>
      </c>
      <c r="P185" s="53">
        <f t="shared" ca="1" si="29"/>
        <v>2102</v>
      </c>
    </row>
    <row r="186" spans="1:16" s="53" customFormat="1" ht="15.75" hidden="1" customHeight="1" x14ac:dyDescent="0.25">
      <c r="A186" s="163" t="str">
        <f t="shared" ca="1" si="26"/>
        <v>3503,..,2103</v>
      </c>
      <c r="B186" s="164"/>
      <c r="C186" s="51" t="s">
        <v>170</v>
      </c>
      <c r="D186" s="51">
        <f>(50.86+(1.8+1.671+1.8+0.69)+(1.95+1.95))*10.764</f>
        <v>653.60084399999994</v>
      </c>
      <c r="E186" s="51">
        <f>4.387*10.764</f>
        <v>47.221667999999994</v>
      </c>
      <c r="F186" s="51">
        <f t="shared" si="27"/>
        <v>1027.6229339999998</v>
      </c>
      <c r="G186" s="167"/>
      <c r="H186" s="168"/>
      <c r="I186" s="30"/>
      <c r="N186" s="53" t="str">
        <f t="shared" ca="1" si="28"/>
        <v>3503,..,2103</v>
      </c>
      <c r="O186" s="53">
        <f t="shared" ref="O186:P186" ca="1" si="30">O185+1</f>
        <v>3503</v>
      </c>
      <c r="P186" s="53">
        <f t="shared" ca="1" si="30"/>
        <v>2103</v>
      </c>
    </row>
    <row r="187" spans="1:16" s="53" customFormat="1" ht="15.75" hidden="1" customHeight="1" x14ac:dyDescent="0.25">
      <c r="A187" s="163" t="str">
        <f t="shared" ca="1" si="26"/>
        <v>3504,..,2104</v>
      </c>
      <c r="B187" s="164"/>
      <c r="C187" s="51" t="s">
        <v>171</v>
      </c>
      <c r="D187" s="51">
        <f>(70.89+(1.8+1.8+1.185+1.53+0.72)+(2.202+2.031))*10.764</f>
        <v>884.34871199999998</v>
      </c>
      <c r="E187" s="51">
        <f>4.875*10.764</f>
        <v>52.474499999999999</v>
      </c>
      <c r="F187" s="51">
        <f t="shared" si="27"/>
        <v>1378.997568</v>
      </c>
      <c r="G187" s="167"/>
      <c r="H187" s="168"/>
      <c r="I187" s="30"/>
      <c r="N187" s="53" t="str">
        <f t="shared" ca="1" si="28"/>
        <v>3504,..,2104</v>
      </c>
      <c r="O187" s="53">
        <f t="shared" ref="O187:P187" ca="1" si="31">O186+1</f>
        <v>3504</v>
      </c>
      <c r="P187" s="53">
        <f t="shared" ca="1" si="31"/>
        <v>2104</v>
      </c>
    </row>
    <row r="188" spans="1:16" s="53" customFormat="1" ht="15.75" hidden="1" customHeight="1" x14ac:dyDescent="0.25">
      <c r="A188" s="163" t="str">
        <f t="shared" ca="1" si="26"/>
        <v>3505,..,2105</v>
      </c>
      <c r="B188" s="164"/>
      <c r="C188" s="51" t="s">
        <v>171</v>
      </c>
      <c r="D188" s="51">
        <f>(70.89+(1.8+1.8+1.185+1.53+0.72)+(2.202+2.031))*10.764</f>
        <v>884.34871199999998</v>
      </c>
      <c r="E188" s="51">
        <f>4.875*10.764</f>
        <v>52.474499999999999</v>
      </c>
      <c r="F188" s="51">
        <f t="shared" si="27"/>
        <v>1378.997568</v>
      </c>
      <c r="G188" s="169"/>
      <c r="H188" s="170"/>
      <c r="I188" s="30"/>
      <c r="N188" s="53" t="str">
        <f t="shared" ca="1" si="28"/>
        <v>3505,..,2105</v>
      </c>
      <c r="O188" s="53">
        <f t="shared" ref="O188:P188" ca="1" si="32">O187+1</f>
        <v>3505</v>
      </c>
      <c r="P188" s="53">
        <f t="shared" ca="1" si="32"/>
        <v>2105</v>
      </c>
    </row>
    <row r="189" spans="1:16" s="53" customFormat="1" ht="15.75" hidden="1" customHeight="1" x14ac:dyDescent="0.25">
      <c r="A189" s="171" t="s">
        <v>176</v>
      </c>
      <c r="B189" s="172"/>
      <c r="C189" s="172"/>
      <c r="D189" s="172"/>
      <c r="E189" s="172"/>
      <c r="F189" s="172"/>
      <c r="G189" s="172"/>
      <c r="H189" s="173"/>
      <c r="I189" s="30"/>
      <c r="L189" s="220"/>
      <c r="M189" s="220"/>
    </row>
    <row r="190" spans="1:16" s="53" customFormat="1" ht="15.75" hidden="1" customHeight="1" x14ac:dyDescent="0.25">
      <c r="A190" s="163">
        <f>LEFT(A189,SUM(LEN(A189)-LEN(SUBSTITUTE(A189,{"0","1","2","3","4","5","6","7","8","9"},""))))*100+1</f>
        <v>1201</v>
      </c>
      <c r="B190" s="164"/>
      <c r="C190" s="51" t="s">
        <v>170</v>
      </c>
      <c r="D190" s="51">
        <f>(51.26+(1.95+1.926)+(1.8+1.185+1.8+0.69))*10.764</f>
        <v>652.41680399999996</v>
      </c>
      <c r="E190" s="51">
        <f>4.687*10.764</f>
        <v>50.450868</v>
      </c>
      <c r="F190" s="51">
        <f t="shared" ref="F190" si="33">D190*(($F$136)+1)+(IF(E190&lt;101,E190,IF(E190&lt;201,E190/2,IF(E190&lt;=301,E190/3,E190/4))))</f>
        <v>1029.0760739999998</v>
      </c>
      <c r="G190" s="165" t="str">
        <f>A189</f>
        <v>12th Floor (Part Refuge Area)</v>
      </c>
      <c r="H190" s="166"/>
      <c r="I190" s="30"/>
      <c r="N190" s="30"/>
    </row>
    <row r="191" spans="1:16" s="53" customFormat="1" ht="15.75" hidden="1" customHeight="1" x14ac:dyDescent="0.25">
      <c r="A191" s="163">
        <f>A190+1</f>
        <v>1202</v>
      </c>
      <c r="B191" s="164"/>
      <c r="C191" s="163" t="s">
        <v>177</v>
      </c>
      <c r="D191" s="211"/>
      <c r="E191" s="211"/>
      <c r="F191" s="164"/>
      <c r="G191" s="167"/>
      <c r="H191" s="168"/>
      <c r="I191" s="30"/>
      <c r="N191" s="30"/>
    </row>
    <row r="192" spans="1:16" s="53" customFormat="1" ht="15.75" hidden="1" customHeight="1" x14ac:dyDescent="0.25">
      <c r="A192" s="163">
        <f>A191+1</f>
        <v>1203</v>
      </c>
      <c r="B192" s="164"/>
      <c r="C192" s="51" t="s">
        <v>170</v>
      </c>
      <c r="D192" s="51">
        <f>(50.86+(1.8+1.671+0.69+1.8)+(1.95+2.022))*10.764</f>
        <v>654.37585200000001</v>
      </c>
      <c r="E192" s="51">
        <f>4.875*10.764</f>
        <v>52.474499999999999</v>
      </c>
      <c r="F192" s="51">
        <f>D192*(($F$136)+1)+(IF(E192&lt;101,E192,IF(E192&lt;201,E192/2,IF(E192&lt;=301,E192/3,E192/4))))</f>
        <v>1034.038278</v>
      </c>
      <c r="G192" s="167"/>
      <c r="H192" s="168"/>
      <c r="I192" s="30"/>
      <c r="N192" s="30"/>
    </row>
    <row r="193" spans="1:16" s="53" customFormat="1" ht="15.75" hidden="1" customHeight="1" x14ac:dyDescent="0.25">
      <c r="A193" s="163">
        <f>A192+1</f>
        <v>1204</v>
      </c>
      <c r="B193" s="164"/>
      <c r="C193" s="51" t="s">
        <v>171</v>
      </c>
      <c r="D193" s="51">
        <f>(70.89+(1.8+1.185+1.8+1.53+0.72)+(2.202+1.95))*10.764</f>
        <v>883.47682799999995</v>
      </c>
      <c r="E193" s="51">
        <f>1.5*2.925*10.764</f>
        <v>47.227049999999991</v>
      </c>
      <c r="F193" s="51">
        <f t="shared" ref="F193" si="34">D193*(($F$136)+1)+(IF(E193&lt;101,E193,IF(E193&lt;201,E193/2,IF(E193&lt;=301,E193/3,E193/4))))</f>
        <v>1372.442292</v>
      </c>
      <c r="G193" s="167"/>
      <c r="H193" s="168"/>
      <c r="I193" s="30"/>
      <c r="N193" s="30"/>
    </row>
    <row r="194" spans="1:16" s="53" customFormat="1" ht="15.75" hidden="1" customHeight="1" x14ac:dyDescent="0.25">
      <c r="A194" s="163">
        <f>A193+1</f>
        <v>1205</v>
      </c>
      <c r="B194" s="164"/>
      <c r="C194" s="51" t="s">
        <v>171</v>
      </c>
      <c r="D194" s="51">
        <f>(70.89+(1.8+1.185+1.8+1.53+0.72)+(2.202+1.95))*10.764</f>
        <v>883.47682799999995</v>
      </c>
      <c r="E194" s="51">
        <f>1.5*2.925*10.764</f>
        <v>47.227049999999991</v>
      </c>
      <c r="F194" s="51">
        <f t="shared" ref="F194" si="35">D194*(($F$136)+1)+(IF(E194&lt;101,E194,IF(E194&lt;201,E194/2,IF(E194&lt;=301,E194/3,E194/4))))</f>
        <v>1372.442292</v>
      </c>
      <c r="G194" s="169"/>
      <c r="H194" s="170"/>
      <c r="I194" s="30"/>
      <c r="N194" s="30"/>
    </row>
    <row r="195" spans="1:16" s="34" customFormat="1" ht="15.75" hidden="1" customHeight="1" x14ac:dyDescent="0.25">
      <c r="A195" s="171" t="s">
        <v>178</v>
      </c>
      <c r="B195" s="172"/>
      <c r="C195" s="172"/>
      <c r="D195" s="172"/>
      <c r="E195" s="172"/>
      <c r="F195" s="172"/>
      <c r="G195" s="172"/>
      <c r="H195" s="173"/>
      <c r="I195" s="30"/>
      <c r="M195" s="39"/>
      <c r="N195" s="39"/>
      <c r="P195" s="31"/>
    </row>
    <row r="196" spans="1:16" s="34" customFormat="1" ht="15.75" hidden="1" customHeight="1" x14ac:dyDescent="0.25">
      <c r="A196" s="163" t="str">
        <f t="shared" ref="A196:A200" ca="1" si="36">N196</f>
        <v>701 &amp; 1701</v>
      </c>
      <c r="B196" s="164"/>
      <c r="C196" s="35" t="s">
        <v>170</v>
      </c>
      <c r="D196" s="35">
        <f>(51.26+(1.8+1.8+1.185+0.69)+(1.926+1.875))*10.764</f>
        <v>651.60950400000002</v>
      </c>
      <c r="E196" s="40">
        <f>4.687*10.764</f>
        <v>50.450868</v>
      </c>
      <c r="F196" s="49">
        <f t="shared" ref="F196:F200" si="37">D196*(($F$136)+1)+(IF(E196&lt;101,E196,IF(E196&lt;201,E196/2,IF(E196&lt;=301,E196/3,E196/4))))</f>
        <v>1027.8651239999999</v>
      </c>
      <c r="G196" s="165" t="str">
        <f>A195</f>
        <v>7th &amp; 17th Floor (Part Refuge Area)</v>
      </c>
      <c r="H196" s="166"/>
      <c r="I196" s="30"/>
      <c r="M196" s="39"/>
      <c r="N196" s="39" t="str">
        <f t="shared" ref="N196:N200" ca="1" si="38">O196&amp;""&amp;" &amp; "&amp;""&amp;P196</f>
        <v>701 &amp; 1701</v>
      </c>
      <c r="O196" s="43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10^ROW(INDIRECT("1:"&amp;LEN((LEFT(A195,SUM(LEN(A195)-LEN(SUBSTITUTE(A195,{"0","1","2"},""))))))))/10))*100+1</f>
        <v>701</v>
      </c>
      <c r="P196" s="43">
        <f ca="1">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",LEN(A195))),LEN(A195)))))))/10))*100+1</f>
        <v>1701</v>
      </c>
    </row>
    <row r="197" spans="1:16" s="53" customFormat="1" ht="15.75" hidden="1" customHeight="1" x14ac:dyDescent="0.25">
      <c r="A197" s="163" t="str">
        <f t="shared" ca="1" si="36"/>
        <v>702 &amp; 1702</v>
      </c>
      <c r="B197" s="164"/>
      <c r="C197" s="88" t="s">
        <v>177</v>
      </c>
      <c r="D197" s="91"/>
      <c r="E197" s="91">
        <v>0</v>
      </c>
      <c r="F197" s="89">
        <f t="shared" si="37"/>
        <v>0</v>
      </c>
      <c r="G197" s="167"/>
      <c r="H197" s="168"/>
      <c r="I197" s="30"/>
      <c r="N197" s="30" t="str">
        <f t="shared" ca="1" si="38"/>
        <v>702 &amp; 1702</v>
      </c>
      <c r="O197" s="53">
        <f t="shared" ref="O197:P200" ca="1" si="39">O196+1</f>
        <v>702</v>
      </c>
      <c r="P197" s="53">
        <f t="shared" ca="1" si="39"/>
        <v>1702</v>
      </c>
    </row>
    <row r="198" spans="1:16" s="34" customFormat="1" ht="15.75" hidden="1" customHeight="1" x14ac:dyDescent="0.25">
      <c r="A198" s="163" t="str">
        <f t="shared" ca="1" si="36"/>
        <v>703 &amp; 1703</v>
      </c>
      <c r="B198" s="164"/>
      <c r="C198" s="35" t="s">
        <v>170</v>
      </c>
      <c r="D198" s="35">
        <f>(50.86+(1.8+1.671+1.8+0.69)+(1.95+1.95))*10.764</f>
        <v>653.60084399999994</v>
      </c>
      <c r="E198" s="40">
        <f>5.055*10.764</f>
        <v>54.412019999999991</v>
      </c>
      <c r="F198" s="49">
        <f t="shared" si="37"/>
        <v>1034.8132859999998</v>
      </c>
      <c r="G198" s="167"/>
      <c r="H198" s="168"/>
      <c r="I198" s="30"/>
      <c r="M198" s="39"/>
      <c r="N198" s="43" t="str">
        <f t="shared" ca="1" si="38"/>
        <v>703 &amp; 1703</v>
      </c>
      <c r="O198" s="34">
        <f t="shared" ca="1" si="39"/>
        <v>703</v>
      </c>
      <c r="P198" s="34">
        <f t="shared" ca="1" si="39"/>
        <v>1703</v>
      </c>
    </row>
    <row r="199" spans="1:16" s="34" customFormat="1" ht="15.75" hidden="1" customHeight="1" x14ac:dyDescent="0.25">
      <c r="A199" s="163" t="str">
        <f t="shared" ca="1" si="36"/>
        <v>704 &amp; 1704</v>
      </c>
      <c r="B199" s="164"/>
      <c r="C199" s="35" t="s">
        <v>171</v>
      </c>
      <c r="D199" s="35">
        <f>(70.89+(1.8+1.8+1.185+1.53+0.72)+(2.202+2.031))*10.764</f>
        <v>884.34871199999998</v>
      </c>
      <c r="E199" s="40">
        <f>4.875*10.764</f>
        <v>52.474499999999999</v>
      </c>
      <c r="F199" s="49">
        <f t="shared" si="37"/>
        <v>1378.997568</v>
      </c>
      <c r="G199" s="167"/>
      <c r="H199" s="168"/>
      <c r="I199" s="30"/>
      <c r="M199" s="39"/>
      <c r="N199" s="43" t="str">
        <f t="shared" ca="1" si="38"/>
        <v>704 &amp; 1704</v>
      </c>
      <c r="O199" s="34">
        <f t="shared" ca="1" si="39"/>
        <v>704</v>
      </c>
      <c r="P199" s="34">
        <f t="shared" ca="1" si="39"/>
        <v>1704</v>
      </c>
    </row>
    <row r="200" spans="1:16" s="34" customFormat="1" ht="15.75" hidden="1" customHeight="1" x14ac:dyDescent="0.25">
      <c r="A200" s="163" t="str">
        <f t="shared" ca="1" si="36"/>
        <v>705 &amp; 1705</v>
      </c>
      <c r="B200" s="164"/>
      <c r="C200" s="35" t="s">
        <v>171</v>
      </c>
      <c r="D200" s="51">
        <f>(70.89+(1.8+1.8+1.185+1.53+0.72)+(2.202+2.031))*10.764</f>
        <v>884.34871199999998</v>
      </c>
      <c r="E200" s="51">
        <f>4.875*10.764</f>
        <v>52.474499999999999</v>
      </c>
      <c r="F200" s="49">
        <f t="shared" si="37"/>
        <v>1378.997568</v>
      </c>
      <c r="G200" s="169"/>
      <c r="H200" s="170"/>
      <c r="I200" s="30"/>
      <c r="M200" s="39"/>
      <c r="N200" s="43" t="str">
        <f t="shared" ca="1" si="38"/>
        <v>705 &amp; 1705</v>
      </c>
      <c r="O200" s="34">
        <f t="shared" ca="1" si="39"/>
        <v>705</v>
      </c>
      <c r="P200" s="34">
        <f t="shared" ca="1" si="39"/>
        <v>1705</v>
      </c>
    </row>
    <row r="201" spans="1:16" s="53" customFormat="1" ht="15.75" hidden="1" customHeight="1" x14ac:dyDescent="0.25">
      <c r="A201" s="171" t="s">
        <v>179</v>
      </c>
      <c r="B201" s="172"/>
      <c r="C201" s="172"/>
      <c r="D201" s="172"/>
      <c r="E201" s="172"/>
      <c r="F201" s="172"/>
      <c r="G201" s="172"/>
      <c r="H201" s="173"/>
      <c r="I201" s="30"/>
      <c r="L201" s="220"/>
      <c r="M201" s="220"/>
    </row>
    <row r="202" spans="1:16" s="53" customFormat="1" ht="15.75" hidden="1" customHeight="1" x14ac:dyDescent="0.25">
      <c r="A202" s="163">
        <f>LEFT(A201,SUM(LEN(A201)-LEN(SUBSTITUTE(A201,{"0","1","2","3","4","5","6","7","8","9"},""))))*100+1</f>
        <v>2201</v>
      </c>
      <c r="B202" s="164"/>
      <c r="C202" s="51" t="s">
        <v>170</v>
      </c>
      <c r="D202" s="51">
        <f>(51.26+(1.8+1.185+1.8+0.96)+(1.926+1.95))*10.764</f>
        <v>655.32308399999988</v>
      </c>
      <c r="E202" s="51">
        <f>4.687*10.764</f>
        <v>50.450868</v>
      </c>
      <c r="F202" s="51">
        <f t="shared" ref="F202" si="40">D202*(($F$136)+1)+(IF(E202&lt;101,E202,IF(E202&lt;201,E202/2,IF(E202&lt;=301,E202/3,E202/4))))</f>
        <v>1033.4354939999998</v>
      </c>
      <c r="G202" s="165" t="str">
        <f>A201</f>
        <v>22nd Floor (Part Refuge Area)</v>
      </c>
      <c r="H202" s="166"/>
      <c r="I202" s="30"/>
      <c r="N202" s="30"/>
    </row>
    <row r="203" spans="1:16" s="53" customFormat="1" ht="15.75" hidden="1" customHeight="1" x14ac:dyDescent="0.25">
      <c r="A203" s="163">
        <f>A202+1</f>
        <v>2202</v>
      </c>
      <c r="B203" s="164"/>
      <c r="C203" s="163" t="s">
        <v>177</v>
      </c>
      <c r="D203" s="211"/>
      <c r="E203" s="211"/>
      <c r="F203" s="164"/>
      <c r="G203" s="167"/>
      <c r="H203" s="168"/>
      <c r="I203" s="30"/>
      <c r="N203" s="30"/>
    </row>
    <row r="204" spans="1:16" s="53" customFormat="1" ht="15.75" hidden="1" customHeight="1" x14ac:dyDescent="0.25">
      <c r="A204" s="163">
        <f>A203+1</f>
        <v>2203</v>
      </c>
      <c r="B204" s="164"/>
      <c r="C204" s="51" t="s">
        <v>170</v>
      </c>
      <c r="D204" s="51">
        <f>(50.86+(1.8+1.671+0.69+1.8)+(1.95+2.022))*10.764</f>
        <v>654.37585200000001</v>
      </c>
      <c r="E204" s="51">
        <f>4.875*10.764</f>
        <v>52.474499999999999</v>
      </c>
      <c r="F204" s="51">
        <f>D204*(($F$136)+1)+(IF(E204&lt;101,E204,IF(E204&lt;201,E204/2,IF(E204&lt;=301,E204/3,E204/4))))</f>
        <v>1034.038278</v>
      </c>
      <c r="G204" s="167"/>
      <c r="H204" s="168"/>
      <c r="I204" s="30"/>
      <c r="N204" s="30"/>
    </row>
    <row r="205" spans="1:16" s="53" customFormat="1" ht="15.75" hidden="1" customHeight="1" x14ac:dyDescent="0.25">
      <c r="A205" s="163">
        <f>A204+1</f>
        <v>2204</v>
      </c>
      <c r="B205" s="164"/>
      <c r="C205" s="51" t="s">
        <v>171</v>
      </c>
      <c r="D205" s="51">
        <f>(70.89+(1.8+1.185+1.8+1.53+0.72)+(2.202+1.95))*10.764</f>
        <v>883.47682799999995</v>
      </c>
      <c r="E205" s="51">
        <f>1.5*2.925*10.764</f>
        <v>47.227049999999991</v>
      </c>
      <c r="F205" s="51">
        <f t="shared" ref="F205:F206" si="41">D205*(($F$136)+1)+(IF(E205&lt;101,E205,IF(E205&lt;201,E205/2,IF(E205&lt;=301,E205/3,E205/4))))</f>
        <v>1372.442292</v>
      </c>
      <c r="G205" s="167"/>
      <c r="H205" s="168"/>
      <c r="I205" s="30"/>
      <c r="N205" s="30"/>
    </row>
    <row r="206" spans="1:16" s="53" customFormat="1" ht="15.75" hidden="1" customHeight="1" x14ac:dyDescent="0.25">
      <c r="A206" s="163">
        <f>A205+1</f>
        <v>2205</v>
      </c>
      <c r="B206" s="164"/>
      <c r="C206" s="51" t="s">
        <v>171</v>
      </c>
      <c r="D206" s="51">
        <f>(70.89+(1.8+1.185+1.8+1.53+0.72)+(2.202+1.95))*10.764</f>
        <v>883.47682799999995</v>
      </c>
      <c r="E206" s="51">
        <f>1.5*2.925*10.764</f>
        <v>47.227049999999991</v>
      </c>
      <c r="F206" s="51">
        <f t="shared" si="41"/>
        <v>1372.442292</v>
      </c>
      <c r="G206" s="169"/>
      <c r="H206" s="170"/>
      <c r="I206" s="30"/>
      <c r="N206" s="30"/>
    </row>
    <row r="207" spans="1:16" s="53" customFormat="1" hidden="1" x14ac:dyDescent="0.25">
      <c r="A207" s="171" t="s">
        <v>180</v>
      </c>
      <c r="B207" s="172"/>
      <c r="C207" s="172"/>
      <c r="D207" s="172"/>
      <c r="E207" s="172"/>
      <c r="F207" s="172"/>
      <c r="G207" s="172"/>
      <c r="H207" s="173"/>
      <c r="I207" s="30"/>
      <c r="L207" s="220"/>
      <c r="M207" s="220"/>
    </row>
    <row r="208" spans="1:16" s="53" customFormat="1" ht="15.75" hidden="1" customHeight="1" x14ac:dyDescent="0.25">
      <c r="A208" s="163">
        <f>LEFT(A207,SUM(LEN(A207)-LEN(SUBSTITUTE(A207,{"0","1","2","3","4","5","6","7","8","9"},""))))*100+1</f>
        <v>2301</v>
      </c>
      <c r="B208" s="164"/>
      <c r="C208" s="51" t="s">
        <v>170</v>
      </c>
      <c r="D208" s="51">
        <f>(51.26+(1.8+0.69+1.8+1.185)+(1.875+1.926))*10.764</f>
        <v>651.60950400000002</v>
      </c>
      <c r="E208" s="51">
        <f>1.5*3.25*10.764</f>
        <v>52.474499999999999</v>
      </c>
      <c r="F208" s="51">
        <f t="shared" ref="F208:F209" si="42">D208*(($F$136)+1)+(IF(E208&lt;101,E208,IF(E208&lt;201,E208/2,IF(E208&lt;=301,E208/3,E208/4))))</f>
        <v>1029.8887560000001</v>
      </c>
      <c r="G208" s="165" t="str">
        <f>A207</f>
        <v>23rd Floor</v>
      </c>
      <c r="H208" s="166"/>
      <c r="I208" s="30"/>
      <c r="N208" s="30"/>
    </row>
    <row r="209" spans="1:14" s="53" customFormat="1" ht="15.75" hidden="1" customHeight="1" x14ac:dyDescent="0.25">
      <c r="A209" s="163">
        <f>A208+1</f>
        <v>2302</v>
      </c>
      <c r="B209" s="164"/>
      <c r="C209" s="51" t="s">
        <v>170</v>
      </c>
      <c r="D209" s="51">
        <f>(51.41+(1.8+1.185+1.8+0.69)+(1.875+1.95))*10.764</f>
        <v>653.48244</v>
      </c>
      <c r="E209" s="51">
        <f>1.5*3.25*10.764</f>
        <v>52.474499999999999</v>
      </c>
      <c r="F209" s="51">
        <f t="shared" si="42"/>
        <v>1032.6981599999999</v>
      </c>
      <c r="G209" s="167"/>
      <c r="H209" s="168"/>
      <c r="I209" s="30"/>
      <c r="N209" s="30"/>
    </row>
    <row r="210" spans="1:14" s="53" customFormat="1" ht="15.75" hidden="1" customHeight="1" x14ac:dyDescent="0.25">
      <c r="A210" s="163">
        <f>A209+1</f>
        <v>2303</v>
      </c>
      <c r="B210" s="164"/>
      <c r="C210" s="51" t="s">
        <v>170</v>
      </c>
      <c r="D210" s="51">
        <f>(50.86+(1.8+0.69+1.8+1.671)+(1.95+1.95))*10.764</f>
        <v>653.60084399999994</v>
      </c>
      <c r="E210" s="51">
        <f>1.5*3.37*10.764</f>
        <v>54.412019999999991</v>
      </c>
      <c r="F210" s="51">
        <f>D210*(($F$136)+1)+(IF(E210&lt;101,E210,IF(E210&lt;201,E210/2,IF(E210&lt;=301,E210/3,E210/4))))</f>
        <v>1034.8132859999998</v>
      </c>
      <c r="G210" s="167"/>
      <c r="H210" s="168"/>
      <c r="I210" s="30"/>
      <c r="N210" s="30"/>
    </row>
    <row r="211" spans="1:14" s="53" customFormat="1" ht="15.75" hidden="1" customHeight="1" x14ac:dyDescent="0.25">
      <c r="A211" s="163">
        <f>A210+1</f>
        <v>2304</v>
      </c>
      <c r="B211" s="164"/>
      <c r="C211" s="51" t="s">
        <v>171</v>
      </c>
      <c r="D211" s="51">
        <f>(70.89+(1.8+1.185+1.8+1.53+0.72)+(2.202+2.031))*10.764</f>
        <v>884.34871199999998</v>
      </c>
      <c r="E211" s="51">
        <f>1.5*3.25*10.764</f>
        <v>52.474499999999999</v>
      </c>
      <c r="F211" s="51">
        <f t="shared" ref="F211:F212" si="43">D211*(($F$136)+1)+(IF(E211&lt;101,E211,IF(E211&lt;201,E211/2,IF(E211&lt;=301,E211/3,E211/4))))</f>
        <v>1378.997568</v>
      </c>
      <c r="G211" s="167"/>
      <c r="H211" s="168"/>
      <c r="I211" s="30"/>
      <c r="N211" s="30"/>
    </row>
    <row r="212" spans="1:14" s="53" customFormat="1" ht="15.75" hidden="1" customHeight="1" x14ac:dyDescent="0.25">
      <c r="A212" s="163">
        <f>A211+1</f>
        <v>2305</v>
      </c>
      <c r="B212" s="164"/>
      <c r="C212" s="51" t="s">
        <v>171</v>
      </c>
      <c r="D212" s="51">
        <f>(70.89+(1.8+1.185+1.8+1.53+0.72)+(2.202+2.031))*10.764</f>
        <v>884.34871199999998</v>
      </c>
      <c r="E212" s="51">
        <f>1.5*3.25*10.764</f>
        <v>52.474499999999999</v>
      </c>
      <c r="F212" s="51">
        <f t="shared" si="43"/>
        <v>1378.997568</v>
      </c>
      <c r="G212" s="169"/>
      <c r="H212" s="170"/>
      <c r="I212" s="30"/>
      <c r="N212" s="30"/>
    </row>
    <row r="213" spans="1:14" s="53" customFormat="1" hidden="1" x14ac:dyDescent="0.25">
      <c r="A213" s="171" t="s">
        <v>181</v>
      </c>
      <c r="B213" s="172"/>
      <c r="C213" s="172"/>
      <c r="D213" s="172"/>
      <c r="E213" s="172"/>
      <c r="F213" s="172"/>
      <c r="G213" s="172"/>
      <c r="H213" s="173"/>
      <c r="I213" s="30"/>
      <c r="L213" s="220"/>
      <c r="M213" s="220"/>
    </row>
    <row r="214" spans="1:14" s="53" customFormat="1" ht="15.75" hidden="1" customHeight="1" x14ac:dyDescent="0.25">
      <c r="A214" s="163">
        <f>LEFT(A213,SUM(LEN(A213)-LEN(SUBSTITUTE(A213,{"0","1","2","3","4","5","6","7","8","9"},""))))*100+1</f>
        <v>2401</v>
      </c>
      <c r="B214" s="164"/>
      <c r="C214" s="51" t="s">
        <v>170</v>
      </c>
      <c r="D214" s="51">
        <f>(51.26+(1.8+1.185+1.8+0.96)+(1.926+1.95))*10.764</f>
        <v>655.32308399999988</v>
      </c>
      <c r="E214" s="51">
        <f>4.687*10.764</f>
        <v>50.450868</v>
      </c>
      <c r="F214" s="51">
        <f t="shared" ref="F214:F215" si="44">D214*(($F$136)+1)+(IF(E214&lt;101,E214,IF(E214&lt;201,E214/2,IF(E214&lt;=301,E214/3,E214/4))))</f>
        <v>1033.4354939999998</v>
      </c>
      <c r="G214" s="165" t="str">
        <f>A213</f>
        <v>24th Floor</v>
      </c>
      <c r="H214" s="166"/>
      <c r="I214" s="30"/>
      <c r="N214" s="30"/>
    </row>
    <row r="215" spans="1:14" s="53" customFormat="1" ht="15.75" hidden="1" customHeight="1" x14ac:dyDescent="0.25">
      <c r="A215" s="163">
        <f>A214+1</f>
        <v>2402</v>
      </c>
      <c r="B215" s="164"/>
      <c r="C215" s="51" t="s">
        <v>170</v>
      </c>
      <c r="D215" s="51">
        <f>(50.86+(1.8+1.671+0.69+1.8)+(1.95+2.022))*10.764</f>
        <v>654.37585200000001</v>
      </c>
      <c r="E215" s="51">
        <f>4.687*10.764</f>
        <v>50.450868</v>
      </c>
      <c r="F215" s="51">
        <f t="shared" si="44"/>
        <v>1032.0146459999999</v>
      </c>
      <c r="G215" s="167"/>
      <c r="H215" s="168"/>
      <c r="I215" s="30"/>
      <c r="N215" s="30"/>
    </row>
    <row r="216" spans="1:14" s="53" customFormat="1" ht="15.75" hidden="1" customHeight="1" x14ac:dyDescent="0.25">
      <c r="A216" s="163">
        <f>A215+1</f>
        <v>2403</v>
      </c>
      <c r="B216" s="164"/>
      <c r="C216" s="51" t="s">
        <v>170</v>
      </c>
      <c r="D216" s="51">
        <f>(50.86+(1.8+1.671+0.69+1.8)+(1.95+2.022))*10.764</f>
        <v>654.37585200000001</v>
      </c>
      <c r="E216" s="51">
        <f>4.875*10.764</f>
        <v>52.474499999999999</v>
      </c>
      <c r="F216" s="51">
        <f>D216*(($F$136)+1)+(IF(E216&lt;101,E216,IF(E216&lt;201,E216/2,IF(E216&lt;=301,E216/3,E216/4))))</f>
        <v>1034.038278</v>
      </c>
      <c r="G216" s="167"/>
      <c r="H216" s="168"/>
      <c r="I216" s="30"/>
      <c r="N216" s="30"/>
    </row>
    <row r="217" spans="1:14" s="53" customFormat="1" ht="15.75" hidden="1" customHeight="1" x14ac:dyDescent="0.25">
      <c r="A217" s="163">
        <f>A216+1</f>
        <v>2404</v>
      </c>
      <c r="B217" s="164"/>
      <c r="C217" s="51" t="s">
        <v>171</v>
      </c>
      <c r="D217" s="51">
        <f>(70.89+(1.8+1.185+1.8+1.53+0.72)+(2.202+1.95))*10.764</f>
        <v>883.47682799999995</v>
      </c>
      <c r="E217" s="51">
        <f>1.5*2.925*10.764</f>
        <v>47.227049999999991</v>
      </c>
      <c r="F217" s="51">
        <f t="shared" ref="F217:F218" si="45">D217*(($F$136)+1)+(IF(E217&lt;101,E217,IF(E217&lt;201,E217/2,IF(E217&lt;=301,E217/3,E217/4))))</f>
        <v>1372.442292</v>
      </c>
      <c r="G217" s="167"/>
      <c r="H217" s="168"/>
      <c r="I217" s="30"/>
      <c r="N217" s="30"/>
    </row>
    <row r="218" spans="1:14" s="53" customFormat="1" ht="15.75" hidden="1" customHeight="1" x14ac:dyDescent="0.25">
      <c r="A218" s="163">
        <f>A217+1</f>
        <v>2405</v>
      </c>
      <c r="B218" s="164"/>
      <c r="C218" s="51" t="s">
        <v>171</v>
      </c>
      <c r="D218" s="51">
        <f>(70.89+(1.8+1.185+1.8+1.53+0.72)+(2.202+1.95))*10.764</f>
        <v>883.47682799999995</v>
      </c>
      <c r="E218" s="51">
        <f>1.5*2.925*10.764</f>
        <v>47.227049999999991</v>
      </c>
      <c r="F218" s="51">
        <f t="shared" si="45"/>
        <v>1372.442292</v>
      </c>
      <c r="G218" s="169"/>
      <c r="H218" s="170"/>
      <c r="I218" s="30"/>
      <c r="N218" s="30"/>
    </row>
    <row r="219" spans="1:14" s="53" customFormat="1" ht="15.75" hidden="1" customHeight="1" x14ac:dyDescent="0.25">
      <c r="A219" s="171" t="s">
        <v>182</v>
      </c>
      <c r="B219" s="172"/>
      <c r="C219" s="172"/>
      <c r="D219" s="172"/>
      <c r="E219" s="172"/>
      <c r="F219" s="172"/>
      <c r="G219" s="172"/>
      <c r="H219" s="173"/>
      <c r="I219" s="30"/>
      <c r="L219" s="220"/>
      <c r="M219" s="220"/>
    </row>
    <row r="220" spans="1:14" s="53" customFormat="1" ht="15.75" hidden="1" customHeight="1" x14ac:dyDescent="0.25">
      <c r="A220" s="171" t="s">
        <v>167</v>
      </c>
      <c r="B220" s="172"/>
      <c r="C220" s="172"/>
      <c r="D220" s="172"/>
      <c r="E220" s="172"/>
      <c r="F220" s="172"/>
      <c r="G220" s="172"/>
      <c r="H220" s="173"/>
      <c r="I220" s="30"/>
      <c r="L220" s="220"/>
      <c r="M220" s="220"/>
    </row>
    <row r="221" spans="1:14" s="53" customFormat="1" ht="15.75" hidden="1" customHeight="1" x14ac:dyDescent="0.25">
      <c r="A221" s="171" t="s">
        <v>168</v>
      </c>
      <c r="B221" s="172"/>
      <c r="C221" s="172"/>
      <c r="D221" s="172"/>
      <c r="E221" s="172"/>
      <c r="F221" s="172"/>
      <c r="G221" s="172"/>
      <c r="H221" s="173"/>
      <c r="I221" s="30"/>
      <c r="L221" s="220"/>
      <c r="M221" s="220"/>
    </row>
    <row r="222" spans="1:14" s="53" customFormat="1" hidden="1" x14ac:dyDescent="0.25">
      <c r="A222" s="171" t="s">
        <v>169</v>
      </c>
      <c r="B222" s="172"/>
      <c r="C222" s="172"/>
      <c r="D222" s="172"/>
      <c r="E222" s="172"/>
      <c r="F222" s="172"/>
      <c r="G222" s="172"/>
      <c r="H222" s="173"/>
      <c r="I222" s="30"/>
      <c r="L222" s="220"/>
      <c r="M222" s="220"/>
    </row>
    <row r="223" spans="1:14" s="53" customFormat="1" ht="15.75" hidden="1" customHeight="1" x14ac:dyDescent="0.25">
      <c r="A223" s="163">
        <f>LEFT(A222,SUM(LEN(A222)-LEN(SUBSTITUTE(A222,{"0","1","2","3","4","5","6","7","8","9"},""))))*100+1</f>
        <v>101</v>
      </c>
      <c r="B223" s="164"/>
      <c r="C223" s="165" t="s">
        <v>183</v>
      </c>
      <c r="D223" s="230"/>
      <c r="E223" s="230"/>
      <c r="F223" s="166"/>
      <c r="G223" s="165" t="str">
        <f>A222</f>
        <v>1st Floor</v>
      </c>
      <c r="H223" s="166"/>
      <c r="I223" s="30"/>
      <c r="N223" s="30"/>
    </row>
    <row r="224" spans="1:14" s="53" customFormat="1" ht="15.75" hidden="1" customHeight="1" x14ac:dyDescent="0.25">
      <c r="A224" s="163">
        <f>A223+1</f>
        <v>102</v>
      </c>
      <c r="B224" s="164"/>
      <c r="C224" s="167"/>
      <c r="D224" s="231"/>
      <c r="E224" s="231"/>
      <c r="F224" s="168"/>
      <c r="G224" s="167"/>
      <c r="H224" s="168"/>
      <c r="I224" s="30"/>
      <c r="N224" s="30"/>
    </row>
    <row r="225" spans="1:16" s="53" customFormat="1" ht="15.75" hidden="1" customHeight="1" x14ac:dyDescent="0.25">
      <c r="A225" s="163">
        <f>A224+1</f>
        <v>103</v>
      </c>
      <c r="B225" s="164"/>
      <c r="C225" s="169"/>
      <c r="D225" s="232"/>
      <c r="E225" s="232"/>
      <c r="F225" s="170"/>
      <c r="G225" s="167"/>
      <c r="H225" s="168"/>
      <c r="I225" s="30"/>
      <c r="N225" s="30"/>
    </row>
    <row r="226" spans="1:16" s="53" customFormat="1" hidden="1" x14ac:dyDescent="0.25">
      <c r="A226" s="163">
        <f>A225+1</f>
        <v>104</v>
      </c>
      <c r="B226" s="164"/>
      <c r="C226" s="51" t="s">
        <v>171</v>
      </c>
      <c r="D226" s="51">
        <f>(70.84+0.6*2.125+(1.8+1.53+0.72+1.185)+(2.226+2.031))*10.764</f>
        <v>878.41774800000007</v>
      </c>
      <c r="E226" s="51">
        <f t="shared" ref="E226" si="46">1.5*3.25*10.764</f>
        <v>52.474499999999999</v>
      </c>
      <c r="F226" s="51">
        <f t="shared" ref="F226" si="47">D226*(($F$136)+1)+(IF(E226&lt;101,E226,IF(E226&lt;201,E226/2,IF(E226&lt;=301,E226/3,E226/4))))</f>
        <v>1370.1011220000003</v>
      </c>
      <c r="G226" s="169"/>
      <c r="H226" s="170"/>
      <c r="I226" s="30"/>
      <c r="N226" s="30"/>
    </row>
    <row r="227" spans="1:16" s="53" customFormat="1" ht="15.75" hidden="1" customHeight="1" x14ac:dyDescent="0.25">
      <c r="A227" s="171" t="s">
        <v>172</v>
      </c>
      <c r="B227" s="172"/>
      <c r="C227" s="172"/>
      <c r="D227" s="172"/>
      <c r="E227" s="172"/>
      <c r="F227" s="172"/>
      <c r="G227" s="172"/>
      <c r="H227" s="173"/>
      <c r="I227" s="30"/>
      <c r="L227" s="220"/>
      <c r="M227" s="220"/>
    </row>
    <row r="228" spans="1:16" s="53" customFormat="1" ht="15.75" hidden="1" customHeight="1" x14ac:dyDescent="0.25">
      <c r="A228" s="163">
        <f>LEFT(A227,SUM(LEN(A227)-LEN(SUBSTITUTE(A227,{"0","1","2","3","4","5","6","7","8","9"},""))))*100+1</f>
        <v>201</v>
      </c>
      <c r="B228" s="164"/>
      <c r="C228" s="165" t="s">
        <v>184</v>
      </c>
      <c r="D228" s="230"/>
      <c r="E228" s="230"/>
      <c r="F228" s="166"/>
      <c r="G228" s="165" t="str">
        <f>A227</f>
        <v>2nd Floor (E Deck Floor)</v>
      </c>
      <c r="H228" s="166"/>
      <c r="I228" s="30"/>
      <c r="N228" s="30"/>
    </row>
    <row r="229" spans="1:16" s="53" customFormat="1" ht="15.75" hidden="1" customHeight="1" x14ac:dyDescent="0.25">
      <c r="A229" s="163">
        <f>A228+1</f>
        <v>202</v>
      </c>
      <c r="B229" s="164"/>
      <c r="C229" s="169"/>
      <c r="D229" s="232"/>
      <c r="E229" s="232"/>
      <c r="F229" s="170"/>
      <c r="G229" s="167"/>
      <c r="H229" s="168"/>
      <c r="I229" s="30"/>
      <c r="N229" s="30"/>
    </row>
    <row r="230" spans="1:16" s="53" customFormat="1" ht="15.75" hidden="1" customHeight="1" x14ac:dyDescent="0.25">
      <c r="A230" s="163">
        <f>A229+1</f>
        <v>203</v>
      </c>
      <c r="B230" s="164"/>
      <c r="C230" s="51" t="s">
        <v>171</v>
      </c>
      <c r="D230" s="51">
        <f>(70.84+0.6*2.125+(1.8+1.8+1.53+0.72+1.185)+(2.226+1.83))*10.764</f>
        <v>895.62938399999996</v>
      </c>
      <c r="E230" s="51">
        <f>1.5*2.925*10.764</f>
        <v>47.227049999999991</v>
      </c>
      <c r="F230" s="51">
        <f>D230*(($F$136)+1)+(IF(E230&lt;101,E230,IF(E230&lt;201,E230/2,IF(E230&lt;=301,E230/3,E230/4))))</f>
        <v>1390.671126</v>
      </c>
      <c r="G230" s="167"/>
      <c r="H230" s="168"/>
      <c r="I230" s="30"/>
      <c r="N230" s="30"/>
    </row>
    <row r="231" spans="1:16" s="53" customFormat="1" ht="15.75" hidden="1" customHeight="1" x14ac:dyDescent="0.25">
      <c r="A231" s="163">
        <f>A230+1</f>
        <v>204</v>
      </c>
      <c r="B231" s="164"/>
      <c r="C231" s="51" t="s">
        <v>171</v>
      </c>
      <c r="D231" s="51">
        <f>(70.84+0.6*2.125+(1.8+1.8+1.53+0.72+1.185)+(2.226+1.83))*10.764</f>
        <v>895.62938399999996</v>
      </c>
      <c r="E231" s="51">
        <f>1.5*2.925*10.764</f>
        <v>47.227049999999991</v>
      </c>
      <c r="F231" s="51">
        <f t="shared" ref="F231" si="48">D231*(($F$136)+1)+(IF(E231&lt;101,E231,IF(E231&lt;201,E231/2,IF(E231&lt;=301,E231/3,E231/4))))</f>
        <v>1390.671126</v>
      </c>
      <c r="G231" s="169"/>
      <c r="H231" s="170"/>
      <c r="I231" s="30"/>
      <c r="N231" s="30"/>
    </row>
    <row r="232" spans="1:16" s="53" customFormat="1" ht="15.75" hidden="1" customHeight="1" x14ac:dyDescent="0.25">
      <c r="A232" s="171" t="s">
        <v>174</v>
      </c>
      <c r="B232" s="172"/>
      <c r="C232" s="172"/>
      <c r="D232" s="172"/>
      <c r="E232" s="172"/>
      <c r="F232" s="172"/>
      <c r="G232" s="172"/>
      <c r="H232" s="173"/>
      <c r="I232" s="30"/>
      <c r="P232" s="31"/>
    </row>
    <row r="233" spans="1:16" s="53" customFormat="1" ht="15.75" hidden="1" customHeight="1" x14ac:dyDescent="0.25">
      <c r="A233" s="163" t="str">
        <f t="shared" ref="A233:A237" ca="1" si="49">N233</f>
        <v>4601,..,2001</v>
      </c>
      <c r="B233" s="164"/>
      <c r="C233" s="51" t="s">
        <v>170</v>
      </c>
      <c r="D233" s="51">
        <f>(54.69+0.6*2.125+(1.8+1.461+1.8+0.72)+(1.95+2.262))*10.764</f>
        <v>709.97191199999997</v>
      </c>
      <c r="E233" s="51">
        <f>4.687*10.764</f>
        <v>50.450868</v>
      </c>
      <c r="F233" s="51">
        <f t="shared" ref="F233:F237" si="50">D233*(($F$136)+1)+(IF(E233&lt;101,E233,IF(E233&lt;201,E233/2,IF(E233&lt;=301,E233/3,E233/4))))</f>
        <v>1115.4087359999999</v>
      </c>
      <c r="G233" s="165" t="str">
        <f>A232</f>
        <v>4th, 6th, 8th, 10th, 14th, 16th, 18th &amp; 20th Floor</v>
      </c>
      <c r="H233" s="166"/>
      <c r="I233" s="30"/>
      <c r="N233" s="53" t="str">
        <f t="shared" ref="N233:N237" ca="1" si="51">O233&amp;""&amp;",..,"&amp;""&amp;P233</f>
        <v>4601,..,2001</v>
      </c>
      <c r="O233" s="53">
        <f ca="1">(SUMPRODUCT(MID(0&amp;(LEFT(A232,SUM(LEN(A232)-LEN(SUBSTITUTE(A232,{0,1,2},""))))), LARGE(INDEX(ISNUMBER(--MID((LEFT(A232,SUM(LEN(A232)-LEN(SUBSTITUTE(A232,{0,1,2},""))))), ROW(INDIRECT("1:"&amp;LEN((LEFT(A232,SUM(LEN(A232)-LEN(SUBSTITUTE(A232,{0,1,2},"")))))))), 1)) * ROW(INDIRECT("1:"&amp;LEN((LEFT(A232,SUM(LEN(A232)-LEN(SUBSTITUTE(A232,{0,1,2},"")))))))), 0), ROW(INDIRECT("1:"&amp;LEN((LEFT(A232,SUM(LEN(A232)-LEN(SUBSTITUTE(A232,{0,1,2},"")))))))))+1, 1) * 10^ROW(INDIRECT("1:"&amp;LEN((LEFT(A232,SUM(LEN(A232)-LEN(SUBSTITUTE(A232,{0,1,2},""))))))))/10))*100+1</f>
        <v>4601</v>
      </c>
      <c r="P233" s="53">
        <f ca="1">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",LEN(A232))),LEN(A232)))))))/10))*100+1</f>
        <v>2001</v>
      </c>
    </row>
    <row r="234" spans="1:16" s="53" customFormat="1" ht="15.75" hidden="1" customHeight="1" x14ac:dyDescent="0.25">
      <c r="A234" s="163" t="str">
        <f t="shared" ca="1" si="49"/>
        <v>4602,..,2002</v>
      </c>
      <c r="B234" s="164"/>
      <c r="C234" s="51" t="s">
        <v>170</v>
      </c>
      <c r="D234" s="51">
        <f>(54.82+0.6*2.125+(1.8+1.8+0.69+1.437)+(1.9+2.286))*10.764</f>
        <v>710.51011200000005</v>
      </c>
      <c r="E234" s="51">
        <f>4.687*10.764</f>
        <v>50.450868</v>
      </c>
      <c r="F234" s="51">
        <f t="shared" si="50"/>
        <v>1116.216036</v>
      </c>
      <c r="G234" s="167"/>
      <c r="H234" s="168"/>
      <c r="I234" s="30"/>
      <c r="N234" s="53" t="str">
        <f t="shared" ca="1" si="51"/>
        <v>4602,..,2002</v>
      </c>
      <c r="O234" s="53">
        <f t="shared" ref="O234:P234" ca="1" si="52">O233+1</f>
        <v>4602</v>
      </c>
      <c r="P234" s="53">
        <f t="shared" ca="1" si="52"/>
        <v>2002</v>
      </c>
    </row>
    <row r="235" spans="1:16" s="53" customFormat="1" ht="15.75" hidden="1" customHeight="1" x14ac:dyDescent="0.25">
      <c r="A235" s="163" t="str">
        <f t="shared" ca="1" si="49"/>
        <v>4603,..,2003</v>
      </c>
      <c r="B235" s="164"/>
      <c r="C235" s="51" t="s">
        <v>171</v>
      </c>
      <c r="D235" s="51">
        <f>(70.84+0.6*2.125+(1.8+1.8+1.53+0.72+1.185)+(2.226+1.83))*10.764</f>
        <v>895.62938399999996</v>
      </c>
      <c r="E235" s="51">
        <f>4.387*10.764</f>
        <v>47.221667999999994</v>
      </c>
      <c r="F235" s="51">
        <f t="shared" si="50"/>
        <v>1390.6657439999999</v>
      </c>
      <c r="G235" s="167"/>
      <c r="H235" s="168"/>
      <c r="I235" s="30"/>
      <c r="N235" s="53" t="str">
        <f t="shared" ca="1" si="51"/>
        <v>4603,..,2003</v>
      </c>
      <c r="O235" s="53">
        <f t="shared" ref="O235:P235" ca="1" si="53">O234+1</f>
        <v>4603</v>
      </c>
      <c r="P235" s="53">
        <f t="shared" ca="1" si="53"/>
        <v>2003</v>
      </c>
    </row>
    <row r="236" spans="1:16" s="53" customFormat="1" ht="15.75" hidden="1" customHeight="1" x14ac:dyDescent="0.25">
      <c r="A236" s="163" t="str">
        <f t="shared" ca="1" si="49"/>
        <v>4604,..,2004</v>
      </c>
      <c r="B236" s="164"/>
      <c r="C236" s="51" t="s">
        <v>171</v>
      </c>
      <c r="D236" s="51">
        <f>(70.84+0.6*1.125+(1.8+1.8+1.53+1.185+0.72)+(2.226+1.83))*10.764</f>
        <v>889.17098399999986</v>
      </c>
      <c r="E236" s="51">
        <f>4.387*10.764</f>
        <v>47.221667999999994</v>
      </c>
      <c r="F236" s="51">
        <f t="shared" si="50"/>
        <v>1380.9781439999997</v>
      </c>
      <c r="G236" s="167"/>
      <c r="H236" s="168"/>
      <c r="I236" s="30"/>
      <c r="N236" s="53" t="str">
        <f t="shared" ca="1" si="51"/>
        <v>4604,..,2004</v>
      </c>
      <c r="O236" s="53">
        <f t="shared" ref="O236:P236" ca="1" si="54">O235+1</f>
        <v>4604</v>
      </c>
      <c r="P236" s="53">
        <f t="shared" ca="1" si="54"/>
        <v>2004</v>
      </c>
    </row>
    <row r="237" spans="1:16" s="53" customFormat="1" ht="15.75" hidden="1" customHeight="1" x14ac:dyDescent="0.25">
      <c r="A237" s="163" t="str">
        <f t="shared" ca="1" si="49"/>
        <v>4605,..,2005</v>
      </c>
      <c r="B237" s="164"/>
      <c r="C237" s="51" t="s">
        <v>170</v>
      </c>
      <c r="D237" s="51">
        <f>(54.82+0.6*2.125+(0.72+1.461+1.8+1.8)+(2.286+1.95))*10.764</f>
        <v>711.62956799999995</v>
      </c>
      <c r="E237" s="51">
        <f t="shared" ref="E237:E238" si="55">4.687*10.764</f>
        <v>50.450868</v>
      </c>
      <c r="F237" s="51">
        <f t="shared" si="50"/>
        <v>1117.8952199999999</v>
      </c>
      <c r="G237" s="167"/>
      <c r="H237" s="168"/>
      <c r="I237" s="30"/>
      <c r="N237" s="53" t="str">
        <f t="shared" ca="1" si="51"/>
        <v>4605,..,2005</v>
      </c>
      <c r="O237" s="53">
        <f t="shared" ref="O237:P238" ca="1" si="56">O236+1</f>
        <v>4605</v>
      </c>
      <c r="P237" s="53">
        <f t="shared" ca="1" si="56"/>
        <v>2005</v>
      </c>
    </row>
    <row r="238" spans="1:16" s="53" customFormat="1" ht="15.75" hidden="1" customHeight="1" x14ac:dyDescent="0.25">
      <c r="A238" s="163" t="str">
        <f t="shared" ref="A238" ca="1" si="57">N238</f>
        <v>4606,..,2006</v>
      </c>
      <c r="B238" s="164"/>
      <c r="C238" s="51" t="s">
        <v>170</v>
      </c>
      <c r="D238" s="51">
        <f>(54.82+0.6*2.125+(0.72+1.461+1.8+1.8)+(2.262+1.95))*10.764</f>
        <v>711.37123199999985</v>
      </c>
      <c r="E238" s="51">
        <f t="shared" si="55"/>
        <v>50.450868</v>
      </c>
      <c r="F238" s="51">
        <f t="shared" ref="F238" si="58">D238*(($F$136)+1)+(IF(E238&lt;101,E238,IF(E238&lt;201,E238/2,IF(E238&lt;=301,E238/3,E238/4))))</f>
        <v>1117.5077159999996</v>
      </c>
      <c r="G238" s="169"/>
      <c r="H238" s="170"/>
      <c r="I238" s="30"/>
      <c r="N238" s="53" t="str">
        <f t="shared" ref="N238" ca="1" si="59">O238&amp;""&amp;",..,"&amp;""&amp;P238</f>
        <v>4606,..,2006</v>
      </c>
      <c r="O238" s="53">
        <f t="shared" ca="1" si="56"/>
        <v>4606</v>
      </c>
      <c r="P238" s="53">
        <f t="shared" ca="1" si="56"/>
        <v>2006</v>
      </c>
    </row>
    <row r="239" spans="1:16" s="53" customFormat="1" ht="15.75" hidden="1" customHeight="1" x14ac:dyDescent="0.25">
      <c r="A239" s="171" t="s">
        <v>175</v>
      </c>
      <c r="B239" s="172"/>
      <c r="C239" s="172"/>
      <c r="D239" s="172"/>
      <c r="E239" s="172"/>
      <c r="F239" s="172"/>
      <c r="G239" s="172"/>
      <c r="H239" s="173"/>
      <c r="I239" s="30"/>
      <c r="P239" s="31"/>
    </row>
    <row r="240" spans="1:16" s="53" customFormat="1" ht="15.75" hidden="1" customHeight="1" x14ac:dyDescent="0.25">
      <c r="A240" s="163" t="str">
        <f t="shared" ref="A240:A244" ca="1" si="60">N240</f>
        <v>3501,..,2101</v>
      </c>
      <c r="B240" s="164"/>
      <c r="C240" s="51" t="s">
        <v>170</v>
      </c>
      <c r="D240" s="51">
        <f>(54.69+0.6*2.125+(1.8+1.8+1.437+0.72)+(1.95+1.875))*10.764</f>
        <v>705.54790799999989</v>
      </c>
      <c r="E240" s="51">
        <f>4.575*10.764</f>
        <v>49.2453</v>
      </c>
      <c r="F240" s="51">
        <f t="shared" ref="F240:F244" si="61">D240*(($F$136)+1)+(IF(E240&lt;101,E240,IF(E240&lt;201,E240/2,IF(E240&lt;=301,E240/3,E240/4))))</f>
        <v>1107.5671619999998</v>
      </c>
      <c r="G240" s="165" t="str">
        <f>A239</f>
        <v>3rd, 5th, 9th, 11th, 13th, 15th, 19th &amp; 21st Floor</v>
      </c>
      <c r="H240" s="166"/>
      <c r="I240" s="30"/>
      <c r="N240" s="53" t="str">
        <f t="shared" ref="N240:N244" ca="1" si="62">O240&amp;""&amp;",..,"&amp;""&amp;P240</f>
        <v>3501,..,2101</v>
      </c>
      <c r="O240" s="53">
        <f ca="1">(SUMPRODUCT(MID(0&amp;(LEFT(A239,SUM(LEN(A239)-LEN(SUBSTITUTE(A239,{0,1,2},""))))), LARGE(INDEX(ISNUMBER(--MID((LEFT(A239,SUM(LEN(A239)-LEN(SUBSTITUTE(A239,{0,1,2},""))))), ROW(INDIRECT("1:"&amp;LEN((LEFT(A239,SUM(LEN(A239)-LEN(SUBSTITUTE(A239,{0,1,2},"")))))))), 1)) * ROW(INDIRECT("1:"&amp;LEN((LEFT(A239,SUM(LEN(A239)-LEN(SUBSTITUTE(A239,{0,1,2},"")))))))), 0), ROW(INDIRECT("1:"&amp;LEN((LEFT(A239,SUM(LEN(A239)-LEN(SUBSTITUTE(A239,{0,1,2},"")))))))))+1, 1) * 10^ROW(INDIRECT("1:"&amp;LEN((LEFT(A239,SUM(LEN(A239)-LEN(SUBSTITUTE(A239,{0,1,2},""))))))))/10))*100+1</f>
        <v>3501</v>
      </c>
      <c r="P240" s="53">
        <f ca="1">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",LEN(A239))),LEN(A239)))))))/10))*100+1</f>
        <v>2101</v>
      </c>
    </row>
    <row r="241" spans="1:16" s="53" customFormat="1" ht="15.75" hidden="1" customHeight="1" x14ac:dyDescent="0.25">
      <c r="A241" s="163" t="str">
        <f t="shared" ca="1" si="60"/>
        <v>3502,..,2102</v>
      </c>
      <c r="B241" s="164"/>
      <c r="C241" s="51" t="s">
        <v>170</v>
      </c>
      <c r="D241" s="51">
        <f>(54.69+0.6*2.125+(1.8+1.8+1.437+0.72)+(1.95+1.875))*10.764</f>
        <v>705.54790799999989</v>
      </c>
      <c r="E241" s="51">
        <f t="shared" ref="E241:E245" si="63">4.575*10.764</f>
        <v>49.2453</v>
      </c>
      <c r="F241" s="51">
        <f t="shared" si="61"/>
        <v>1107.5671619999998</v>
      </c>
      <c r="G241" s="167"/>
      <c r="H241" s="168"/>
      <c r="I241" s="30"/>
      <c r="N241" s="53" t="str">
        <f t="shared" ca="1" si="62"/>
        <v>3502,..,2102</v>
      </c>
      <c r="O241" s="53">
        <f t="shared" ref="O241:P241" ca="1" si="64">O240+1</f>
        <v>3502</v>
      </c>
      <c r="P241" s="53">
        <f t="shared" ca="1" si="64"/>
        <v>2102</v>
      </c>
    </row>
    <row r="242" spans="1:16" s="53" customFormat="1" ht="15.75" hidden="1" customHeight="1" x14ac:dyDescent="0.25">
      <c r="A242" s="163" t="str">
        <f t="shared" ca="1" si="60"/>
        <v>3503,..,2103</v>
      </c>
      <c r="B242" s="164"/>
      <c r="C242" s="51" t="s">
        <v>171</v>
      </c>
      <c r="D242" s="51">
        <f>(70.84+0.6*2.125+(1.8+1.8+1.53+1.185+0.72)+(2.226+2.031))*10.764</f>
        <v>897.79294800000002</v>
      </c>
      <c r="E242" s="51">
        <f>4.875*10.764</f>
        <v>52.474499999999999</v>
      </c>
      <c r="F242" s="51">
        <f t="shared" si="61"/>
        <v>1399.163922</v>
      </c>
      <c r="G242" s="167"/>
      <c r="H242" s="168"/>
      <c r="I242" s="30"/>
      <c r="N242" s="53" t="str">
        <f t="shared" ca="1" si="62"/>
        <v>3503,..,2103</v>
      </c>
      <c r="O242" s="53">
        <f t="shared" ref="O242:P242" ca="1" si="65">O241+1</f>
        <v>3503</v>
      </c>
      <c r="P242" s="53">
        <f t="shared" ca="1" si="65"/>
        <v>2103</v>
      </c>
    </row>
    <row r="243" spans="1:16" s="53" customFormat="1" ht="15.75" hidden="1" customHeight="1" x14ac:dyDescent="0.25">
      <c r="A243" s="163" t="str">
        <f t="shared" ca="1" si="60"/>
        <v>3504,..,2104</v>
      </c>
      <c r="B243" s="164"/>
      <c r="C243" s="51" t="s">
        <v>171</v>
      </c>
      <c r="D243" s="51">
        <f>(70.84+0.6*2.125+(1.8+1.8+1.53+1.185+0.72)+(2.226+2.031))*10.764</f>
        <v>897.79294800000002</v>
      </c>
      <c r="E243" s="51">
        <f>4.875*10.764</f>
        <v>52.474499999999999</v>
      </c>
      <c r="F243" s="51">
        <f t="shared" si="61"/>
        <v>1399.163922</v>
      </c>
      <c r="G243" s="167"/>
      <c r="H243" s="168"/>
      <c r="I243" s="30"/>
      <c r="N243" s="53" t="str">
        <f t="shared" ca="1" si="62"/>
        <v>3504,..,2104</v>
      </c>
      <c r="O243" s="53">
        <f t="shared" ref="O243:P243" ca="1" si="66">O242+1</f>
        <v>3504</v>
      </c>
      <c r="P243" s="53">
        <f t="shared" ca="1" si="66"/>
        <v>2104</v>
      </c>
    </row>
    <row r="244" spans="1:16" s="53" customFormat="1" ht="15.75" hidden="1" customHeight="1" x14ac:dyDescent="0.25">
      <c r="A244" s="163" t="str">
        <f t="shared" ca="1" si="60"/>
        <v>3505,..,2105</v>
      </c>
      <c r="B244" s="164"/>
      <c r="C244" s="51" t="s">
        <v>170</v>
      </c>
      <c r="D244" s="51">
        <f>(54.82+0.6*2.125+(0.72+1.461+1.8+1.8)+(1.875+1.95))*10.764</f>
        <v>707.20556399999987</v>
      </c>
      <c r="E244" s="51">
        <f t="shared" si="63"/>
        <v>49.2453</v>
      </c>
      <c r="F244" s="51">
        <f t="shared" si="61"/>
        <v>1110.0536459999998</v>
      </c>
      <c r="G244" s="167"/>
      <c r="H244" s="168"/>
      <c r="I244" s="30"/>
      <c r="N244" s="53" t="str">
        <f t="shared" ca="1" si="62"/>
        <v>3505,..,2105</v>
      </c>
      <c r="O244" s="53">
        <f t="shared" ref="O244:P245" ca="1" si="67">O243+1</f>
        <v>3505</v>
      </c>
      <c r="P244" s="53">
        <f t="shared" ca="1" si="67"/>
        <v>2105</v>
      </c>
    </row>
    <row r="245" spans="1:16" s="53" customFormat="1" ht="15.75" hidden="1" customHeight="1" x14ac:dyDescent="0.25">
      <c r="A245" s="163" t="str">
        <f t="shared" ref="A245" ca="1" si="68">N245</f>
        <v>3506,..,2106</v>
      </c>
      <c r="B245" s="164"/>
      <c r="C245" s="51" t="s">
        <v>170</v>
      </c>
      <c r="D245" s="51">
        <f>(54.82+0.6*2.125+(0.72+1.461+1.8+1.8)+(1.875+1.95))*10.764</f>
        <v>707.20556399999987</v>
      </c>
      <c r="E245" s="51">
        <f t="shared" si="63"/>
        <v>49.2453</v>
      </c>
      <c r="F245" s="51">
        <f t="shared" ref="F245" si="69">D245*(($F$136)+1)+(IF(E245&lt;101,E245,IF(E245&lt;201,E245/2,IF(E245&lt;=301,E245/3,E245/4))))</f>
        <v>1110.0536459999998</v>
      </c>
      <c r="G245" s="169"/>
      <c r="H245" s="170"/>
      <c r="I245" s="30"/>
      <c r="N245" s="53" t="str">
        <f t="shared" ref="N245" ca="1" si="70">O245&amp;""&amp;",..,"&amp;""&amp;P245</f>
        <v>3506,..,2106</v>
      </c>
      <c r="O245" s="53">
        <f t="shared" ca="1" si="67"/>
        <v>3506</v>
      </c>
      <c r="P245" s="53">
        <f t="shared" ca="1" si="67"/>
        <v>2106</v>
      </c>
    </row>
    <row r="246" spans="1:16" s="75" customFormat="1" ht="15.75" hidden="1" customHeight="1" x14ac:dyDescent="0.25">
      <c r="A246" s="171" t="s">
        <v>200</v>
      </c>
      <c r="B246" s="172"/>
      <c r="C246" s="172"/>
      <c r="D246" s="172"/>
      <c r="E246" s="172"/>
      <c r="F246" s="172"/>
      <c r="G246" s="172"/>
      <c r="H246" s="173"/>
      <c r="I246" s="30"/>
      <c r="P246" s="31"/>
    </row>
    <row r="247" spans="1:16" s="75" customFormat="1" ht="15.75" hidden="1" customHeight="1" x14ac:dyDescent="0.25">
      <c r="A247" s="163" t="str">
        <f t="shared" ref="A247:A252" ca="1" si="71">N247</f>
        <v>101,..,1301</v>
      </c>
      <c r="B247" s="164"/>
      <c r="C247" s="74" t="s">
        <v>170</v>
      </c>
      <c r="D247" s="74">
        <f>(54.69+0.6*2.125+(1.8+1.8+1.437+0.72)+(1.95+1.875))*10.764</f>
        <v>705.54790799999989</v>
      </c>
      <c r="E247" s="74">
        <f>4.575*10.764</f>
        <v>49.2453</v>
      </c>
      <c r="F247" s="74">
        <f t="shared" ref="F247:F252" si="72">D247*(($F$136)+1)+(IF(E247&lt;101,E247,IF(E247&lt;201,E247/2,IF(E247&lt;=301,E247/3,E247/4))))</f>
        <v>1107.5671619999998</v>
      </c>
      <c r="G247" s="165" t="str">
        <f>A246</f>
        <v>13th Floor</v>
      </c>
      <c r="H247" s="166"/>
      <c r="I247" s="30"/>
      <c r="N247" s="75" t="str">
        <f t="shared" ref="N247:N252" ca="1" si="73">O247&amp;""&amp;",..,"&amp;""&amp;P247</f>
        <v>101,..,1301</v>
      </c>
      <c r="O247" s="75">
        <f ca="1">(SUMPRODUCT(MID(0&amp;(LEFT(A246,SUM(LEN(A246)-LEN(SUBSTITUTE(A246,{0,1,2},""))))), LARGE(INDEX(ISNUMBER(--MID((LEFT(A246,SUM(LEN(A246)-LEN(SUBSTITUTE(A246,{0,1,2},""))))), ROW(INDIRECT("1:"&amp;LEN((LEFT(A246,SUM(LEN(A246)-LEN(SUBSTITUTE(A246,{0,1,2},"")))))))), 1)) * ROW(INDIRECT("1:"&amp;LEN((LEFT(A246,SUM(LEN(A246)-LEN(SUBSTITUTE(A246,{0,1,2},"")))))))), 0), ROW(INDIRECT("1:"&amp;LEN((LEFT(A246,SUM(LEN(A246)-LEN(SUBSTITUTE(A246,{0,1,2},"")))))))))+1, 1) * 10^ROW(INDIRECT("1:"&amp;LEN((LEFT(A246,SUM(LEN(A246)-LEN(SUBSTITUTE(A246,{0,1,2},""))))))))/10))*100+1</f>
        <v>101</v>
      </c>
      <c r="P247" s="75">
        <f ca="1">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",LEN(A246))),LEN(A246)))))))/10))*100+1</f>
        <v>1301</v>
      </c>
    </row>
    <row r="248" spans="1:16" s="75" customFormat="1" ht="15.75" hidden="1" customHeight="1" x14ac:dyDescent="0.25">
      <c r="A248" s="163" t="str">
        <f t="shared" ca="1" si="71"/>
        <v>102,..,1302</v>
      </c>
      <c r="B248" s="164"/>
      <c r="C248" s="74" t="s">
        <v>170</v>
      </c>
      <c r="D248" s="74">
        <f>(54.69+0.6*2.125+(1.8+1.8+1.437+0.72)+(1.95+1.875))*10.764</f>
        <v>705.54790799999989</v>
      </c>
      <c r="E248" s="74">
        <f t="shared" ref="E248:E252" si="74">4.575*10.764</f>
        <v>49.2453</v>
      </c>
      <c r="F248" s="74">
        <f t="shared" si="72"/>
        <v>1107.5671619999998</v>
      </c>
      <c r="G248" s="167"/>
      <c r="H248" s="168"/>
      <c r="I248" s="30"/>
      <c r="N248" s="75" t="str">
        <f t="shared" ca="1" si="73"/>
        <v>102,..,1302</v>
      </c>
      <c r="O248" s="75">
        <f t="shared" ref="O248:P248" ca="1" si="75">O247+1</f>
        <v>102</v>
      </c>
      <c r="P248" s="75">
        <f t="shared" ca="1" si="75"/>
        <v>1302</v>
      </c>
    </row>
    <row r="249" spans="1:16" s="75" customFormat="1" ht="15.75" hidden="1" customHeight="1" x14ac:dyDescent="0.25">
      <c r="A249" s="163" t="str">
        <f t="shared" ca="1" si="71"/>
        <v>103,..,1303</v>
      </c>
      <c r="B249" s="164"/>
      <c r="C249" s="74" t="s">
        <v>171</v>
      </c>
      <c r="D249" s="74">
        <f>(70.84+0.6*2.125+(1.8+1.8+1.53+1.185+0.72)+(2.226+2.031))*10.764</f>
        <v>897.79294800000002</v>
      </c>
      <c r="E249" s="74">
        <f>4.875*10.764</f>
        <v>52.474499999999999</v>
      </c>
      <c r="F249" s="76">
        <f t="shared" si="72"/>
        <v>1399.163922</v>
      </c>
      <c r="G249" s="167"/>
      <c r="H249" s="168"/>
      <c r="I249" s="30">
        <f>F249*24700+SUM(F118:H124)</f>
        <v>34799948.873399995</v>
      </c>
      <c r="J249" s="30">
        <f>I249+2000000</f>
        <v>36799948.873399995</v>
      </c>
      <c r="K249" s="30">
        <f>J249+1900000</f>
        <v>38699948.873399995</v>
      </c>
      <c r="L249" s="75">
        <f>K249*0.75</f>
        <v>29024961.655049995</v>
      </c>
      <c r="N249" s="75" t="str">
        <f t="shared" ca="1" si="73"/>
        <v>103,..,1303</v>
      </c>
      <c r="O249" s="75">
        <f t="shared" ref="O249:P249" ca="1" si="76">O248+1</f>
        <v>103</v>
      </c>
      <c r="P249" s="75">
        <f t="shared" ca="1" si="76"/>
        <v>1303</v>
      </c>
    </row>
    <row r="250" spans="1:16" s="75" customFormat="1" ht="15.75" hidden="1" customHeight="1" x14ac:dyDescent="0.25">
      <c r="A250" s="163" t="str">
        <f t="shared" ca="1" si="71"/>
        <v>104,..,1304</v>
      </c>
      <c r="B250" s="164"/>
      <c r="C250" s="74" t="s">
        <v>171</v>
      </c>
      <c r="D250" s="74">
        <f>(70.84+0.6*2.125+(1.8+1.8+1.53+1.185+0.72)+(2.226+2.031))*10.764</f>
        <v>897.79294800000002</v>
      </c>
      <c r="E250" s="74">
        <f>4.875*10.764</f>
        <v>52.474499999999999</v>
      </c>
      <c r="F250" s="74">
        <f t="shared" si="72"/>
        <v>1399.163922</v>
      </c>
      <c r="G250" s="167"/>
      <c r="H250" s="168"/>
      <c r="I250" s="30"/>
      <c r="L250" s="75">
        <f>31500000*0.75</f>
        <v>23625000</v>
      </c>
      <c r="M250" s="75">
        <f>31500000-L250</f>
        <v>7875000</v>
      </c>
      <c r="N250" s="75" t="str">
        <f t="shared" ca="1" si="73"/>
        <v>104,..,1304</v>
      </c>
      <c r="O250" s="75">
        <f t="shared" ref="O250:P250" ca="1" si="77">O249+1</f>
        <v>104</v>
      </c>
      <c r="P250" s="75">
        <f t="shared" ca="1" si="77"/>
        <v>1304</v>
      </c>
    </row>
    <row r="251" spans="1:16" s="75" customFormat="1" ht="15.75" hidden="1" customHeight="1" x14ac:dyDescent="0.25">
      <c r="A251" s="163" t="str">
        <f t="shared" ca="1" si="71"/>
        <v>105,..,1305</v>
      </c>
      <c r="B251" s="164"/>
      <c r="C251" s="74" t="s">
        <v>170</v>
      </c>
      <c r="D251" s="74">
        <f>(54.82+0.6*2.125+(0.72+1.461+1.8+1.8)+(1.875+1.95))*10.764</f>
        <v>707.20556399999987</v>
      </c>
      <c r="E251" s="74">
        <f t="shared" si="74"/>
        <v>49.2453</v>
      </c>
      <c r="F251" s="74">
        <f t="shared" si="72"/>
        <v>1110.0536459999998</v>
      </c>
      <c r="G251" s="167"/>
      <c r="H251" s="168"/>
      <c r="I251" s="30"/>
      <c r="N251" s="75" t="str">
        <f t="shared" ca="1" si="73"/>
        <v>105,..,1305</v>
      </c>
      <c r="O251" s="75">
        <f t="shared" ref="O251:P251" ca="1" si="78">O250+1</f>
        <v>105</v>
      </c>
      <c r="P251" s="75">
        <f t="shared" ca="1" si="78"/>
        <v>1305</v>
      </c>
    </row>
    <row r="252" spans="1:16" s="75" customFormat="1" ht="15.75" hidden="1" customHeight="1" x14ac:dyDescent="0.25">
      <c r="A252" s="163" t="str">
        <f t="shared" ca="1" si="71"/>
        <v>106,..,1306</v>
      </c>
      <c r="B252" s="164"/>
      <c r="C252" s="74" t="s">
        <v>170</v>
      </c>
      <c r="D252" s="74">
        <f>(54.82+0.6*2.125+(0.72+1.461+1.8+1.8)+(1.875+1.95))*10.764</f>
        <v>707.20556399999987</v>
      </c>
      <c r="E252" s="74">
        <f t="shared" si="74"/>
        <v>49.2453</v>
      </c>
      <c r="F252" s="74">
        <f t="shared" si="72"/>
        <v>1110.0536459999998</v>
      </c>
      <c r="G252" s="169"/>
      <c r="H252" s="170"/>
      <c r="I252" s="30"/>
      <c r="N252" s="75" t="str">
        <f t="shared" ca="1" si="73"/>
        <v>106,..,1306</v>
      </c>
      <c r="O252" s="75">
        <f t="shared" ref="O252:P252" ca="1" si="79">O251+1</f>
        <v>106</v>
      </c>
      <c r="P252" s="75">
        <f t="shared" ca="1" si="79"/>
        <v>1306</v>
      </c>
    </row>
    <row r="253" spans="1:16" s="53" customFormat="1" ht="15.75" hidden="1" customHeight="1" x14ac:dyDescent="0.25">
      <c r="A253" s="171" t="s">
        <v>176</v>
      </c>
      <c r="B253" s="172"/>
      <c r="C253" s="172"/>
      <c r="D253" s="172"/>
      <c r="E253" s="172"/>
      <c r="F253" s="172"/>
      <c r="G253" s="172"/>
      <c r="H253" s="173"/>
      <c r="I253" s="30"/>
      <c r="L253" s="220"/>
      <c r="M253" s="220"/>
    </row>
    <row r="254" spans="1:16" s="53" customFormat="1" ht="15.75" hidden="1" customHeight="1" x14ac:dyDescent="0.25">
      <c r="A254" s="163">
        <f>LEFT(A253,SUM(LEN(A253)-LEN(SUBSTITUTE(A253,{"0","1","2","3","4","5","6","7","8","9"},""))))*100+1</f>
        <v>1201</v>
      </c>
      <c r="B254" s="164"/>
      <c r="C254" s="51" t="s">
        <v>170</v>
      </c>
      <c r="D254" s="51">
        <f>(54.69+0.6*2.125+(1.8+1.461+1.8+0.72)+(1.95+2.262))*10.764</f>
        <v>709.97191199999997</v>
      </c>
      <c r="E254" s="51">
        <f>4.687*10.764</f>
        <v>50.450868</v>
      </c>
      <c r="F254" s="51">
        <f t="shared" ref="F254" si="80">D254*(($F$136)+1)+(IF(E254&lt;101,E254,IF(E254&lt;201,E254/2,IF(E254&lt;=301,E254/3,E254/4))))</f>
        <v>1115.4087359999999</v>
      </c>
      <c r="G254" s="92" t="str">
        <f>A253</f>
        <v>12th Floor (Part Refuge Area)</v>
      </c>
      <c r="H254" s="93"/>
      <c r="I254" s="30"/>
      <c r="N254" s="30"/>
    </row>
    <row r="255" spans="1:16" s="53" customFormat="1" ht="15.75" hidden="1" customHeight="1" x14ac:dyDescent="0.25">
      <c r="A255" s="163">
        <f>A254+1</f>
        <v>1202</v>
      </c>
      <c r="B255" s="164"/>
      <c r="C255" s="163" t="s">
        <v>177</v>
      </c>
      <c r="D255" s="211"/>
      <c r="E255" s="211"/>
      <c r="F255" s="164"/>
      <c r="G255" s="94" t="str">
        <f>G254</f>
        <v>12th Floor (Part Refuge Area)</v>
      </c>
      <c r="H255" s="95"/>
      <c r="I255" s="30"/>
      <c r="N255" s="30"/>
    </row>
    <row r="256" spans="1:16" s="53" customFormat="1" ht="15.75" hidden="1" customHeight="1" x14ac:dyDescent="0.25">
      <c r="A256" s="163">
        <f>A255+1</f>
        <v>1203</v>
      </c>
      <c r="B256" s="164"/>
      <c r="C256" s="51" t="s">
        <v>171</v>
      </c>
      <c r="D256" s="51">
        <f>(70.84+0.6*2.125+(1.8+1.8+1.53+0.72+1.185)+(2.226+1.83))*10.764</f>
        <v>895.62938399999996</v>
      </c>
      <c r="E256" s="51">
        <f>1.5*2.925*10.764</f>
        <v>47.227049999999991</v>
      </c>
      <c r="F256" s="51">
        <f>D256*(($F$136)+1)+(IF(E256&lt;101,E256,IF(E256&lt;201,E256/2,IF(E256&lt;=301,E256/3,E256/4))))</f>
        <v>1390.671126</v>
      </c>
      <c r="G256" s="94" t="str">
        <f>G255</f>
        <v>12th Floor (Part Refuge Area)</v>
      </c>
      <c r="H256" s="95"/>
      <c r="I256" s="30"/>
      <c r="N256" s="30"/>
    </row>
    <row r="257" spans="1:16" s="53" customFormat="1" ht="15.75" hidden="1" customHeight="1" x14ac:dyDescent="0.25">
      <c r="A257" s="163">
        <f>A256+1</f>
        <v>1204</v>
      </c>
      <c r="B257" s="164"/>
      <c r="C257" s="51" t="s">
        <v>171</v>
      </c>
      <c r="D257" s="51">
        <f>(70.84+0.6*1.125+(1.8+1.8+1.53+1.185+0.72)+(2.226+1.83))*10.764</f>
        <v>889.17098399999986</v>
      </c>
      <c r="E257" s="51">
        <f>1.5*2.925*10.764</f>
        <v>47.227049999999991</v>
      </c>
      <c r="F257" s="51">
        <f t="shared" ref="F257:F258" si="81">D257*(($F$136)+1)+(IF(E257&lt;101,E257,IF(E257&lt;201,E257/2,IF(E257&lt;=301,E257/3,E257/4))))</f>
        <v>1380.9835259999998</v>
      </c>
      <c r="G257" s="94" t="str">
        <f>G256</f>
        <v>12th Floor (Part Refuge Area)</v>
      </c>
      <c r="H257" s="95"/>
      <c r="I257" s="30"/>
      <c r="N257" s="30"/>
    </row>
    <row r="258" spans="1:16" s="53" customFormat="1" ht="15.75" hidden="1" customHeight="1" x14ac:dyDescent="0.25">
      <c r="A258" s="163">
        <f>A257+1</f>
        <v>1205</v>
      </c>
      <c r="B258" s="164"/>
      <c r="C258" s="51" t="s">
        <v>170</v>
      </c>
      <c r="D258" s="51">
        <f>(54.82+0.6*2.125+(0.72+1.461+1.8+1.8)+(2.286+1.95))*10.764</f>
        <v>711.62956799999995</v>
      </c>
      <c r="E258" s="51">
        <f>4.687*10.764</f>
        <v>50.450868</v>
      </c>
      <c r="F258" s="51">
        <f t="shared" si="81"/>
        <v>1117.8952199999999</v>
      </c>
      <c r="G258" s="94" t="str">
        <f>G257</f>
        <v>12th Floor (Part Refuge Area)</v>
      </c>
      <c r="H258" s="95"/>
      <c r="I258" s="30"/>
      <c r="N258" s="30"/>
    </row>
    <row r="259" spans="1:16" s="53" customFormat="1" ht="15.75" hidden="1" customHeight="1" x14ac:dyDescent="0.25">
      <c r="A259" s="163">
        <f>A258+1</f>
        <v>1206</v>
      </c>
      <c r="B259" s="164"/>
      <c r="C259" s="51" t="s">
        <v>170</v>
      </c>
      <c r="D259" s="51">
        <f>(54.82+0.6*2.125+(0.72+1.461+1.8+1.8)+(2.262+1.95))*10.764</f>
        <v>711.37123199999985</v>
      </c>
      <c r="E259" s="51">
        <f>4.687*10.764</f>
        <v>50.450868</v>
      </c>
      <c r="F259" s="51">
        <f>D259*(($F$136)+1)+(IF(E259&lt;101,E259,IF(E259&lt;201,E259/2,IF(E259&lt;=301,E259/3,E259/4))))</f>
        <v>1117.5077159999996</v>
      </c>
      <c r="G259" s="96" t="str">
        <f>G258</f>
        <v>12th Floor (Part Refuge Area)</v>
      </c>
      <c r="H259" s="97"/>
      <c r="I259" s="30"/>
      <c r="N259" s="30"/>
    </row>
    <row r="260" spans="1:16" s="53" customFormat="1" ht="15.75" hidden="1" customHeight="1" x14ac:dyDescent="0.25">
      <c r="A260" s="171" t="s">
        <v>178</v>
      </c>
      <c r="B260" s="172"/>
      <c r="C260" s="172"/>
      <c r="D260" s="172"/>
      <c r="E260" s="172"/>
      <c r="F260" s="172"/>
      <c r="G260" s="172"/>
      <c r="H260" s="173"/>
      <c r="I260" s="30"/>
      <c r="P260" s="31"/>
    </row>
    <row r="261" spans="1:16" s="53" customFormat="1" ht="15.75" hidden="1" customHeight="1" x14ac:dyDescent="0.25">
      <c r="A261" s="163" t="str">
        <f t="shared" ref="A261:A265" ca="1" si="82">N261</f>
        <v>701 &amp; 1701</v>
      </c>
      <c r="B261" s="164"/>
      <c r="C261" s="51" t="s">
        <v>170</v>
      </c>
      <c r="D261" s="51">
        <f>(54.69+0.6*2.125+(1.8+1.8+1.437+0.72)+(1.95+1.875))*10.764</f>
        <v>705.54790799999989</v>
      </c>
      <c r="E261" s="51">
        <f>4.575*10.764</f>
        <v>49.2453</v>
      </c>
      <c r="F261" s="51">
        <f t="shared" ref="F261:F265" si="83">D261*(($F$136)+1)+(IF(E261&lt;101,E261,IF(E261&lt;201,E261/2,IF(E261&lt;=301,E261/3,E261/4))))</f>
        <v>1107.5671619999998</v>
      </c>
      <c r="G261" s="92" t="str">
        <f>A260</f>
        <v>7th &amp; 17th Floor (Part Refuge Area)</v>
      </c>
      <c r="H261" s="93"/>
      <c r="I261" s="30"/>
      <c r="N261" s="53" t="str">
        <f t="shared" ref="N261:N265" ca="1" si="84">O261&amp;""&amp;" &amp; "&amp;""&amp;P261</f>
        <v>701 &amp; 1701</v>
      </c>
      <c r="O261" s="53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10^ROW(INDIRECT("1:"&amp;LEN((LEFT(A260,SUM(LEN(A260)-LEN(SUBSTITUTE(A260,{"0","1","2"},""))))))))/10))*100+1</f>
        <v>701</v>
      </c>
      <c r="P261" s="53">
        <f ca="1">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",LEN(A260))),LEN(A260)))))))/10))*100+1</f>
        <v>1701</v>
      </c>
    </row>
    <row r="262" spans="1:16" s="53" customFormat="1" ht="15.75" hidden="1" customHeight="1" x14ac:dyDescent="0.25">
      <c r="A262" s="163" t="str">
        <f t="shared" ca="1" si="82"/>
        <v>702 &amp; 1702</v>
      </c>
      <c r="B262" s="164"/>
      <c r="C262" s="88" t="s">
        <v>177</v>
      </c>
      <c r="D262" s="91"/>
      <c r="E262" s="91">
        <v>0</v>
      </c>
      <c r="F262" s="89">
        <f t="shared" si="83"/>
        <v>0</v>
      </c>
      <c r="G262" s="94" t="str">
        <f>G261</f>
        <v>7th &amp; 17th Floor (Part Refuge Area)</v>
      </c>
      <c r="H262" s="95"/>
      <c r="I262" s="30"/>
      <c r="N262" s="30" t="str">
        <f t="shared" ca="1" si="84"/>
        <v>702 &amp; 1702</v>
      </c>
      <c r="O262" s="53">
        <f t="shared" ref="O262:P262" ca="1" si="85">O261+1</f>
        <v>702</v>
      </c>
      <c r="P262" s="53">
        <f t="shared" ca="1" si="85"/>
        <v>1702</v>
      </c>
    </row>
    <row r="263" spans="1:16" s="53" customFormat="1" ht="15.75" hidden="1" customHeight="1" x14ac:dyDescent="0.25">
      <c r="A263" s="163" t="str">
        <f t="shared" ca="1" si="82"/>
        <v>703 &amp; 1703</v>
      </c>
      <c r="B263" s="164"/>
      <c r="C263" s="51" t="s">
        <v>171</v>
      </c>
      <c r="D263" s="51">
        <f>(70.84+0.6*2.125+(1.8+1.8+1.53+1.185+0.72)+(2.226+2.031))*10.764</f>
        <v>897.79294800000002</v>
      </c>
      <c r="E263" s="51">
        <f>4.875*10.764</f>
        <v>52.474499999999999</v>
      </c>
      <c r="F263" s="51">
        <f t="shared" si="83"/>
        <v>1399.163922</v>
      </c>
      <c r="G263" s="94" t="str">
        <f>G262</f>
        <v>7th &amp; 17th Floor (Part Refuge Area)</v>
      </c>
      <c r="H263" s="95"/>
      <c r="I263" s="30"/>
      <c r="N263" s="53" t="str">
        <f t="shared" ca="1" si="84"/>
        <v>703 &amp; 1703</v>
      </c>
      <c r="O263" s="53">
        <f t="shared" ref="O263:P263" ca="1" si="86">O262+1</f>
        <v>703</v>
      </c>
      <c r="P263" s="53">
        <f t="shared" ca="1" si="86"/>
        <v>1703</v>
      </c>
    </row>
    <row r="264" spans="1:16" s="53" customFormat="1" ht="15.75" hidden="1" customHeight="1" x14ac:dyDescent="0.25">
      <c r="A264" s="163" t="str">
        <f t="shared" ca="1" si="82"/>
        <v>704 &amp; 1704</v>
      </c>
      <c r="B264" s="164"/>
      <c r="C264" s="51" t="s">
        <v>171</v>
      </c>
      <c r="D264" s="51">
        <f>(70.84+0.6*2.125+(1.8+1.8+1.53+1.185+0.72)+(2.226+2.031))*10.764</f>
        <v>897.79294800000002</v>
      </c>
      <c r="E264" s="51">
        <f>4.875*10.764</f>
        <v>52.474499999999999</v>
      </c>
      <c r="F264" s="51">
        <f t="shared" si="83"/>
        <v>1399.163922</v>
      </c>
      <c r="G264" s="94" t="str">
        <f>G263</f>
        <v>7th &amp; 17th Floor (Part Refuge Area)</v>
      </c>
      <c r="H264" s="95"/>
      <c r="I264" s="30"/>
      <c r="N264" s="53" t="str">
        <f t="shared" ca="1" si="84"/>
        <v>704 &amp; 1704</v>
      </c>
      <c r="O264" s="53">
        <f t="shared" ref="O264:P264" ca="1" si="87">O263+1</f>
        <v>704</v>
      </c>
      <c r="P264" s="53">
        <f t="shared" ca="1" si="87"/>
        <v>1704</v>
      </c>
    </row>
    <row r="265" spans="1:16" s="53" customFormat="1" ht="15.75" hidden="1" customHeight="1" x14ac:dyDescent="0.25">
      <c r="A265" s="163" t="str">
        <f t="shared" ca="1" si="82"/>
        <v>705 &amp; 1705</v>
      </c>
      <c r="B265" s="164"/>
      <c r="C265" s="51" t="s">
        <v>170</v>
      </c>
      <c r="D265" s="51">
        <f>(54.82+0.6*2.125+(0.72+1.461+1.8+1.8)+(1.875+1.95))*10.764</f>
        <v>707.20556399999987</v>
      </c>
      <c r="E265" s="51">
        <f t="shared" ref="E265:E266" si="88">4.575*10.764</f>
        <v>49.2453</v>
      </c>
      <c r="F265" s="51">
        <f t="shared" si="83"/>
        <v>1110.0536459999998</v>
      </c>
      <c r="G265" s="94" t="str">
        <f>G264</f>
        <v>7th &amp; 17th Floor (Part Refuge Area)</v>
      </c>
      <c r="H265" s="95"/>
      <c r="I265" s="30"/>
      <c r="N265" s="53" t="str">
        <f t="shared" ca="1" si="84"/>
        <v>705 &amp; 1705</v>
      </c>
      <c r="O265" s="53">
        <f t="shared" ref="O265:P266" ca="1" si="89">O264+1</f>
        <v>705</v>
      </c>
      <c r="P265" s="53">
        <f t="shared" ca="1" si="89"/>
        <v>1705</v>
      </c>
    </row>
    <row r="266" spans="1:16" s="53" customFormat="1" ht="15.75" hidden="1" customHeight="1" x14ac:dyDescent="0.25">
      <c r="A266" s="163" t="str">
        <f t="shared" ref="A266" ca="1" si="90">N266</f>
        <v>706 &amp; 1706</v>
      </c>
      <c r="B266" s="164"/>
      <c r="C266" s="51" t="s">
        <v>170</v>
      </c>
      <c r="D266" s="51">
        <f>(54.82+0.6*2.125+(0.72+1.461+1.8+1.8)+(1.875+1.95))*10.764</f>
        <v>707.20556399999987</v>
      </c>
      <c r="E266" s="51">
        <f t="shared" si="88"/>
        <v>49.2453</v>
      </c>
      <c r="F266" s="51">
        <f t="shared" ref="F266" si="91">D266*(($F$136)+1)+(IF(E266&lt;101,E266,IF(E266&lt;201,E266/2,IF(E266&lt;=301,E266/3,E266/4))))</f>
        <v>1110.0536459999998</v>
      </c>
      <c r="G266" s="96" t="str">
        <f>G265</f>
        <v>7th &amp; 17th Floor (Part Refuge Area)</v>
      </c>
      <c r="H266" s="97"/>
      <c r="I266" s="30"/>
      <c r="N266" s="53" t="str">
        <f t="shared" ref="N266" ca="1" si="92">O266&amp;""&amp;" &amp; "&amp;""&amp;P266</f>
        <v>706 &amp; 1706</v>
      </c>
      <c r="O266" s="53">
        <f t="shared" ca="1" si="89"/>
        <v>706</v>
      </c>
      <c r="P266" s="53">
        <f t="shared" ca="1" si="89"/>
        <v>1706</v>
      </c>
    </row>
    <row r="267" spans="1:16" s="53" customFormat="1" ht="15.75" hidden="1" customHeight="1" x14ac:dyDescent="0.25">
      <c r="A267" s="171" t="s">
        <v>179</v>
      </c>
      <c r="B267" s="172"/>
      <c r="C267" s="172"/>
      <c r="D267" s="172"/>
      <c r="E267" s="172"/>
      <c r="F267" s="172"/>
      <c r="G267" s="172"/>
      <c r="H267" s="173"/>
      <c r="I267" s="30"/>
      <c r="L267" s="220"/>
      <c r="M267" s="220"/>
    </row>
    <row r="268" spans="1:16" s="53" customFormat="1" ht="15.75" hidden="1" customHeight="1" x14ac:dyDescent="0.25">
      <c r="A268" s="163">
        <f>LEFT(A267,SUM(LEN(A267)-LEN(SUBSTITUTE(A267,{"0","1","2","3","4","5","6","7","8","9"},""))))*100+1</f>
        <v>2201</v>
      </c>
      <c r="B268" s="164"/>
      <c r="C268" s="51" t="s">
        <v>170</v>
      </c>
      <c r="D268" s="51">
        <f>(54.69+0.6*2.125+(1.8+1.461+1.8+0.72)+(1.95+2.262))*10.764</f>
        <v>709.97191199999997</v>
      </c>
      <c r="E268" s="51">
        <f>4.687*10.764</f>
        <v>50.450868</v>
      </c>
      <c r="F268" s="51">
        <f t="shared" ref="F268" si="93">D268*(($F$136)+1)+(IF(E268&lt;101,E268,IF(E268&lt;201,E268/2,IF(E268&lt;=301,E268/3,E268/4))))</f>
        <v>1115.4087359999999</v>
      </c>
      <c r="G268" s="165" t="str">
        <f>A267</f>
        <v>22nd Floor (Part Refuge Area)</v>
      </c>
      <c r="H268" s="166"/>
      <c r="I268" s="30"/>
      <c r="N268" s="30"/>
    </row>
    <row r="269" spans="1:16" s="53" customFormat="1" ht="15.75" hidden="1" customHeight="1" x14ac:dyDescent="0.25">
      <c r="A269" s="163">
        <f>A268+1</f>
        <v>2202</v>
      </c>
      <c r="B269" s="164"/>
      <c r="C269" s="163" t="s">
        <v>177</v>
      </c>
      <c r="D269" s="211"/>
      <c r="E269" s="211"/>
      <c r="F269" s="164"/>
      <c r="G269" s="167" t="str">
        <f>G268</f>
        <v>22nd Floor (Part Refuge Area)</v>
      </c>
      <c r="H269" s="168"/>
      <c r="I269" s="30"/>
      <c r="N269" s="30"/>
    </row>
    <row r="270" spans="1:16" s="53" customFormat="1" ht="15.75" hidden="1" customHeight="1" x14ac:dyDescent="0.25">
      <c r="A270" s="163">
        <f>A269+1</f>
        <v>2203</v>
      </c>
      <c r="B270" s="164"/>
      <c r="C270" s="51" t="s">
        <v>171</v>
      </c>
      <c r="D270" s="51">
        <f>(70.84+0.6*2.125+(1.8+1.8+1.53+0.72+1.185)+(2.226+1.83))*10.764</f>
        <v>895.62938399999996</v>
      </c>
      <c r="E270" s="51">
        <f>1.5*2.925*10.764</f>
        <v>47.227049999999991</v>
      </c>
      <c r="F270" s="51">
        <f>D270*(($F$136)+1)+(IF(E270&lt;101,E270,IF(E270&lt;201,E270/2,IF(E270&lt;=301,E270/3,E270/4))))</f>
        <v>1390.671126</v>
      </c>
      <c r="G270" s="167" t="str">
        <f>G269</f>
        <v>22nd Floor (Part Refuge Area)</v>
      </c>
      <c r="H270" s="168"/>
      <c r="I270" s="30"/>
      <c r="N270" s="30"/>
    </row>
    <row r="271" spans="1:16" s="53" customFormat="1" ht="15.75" hidden="1" customHeight="1" x14ac:dyDescent="0.25">
      <c r="A271" s="163">
        <f>A270+1</f>
        <v>2204</v>
      </c>
      <c r="B271" s="164"/>
      <c r="C271" s="51" t="s">
        <v>171</v>
      </c>
      <c r="D271" s="51">
        <f>(70.84+0.6*1.125+(1.8+1.8+1.53+1.185+0.72)+(2.226+1.83))*10.764</f>
        <v>889.17098399999986</v>
      </c>
      <c r="E271" s="51">
        <f>1.5*2.925*10.764</f>
        <v>47.227049999999991</v>
      </c>
      <c r="F271" s="51">
        <f t="shared" ref="F271:F272" si="94">D271*(($F$136)+1)+(IF(E271&lt;101,E271,IF(E271&lt;201,E271/2,IF(E271&lt;=301,E271/3,E271/4))))</f>
        <v>1380.9835259999998</v>
      </c>
      <c r="G271" s="167" t="str">
        <f>G270</f>
        <v>22nd Floor (Part Refuge Area)</v>
      </c>
      <c r="H271" s="168"/>
      <c r="I271" s="30"/>
      <c r="N271" s="30"/>
    </row>
    <row r="272" spans="1:16" s="53" customFormat="1" ht="15.75" hidden="1" customHeight="1" x14ac:dyDescent="0.25">
      <c r="A272" s="163">
        <f>A271+1</f>
        <v>2205</v>
      </c>
      <c r="B272" s="164"/>
      <c r="C272" s="51" t="s">
        <v>170</v>
      </c>
      <c r="D272" s="51">
        <f>(54.82+0.6*2.125+(0.72+1.461+1.8+1.8)+(2.286+1.95))*10.764</f>
        <v>711.62956799999995</v>
      </c>
      <c r="E272" s="51">
        <f>4.687*10.764</f>
        <v>50.450868</v>
      </c>
      <c r="F272" s="51">
        <f t="shared" si="94"/>
        <v>1117.8952199999999</v>
      </c>
      <c r="G272" s="167" t="str">
        <f>G271</f>
        <v>22nd Floor (Part Refuge Area)</v>
      </c>
      <c r="H272" s="168"/>
      <c r="I272" s="30"/>
      <c r="N272" s="30"/>
    </row>
    <row r="273" spans="1:14" s="53" customFormat="1" ht="15.75" hidden="1" customHeight="1" x14ac:dyDescent="0.25">
      <c r="A273" s="163">
        <f>A272+1</f>
        <v>2206</v>
      </c>
      <c r="B273" s="164"/>
      <c r="C273" s="51" t="s">
        <v>170</v>
      </c>
      <c r="D273" s="51">
        <f>(54.82+0.6*2.125+(0.72+1.461+1.8+1.8)+(2.262+1.95))*10.764</f>
        <v>711.37123199999985</v>
      </c>
      <c r="E273" s="51">
        <f>4.687*10.764</f>
        <v>50.450868</v>
      </c>
      <c r="F273" s="51">
        <f t="shared" ref="F273" si="95">D273*(($F$136)+1)+(IF(E273&lt;101,E273,IF(E273&lt;201,E273/2,IF(E273&lt;=301,E273/3,E273/4))))</f>
        <v>1117.5077159999996</v>
      </c>
      <c r="G273" s="169" t="str">
        <f>G272</f>
        <v>22nd Floor (Part Refuge Area)</v>
      </c>
      <c r="H273" s="170"/>
      <c r="I273" s="30"/>
      <c r="N273" s="30"/>
    </row>
    <row r="274" spans="1:14" s="53" customFormat="1" hidden="1" x14ac:dyDescent="0.25">
      <c r="A274" s="171" t="s">
        <v>180</v>
      </c>
      <c r="B274" s="172"/>
      <c r="C274" s="172"/>
      <c r="D274" s="172"/>
      <c r="E274" s="172"/>
      <c r="F274" s="172"/>
      <c r="G274" s="172"/>
      <c r="H274" s="173"/>
      <c r="I274" s="30"/>
      <c r="L274" s="220"/>
      <c r="M274" s="220"/>
    </row>
    <row r="275" spans="1:14" s="53" customFormat="1" ht="15.75" hidden="1" customHeight="1" x14ac:dyDescent="0.25">
      <c r="A275" s="163">
        <f>LEFT(A274,SUM(LEN(A274)-LEN(SUBSTITUTE(A274,{"0","1","2","3","4","5","6","7","8","9"},""))))*100+1</f>
        <v>2301</v>
      </c>
      <c r="B275" s="164"/>
      <c r="C275" s="51" t="s">
        <v>170</v>
      </c>
      <c r="D275" s="51">
        <f>(54.69+0.6*2.125+(1.8+1.461+1.8+0.72)+(1.95+2.262))*10.764</f>
        <v>709.97191199999997</v>
      </c>
      <c r="E275" s="51">
        <f>4.575*10.764</f>
        <v>49.2453</v>
      </c>
      <c r="F275" s="51">
        <f t="shared" ref="F275:F276" si="96">D275*(($F$136)+1)+(IF(E275&lt;101,E275,IF(E275&lt;201,E275/2,IF(E275&lt;=301,E275/3,E275/4))))</f>
        <v>1114.203168</v>
      </c>
      <c r="G275" s="92" t="str">
        <f>A274</f>
        <v>23rd Floor</v>
      </c>
      <c r="H275" s="93"/>
      <c r="I275" s="30"/>
      <c r="N275" s="30"/>
    </row>
    <row r="276" spans="1:14" s="53" customFormat="1" ht="15.75" hidden="1" customHeight="1" x14ac:dyDescent="0.25">
      <c r="A276" s="163">
        <f>A275+1</f>
        <v>2302</v>
      </c>
      <c r="B276" s="164"/>
      <c r="C276" s="51" t="s">
        <v>170</v>
      </c>
      <c r="D276" s="51">
        <f>(54.82+0.6*2.125+(1.8+1.8+0.69+1.437)+(1.9+2.286))*10.764</f>
        <v>710.51011200000005</v>
      </c>
      <c r="E276" s="51">
        <f>4.575*10.764</f>
        <v>49.2453</v>
      </c>
      <c r="F276" s="51">
        <f t="shared" si="96"/>
        <v>1115.0104680000002</v>
      </c>
      <c r="G276" s="94" t="str">
        <f>G275</f>
        <v>23rd Floor</v>
      </c>
      <c r="H276" s="95"/>
      <c r="I276" s="30"/>
      <c r="N276" s="30"/>
    </row>
    <row r="277" spans="1:14" s="53" customFormat="1" ht="15.75" hidden="1" customHeight="1" x14ac:dyDescent="0.25">
      <c r="A277" s="163">
        <f>A276+1</f>
        <v>2303</v>
      </c>
      <c r="B277" s="164"/>
      <c r="C277" s="51" t="s">
        <v>171</v>
      </c>
      <c r="D277" s="51">
        <f>(70.84+0.6*2.125+(1.8+1.8+1.53+0.72+1.185)+(2.226+1.83))*10.764</f>
        <v>895.62938399999996</v>
      </c>
      <c r="E277" s="51">
        <f>4.875*10.764</f>
        <v>52.474499999999999</v>
      </c>
      <c r="F277" s="51">
        <f>D277*(($F$136)+1)+(IF(E277&lt;101,E277,IF(E277&lt;201,E277/2,IF(E277&lt;=301,E277/3,E277/4))))</f>
        <v>1395.918576</v>
      </c>
      <c r="G277" s="94" t="str">
        <f>G276</f>
        <v>23rd Floor</v>
      </c>
      <c r="H277" s="95"/>
      <c r="I277" s="30"/>
      <c r="N277" s="30"/>
    </row>
    <row r="278" spans="1:14" s="53" customFormat="1" ht="15.75" hidden="1" customHeight="1" x14ac:dyDescent="0.25">
      <c r="A278" s="163">
        <f>A277+1</f>
        <v>2304</v>
      </c>
      <c r="B278" s="164"/>
      <c r="C278" s="51" t="s">
        <v>171</v>
      </c>
      <c r="D278" s="51">
        <f>(70.84+0.6*2.125+(1.8+1.8+1.53+0.72+1.185)+(2.226+1.83))*10.764</f>
        <v>895.62938399999996</v>
      </c>
      <c r="E278" s="51">
        <f>1.5*3.25*10.764</f>
        <v>52.474499999999999</v>
      </c>
      <c r="F278" s="51">
        <f t="shared" ref="F278:F279" si="97">D278*(($F$136)+1)+(IF(E278&lt;101,E278,IF(E278&lt;201,E278/2,IF(E278&lt;=301,E278/3,E278/4))))</f>
        <v>1395.918576</v>
      </c>
      <c r="G278" s="94" t="str">
        <f>G277</f>
        <v>23rd Floor</v>
      </c>
      <c r="H278" s="95"/>
      <c r="I278" s="30"/>
      <c r="N278" s="30"/>
    </row>
    <row r="279" spans="1:14" s="53" customFormat="1" ht="15.75" hidden="1" customHeight="1" x14ac:dyDescent="0.25">
      <c r="A279" s="163">
        <f>A278+1</f>
        <v>2305</v>
      </c>
      <c r="B279" s="164"/>
      <c r="C279" s="51" t="s">
        <v>170</v>
      </c>
      <c r="D279" s="51">
        <f>(54.82+0.6*2.125+(0.72+1.461+1.8+1.8)+(2.286+1.95))*10.764</f>
        <v>711.62956799999995</v>
      </c>
      <c r="E279" s="51">
        <f t="shared" ref="E279:E280" si="98">4.575*10.764</f>
        <v>49.2453</v>
      </c>
      <c r="F279" s="51">
        <f t="shared" si="97"/>
        <v>1116.689652</v>
      </c>
      <c r="G279" s="94" t="str">
        <f>G278</f>
        <v>23rd Floor</v>
      </c>
      <c r="H279" s="95"/>
      <c r="I279" s="30"/>
      <c r="N279" s="30"/>
    </row>
    <row r="280" spans="1:14" s="53" customFormat="1" ht="15.75" hidden="1" customHeight="1" x14ac:dyDescent="0.25">
      <c r="A280" s="163">
        <f>A279+1</f>
        <v>2306</v>
      </c>
      <c r="B280" s="164"/>
      <c r="C280" s="51" t="s">
        <v>170</v>
      </c>
      <c r="D280" s="51">
        <f>(54.82+0.6*2.125+(0.72+1.461+1.8+1.8)+(2.262+1.95))*10.764</f>
        <v>711.37123199999985</v>
      </c>
      <c r="E280" s="51">
        <f t="shared" si="98"/>
        <v>49.2453</v>
      </c>
      <c r="F280" s="51">
        <f>D280*(($F$136)+1)+(IF(E280&lt;101,E280,IF(E280&lt;201,E280/2,IF(E280&lt;=301,E280/3,E280/4))))</f>
        <v>1116.3021479999998</v>
      </c>
      <c r="G280" s="96" t="str">
        <f>G279</f>
        <v>23rd Floor</v>
      </c>
      <c r="H280" s="97"/>
      <c r="I280" s="30"/>
      <c r="N280" s="30"/>
    </row>
    <row r="281" spans="1:14" s="53" customFormat="1" hidden="1" x14ac:dyDescent="0.25">
      <c r="A281" s="171" t="s">
        <v>181</v>
      </c>
      <c r="B281" s="172"/>
      <c r="C281" s="172"/>
      <c r="D281" s="172"/>
      <c r="E281" s="172"/>
      <c r="F281" s="172"/>
      <c r="G281" s="172"/>
      <c r="H281" s="173"/>
      <c r="I281" s="30"/>
      <c r="L281" s="220"/>
      <c r="M281" s="220"/>
    </row>
    <row r="282" spans="1:14" s="53" customFormat="1" ht="15.75" hidden="1" customHeight="1" x14ac:dyDescent="0.25">
      <c r="A282" s="163">
        <f>LEFT(A281,SUM(LEN(A281)-LEN(SUBSTITUTE(A281,{"0","1","2","3","4","5","6","7","8","9"},""))))*100+1</f>
        <v>2401</v>
      </c>
      <c r="B282" s="164"/>
      <c r="C282" s="51" t="s">
        <v>170</v>
      </c>
      <c r="D282" s="51">
        <f>(54.69+0.6*2.125+(1.8+1.461+1.8+0.72)+(1.95+2.262))*10.764</f>
        <v>709.97191199999997</v>
      </c>
      <c r="E282" s="51">
        <f>4.687*10.764</f>
        <v>50.450868</v>
      </c>
      <c r="F282" s="51">
        <f t="shared" ref="F282:F283" si="99">D282*(($F$136)+1)+(IF(E282&lt;101,E282,IF(E282&lt;201,E282/2,IF(E282&lt;=301,E282/3,E282/4))))</f>
        <v>1115.4087359999999</v>
      </c>
      <c r="G282" s="92" t="str">
        <f>A281</f>
        <v>24th Floor</v>
      </c>
      <c r="H282" s="93"/>
      <c r="I282" s="30"/>
      <c r="N282" s="30"/>
    </row>
    <row r="283" spans="1:14" s="53" customFormat="1" ht="15.75" hidden="1" customHeight="1" x14ac:dyDescent="0.25">
      <c r="A283" s="163">
        <f>A282+1</f>
        <v>2402</v>
      </c>
      <c r="B283" s="164"/>
      <c r="C283" s="51" t="s">
        <v>170</v>
      </c>
      <c r="D283" s="51">
        <f>(54.82+0.6*2.125+(1.8+1.8+0.69+1.437)+(1.9+2.286))*10.764</f>
        <v>710.51011200000005</v>
      </c>
      <c r="E283" s="51">
        <f>4.687*10.764</f>
        <v>50.450868</v>
      </c>
      <c r="F283" s="51">
        <f t="shared" si="99"/>
        <v>1116.216036</v>
      </c>
      <c r="G283" s="94" t="str">
        <f>G282</f>
        <v>24th Floor</v>
      </c>
      <c r="H283" s="95"/>
      <c r="I283" s="30"/>
      <c r="N283" s="30"/>
    </row>
    <row r="284" spans="1:14" s="53" customFormat="1" ht="15.75" hidden="1" customHeight="1" x14ac:dyDescent="0.25">
      <c r="A284" s="163">
        <f>A283+1</f>
        <v>2403</v>
      </c>
      <c r="B284" s="164"/>
      <c r="C284" s="51" t="s">
        <v>171</v>
      </c>
      <c r="D284" s="51">
        <f>(70.84+0.6*2.125+(1.8+1.8+1.53+0.72+1.185)+(2.226+1.83))*10.764</f>
        <v>895.62938399999996</v>
      </c>
      <c r="E284" s="51">
        <f>1.5*2.925*10.764</f>
        <v>47.227049999999991</v>
      </c>
      <c r="F284" s="51">
        <f>D284*(($F$136)+1)+(IF(E284&lt;101,E284,IF(E284&lt;201,E284/2,IF(E284&lt;=301,E284/3,E284/4))))</f>
        <v>1390.671126</v>
      </c>
      <c r="G284" s="94" t="str">
        <f>G283</f>
        <v>24th Floor</v>
      </c>
      <c r="H284" s="95"/>
      <c r="I284" s="30"/>
      <c r="N284" s="30"/>
    </row>
    <row r="285" spans="1:14" s="53" customFormat="1" ht="15.75" hidden="1" customHeight="1" x14ac:dyDescent="0.25">
      <c r="A285" s="163">
        <f>A284+1</f>
        <v>2404</v>
      </c>
      <c r="B285" s="164"/>
      <c r="C285" s="51" t="s">
        <v>171</v>
      </c>
      <c r="D285" s="51">
        <f>(70.84+0.6*2.125+(1.8+1.8+1.53+0.72+1.185)+(2.226+1.83))*10.764</f>
        <v>895.62938399999996</v>
      </c>
      <c r="E285" s="51">
        <f>1.5*2.925*10.764</f>
        <v>47.227049999999991</v>
      </c>
      <c r="F285" s="51">
        <f t="shared" ref="F285:F286" si="100">D285*(($F$136)+1)+(IF(E285&lt;101,E285,IF(E285&lt;201,E285/2,IF(E285&lt;=301,E285/3,E285/4))))</f>
        <v>1390.671126</v>
      </c>
      <c r="G285" s="94" t="str">
        <f>G284</f>
        <v>24th Floor</v>
      </c>
      <c r="H285" s="95"/>
      <c r="I285" s="30"/>
      <c r="N285" s="30"/>
    </row>
    <row r="286" spans="1:14" s="53" customFormat="1" ht="15.75" hidden="1" customHeight="1" x14ac:dyDescent="0.25">
      <c r="A286" s="163">
        <f>A285+1</f>
        <v>2405</v>
      </c>
      <c r="B286" s="164"/>
      <c r="C286" s="51" t="s">
        <v>170</v>
      </c>
      <c r="D286" s="51">
        <f>(54.82+0.6*2.125+(0.72+1.461+1.8+1.8)+(2.286+1.95))*10.764</f>
        <v>711.62956799999995</v>
      </c>
      <c r="E286" s="51">
        <f t="shared" ref="E286:E287" si="101">4.687*10.764</f>
        <v>50.450868</v>
      </c>
      <c r="F286" s="51">
        <f t="shared" si="100"/>
        <v>1117.8952199999999</v>
      </c>
      <c r="G286" s="94" t="str">
        <f>G285</f>
        <v>24th Floor</v>
      </c>
      <c r="H286" s="95"/>
      <c r="I286" s="30"/>
      <c r="N286" s="30"/>
    </row>
    <row r="287" spans="1:14" s="53" customFormat="1" ht="15.75" hidden="1" customHeight="1" x14ac:dyDescent="0.25">
      <c r="A287" s="163">
        <f>A286+1</f>
        <v>2406</v>
      </c>
      <c r="B287" s="164"/>
      <c r="C287" s="51" t="s">
        <v>170</v>
      </c>
      <c r="D287" s="51">
        <f>(54.82+0.6*2.125+(0.72+1.461+1.8+1.8)+(2.262+1.95))*10.764</f>
        <v>711.37123199999985</v>
      </c>
      <c r="E287" s="51">
        <f t="shared" si="101"/>
        <v>50.450868</v>
      </c>
      <c r="F287" s="51">
        <f t="shared" ref="F287" si="102">D287*(($F$136)+1)+(IF(E287&lt;101,E287,IF(E287&lt;201,E287/2,IF(E287&lt;=301,E287/3,E287/4))))</f>
        <v>1117.5077159999996</v>
      </c>
      <c r="G287" s="96" t="str">
        <f>G286</f>
        <v>24th Floor</v>
      </c>
      <c r="H287" s="97"/>
      <c r="I287" s="30"/>
      <c r="N287" s="30"/>
    </row>
    <row r="288" spans="1:14" s="1" customFormat="1" x14ac:dyDescent="0.25">
      <c r="A288" s="192" t="s">
        <v>71</v>
      </c>
      <c r="B288" s="193"/>
      <c r="C288" s="193"/>
      <c r="D288" s="193"/>
      <c r="E288" s="193"/>
      <c r="F288" s="193"/>
      <c r="G288" s="193"/>
      <c r="H288" s="194"/>
    </row>
    <row r="289" spans="1:8" s="1" customFormat="1" x14ac:dyDescent="0.25">
      <c r="A289" s="41">
        <v>1</v>
      </c>
      <c r="B289" s="197" t="s">
        <v>250</v>
      </c>
      <c r="C289" s="198"/>
      <c r="D289" s="198"/>
      <c r="E289" s="198"/>
      <c r="F289" s="198"/>
      <c r="G289" s="198"/>
      <c r="H289" s="199"/>
    </row>
    <row r="290" spans="1:8" s="1" customFormat="1" ht="15.75" customHeight="1" x14ac:dyDescent="0.25">
      <c r="A290" s="41">
        <f t="shared" ref="A290:A296" si="103">A289+1</f>
        <v>2</v>
      </c>
      <c r="B290" s="197" t="str">
        <f>(IF(F135="Saleable area Loading :","We have considered Saleable area of Flats as per our Calculation.","We considered Saleable area of Flat as per Builder area Sheet."))</f>
        <v>We have considered Saleable area of Flats as per our Calculation.</v>
      </c>
      <c r="C290" s="198"/>
      <c r="D290" s="198"/>
      <c r="E290" s="198"/>
      <c r="F290" s="198"/>
      <c r="G290" s="198"/>
      <c r="H290" s="199"/>
    </row>
    <row r="291" spans="1:8" s="1" customFormat="1" ht="15.75" customHeight="1" x14ac:dyDescent="0.25">
      <c r="A291" s="44">
        <v>3</v>
      </c>
      <c r="B291" s="224" t="s">
        <v>122</v>
      </c>
      <c r="C291" s="225"/>
      <c r="D291" s="225"/>
      <c r="E291" s="225"/>
      <c r="F291" s="225"/>
      <c r="G291" s="225"/>
      <c r="H291" s="226"/>
    </row>
    <row r="292" spans="1:8" s="1" customFormat="1" ht="15.75" customHeight="1" x14ac:dyDescent="0.25">
      <c r="A292" s="50">
        <f t="shared" si="103"/>
        <v>4</v>
      </c>
      <c r="B292" s="224" t="s">
        <v>151</v>
      </c>
      <c r="C292" s="225"/>
      <c r="D292" s="225"/>
      <c r="E292" s="225"/>
      <c r="F292" s="225"/>
      <c r="G292" s="225"/>
      <c r="H292" s="226"/>
    </row>
    <row r="293" spans="1:8" s="1" customFormat="1" x14ac:dyDescent="0.25">
      <c r="A293" s="50">
        <f t="shared" si="103"/>
        <v>5</v>
      </c>
      <c r="B293" s="224" t="s">
        <v>164</v>
      </c>
      <c r="C293" s="225"/>
      <c r="D293" s="225"/>
      <c r="E293" s="225"/>
      <c r="F293" s="225"/>
      <c r="G293" s="225"/>
      <c r="H293" s="226"/>
    </row>
    <row r="294" spans="1:8" s="1" customFormat="1" ht="15.75" customHeight="1" x14ac:dyDescent="0.25">
      <c r="A294" s="50">
        <f t="shared" si="103"/>
        <v>6</v>
      </c>
      <c r="B294" s="224" t="s">
        <v>123</v>
      </c>
      <c r="C294" s="225"/>
      <c r="D294" s="225"/>
      <c r="E294" s="225"/>
      <c r="F294" s="225"/>
      <c r="G294" s="225"/>
      <c r="H294" s="226"/>
    </row>
    <row r="295" spans="1:8" s="1" customFormat="1" ht="15.75" customHeight="1" x14ac:dyDescent="0.25">
      <c r="A295" s="50">
        <f t="shared" si="103"/>
        <v>7</v>
      </c>
      <c r="B295" s="224" t="s">
        <v>124</v>
      </c>
      <c r="C295" s="225"/>
      <c r="D295" s="225"/>
      <c r="E295" s="225"/>
      <c r="F295" s="225"/>
      <c r="G295" s="225"/>
      <c r="H295" s="226"/>
    </row>
    <row r="296" spans="1:8" s="1" customFormat="1" ht="31.5" hidden="1" customHeight="1" x14ac:dyDescent="0.25">
      <c r="A296" s="90">
        <f t="shared" si="103"/>
        <v>8</v>
      </c>
      <c r="B296" s="197" t="s">
        <v>165</v>
      </c>
      <c r="C296" s="198"/>
      <c r="D296" s="198"/>
      <c r="E296" s="198"/>
      <c r="F296" s="198"/>
      <c r="G296" s="198"/>
      <c r="H296" s="199"/>
    </row>
    <row r="297" spans="1:8" s="1" customFormat="1" x14ac:dyDescent="0.25">
      <c r="A297" s="99">
        <v>8</v>
      </c>
      <c r="B297" s="100" t="s">
        <v>236</v>
      </c>
      <c r="C297" s="101"/>
      <c r="D297" s="101"/>
      <c r="E297" s="101"/>
      <c r="F297" s="101"/>
      <c r="G297" s="101"/>
      <c r="H297" s="102"/>
    </row>
    <row r="298" spans="1:8" s="1" customFormat="1" ht="33" customHeight="1" x14ac:dyDescent="0.25">
      <c r="A298" s="90">
        <v>9</v>
      </c>
      <c r="B298" s="100" t="s">
        <v>258</v>
      </c>
      <c r="C298" s="101"/>
      <c r="D298" s="101"/>
      <c r="E298" s="101"/>
      <c r="F298" s="101"/>
      <c r="G298" s="101"/>
      <c r="H298" s="102"/>
    </row>
    <row r="299" spans="1:8" x14ac:dyDescent="0.25">
      <c r="A299" s="221" t="s">
        <v>64</v>
      </c>
      <c r="B299" s="222"/>
      <c r="C299" s="222"/>
      <c r="D299" s="222"/>
      <c r="E299" s="222"/>
      <c r="F299" s="222"/>
      <c r="G299" s="222"/>
      <c r="H299" s="223"/>
    </row>
    <row r="300" spans="1:8" x14ac:dyDescent="0.25">
      <c r="A300" s="185" t="s">
        <v>65</v>
      </c>
      <c r="B300" s="186"/>
      <c r="C300" s="186"/>
      <c r="D300" s="186"/>
      <c r="E300" s="186"/>
      <c r="F300" s="186"/>
      <c r="G300" s="186"/>
      <c r="H300" s="187"/>
    </row>
    <row r="301" spans="1:8" ht="15.75" customHeight="1" x14ac:dyDescent="0.25">
      <c r="A301" s="227" t="s">
        <v>66</v>
      </c>
      <c r="B301" s="228"/>
      <c r="C301" s="228"/>
      <c r="D301" s="228"/>
      <c r="E301" s="228"/>
      <c r="F301" s="228"/>
      <c r="G301" s="228"/>
      <c r="H301" s="229"/>
    </row>
    <row r="302" spans="1:8" x14ac:dyDescent="0.25">
      <c r="A302" s="185" t="s">
        <v>67</v>
      </c>
      <c r="B302" s="186"/>
      <c r="C302" s="186"/>
      <c r="D302" s="186"/>
      <c r="E302" s="186"/>
      <c r="F302" s="186"/>
      <c r="G302" s="186"/>
      <c r="H302" s="187"/>
    </row>
    <row r="303" spans="1:8" x14ac:dyDescent="0.25">
      <c r="A303" s="185" t="s">
        <v>68</v>
      </c>
      <c r="B303" s="186"/>
      <c r="C303" s="186"/>
      <c r="D303" s="186"/>
      <c r="E303" s="186"/>
      <c r="F303" s="186"/>
      <c r="G303" s="186"/>
      <c r="H303" s="187"/>
    </row>
    <row r="304" spans="1:8" x14ac:dyDescent="0.25">
      <c r="A304" s="185" t="s">
        <v>125</v>
      </c>
      <c r="B304" s="186"/>
      <c r="C304" s="186"/>
      <c r="D304" s="186"/>
      <c r="E304" s="186"/>
      <c r="F304" s="186"/>
      <c r="G304" s="186"/>
      <c r="H304" s="187"/>
    </row>
    <row r="305" spans="1:8" ht="35.25" customHeight="1" x14ac:dyDescent="0.25">
      <c r="A305" s="189" t="s">
        <v>126</v>
      </c>
      <c r="B305" s="190"/>
      <c r="C305" s="190"/>
      <c r="D305" s="190"/>
      <c r="E305" s="190"/>
      <c r="F305" s="190"/>
      <c r="G305" s="190"/>
      <c r="H305" s="191"/>
    </row>
    <row r="306" spans="1:8" x14ac:dyDescent="0.25">
      <c r="A306" s="183" t="s">
        <v>81</v>
      </c>
      <c r="B306" s="183"/>
      <c r="C306" s="249" t="s">
        <v>251</v>
      </c>
      <c r="D306" s="250"/>
      <c r="E306" s="183" t="s">
        <v>105</v>
      </c>
      <c r="F306" s="183"/>
      <c r="G306" s="183" t="s">
        <v>242</v>
      </c>
      <c r="H306" s="183"/>
    </row>
    <row r="307" spans="1:8" ht="15.75" customHeight="1" x14ac:dyDescent="0.25">
      <c r="A307" s="174" t="s">
        <v>83</v>
      </c>
      <c r="B307" s="175"/>
      <c r="C307" s="175"/>
      <c r="D307" s="175"/>
      <c r="E307" s="175"/>
      <c r="F307" s="175"/>
      <c r="G307" s="175"/>
      <c r="H307" s="176"/>
    </row>
    <row r="308" spans="1:8" x14ac:dyDescent="0.25">
      <c r="A308" s="177"/>
      <c r="B308" s="178"/>
      <c r="C308" s="178"/>
      <c r="D308" s="178"/>
      <c r="E308" s="178"/>
      <c r="F308" s="178"/>
      <c r="G308" s="178"/>
      <c r="H308" s="179"/>
    </row>
    <row r="309" spans="1:8" x14ac:dyDescent="0.25">
      <c r="A309" s="177"/>
      <c r="B309" s="178"/>
      <c r="C309" s="178"/>
      <c r="D309" s="178"/>
      <c r="E309" s="178"/>
      <c r="F309" s="178"/>
      <c r="G309" s="178"/>
      <c r="H309" s="179"/>
    </row>
    <row r="310" spans="1:8" x14ac:dyDescent="0.25">
      <c r="A310" s="180"/>
      <c r="B310" s="181"/>
      <c r="C310" s="181"/>
      <c r="D310" s="181"/>
      <c r="E310" s="181"/>
      <c r="F310" s="181"/>
      <c r="G310" s="181"/>
      <c r="H310" s="182"/>
    </row>
    <row r="311" spans="1:8" x14ac:dyDescent="0.25">
      <c r="A311" s="8" t="s">
        <v>69</v>
      </c>
      <c r="B311" s="9"/>
      <c r="C311" s="9"/>
      <c r="D311" s="8" t="str">
        <f>E9</f>
        <v>Seabreeze at Godrej Bayview</v>
      </c>
      <c r="F311" s="9"/>
      <c r="G311" s="9"/>
      <c r="H311" s="9"/>
    </row>
    <row r="312" spans="1:8" x14ac:dyDescent="0.25">
      <c r="A312" s="9"/>
      <c r="B312" s="9"/>
      <c r="C312" s="9"/>
      <c r="D312" s="9"/>
      <c r="E312" s="9"/>
      <c r="F312" s="9"/>
      <c r="G312" s="9"/>
      <c r="H312" s="9"/>
    </row>
    <row r="313" spans="1:8" x14ac:dyDescent="0.25">
      <c r="A313" s="9"/>
      <c r="B313" s="9"/>
      <c r="C313" s="9"/>
      <c r="D313" s="9"/>
      <c r="E313" s="9"/>
      <c r="F313" s="9"/>
      <c r="G313" s="9"/>
      <c r="H313" s="9"/>
    </row>
    <row r="314" spans="1:8" ht="15" customHeight="1" x14ac:dyDescent="0.25"/>
    <row r="339" spans="1:1" ht="16.149999999999999" customHeight="1" x14ac:dyDescent="0.25">
      <c r="A339" s="11" t="s">
        <v>219</v>
      </c>
    </row>
    <row r="382" spans="1:1" ht="16.149999999999999" customHeight="1" x14ac:dyDescent="0.25">
      <c r="A382" s="11" t="s">
        <v>70</v>
      </c>
    </row>
  </sheetData>
  <mergeCells count="488">
    <mergeCell ref="B297:H297"/>
    <mergeCell ref="G153:H157"/>
    <mergeCell ref="A154:B154"/>
    <mergeCell ref="A155:B155"/>
    <mergeCell ref="A156:B156"/>
    <mergeCell ref="A157:B157"/>
    <mergeCell ref="A151:B151"/>
    <mergeCell ref="G147:H151"/>
    <mergeCell ref="D63:H63"/>
    <mergeCell ref="G60:H60"/>
    <mergeCell ref="F124:H124"/>
    <mergeCell ref="A122:E122"/>
    <mergeCell ref="F122:H122"/>
    <mergeCell ref="G132:H132"/>
    <mergeCell ref="A131:B131"/>
    <mergeCell ref="C131:D131"/>
    <mergeCell ref="E131:F131"/>
    <mergeCell ref="G131:H131"/>
    <mergeCell ref="A125:E125"/>
    <mergeCell ref="F125:H125"/>
    <mergeCell ref="C130:D130"/>
    <mergeCell ref="I11:L11"/>
    <mergeCell ref="A88:B88"/>
    <mergeCell ref="C88:H88"/>
    <mergeCell ref="A90:B90"/>
    <mergeCell ref="C90:H90"/>
    <mergeCell ref="A91:B91"/>
    <mergeCell ref="E91:F91"/>
    <mergeCell ref="G91:H91"/>
    <mergeCell ref="A92:B92"/>
    <mergeCell ref="E92:F101"/>
    <mergeCell ref="G92:H101"/>
    <mergeCell ref="A93:B93"/>
    <mergeCell ref="A94:B94"/>
    <mergeCell ref="A95:B95"/>
    <mergeCell ref="A96:B96"/>
    <mergeCell ref="A97:B97"/>
    <mergeCell ref="A98:B98"/>
    <mergeCell ref="G50:H50"/>
    <mergeCell ref="D62:H62"/>
    <mergeCell ref="C50:E50"/>
    <mergeCell ref="D65:H65"/>
    <mergeCell ref="C49:E49"/>
    <mergeCell ref="A60:B60"/>
    <mergeCell ref="A63:C63"/>
    <mergeCell ref="L139:M139"/>
    <mergeCell ref="A140:H140"/>
    <mergeCell ref="L140:M140"/>
    <mergeCell ref="A141:B141"/>
    <mergeCell ref="A142:B142"/>
    <mergeCell ref="L146:M146"/>
    <mergeCell ref="A147:B147"/>
    <mergeCell ref="A148:B148"/>
    <mergeCell ref="A145:B145"/>
    <mergeCell ref="G141:H145"/>
    <mergeCell ref="C144:F144"/>
    <mergeCell ref="A143:B143"/>
    <mergeCell ref="A144:B144"/>
    <mergeCell ref="L137:M137"/>
    <mergeCell ref="A138:H138"/>
    <mergeCell ref="L138:M138"/>
    <mergeCell ref="G59:H59"/>
    <mergeCell ref="A105:B105"/>
    <mergeCell ref="A108:B108"/>
    <mergeCell ref="C102:H102"/>
    <mergeCell ref="A110:B110"/>
    <mergeCell ref="D66:H66"/>
    <mergeCell ref="A65:C66"/>
    <mergeCell ref="A74:B74"/>
    <mergeCell ref="C74:H74"/>
    <mergeCell ref="A76:B76"/>
    <mergeCell ref="C76:H76"/>
    <mergeCell ref="A77:B77"/>
    <mergeCell ref="E77:F77"/>
    <mergeCell ref="G77:H77"/>
    <mergeCell ref="E132:F132"/>
    <mergeCell ref="A132:B132"/>
    <mergeCell ref="C132:D132"/>
    <mergeCell ref="A124:E124"/>
    <mergeCell ref="A129:B129"/>
    <mergeCell ref="C129:D129"/>
    <mergeCell ref="E129:F129"/>
    <mergeCell ref="A287:B287"/>
    <mergeCell ref="A286:B286"/>
    <mergeCell ref="A273:B273"/>
    <mergeCell ref="A280:B280"/>
    <mergeCell ref="A276:B276"/>
    <mergeCell ref="A277:B277"/>
    <mergeCell ref="A278:B278"/>
    <mergeCell ref="C59:E59"/>
    <mergeCell ref="A69:C69"/>
    <mergeCell ref="D69:H69"/>
    <mergeCell ref="C150:F150"/>
    <mergeCell ref="A139:H139"/>
    <mergeCell ref="C161:F161"/>
    <mergeCell ref="G129:H129"/>
    <mergeCell ref="A111:B111"/>
    <mergeCell ref="F117:H117"/>
    <mergeCell ref="A116:H116"/>
    <mergeCell ref="A112:B112"/>
    <mergeCell ref="A133:H133"/>
    <mergeCell ref="A134:H134"/>
    <mergeCell ref="A149:B149"/>
    <mergeCell ref="A150:B150"/>
    <mergeCell ref="A152:H152"/>
    <mergeCell ref="A153:B153"/>
    <mergeCell ref="L281:M281"/>
    <mergeCell ref="A282:B282"/>
    <mergeCell ref="A283:B283"/>
    <mergeCell ref="A284:B284"/>
    <mergeCell ref="A285:B285"/>
    <mergeCell ref="A279:B279"/>
    <mergeCell ref="A281:H281"/>
    <mergeCell ref="A270:B270"/>
    <mergeCell ref="A271:B271"/>
    <mergeCell ref="A272:B272"/>
    <mergeCell ref="A274:H274"/>
    <mergeCell ref="G268:H273"/>
    <mergeCell ref="L274:M274"/>
    <mergeCell ref="A275:B275"/>
    <mergeCell ref="L267:M267"/>
    <mergeCell ref="A268:B268"/>
    <mergeCell ref="A269:B269"/>
    <mergeCell ref="C269:F269"/>
    <mergeCell ref="A260:H260"/>
    <mergeCell ref="A261:B261"/>
    <mergeCell ref="A262:B262"/>
    <mergeCell ref="A263:B263"/>
    <mergeCell ref="A264:B264"/>
    <mergeCell ref="A266:B266"/>
    <mergeCell ref="A265:B265"/>
    <mergeCell ref="A267:H267"/>
    <mergeCell ref="A259:B259"/>
    <mergeCell ref="A256:B256"/>
    <mergeCell ref="A257:B257"/>
    <mergeCell ref="A258:B258"/>
    <mergeCell ref="A246:H246"/>
    <mergeCell ref="A247:B247"/>
    <mergeCell ref="G247:H252"/>
    <mergeCell ref="A248:B248"/>
    <mergeCell ref="A249:B249"/>
    <mergeCell ref="A250:B250"/>
    <mergeCell ref="A251:B251"/>
    <mergeCell ref="A252:B252"/>
    <mergeCell ref="A236:B236"/>
    <mergeCell ref="A238:B238"/>
    <mergeCell ref="A243:B243"/>
    <mergeCell ref="A244:B244"/>
    <mergeCell ref="A253:H253"/>
    <mergeCell ref="G240:H245"/>
    <mergeCell ref="L253:M253"/>
    <mergeCell ref="A254:B254"/>
    <mergeCell ref="A255:B255"/>
    <mergeCell ref="C255:F255"/>
    <mergeCell ref="A245:B245"/>
    <mergeCell ref="A242:B242"/>
    <mergeCell ref="A241:B241"/>
    <mergeCell ref="A240:B240"/>
    <mergeCell ref="A239:H239"/>
    <mergeCell ref="A237:B237"/>
    <mergeCell ref="G233:H238"/>
    <mergeCell ref="A211:B211"/>
    <mergeCell ref="G208:H212"/>
    <mergeCell ref="G214:H218"/>
    <mergeCell ref="L227:M227"/>
    <mergeCell ref="A229:B229"/>
    <mergeCell ref="A230:B230"/>
    <mergeCell ref="A231:B231"/>
    <mergeCell ref="G228:H231"/>
    <mergeCell ref="A223:B223"/>
    <mergeCell ref="A224:B224"/>
    <mergeCell ref="A225:B225"/>
    <mergeCell ref="A226:B226"/>
    <mergeCell ref="C223:F225"/>
    <mergeCell ref="C228:F229"/>
    <mergeCell ref="A227:H227"/>
    <mergeCell ref="A304:H304"/>
    <mergeCell ref="A301:H301"/>
    <mergeCell ref="B294:H294"/>
    <mergeCell ref="B293:H293"/>
    <mergeCell ref="B292:H292"/>
    <mergeCell ref="B291:H291"/>
    <mergeCell ref="B290:H290"/>
    <mergeCell ref="B289:H289"/>
    <mergeCell ref="L201:M201"/>
    <mergeCell ref="A202:B202"/>
    <mergeCell ref="A203:B203"/>
    <mergeCell ref="L219:M219"/>
    <mergeCell ref="A220:H220"/>
    <mergeCell ref="L220:M220"/>
    <mergeCell ref="A221:H221"/>
    <mergeCell ref="L221:M221"/>
    <mergeCell ref="A222:H222"/>
    <mergeCell ref="L222:M222"/>
    <mergeCell ref="L213:M213"/>
    <mergeCell ref="A214:B214"/>
    <mergeCell ref="A215:B215"/>
    <mergeCell ref="A216:B216"/>
    <mergeCell ref="A217:B217"/>
    <mergeCell ref="L207:M207"/>
    <mergeCell ref="A201:H201"/>
    <mergeCell ref="A206:B206"/>
    <mergeCell ref="A207:H207"/>
    <mergeCell ref="A212:B212"/>
    <mergeCell ref="A213:H213"/>
    <mergeCell ref="A300:H300"/>
    <mergeCell ref="A198:B198"/>
    <mergeCell ref="A299:H299"/>
    <mergeCell ref="B295:H295"/>
    <mergeCell ref="A218:B218"/>
    <mergeCell ref="A219:H219"/>
    <mergeCell ref="G223:H226"/>
    <mergeCell ref="A228:B228"/>
    <mergeCell ref="C203:F203"/>
    <mergeCell ref="A204:B204"/>
    <mergeCell ref="A205:B205"/>
    <mergeCell ref="G202:H206"/>
    <mergeCell ref="A232:H232"/>
    <mergeCell ref="A233:B233"/>
    <mergeCell ref="A234:B234"/>
    <mergeCell ref="A235:B235"/>
    <mergeCell ref="A208:B208"/>
    <mergeCell ref="A209:B209"/>
    <mergeCell ref="A210:B210"/>
    <mergeCell ref="L189:M189"/>
    <mergeCell ref="A190:B190"/>
    <mergeCell ref="A191:B191"/>
    <mergeCell ref="A192:B192"/>
    <mergeCell ref="L166:M166"/>
    <mergeCell ref="A165:H165"/>
    <mergeCell ref="L165:M165"/>
    <mergeCell ref="A164:H164"/>
    <mergeCell ref="L164:M164"/>
    <mergeCell ref="A172:H172"/>
    <mergeCell ref="L172:M172"/>
    <mergeCell ref="A173:B173"/>
    <mergeCell ref="L167:M167"/>
    <mergeCell ref="A185:B185"/>
    <mergeCell ref="A186:B186"/>
    <mergeCell ref="A183:H183"/>
    <mergeCell ref="A184:B184"/>
    <mergeCell ref="A179:B179"/>
    <mergeCell ref="A187:B187"/>
    <mergeCell ref="C191:F191"/>
    <mergeCell ref="G184:H188"/>
    <mergeCell ref="G178:H182"/>
    <mergeCell ref="G173:H176"/>
    <mergeCell ref="A100:B100"/>
    <mergeCell ref="A101:B101"/>
    <mergeCell ref="A107:B107"/>
    <mergeCell ref="A109:B109"/>
    <mergeCell ref="A71:C71"/>
    <mergeCell ref="A178:B178"/>
    <mergeCell ref="A174:B174"/>
    <mergeCell ref="A175:B175"/>
    <mergeCell ref="A176:B176"/>
    <mergeCell ref="C168:F168"/>
    <mergeCell ref="A166:H166"/>
    <mergeCell ref="A168:B168"/>
    <mergeCell ref="C135:C136"/>
    <mergeCell ref="A135:A136"/>
    <mergeCell ref="A169:B169"/>
    <mergeCell ref="A170:B170"/>
    <mergeCell ref="G168:H171"/>
    <mergeCell ref="D135:D136"/>
    <mergeCell ref="E135:E136"/>
    <mergeCell ref="G135:H136"/>
    <mergeCell ref="A137:H137"/>
    <mergeCell ref="A146:H146"/>
    <mergeCell ref="A158:H158"/>
    <mergeCell ref="A159:B159"/>
    <mergeCell ref="C51:H51"/>
    <mergeCell ref="A50:B51"/>
    <mergeCell ref="C60:E60"/>
    <mergeCell ref="A61:H61"/>
    <mergeCell ref="A62:C62"/>
    <mergeCell ref="D64:H64"/>
    <mergeCell ref="A64:C64"/>
    <mergeCell ref="C53:H53"/>
    <mergeCell ref="A54:B55"/>
    <mergeCell ref="C54:E54"/>
    <mergeCell ref="G54:H54"/>
    <mergeCell ref="C55:H55"/>
    <mergeCell ref="A56:B57"/>
    <mergeCell ref="C56:E56"/>
    <mergeCell ref="G56:H56"/>
    <mergeCell ref="C57:H57"/>
    <mergeCell ref="A58:B59"/>
    <mergeCell ref="C58:E58"/>
    <mergeCell ref="G58:H58"/>
    <mergeCell ref="A307:H310"/>
    <mergeCell ref="A306:B306"/>
    <mergeCell ref="E306:F306"/>
    <mergeCell ref="C306:D306"/>
    <mergeCell ref="G306:H306"/>
    <mergeCell ref="A123:E123"/>
    <mergeCell ref="F123:H123"/>
    <mergeCell ref="A126:E126"/>
    <mergeCell ref="F126:H126"/>
    <mergeCell ref="A167:H167"/>
    <mergeCell ref="A130:B130"/>
    <mergeCell ref="A180:B180"/>
    <mergeCell ref="A302:H302"/>
    <mergeCell ref="A127:H127"/>
    <mergeCell ref="A305:H305"/>
    <mergeCell ref="A303:H303"/>
    <mergeCell ref="A288:H288"/>
    <mergeCell ref="B135:B136"/>
    <mergeCell ref="A177:H177"/>
    <mergeCell ref="A171:B171"/>
    <mergeCell ref="A182:B182"/>
    <mergeCell ref="A181:B181"/>
    <mergeCell ref="B296:H296"/>
    <mergeCell ref="A188:B188"/>
    <mergeCell ref="A200:B200"/>
    <mergeCell ref="A199:B199"/>
    <mergeCell ref="A197:B197"/>
    <mergeCell ref="G196:H200"/>
    <mergeCell ref="A196:B196"/>
    <mergeCell ref="A195:H195"/>
    <mergeCell ref="A194:B194"/>
    <mergeCell ref="F118:H118"/>
    <mergeCell ref="A113:B113"/>
    <mergeCell ref="A193:B193"/>
    <mergeCell ref="G190:H194"/>
    <mergeCell ref="A121:E121"/>
    <mergeCell ref="F121:H121"/>
    <mergeCell ref="A120:E120"/>
    <mergeCell ref="F120:H120"/>
    <mergeCell ref="E130:F130"/>
    <mergeCell ref="A128:B128"/>
    <mergeCell ref="E128:F128"/>
    <mergeCell ref="G159:H163"/>
    <mergeCell ref="A160:B160"/>
    <mergeCell ref="A161:B161"/>
    <mergeCell ref="A162:B162"/>
    <mergeCell ref="A163:B163"/>
    <mergeCell ref="A189:H189"/>
    <mergeCell ref="A52:B53"/>
    <mergeCell ref="C52:E52"/>
    <mergeCell ref="G52:H52"/>
    <mergeCell ref="E105:F105"/>
    <mergeCell ref="A70:C70"/>
    <mergeCell ref="D70:H70"/>
    <mergeCell ref="A73:C73"/>
    <mergeCell ref="D73:H73"/>
    <mergeCell ref="D71:H71"/>
    <mergeCell ref="A78:B78"/>
    <mergeCell ref="E78:F87"/>
    <mergeCell ref="G78:H87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72:C72"/>
    <mergeCell ref="D72:H72"/>
    <mergeCell ref="A99:B99"/>
    <mergeCell ref="A12:D12"/>
    <mergeCell ref="E12:H12"/>
    <mergeCell ref="A6:D6"/>
    <mergeCell ref="E6:H6"/>
    <mergeCell ref="A7:D7"/>
    <mergeCell ref="E7:H7"/>
    <mergeCell ref="A8:D8"/>
    <mergeCell ref="E8:H8"/>
    <mergeCell ref="A106:B106"/>
    <mergeCell ref="E43:H43"/>
    <mergeCell ref="E44:H44"/>
    <mergeCell ref="E45:H45"/>
    <mergeCell ref="A43:D43"/>
    <mergeCell ref="A44:D44"/>
    <mergeCell ref="A45:D45"/>
    <mergeCell ref="A46:H46"/>
    <mergeCell ref="G49:H49"/>
    <mergeCell ref="A49:B49"/>
    <mergeCell ref="A47:B47"/>
    <mergeCell ref="C47:H47"/>
    <mergeCell ref="A48:B48"/>
    <mergeCell ref="C48:E48"/>
    <mergeCell ref="G48:H48"/>
    <mergeCell ref="C104:H104"/>
    <mergeCell ref="A1:H1"/>
    <mergeCell ref="A2:H2"/>
    <mergeCell ref="A3:D3"/>
    <mergeCell ref="E3:H3"/>
    <mergeCell ref="A5:D5"/>
    <mergeCell ref="A9:D9"/>
    <mergeCell ref="E9:H9"/>
    <mergeCell ref="A11:D11"/>
    <mergeCell ref="E11:H11"/>
    <mergeCell ref="E5:H5"/>
    <mergeCell ref="A10:D10"/>
    <mergeCell ref="E10:H10"/>
    <mergeCell ref="A4:D4"/>
    <mergeCell ref="E4:H4"/>
    <mergeCell ref="A16:B16"/>
    <mergeCell ref="A13:D13"/>
    <mergeCell ref="E13:H13"/>
    <mergeCell ref="A14:D14"/>
    <mergeCell ref="E14:H14"/>
    <mergeCell ref="A15:B15"/>
    <mergeCell ref="C15:H15"/>
    <mergeCell ref="C16:H16"/>
    <mergeCell ref="A18:B18"/>
    <mergeCell ref="C18:D18"/>
    <mergeCell ref="E18:F18"/>
    <mergeCell ref="G18:H18"/>
    <mergeCell ref="A17:B17"/>
    <mergeCell ref="C17:D17"/>
    <mergeCell ref="E17:F17"/>
    <mergeCell ref="G17:H17"/>
    <mergeCell ref="A19:B19"/>
    <mergeCell ref="C19:D19"/>
    <mergeCell ref="E19:F19"/>
    <mergeCell ref="G19:H19"/>
    <mergeCell ref="A34:B34"/>
    <mergeCell ref="C34:E34"/>
    <mergeCell ref="A29:D29"/>
    <mergeCell ref="E29:H29"/>
    <mergeCell ref="A30:D30"/>
    <mergeCell ref="A31:B31"/>
    <mergeCell ref="C32:E32"/>
    <mergeCell ref="A33:B33"/>
    <mergeCell ref="C33:E33"/>
    <mergeCell ref="A20:B20"/>
    <mergeCell ref="C20:D20"/>
    <mergeCell ref="E20:F20"/>
    <mergeCell ref="G20:H20"/>
    <mergeCell ref="A23:D23"/>
    <mergeCell ref="E23:H23"/>
    <mergeCell ref="F32:H32"/>
    <mergeCell ref="A21:D22"/>
    <mergeCell ref="E21:H22"/>
    <mergeCell ref="E25:H25"/>
    <mergeCell ref="A27:D27"/>
    <mergeCell ref="E27:H27"/>
    <mergeCell ref="A24:D24"/>
    <mergeCell ref="E24:H24"/>
    <mergeCell ref="A28:D28"/>
    <mergeCell ref="E28:H28"/>
    <mergeCell ref="A25:D25"/>
    <mergeCell ref="A26:D26"/>
    <mergeCell ref="E26:H26"/>
    <mergeCell ref="C31:E31"/>
    <mergeCell ref="F31:H31"/>
    <mergeCell ref="E30:H30"/>
    <mergeCell ref="A32:B32"/>
    <mergeCell ref="C37:H37"/>
    <mergeCell ref="E42:H42"/>
    <mergeCell ref="E41:H41"/>
    <mergeCell ref="A41:D41"/>
    <mergeCell ref="C38:H38"/>
    <mergeCell ref="A40:D40"/>
    <mergeCell ref="E40:H40"/>
    <mergeCell ref="A42:D42"/>
    <mergeCell ref="F33:H33"/>
    <mergeCell ref="F34:H34"/>
    <mergeCell ref="F35:H35"/>
    <mergeCell ref="A37:B37"/>
    <mergeCell ref="B298:H298"/>
    <mergeCell ref="A39:H39"/>
    <mergeCell ref="C35:E35"/>
    <mergeCell ref="A38:B38"/>
    <mergeCell ref="G130:H130"/>
    <mergeCell ref="A117:E117"/>
    <mergeCell ref="A67:C67"/>
    <mergeCell ref="A68:C68"/>
    <mergeCell ref="D67:H67"/>
    <mergeCell ref="E106:F115"/>
    <mergeCell ref="G106:H115"/>
    <mergeCell ref="A114:B114"/>
    <mergeCell ref="A115:B115"/>
    <mergeCell ref="D68:H68"/>
    <mergeCell ref="G105:H105"/>
    <mergeCell ref="A104:B104"/>
    <mergeCell ref="A102:B102"/>
    <mergeCell ref="C128:D128"/>
    <mergeCell ref="G128:H128"/>
    <mergeCell ref="A119:E119"/>
    <mergeCell ref="F119:H119"/>
    <mergeCell ref="A118:E118"/>
    <mergeCell ref="A36:H36"/>
    <mergeCell ref="A35:B35"/>
  </mergeCells>
  <hyperlinks>
    <hyperlink ref="C38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3" max="7" man="1"/>
    <brk id="310" max="16383" man="1"/>
    <brk id="338" max="16383" man="1"/>
    <brk id="3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I17" sqref="I17"/>
    </sheetView>
  </sheetViews>
  <sheetFormatPr defaultColWidth="8.7109375" defaultRowHeight="15" x14ac:dyDescent="0.25"/>
  <cols>
    <col min="1" max="1" width="8.7109375" style="15"/>
    <col min="2" max="2" width="22.140625" style="15" customWidth="1"/>
    <col min="3" max="3" width="37" style="15" customWidth="1"/>
    <col min="4" max="5" width="11.42578125" style="15" customWidth="1"/>
    <col min="6" max="6" width="14" style="15" customWidth="1"/>
    <col min="7" max="7" width="20" style="15" customWidth="1"/>
    <col min="8" max="8" width="16.42578125" style="15" customWidth="1"/>
    <col min="9" max="16384" width="8.7109375" style="15"/>
  </cols>
  <sheetData>
    <row r="1" spans="1:9" ht="15" customHeight="1" x14ac:dyDescent="0.25">
      <c r="A1" s="14"/>
      <c r="B1" s="14"/>
      <c r="C1" s="14"/>
      <c r="D1" s="14"/>
      <c r="E1" s="14"/>
      <c r="F1" s="14"/>
      <c r="G1" s="14"/>
      <c r="H1" s="14"/>
    </row>
    <row r="2" spans="1:9" ht="15" customHeight="1" x14ac:dyDescent="0.25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25">
      <c r="A3" s="16"/>
      <c r="B3" s="247" t="s">
        <v>106</v>
      </c>
      <c r="C3" s="247"/>
      <c r="D3" s="247"/>
      <c r="E3" s="247"/>
      <c r="F3" s="247"/>
      <c r="G3" s="247"/>
      <c r="H3" s="247"/>
    </row>
    <row r="4" spans="1:9" x14ac:dyDescent="0.25">
      <c r="A4" s="16"/>
      <c r="B4" s="17" t="s">
        <v>107</v>
      </c>
      <c r="C4" s="17" t="s">
        <v>108</v>
      </c>
      <c r="D4" s="17" t="s">
        <v>72</v>
      </c>
      <c r="E4" s="17" t="s">
        <v>109</v>
      </c>
      <c r="F4" s="17" t="s">
        <v>115</v>
      </c>
      <c r="G4" s="17" t="s">
        <v>116</v>
      </c>
      <c r="H4" s="17" t="s">
        <v>110</v>
      </c>
    </row>
    <row r="5" spans="1:9" ht="15" customHeight="1" x14ac:dyDescent="0.25">
      <c r="A5" s="16"/>
      <c r="B5" s="19" t="s">
        <v>111</v>
      </c>
      <c r="C5" s="20"/>
      <c r="D5" s="19"/>
      <c r="E5" s="19"/>
      <c r="F5" s="21">
        <f>E5*1.6</f>
        <v>0</v>
      </c>
      <c r="G5" s="21" t="e">
        <f>H5/F5</f>
        <v>#DIV/0!</v>
      </c>
      <c r="H5" s="22"/>
    </row>
    <row r="6" spans="1:9" x14ac:dyDescent="0.25">
      <c r="A6" s="16"/>
      <c r="B6" s="19" t="s">
        <v>111</v>
      </c>
      <c r="C6" s="23"/>
      <c r="D6" s="19"/>
      <c r="E6" s="19"/>
      <c r="F6" s="21">
        <f t="shared" ref="F6:F11" si="0">E6*1.6</f>
        <v>0</v>
      </c>
      <c r="G6" s="21" t="e">
        <f t="shared" ref="G6:G11" si="1">H6/F6</f>
        <v>#DIV/0!</v>
      </c>
      <c r="H6" s="22"/>
    </row>
    <row r="7" spans="1:9" ht="15" customHeight="1" x14ac:dyDescent="0.25">
      <c r="A7" s="16"/>
      <c r="B7" s="19" t="s">
        <v>111</v>
      </c>
      <c r="C7" s="20"/>
      <c r="D7" s="19"/>
      <c r="E7" s="19"/>
      <c r="F7" s="21">
        <f t="shared" si="0"/>
        <v>0</v>
      </c>
      <c r="G7" s="21" t="e">
        <f t="shared" si="1"/>
        <v>#DIV/0!</v>
      </c>
      <c r="H7" s="22"/>
    </row>
    <row r="8" spans="1:9" x14ac:dyDescent="0.25">
      <c r="A8" s="16"/>
      <c r="B8" s="19" t="s">
        <v>111</v>
      </c>
      <c r="C8" s="23"/>
      <c r="D8" s="19"/>
      <c r="E8" s="19"/>
      <c r="F8" s="21">
        <f t="shared" si="0"/>
        <v>0</v>
      </c>
      <c r="G8" s="21" t="e">
        <f t="shared" si="1"/>
        <v>#DIV/0!</v>
      </c>
      <c r="H8" s="22"/>
    </row>
    <row r="9" spans="1:9" ht="15" customHeight="1" x14ac:dyDescent="0.25">
      <c r="A9" s="16"/>
      <c r="B9" s="19" t="s">
        <v>111</v>
      </c>
      <c r="C9" s="23"/>
      <c r="D9" s="19"/>
      <c r="E9" s="19"/>
      <c r="F9" s="21">
        <f t="shared" si="0"/>
        <v>0</v>
      </c>
      <c r="G9" s="21" t="e">
        <f t="shared" si="1"/>
        <v>#DIV/0!</v>
      </c>
      <c r="H9" s="22"/>
    </row>
    <row r="10" spans="1:9" ht="15" customHeight="1" x14ac:dyDescent="0.25">
      <c r="A10" s="16"/>
      <c r="B10" s="19" t="s">
        <v>112</v>
      </c>
      <c r="C10" s="20"/>
      <c r="D10" s="19"/>
      <c r="E10" s="19"/>
      <c r="F10" s="21">
        <f t="shared" si="0"/>
        <v>0</v>
      </c>
      <c r="G10" s="21" t="e">
        <f t="shared" si="1"/>
        <v>#DIV/0!</v>
      </c>
      <c r="H10" s="22"/>
    </row>
    <row r="11" spans="1:9" ht="15" customHeight="1" x14ac:dyDescent="0.25">
      <c r="A11" s="16"/>
      <c r="B11" s="19" t="s">
        <v>112</v>
      </c>
      <c r="C11" s="20"/>
      <c r="D11" s="19"/>
      <c r="E11" s="19"/>
      <c r="F11" s="21">
        <f t="shared" si="0"/>
        <v>0</v>
      </c>
      <c r="G11" s="21" t="e">
        <f t="shared" si="1"/>
        <v>#DIV/0!</v>
      </c>
      <c r="H11" s="22"/>
    </row>
    <row r="12" spans="1:9" ht="15" customHeight="1" x14ac:dyDescent="0.25">
      <c r="A12" s="16"/>
      <c r="B12" s="24" t="s">
        <v>113</v>
      </c>
      <c r="C12" s="19"/>
      <c r="D12" s="19"/>
      <c r="E12" s="19"/>
      <c r="F12" s="19"/>
      <c r="G12" s="25" t="e">
        <f>AVERAGE(G5:G11)</f>
        <v>#DIV/0!</v>
      </c>
      <c r="H12" s="19"/>
    </row>
    <row r="13" spans="1:9" ht="15" customHeight="1" x14ac:dyDescent="0.25">
      <c r="A13" s="14"/>
      <c r="B13" s="24" t="s">
        <v>114</v>
      </c>
      <c r="C13" s="26"/>
      <c r="D13" s="26"/>
      <c r="E13" s="26"/>
      <c r="F13" s="27"/>
      <c r="G13" s="24"/>
      <c r="H13" s="24"/>
      <c r="I13" s="18"/>
    </row>
    <row r="14" spans="1:9" ht="15" customHeight="1" x14ac:dyDescent="0.25">
      <c r="B14" s="14"/>
      <c r="C14" s="14"/>
      <c r="D14" s="14"/>
      <c r="E14" s="14"/>
    </row>
    <row r="15" spans="1:9" ht="15" customHeight="1" x14ac:dyDescent="0.25">
      <c r="B15" s="14"/>
      <c r="C15" s="14"/>
      <c r="D15" s="14"/>
      <c r="E15" s="14"/>
    </row>
    <row r="16" spans="1:9" ht="15" customHeight="1" x14ac:dyDescent="0.25">
      <c r="B16" s="14"/>
      <c r="C16" s="14"/>
      <c r="D16" s="14"/>
      <c r="E16" s="14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2025-09-09T08:20:45Z</cp:lastPrinted>
  <dcterms:created xsi:type="dcterms:W3CDTF">2019-07-16T09:29:46Z</dcterms:created>
  <dcterms:modified xsi:type="dcterms:W3CDTF">2025-09-09T08:22:57Z</dcterms:modified>
</cp:coreProperties>
</file>