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1-09-2025\"/>
    </mc:Choice>
  </mc:AlternateContent>
  <bookViews>
    <workbookView xWindow="0" yWindow="0" windowWidth="19200" windowHeight="6640" tabRatio="725"/>
  </bookViews>
  <sheets>
    <sheet name="Report" sheetId="1" r:id="rId1"/>
    <sheet name="valuation" sheetId="5" r:id="rId2"/>
    <sheet name="Note" sheetId="4" r:id="rId3"/>
  </sheets>
  <definedNames>
    <definedName name="_xlnm.Print_Area" localSheetId="0">Report!$A$1:$H$424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7" i="1" l="1"/>
  <c r="C119" i="1" s="1"/>
  <c r="C118" i="1" l="1"/>
  <c r="C110" i="1"/>
  <c r="J122" i="1"/>
  <c r="J121" i="1"/>
  <c r="J120" i="1"/>
  <c r="C68" i="1"/>
  <c r="L182" i="1" l="1"/>
  <c r="M245" i="1" l="1"/>
  <c r="M244" i="1" s="1"/>
  <c r="M267" i="1"/>
  <c r="E41" i="1" l="1"/>
  <c r="E42" i="1" s="1"/>
  <c r="J169" i="1" l="1"/>
  <c r="J178" i="1"/>
  <c r="J187" i="1"/>
  <c r="J195" i="1"/>
  <c r="J196" i="1"/>
  <c r="J203" i="1"/>
  <c r="J210" i="1"/>
  <c r="J217" i="1"/>
  <c r="J223" i="1"/>
  <c r="J224" i="1"/>
  <c r="J233" i="1"/>
  <c r="J242" i="1"/>
  <c r="J251" i="1"/>
  <c r="J259" i="1"/>
  <c r="J260" i="1"/>
  <c r="J261" i="1"/>
  <c r="J265" i="1"/>
  <c r="J270" i="1"/>
  <c r="J275" i="1"/>
  <c r="J277" i="1"/>
  <c r="J147" i="1" l="1"/>
  <c r="I180" i="1"/>
  <c r="I173" i="1"/>
  <c r="D243" i="1"/>
  <c r="D249" i="1"/>
  <c r="D248" i="1"/>
  <c r="D258" i="1"/>
  <c r="D257" i="1"/>
  <c r="D252" i="1"/>
  <c r="D234" i="1"/>
  <c r="D225" i="1"/>
  <c r="D250" i="1" l="1"/>
  <c r="D247" i="1"/>
  <c r="D246" i="1"/>
  <c r="D245" i="1"/>
  <c r="D244" i="1"/>
  <c r="D256" i="1"/>
  <c r="D255" i="1"/>
  <c r="D254" i="1"/>
  <c r="D253" i="1"/>
  <c r="D241" i="1"/>
  <c r="D240" i="1"/>
  <c r="D239" i="1"/>
  <c r="D238" i="1"/>
  <c r="D237" i="1"/>
  <c r="D236" i="1"/>
  <c r="D235" i="1"/>
  <c r="D230" i="1"/>
  <c r="E228" i="1"/>
  <c r="D228" i="1"/>
  <c r="D227" i="1"/>
  <c r="D226" i="1"/>
  <c r="D279" i="1"/>
  <c r="D278" i="1"/>
  <c r="D276" i="1"/>
  <c r="D274" i="1"/>
  <c r="D273" i="1"/>
  <c r="D272" i="1"/>
  <c r="D271" i="1"/>
  <c r="D269" i="1"/>
  <c r="D268" i="1"/>
  <c r="D267" i="1"/>
  <c r="D266" i="1"/>
  <c r="D264" i="1"/>
  <c r="D263" i="1"/>
  <c r="D262" i="1"/>
  <c r="C146" i="1" l="1"/>
  <c r="J228" i="1"/>
  <c r="F271" i="1"/>
  <c r="G261" i="1"/>
  <c r="D232" i="1"/>
  <c r="D231" i="1"/>
  <c r="D229" i="1"/>
  <c r="J144" i="1"/>
  <c r="D222" i="1"/>
  <c r="D221" i="1"/>
  <c r="D220" i="1"/>
  <c r="D219" i="1"/>
  <c r="D218" i="1"/>
  <c r="D216" i="1"/>
  <c r="D215" i="1"/>
  <c r="D214" i="1"/>
  <c r="D211" i="1"/>
  <c r="D208" i="1"/>
  <c r="D209" i="1"/>
  <c r="D207" i="1"/>
  <c r="D204" i="1"/>
  <c r="D202" i="1"/>
  <c r="D201" i="1"/>
  <c r="D200" i="1"/>
  <c r="D197" i="1"/>
  <c r="D199" i="1"/>
  <c r="D198" i="1"/>
  <c r="J143" i="1"/>
  <c r="I143" i="1"/>
  <c r="D193" i="1"/>
  <c r="D194" i="1"/>
  <c r="D192" i="1"/>
  <c r="D191" i="1"/>
  <c r="D190" i="1"/>
  <c r="D189" i="1"/>
  <c r="D188" i="1"/>
  <c r="D183" i="1"/>
  <c r="D186" i="1"/>
  <c r="D182" i="1"/>
  <c r="D180" i="1"/>
  <c r="D179" i="1"/>
  <c r="I179" i="1" s="1"/>
  <c r="E186" i="1"/>
  <c r="E185" i="1"/>
  <c r="E184" i="1"/>
  <c r="D184" i="1"/>
  <c r="D185" i="1"/>
  <c r="J186" i="1" l="1"/>
  <c r="C145" i="1"/>
  <c r="J184" i="1"/>
  <c r="J185" i="1"/>
  <c r="D174" i="1"/>
  <c r="D173" i="1"/>
  <c r="D171" i="1"/>
  <c r="D170" i="1"/>
  <c r="D168" i="1"/>
  <c r="D167" i="1"/>
  <c r="D166" i="1"/>
  <c r="D165" i="1"/>
  <c r="E164" i="1"/>
  <c r="D164" i="1"/>
  <c r="E163" i="1"/>
  <c r="D162" i="1"/>
  <c r="D163" i="1"/>
  <c r="E161" i="1"/>
  <c r="D161" i="1"/>
  <c r="J163" i="1" l="1"/>
  <c r="J161" i="1"/>
  <c r="J164" i="1"/>
  <c r="E145" i="1"/>
  <c r="E279" i="1"/>
  <c r="J279" i="1" s="1"/>
  <c r="E278" i="1"/>
  <c r="J278" i="1" s="1"/>
  <c r="E276" i="1"/>
  <c r="J276" i="1" s="1"/>
  <c r="E274" i="1"/>
  <c r="J274" i="1" s="1"/>
  <c r="E273" i="1"/>
  <c r="J273" i="1" s="1"/>
  <c r="E272" i="1"/>
  <c r="J272" i="1" s="1"/>
  <c r="E271" i="1"/>
  <c r="J271" i="1" s="1"/>
  <c r="E269" i="1"/>
  <c r="J269" i="1" s="1"/>
  <c r="E268" i="1"/>
  <c r="J268" i="1" s="1"/>
  <c r="E267" i="1"/>
  <c r="J267" i="1" s="1"/>
  <c r="E266" i="1"/>
  <c r="J266" i="1" s="1"/>
  <c r="E264" i="1"/>
  <c r="J264" i="1" s="1"/>
  <c r="E263" i="1"/>
  <c r="J263" i="1" s="1"/>
  <c r="E262" i="1"/>
  <c r="J262" i="1" s="1"/>
  <c r="E258" i="1"/>
  <c r="J258" i="1" s="1"/>
  <c r="E257" i="1"/>
  <c r="J257" i="1" s="1"/>
  <c r="E256" i="1"/>
  <c r="J256" i="1" s="1"/>
  <c r="E255" i="1"/>
  <c r="J255" i="1" s="1"/>
  <c r="E254" i="1"/>
  <c r="J254" i="1" s="1"/>
  <c r="E253" i="1"/>
  <c r="J253" i="1" s="1"/>
  <c r="E252" i="1"/>
  <c r="J252" i="1" s="1"/>
  <c r="E250" i="1"/>
  <c r="J250" i="1" s="1"/>
  <c r="E249" i="1"/>
  <c r="J249" i="1" s="1"/>
  <c r="E248" i="1"/>
  <c r="J248" i="1" s="1"/>
  <c r="E247" i="1"/>
  <c r="J247" i="1" s="1"/>
  <c r="E246" i="1"/>
  <c r="J246" i="1" s="1"/>
  <c r="E245" i="1"/>
  <c r="J245" i="1" s="1"/>
  <c r="E244" i="1"/>
  <c r="J244" i="1" s="1"/>
  <c r="E243" i="1"/>
  <c r="J243" i="1" s="1"/>
  <c r="E241" i="1"/>
  <c r="J241" i="1" s="1"/>
  <c r="E240" i="1"/>
  <c r="J240" i="1" s="1"/>
  <c r="E239" i="1"/>
  <c r="J239" i="1" s="1"/>
  <c r="E238" i="1"/>
  <c r="J238" i="1" s="1"/>
  <c r="E237" i="1"/>
  <c r="J237" i="1" s="1"/>
  <c r="E236" i="1"/>
  <c r="J236" i="1" s="1"/>
  <c r="E235" i="1"/>
  <c r="J235" i="1" s="1"/>
  <c r="E234" i="1"/>
  <c r="J234" i="1" s="1"/>
  <c r="E232" i="1"/>
  <c r="J232" i="1" s="1"/>
  <c r="E231" i="1"/>
  <c r="J231" i="1" s="1"/>
  <c r="E230" i="1"/>
  <c r="J230" i="1" s="1"/>
  <c r="E229" i="1"/>
  <c r="J229" i="1" s="1"/>
  <c r="E227" i="1"/>
  <c r="J227" i="1" s="1"/>
  <c r="E226" i="1"/>
  <c r="J226" i="1" s="1"/>
  <c r="E225" i="1"/>
  <c r="J225" i="1" s="1"/>
  <c r="E222" i="1"/>
  <c r="J222" i="1" s="1"/>
  <c r="E221" i="1"/>
  <c r="J221" i="1" s="1"/>
  <c r="E220" i="1"/>
  <c r="J220" i="1" s="1"/>
  <c r="E219" i="1"/>
  <c r="J219" i="1" s="1"/>
  <c r="E218" i="1"/>
  <c r="J218" i="1" s="1"/>
  <c r="E216" i="1"/>
  <c r="J216" i="1" s="1"/>
  <c r="E215" i="1"/>
  <c r="J215" i="1" s="1"/>
  <c r="E214" i="1"/>
  <c r="J214" i="1" s="1"/>
  <c r="E213" i="1"/>
  <c r="E212" i="1"/>
  <c r="E211" i="1"/>
  <c r="J211" i="1" s="1"/>
  <c r="D213" i="1"/>
  <c r="D212" i="1"/>
  <c r="E209" i="1"/>
  <c r="J209" i="1" s="1"/>
  <c r="E208" i="1"/>
  <c r="J208" i="1" s="1"/>
  <c r="E207" i="1"/>
  <c r="J207" i="1" s="1"/>
  <c r="E206" i="1"/>
  <c r="E205" i="1"/>
  <c r="E204" i="1"/>
  <c r="J204" i="1" s="1"/>
  <c r="D206" i="1"/>
  <c r="D205" i="1"/>
  <c r="E202" i="1"/>
  <c r="J202" i="1" s="1"/>
  <c r="E201" i="1"/>
  <c r="J201" i="1" s="1"/>
  <c r="E200" i="1"/>
  <c r="J200" i="1" s="1"/>
  <c r="E199" i="1"/>
  <c r="J199" i="1" s="1"/>
  <c r="E198" i="1"/>
  <c r="E197" i="1"/>
  <c r="J197" i="1" s="1"/>
  <c r="G276" i="1"/>
  <c r="G277" i="1" s="1"/>
  <c r="G278" i="1" s="1"/>
  <c r="G279" i="1" s="1"/>
  <c r="G271" i="1"/>
  <c r="G266" i="1"/>
  <c r="G267" i="1" s="1"/>
  <c r="G268" i="1" s="1"/>
  <c r="G269" i="1" s="1"/>
  <c r="G252" i="1"/>
  <c r="G243" i="1"/>
  <c r="G246" i="1" s="1"/>
  <c r="G234" i="1"/>
  <c r="G225" i="1"/>
  <c r="A226" i="1"/>
  <c r="A227" i="1" s="1"/>
  <c r="A228" i="1" s="1"/>
  <c r="A229" i="1" s="1"/>
  <c r="A230" i="1" s="1"/>
  <c r="A231" i="1" s="1"/>
  <c r="A232" i="1" s="1"/>
  <c r="G218" i="1"/>
  <c r="G211" i="1"/>
  <c r="G204" i="1"/>
  <c r="G207" i="1" s="1"/>
  <c r="G197" i="1"/>
  <c r="A198" i="1"/>
  <c r="A199" i="1" s="1"/>
  <c r="A200" i="1" s="1"/>
  <c r="A201" i="1" s="1"/>
  <c r="A202" i="1" s="1"/>
  <c r="C144" i="1" l="1"/>
  <c r="J206" i="1"/>
  <c r="J213" i="1"/>
  <c r="J198" i="1"/>
  <c r="I198" i="1"/>
  <c r="J205" i="1"/>
  <c r="J212" i="1"/>
  <c r="E144" i="1"/>
  <c r="E146" i="1"/>
  <c r="E194" i="1"/>
  <c r="J194" i="1" s="1"/>
  <c r="E193" i="1"/>
  <c r="J193" i="1" s="1"/>
  <c r="E192" i="1"/>
  <c r="J192" i="1" s="1"/>
  <c r="E191" i="1"/>
  <c r="J191" i="1" s="1"/>
  <c r="E190" i="1"/>
  <c r="J190" i="1" s="1"/>
  <c r="E189" i="1"/>
  <c r="J189" i="1" s="1"/>
  <c r="E188" i="1"/>
  <c r="J188" i="1" s="1"/>
  <c r="E183" i="1"/>
  <c r="J183" i="1" s="1"/>
  <c r="E182" i="1"/>
  <c r="J182" i="1" s="1"/>
  <c r="E181" i="1"/>
  <c r="E180" i="1"/>
  <c r="J180" i="1" s="1"/>
  <c r="E179" i="1"/>
  <c r="J179" i="1" s="1"/>
  <c r="D181" i="1"/>
  <c r="E177" i="1"/>
  <c r="E176" i="1"/>
  <c r="E175" i="1"/>
  <c r="E174" i="1"/>
  <c r="J174" i="1" s="1"/>
  <c r="E173" i="1"/>
  <c r="J173" i="1" s="1"/>
  <c r="E172" i="1"/>
  <c r="E171" i="1"/>
  <c r="J171" i="1" s="1"/>
  <c r="E170" i="1"/>
  <c r="J170" i="1" s="1"/>
  <c r="D177" i="1"/>
  <c r="D176" i="1"/>
  <c r="D175" i="1"/>
  <c r="D172" i="1"/>
  <c r="E168" i="1"/>
  <c r="J168" i="1" s="1"/>
  <c r="E167" i="1"/>
  <c r="J167" i="1" s="1"/>
  <c r="E166" i="1"/>
  <c r="J166" i="1" s="1"/>
  <c r="E165" i="1"/>
  <c r="J165" i="1" s="1"/>
  <c r="E162" i="1"/>
  <c r="J162" i="1" s="1"/>
  <c r="G188" i="1"/>
  <c r="G179" i="1"/>
  <c r="G170" i="1"/>
  <c r="G171" i="1" s="1"/>
  <c r="G172" i="1" s="1"/>
  <c r="G173" i="1" s="1"/>
  <c r="G174" i="1" s="1"/>
  <c r="G175" i="1" s="1"/>
  <c r="G176" i="1" s="1"/>
  <c r="G177" i="1" s="1"/>
  <c r="J181" i="1" l="1"/>
  <c r="J172" i="1"/>
  <c r="J176" i="1"/>
  <c r="J177" i="1"/>
  <c r="J175" i="1"/>
  <c r="C143" i="1"/>
  <c r="C147" i="1" s="1"/>
  <c r="E143" i="1"/>
  <c r="E147" i="1" s="1"/>
  <c r="G144" i="1"/>
  <c r="G145" i="1"/>
  <c r="G146" i="1"/>
  <c r="A162" i="1"/>
  <c r="A163" i="1" s="1"/>
  <c r="A164" i="1" s="1"/>
  <c r="A165" i="1" s="1"/>
  <c r="A166" i="1" s="1"/>
  <c r="A167" i="1" s="1"/>
  <c r="A168" i="1" s="1"/>
  <c r="G161" i="1"/>
  <c r="G143" i="1" l="1"/>
  <c r="G147" i="1" s="1"/>
  <c r="C13" i="1"/>
  <c r="E28" i="1" l="1"/>
  <c r="F282" i="1" l="1"/>
  <c r="F283" i="1"/>
  <c r="F284" i="1"/>
  <c r="F281" i="1"/>
  <c r="A282" i="1"/>
  <c r="A283" i="1" s="1"/>
  <c r="A284" i="1" s="1"/>
  <c r="G281" i="1"/>
  <c r="G282" i="1" s="1"/>
  <c r="G283" i="1" s="1"/>
  <c r="G284" i="1" s="1"/>
  <c r="F135" i="1" l="1"/>
  <c r="F154" i="1" l="1"/>
  <c r="F155" i="1"/>
  <c r="F156" i="1"/>
  <c r="F153" i="1"/>
  <c r="B311" i="1" l="1"/>
  <c r="A292" i="1"/>
  <c r="A298" i="1"/>
  <c r="A304" i="1"/>
  <c r="F308" i="1" l="1"/>
  <c r="F307" i="1"/>
  <c r="F306" i="1"/>
  <c r="F305" i="1"/>
  <c r="F304" i="1"/>
  <c r="F302" i="1"/>
  <c r="F301" i="1"/>
  <c r="F300" i="1"/>
  <c r="F299" i="1"/>
  <c r="F298" i="1"/>
  <c r="F296" i="1"/>
  <c r="F295" i="1"/>
  <c r="F294" i="1"/>
  <c r="F293" i="1"/>
  <c r="F292" i="1"/>
  <c r="F290" i="1"/>
  <c r="F289" i="1"/>
  <c r="F287" i="1"/>
  <c r="F286" i="1"/>
  <c r="F288" i="1"/>
  <c r="A305" i="1"/>
  <c r="A299" i="1"/>
  <c r="A293" i="1"/>
  <c r="B312" i="1" l="1"/>
  <c r="A294" i="1"/>
  <c r="A300" i="1"/>
  <c r="A306" i="1"/>
  <c r="F11" i="5" l="1"/>
  <c r="G11" i="5" s="1"/>
  <c r="F10" i="5"/>
  <c r="G10" i="5" s="1"/>
  <c r="F9" i="5"/>
  <c r="G9" i="5" s="1"/>
  <c r="F8" i="5"/>
  <c r="G8" i="5" s="1"/>
  <c r="F7" i="5"/>
  <c r="G7" i="5" s="1"/>
  <c r="F6" i="5"/>
  <c r="G6" i="5" s="1"/>
  <c r="F5" i="5"/>
  <c r="G5" i="5" s="1"/>
  <c r="G12" i="5" s="1"/>
  <c r="D337" i="1"/>
  <c r="G304" i="1"/>
  <c r="G305" i="1" s="1"/>
  <c r="G306" i="1" s="1"/>
  <c r="G307" i="1" s="1"/>
  <c r="G308" i="1" s="1"/>
  <c r="G298" i="1"/>
  <c r="G299" i="1" s="1"/>
  <c r="G300" i="1" s="1"/>
  <c r="G301" i="1" s="1"/>
  <c r="G302" i="1" s="1"/>
  <c r="G292" i="1"/>
  <c r="G293" i="1" s="1"/>
  <c r="G294" i="1" s="1"/>
  <c r="G295" i="1" s="1"/>
  <c r="G296" i="1" s="1"/>
  <c r="G286" i="1"/>
  <c r="G287" i="1" s="1"/>
  <c r="G288" i="1" s="1"/>
  <c r="G289" i="1" s="1"/>
  <c r="G290" i="1" s="1"/>
  <c r="A286" i="1"/>
  <c r="A287" i="1" s="1"/>
  <c r="A288" i="1" s="1"/>
  <c r="A289" i="1" s="1"/>
  <c r="A290" i="1" s="1"/>
  <c r="A154" i="1"/>
  <c r="A155" i="1" s="1"/>
  <c r="A156" i="1" s="1"/>
  <c r="G153" i="1"/>
  <c r="G154" i="1" s="1"/>
  <c r="G155" i="1" s="1"/>
  <c r="G156" i="1" s="1"/>
  <c r="J107" i="1"/>
  <c r="J106" i="1"/>
  <c r="C96" i="1"/>
  <c r="J93" i="1"/>
  <c r="J92" i="1"/>
  <c r="C82" i="1"/>
  <c r="J79" i="1"/>
  <c r="J78" i="1"/>
  <c r="D54" i="1"/>
  <c r="E25" i="1"/>
  <c r="E23" i="1"/>
  <c r="E7" i="1"/>
  <c r="E3" i="1"/>
  <c r="A301" i="1"/>
  <c r="A307" i="1"/>
  <c r="H97" i="1"/>
  <c r="H83" i="1"/>
  <c r="H69" i="1"/>
  <c r="A295" i="1"/>
  <c r="D62" i="1" l="1"/>
  <c r="D93" i="1"/>
  <c r="D94" i="1"/>
  <c r="D95" i="1"/>
  <c r="D89" i="1"/>
  <c r="D90" i="1"/>
  <c r="D91" i="1"/>
  <c r="D92" i="1"/>
  <c r="J82" i="1"/>
  <c r="D81" i="1"/>
  <c r="D79" i="1"/>
  <c r="D78" i="1"/>
  <c r="D77" i="1"/>
  <c r="D75" i="1"/>
  <c r="J68" i="1"/>
  <c r="D80" i="1"/>
  <c r="D76" i="1"/>
  <c r="J72" i="1"/>
  <c r="J73" i="1"/>
  <c r="C72" i="1" s="1"/>
  <c r="J71" i="1"/>
  <c r="J74" i="1"/>
  <c r="J96" i="1"/>
  <c r="J100" i="1"/>
  <c r="D109" i="1"/>
  <c r="D107" i="1"/>
  <c r="D105" i="1"/>
  <c r="D103" i="1"/>
  <c r="J101" i="1"/>
  <c r="C100" i="1" s="1"/>
  <c r="J99" i="1"/>
  <c r="J102" i="1"/>
  <c r="J103" i="1" s="1"/>
  <c r="J108" i="1" s="1"/>
  <c r="D108" i="1"/>
  <c r="D106" i="1"/>
  <c r="D104" i="1"/>
  <c r="J88" i="1"/>
  <c r="J89" i="1" s="1"/>
  <c r="J94" i="1" s="1"/>
  <c r="J86" i="1"/>
  <c r="J87" i="1"/>
  <c r="C86" i="1" s="1"/>
  <c r="J85" i="1"/>
  <c r="A296" i="1"/>
  <c r="A302" i="1"/>
  <c r="A308" i="1"/>
  <c r="J104" i="1" l="1"/>
  <c r="J90" i="1"/>
  <c r="J91" i="1" s="1"/>
  <c r="J75" i="1"/>
  <c r="J80" i="1" s="1"/>
  <c r="D102" i="1"/>
  <c r="J98" i="1"/>
  <c r="D100" i="1"/>
  <c r="D88" i="1"/>
  <c r="J84" i="1"/>
  <c r="D74" i="1"/>
  <c r="J70" i="1"/>
  <c r="D72" i="1"/>
  <c r="D86" i="1"/>
  <c r="J105" i="1" l="1"/>
  <c r="J95" i="1"/>
  <c r="C87" i="1" s="1"/>
  <c r="J83" i="1" s="1"/>
  <c r="J76" i="1"/>
  <c r="J77" i="1" s="1"/>
  <c r="J109" i="1" l="1"/>
  <c r="C101" i="1" s="1"/>
  <c r="E100" i="1" s="1"/>
  <c r="D87" i="1"/>
  <c r="I83" i="1" s="1"/>
  <c r="I84" i="1" s="1"/>
  <c r="G86" i="1"/>
  <c r="E86" i="1"/>
  <c r="J81" i="1"/>
  <c r="C73" i="1" s="1"/>
  <c r="G72" i="1" s="1"/>
  <c r="D66" i="1" s="1"/>
  <c r="F67" i="1" s="1"/>
  <c r="J97" i="1" l="1"/>
  <c r="D101" i="1"/>
  <c r="I97" i="1" s="1"/>
  <c r="I98" i="1" s="1"/>
  <c r="G100" i="1"/>
  <c r="I82" i="1"/>
  <c r="C84" i="1" s="1"/>
  <c r="J69" i="1"/>
  <c r="E72" i="1"/>
  <c r="D73" i="1"/>
  <c r="D67" i="1"/>
  <c r="I96" i="1" l="1"/>
  <c r="C98" i="1" s="1"/>
  <c r="I69" i="1"/>
  <c r="I70" i="1" s="1"/>
  <c r="I68" i="1" l="1"/>
  <c r="C70" i="1" s="1"/>
  <c r="H111" i="1"/>
  <c r="J116" i="1" l="1"/>
  <c r="J117" i="1" s="1"/>
  <c r="J118" i="1" s="1"/>
  <c r="J119" i="1" s="1"/>
  <c r="D122" i="1"/>
  <c r="D116" i="1"/>
  <c r="J115" i="1"/>
  <c r="C114" i="1" s="1"/>
  <c r="D114" i="1" s="1"/>
  <c r="D121" i="1"/>
  <c r="J114" i="1"/>
  <c r="J110" i="1"/>
  <c r="J112" i="1" s="1"/>
  <c r="D118" i="1"/>
  <c r="D123" i="1"/>
  <c r="D117" i="1"/>
  <c r="D120" i="1"/>
  <c r="D119" i="1"/>
  <c r="J113" i="1"/>
  <c r="J123" i="1" l="1"/>
  <c r="C115" i="1" s="1"/>
  <c r="E114" i="1" s="1"/>
  <c r="G114" i="1" l="1"/>
  <c r="J111" i="1"/>
  <c r="D115" i="1"/>
  <c r="I111" i="1" s="1"/>
  <c r="I112" i="1" s="1"/>
  <c r="I110" i="1" l="1"/>
  <c r="C112" i="1" s="1"/>
</calcChain>
</file>

<file path=xl/sharedStrings.xml><?xml version="1.0" encoding="utf-8"?>
<sst xmlns="http://schemas.openxmlformats.org/spreadsheetml/2006/main" count="511" uniqueCount="276">
  <si>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</si>
  <si>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</si>
  <si>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</si>
  <si>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</si>
  <si>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</si>
  <si>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</si>
  <si>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</si>
  <si>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</si>
  <si>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</si>
  <si>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</si>
  <si>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</si>
  <si>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</si>
  <si>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</si>
  <si>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</si>
  <si>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</si>
  <si>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</si>
  <si>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</si>
  <si>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</si>
  <si>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</si>
  <si>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</si>
  <si>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</si>
  <si>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</si>
  <si>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</si>
  <si>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</si>
  <si>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</si>
  <si>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</si>
  <si>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</si>
  <si>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</si>
  <si>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</si>
  <si>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</si>
  <si>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</si>
  <si>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</si>
  <si>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</si>
  <si>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</si>
  <si>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</si>
  <si>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</si>
  <si>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</si>
  <si>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</si>
  <si>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</si>
  <si>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</si>
  <si>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</si>
  <si>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</si>
  <si>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</si>
  <si>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</si>
  <si>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</si>
  <si>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</si>
  <si>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</si>
  <si>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</si>
  <si>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</si>
  <si>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</si>
  <si>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</si>
  <si>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</si>
  <si>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</si>
  <si>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</si>
  <si>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</si>
  <si>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</si>
  <si>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</si>
  <si>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</si>
  <si>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</si>
  <si>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</si>
  <si>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</si>
  <si>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</si>
  <si>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</si>
  <si>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</si>
  <si>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</si>
  <si>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</si>
  <si>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</si>
  <si>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</si>
  <si>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</si>
  <si>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</si>
  <si>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</si>
  <si>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</si>
  <si>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</si>
  <si>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</si>
  <si>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</si>
  <si>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</si>
  <si>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</si>
  <si>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</si>
  <si>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</si>
  <si>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</si>
  <si>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</si>
  <si>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</si>
  <si>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</si>
  <si>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</si>
  <si>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</si>
  <si>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</si>
  <si>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</si>
  <si>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</si>
  <si>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</si>
  <si>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</si>
  <si>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</si>
  <si>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</si>
  <si>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</si>
  <si>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</si>
  <si>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</si>
  <si>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</si>
  <si>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</si>
  <si>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</si>
  <si>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Excavation in process</t>
  </si>
  <si>
    <t>Excavation Completed</t>
  </si>
  <si>
    <t>Footing in Process</t>
  </si>
  <si>
    <t>Footing Completed</t>
  </si>
  <si>
    <t>Plinth completed</t>
  </si>
  <si>
    <t>Approved Plans, CC, Sale Plans, Builder Saleable Area, Cost Sheet</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</si>
  <si>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</si>
  <si>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</si>
  <si>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</si>
  <si>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</si>
  <si>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</si>
  <si>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</si>
  <si>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</si>
  <si>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</si>
  <si>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</si>
  <si>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</si>
  <si>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</si>
  <si>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</si>
  <si>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</si>
  <si>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</si>
  <si>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</si>
  <si>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</si>
  <si>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</si>
  <si>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</si>
  <si>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</si>
  <si>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</si>
  <si>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</si>
  <si>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</si>
  <si>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</si>
  <si>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</si>
  <si>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</si>
  <si>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</si>
  <si>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</si>
  <si>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</si>
  <si>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</si>
  <si>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</si>
  <si>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</si>
  <si>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</si>
  <si>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</si>
  <si>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</si>
  <si>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</si>
  <si>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</si>
  <si>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</si>
  <si>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</si>
  <si>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</si>
  <si>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</si>
  <si>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</si>
  <si>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</si>
  <si>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</si>
  <si>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</si>
  <si>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</si>
  <si>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</si>
  <si>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</si>
  <si>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</si>
  <si>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</si>
  <si>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</si>
  <si>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</si>
  <si>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</si>
  <si>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</si>
  <si>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</si>
  <si>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</si>
  <si>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</si>
  <si>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</si>
  <si>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</si>
  <si>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Flat Per Sq. Ft.</t>
  </si>
  <si>
    <t>On Saleable Area</t>
  </si>
  <si>
    <t>Location Link</t>
  </si>
  <si>
    <t>Locality</t>
  </si>
  <si>
    <t>Village</t>
  </si>
  <si>
    <t xml:space="preserve">O. Certificate No.: 
Approved upto : </t>
  </si>
  <si>
    <t>Axis Sanpada</t>
  </si>
  <si>
    <t>L&amp;T Seawoods Limited</t>
  </si>
  <si>
    <t>02267059922 / 919867798744</t>
  </si>
  <si>
    <t>P51700045795 - Amber
P51700045794 - Opal
P51700045793 - Jasper
P51700045802 - Coral</t>
  </si>
  <si>
    <t>Plot No</t>
  </si>
  <si>
    <t>L &amp; T Seawoods</t>
  </si>
  <si>
    <t>Seawoods Station Road</t>
  </si>
  <si>
    <t>Thane</t>
  </si>
  <si>
    <t>Seawoods</t>
  </si>
  <si>
    <t>Seawoods Grand Central</t>
  </si>
  <si>
    <t>Nerul</t>
  </si>
  <si>
    <t>Internal Road</t>
  </si>
  <si>
    <t>Railway Track Compound</t>
  </si>
  <si>
    <t>Grand Central Mall</t>
  </si>
  <si>
    <t>https://goo.gl/maps/ChXpiTdt194GpAtd8</t>
  </si>
  <si>
    <t>4 Building</t>
  </si>
  <si>
    <t>Navi Mumbai Municipal Corporation</t>
  </si>
  <si>
    <t>2.5BHK</t>
  </si>
  <si>
    <t>Tower G2</t>
  </si>
  <si>
    <t>Tower G1 (Amber)</t>
  </si>
  <si>
    <t>Tower G3</t>
  </si>
  <si>
    <t>Tower G4</t>
  </si>
  <si>
    <t>Refuge Area</t>
  </si>
  <si>
    <t>We considered Gross carpet area = Net carpet + Enclose balcony + C.B Area + F.B Area</t>
  </si>
  <si>
    <t>Tower G1</t>
  </si>
  <si>
    <t>FROM CC</t>
  </si>
  <si>
    <t>Tower G4 (Coral)</t>
  </si>
  <si>
    <t>1.1 KM from Seawoods Railway Station</t>
  </si>
  <si>
    <t xml:space="preserve">Builder saleable area </t>
  </si>
  <si>
    <t>Tower G2 (Jasper)</t>
  </si>
  <si>
    <t>Tower G3 (Opal)</t>
  </si>
  <si>
    <t>Stilt Area</t>
  </si>
  <si>
    <t>3rd, 5th, 7th, 9th, 11th, 13th, 15th &amp; 17th Floor 
(Residential 2nd, 4th, 6th, 8th, 10th, 12th, 14th &amp; 16th level)</t>
  </si>
  <si>
    <t>3rd, 5th, 7th, 9th, 11th, 13th, 15th &amp; 17th Floor
  (Residential 2nd, 4th, 6th, 8th, 10th, 12th, 14th &amp; 16th level)</t>
  </si>
  <si>
    <t>4th, 6th, 10th, 14th &amp; 18th Floor 
(Residential 3rd, 5th, 9th, 13th &amp; 17th level)</t>
  </si>
  <si>
    <t>4th, 6th, 10th, 14th &amp; 18th Floor
 (Residential 3rd, 5th, 9th, 13th &amp; 17th level)</t>
  </si>
  <si>
    <t>4th, 6th, 10th, 14th &amp; 18th Floor
(Residential 3rd, 5th, 9th, 13th &amp; 17th level)</t>
  </si>
  <si>
    <t>2nd Floor For Residential
(Residential 1st level)</t>
  </si>
  <si>
    <t>2nd Floor 
(Residential 1st level)</t>
  </si>
  <si>
    <t>2nd Floor
 (Residential 1st level)</t>
  </si>
  <si>
    <t>2nd Floor For Residential &amp; Part Stilt Area
(Residential 1st level)</t>
  </si>
  <si>
    <t>8th, 12th, 16th Floor (Part Refuge Area)
(Residential 7th, 11th &amp; 15th level)</t>
  </si>
  <si>
    <t>RERA Name &amp; No.</t>
  </si>
  <si>
    <t>Security Deposit Charges</t>
  </si>
  <si>
    <t>Share Application Charges</t>
  </si>
  <si>
    <t>Tower G1 (Amber)
Tower G2 (Jasper)
Tower G3 (Opal)
Tower G4 (Coral)</t>
  </si>
  <si>
    <t>As per RERA - 31/07/2027</t>
  </si>
  <si>
    <t xml:space="preserve">CommencementC No
Valid Up to: </t>
  </si>
  <si>
    <t>Flats - 429</t>
  </si>
  <si>
    <t>Tower G1 (Amber) = 3B + L.P/LG + 2nd to 18th Floor
Tower G2 (Jasper) = 3B + L.P/LG + 2nd to 18th Floor
Tower G3 (Opal) = 3B + L.P/LG + 2nd to 18th Floor
Tower G4 (Coral) = 3B + L.P/LG + 2nd to 18th Floor</t>
  </si>
  <si>
    <t>We have received approved floor plans for Buildings (G1 to G4) of 2nd to 18th Floors.</t>
  </si>
  <si>
    <t>Floor Numbers and their levels are mentioned in approved Plans.</t>
  </si>
  <si>
    <t>The approved layout, basement, and podium plans were not provided to us or shown to us during the site visit.</t>
  </si>
  <si>
    <t>We considered the flat numbering as per the list provided to us for the consideration of Builder saleable area. Building flat numbers (G1 to G4) will be considered as per Floor No., which begins on the 2nd floor (i.e. Flat no 201,..., to 4201,....,.)</t>
  </si>
  <si>
    <t>401,..,1801</t>
  </si>
  <si>
    <t>402,..,1802</t>
  </si>
  <si>
    <t>403,..,1803</t>
  </si>
  <si>
    <t>404,..,1804</t>
  </si>
  <si>
    <t>405,..,1805</t>
  </si>
  <si>
    <t>406,..,1806</t>
  </si>
  <si>
    <t>407,..,1807</t>
  </si>
  <si>
    <t>408,..,1808</t>
  </si>
  <si>
    <t>301,..,1701</t>
  </si>
  <si>
    <t>302,..,1702</t>
  </si>
  <si>
    <t>303,..,1703</t>
  </si>
  <si>
    <t>304,..,1704</t>
  </si>
  <si>
    <t>305,..,1705</t>
  </si>
  <si>
    <t>306,..,1706</t>
  </si>
  <si>
    <t>307,..,1707</t>
  </si>
  <si>
    <t>308,..,1708</t>
  </si>
  <si>
    <t>801,..,1601</t>
  </si>
  <si>
    <t>802,..,1602</t>
  </si>
  <si>
    <t>803,..,1603</t>
  </si>
  <si>
    <t>804,..,1604</t>
  </si>
  <si>
    <t>805,..,1605</t>
  </si>
  <si>
    <t>806,..,1606</t>
  </si>
  <si>
    <t>807,..,1607</t>
  </si>
  <si>
    <t>Tower G1 (Amber) = 3 Basement + L.Podium/Lower Ground + 2nd to 18th Floor
Tower G2 (Jasper) = 3B + L.P/LG + 2nd to 18th Floor
Tower G3 (Opal) = 3B + L.P/LG + 2nd to 18th Floor
Tower G4 (Coral) = 3B + L.P/LG + 2nd to 18th Floor</t>
  </si>
  <si>
    <t>Area Statement Details : (Referred from CC)</t>
  </si>
  <si>
    <t>NRV/A-2020/CNMMC/6494/2040</t>
  </si>
  <si>
    <t>NMMP/NRV/SSNR/B.P/Online No.20201CNMMC16494/2040/2020</t>
  </si>
  <si>
    <t>L and T Seawoods - West Square</t>
  </si>
  <si>
    <t>Elevation and section plans dated 19/03/2019 of buildings (G1 to G4) were shown in the builder's site office on the 11th floor of Seawoods Grand Central Tower No.1 A wing, in the presence of Chief Architect Mr. Akhil Palhekar.</t>
  </si>
  <si>
    <t xml:space="preserve">1. Vitrified tiles flooring 2. Granite Kitchen Platform 3. Decorative
Enternace etc.
</t>
  </si>
  <si>
    <t>Floor Rise Rate From 2nd floor</t>
  </si>
  <si>
    <t>Maintenance charges</t>
  </si>
  <si>
    <t>Gaurav</t>
  </si>
  <si>
    <t>Floor Rise &amp; other charges</t>
  </si>
  <si>
    <t>Cost Sheet</t>
  </si>
  <si>
    <t>Charges added by Smith 12/07/2023</t>
  </si>
  <si>
    <t>Infra Charges</t>
  </si>
  <si>
    <t>17000 to 18100</t>
  </si>
  <si>
    <t>sanjay &amp; nikhil</t>
  </si>
  <si>
    <t>chost sheet</t>
  </si>
  <si>
    <t>18100 to 19600</t>
  </si>
  <si>
    <t>Sanket</t>
  </si>
  <si>
    <t>Office No. 1031, Wing J, Akshar Business Park, Plot No. 03 Sector 25, Near APMC Market,
Vashi, Navi Mumbai, Maharashtra 400703 TEL: 022-46090378/79/80                                                                                                                            Email : vsjcapf@gmail.com. Web site : www.vsjadon.com</t>
  </si>
  <si>
    <t>Stage Confirmed from Chirag Contact no mentioned above dtd 15/01/2025</t>
  </si>
  <si>
    <t>Mayur Ranvare</t>
  </si>
  <si>
    <t>Construction work is in process at the time of Visit (Internal photo was not allowed.)</t>
  </si>
  <si>
    <t>R-1/ Sector No.40</t>
  </si>
  <si>
    <r>
      <t xml:space="preserve">Proposed Amenities :                                                                                                                                                                                                                         </t>
    </r>
    <r>
      <rPr>
        <b/>
        <sz val="12"/>
        <color theme="1"/>
        <rFont val="Times New Roman"/>
        <family val="1"/>
      </rPr>
      <t xml:space="preserve">                                               </t>
    </r>
  </si>
  <si>
    <t>Pooja Kawale</t>
  </si>
  <si>
    <t>Provide latest approved floor plans &amp; CC.</t>
  </si>
  <si>
    <t>Tower G1 (Amber) = 3B + L.P/LG + 2nd to 18th Floor</t>
  </si>
  <si>
    <t>Tower G2 (Jasper) = 3B + L.P/LG + 2nd to 18th Floor</t>
  </si>
  <si>
    <t>Tower G3 (Opal) =  3B + L.P/LG + 2nd to 18th Floor</t>
  </si>
  <si>
    <t>Tower G4 (Coral) = 3B + L.P/LG + 2nd to 18th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</si>
</sst>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_(* \(#,##0.00\);_(* &quot;-&quot;??_);_(@_)"/>
    <numFmt numFmtId="165" formatCode="_(* #,##0_);_(* \(#,##0\);_(* &quot;-&quot;??_);_(@_)"/>
    <numFmt numFmtId="166" formatCode="_ * #,##0_ ;_ * \-#,##0_ ;_ * &quot;-&quot;??_ ;_ @_ "/>
    <numFmt numFmtId="167" formatCode="[&gt;0]0&quot;BHK&quot;;&quot;1RK&quot;"/>
    <numFmt numFmtId="168" formatCode="0.000"/>
    <numFmt numFmtId="169" formatCode="0.0000"/>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5"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4" fillId="2" borderId="26" xfId="0" applyFont="1" applyFill="1" applyBorder="1"/>
    <xf numFmtId="0" fontId="25" fillId="0" borderId="27" xfId="0" applyFont="1" applyBorder="1"/>
    <xf numFmtId="0" fontId="25" fillId="0" borderId="1" xfId="0" applyFont="1" applyBorder="1"/>
    <xf numFmtId="0" fontId="25" fillId="0" borderId="5" xfId="0" applyFont="1" applyBorder="1"/>
    <xf numFmtId="0" fontId="8" fillId="0" borderId="1" xfId="1" applyFont="1" applyBorder="1" applyAlignment="1" applyProtection="1">
      <alignment vertical="top"/>
      <protection locked="0"/>
    </xf>
    <xf numFmtId="167"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12" fillId="0" borderId="1" xfId="1" applyFont="1" applyBorder="1" applyAlignment="1" applyProtection="1">
      <alignment vertical="top" wrapText="1"/>
      <protection locked="0"/>
    </xf>
    <xf numFmtId="168" fontId="7" fillId="0" borderId="0" xfId="1" applyNumberFormat="1" applyFont="1" applyAlignment="1">
      <alignment horizontal="center" vertical="center"/>
    </xf>
    <xf numFmtId="167" fontId="6" fillId="0" borderId="14" xfId="1" applyNumberFormat="1" applyFont="1" applyBorder="1" applyAlignment="1" applyProtection="1">
      <alignment horizontal="center" vertical="center" wrapText="1"/>
      <protection locked="0"/>
    </xf>
    <xf numFmtId="1" fontId="7" fillId="0" borderId="14" xfId="1" applyNumberFormat="1" applyFont="1" applyBorder="1" applyAlignment="1">
      <alignment horizontal="center" vertical="center"/>
    </xf>
    <xf numFmtId="1" fontId="6" fillId="0" borderId="14" xfId="1" applyNumberFormat="1" applyFont="1" applyBorder="1" applyAlignment="1" applyProtection="1">
      <alignment horizontal="center" vertical="center" wrapText="1"/>
      <protection locked="0"/>
    </xf>
    <xf numFmtId="1" fontId="7" fillId="0" borderId="2" xfId="1" applyNumberFormat="1" applyFont="1" applyBorder="1" applyAlignment="1">
      <alignment horizontal="center" vertical="center"/>
    </xf>
    <xf numFmtId="0" fontId="7" fillId="0" borderId="2" xfId="1" applyFont="1" applyBorder="1" applyAlignment="1">
      <alignment horizontal="center" vertical="center"/>
    </xf>
    <xf numFmtId="0" fontId="24" fillId="0" borderId="5" xfId="0" applyFont="1" applyBorder="1"/>
    <xf numFmtId="169" fontId="7" fillId="0" borderId="0" xfId="1" applyNumberFormat="1" applyFont="1" applyAlignment="1">
      <alignment horizontal="center" vertical="center"/>
    </xf>
    <xf numFmtId="0" fontId="7" fillId="0" borderId="0" xfId="1" applyFont="1" applyAlignment="1">
      <alignment vertical="center"/>
    </xf>
    <xf numFmtId="2" fontId="7" fillId="0" borderId="0" xfId="1" applyNumberFormat="1" applyFont="1" applyAlignment="1">
      <alignment horizontal="center" vertical="center"/>
    </xf>
    <xf numFmtId="0" fontId="16" fillId="2" borderId="0" xfId="1" applyFont="1" applyFill="1"/>
    <xf numFmtId="14" fontId="16" fillId="2" borderId="0" xfId="1" applyNumberFormat="1" applyFont="1" applyFill="1"/>
    <xf numFmtId="0" fontId="16" fillId="3" borderId="0" xfId="1" applyFont="1" applyFill="1"/>
    <xf numFmtId="0" fontId="7" fillId="2" borderId="0" xfId="1" applyFont="1" applyFill="1"/>
    <xf numFmtId="14" fontId="7" fillId="2" borderId="0" xfId="1" applyNumberFormat="1" applyFont="1" applyFill="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25" fillId="0" borderId="9" xfId="0" applyFont="1" applyBorder="1"/>
    <xf numFmtId="0" fontId="24" fillId="2" borderId="13" xfId="0" applyFont="1" applyFill="1" applyBorder="1"/>
    <xf numFmtId="1" fontId="8" fillId="0" borderId="1" xfId="1" applyNumberFormat="1" applyFont="1" applyBorder="1" applyAlignment="1" applyProtection="1">
      <alignment horizontal="center" vertical="top" wrapText="1"/>
      <protection locked="0"/>
    </xf>
    <xf numFmtId="9" fontId="8" fillId="0" borderId="1" xfId="8" applyFont="1" applyFill="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6" fillId="0" borderId="8"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166" fontId="12" fillId="0" borderId="8" xfId="9" applyNumberFormat="1" applyFont="1" applyFill="1" applyBorder="1" applyAlignment="1" applyProtection="1">
      <alignment horizontal="left" vertical="top"/>
      <protection locked="0"/>
    </xf>
    <xf numFmtId="166" fontId="12" fillId="0" borderId="19" xfId="9" applyNumberFormat="1" applyFont="1" applyFill="1" applyBorder="1" applyAlignment="1" applyProtection="1">
      <alignment horizontal="left" vertical="top"/>
      <protection locked="0"/>
    </xf>
    <xf numFmtId="166" fontId="12" fillId="0" borderId="9"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1" xfId="1" applyFont="1" applyBorder="1" applyAlignment="1">
      <alignment horizontal="center" vertical="center"/>
    </xf>
    <xf numFmtId="1" fontId="8" fillId="0" borderId="8"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12" fillId="0" borderId="1" xfId="8"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8" fillId="0" borderId="14" xfId="1" applyFont="1" applyBorder="1" applyAlignment="1" applyProtection="1">
      <alignment horizontal="left" vertical="top"/>
      <protection locked="0"/>
    </xf>
    <xf numFmtId="0" fontId="8" fillId="0" borderId="14" xfId="1" applyFont="1" applyBorder="1" applyAlignment="1" applyProtection="1">
      <alignment horizontal="center" vertical="top"/>
      <protection locked="0"/>
    </xf>
    <xf numFmtId="166" fontId="12"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4" fillId="0" borderId="1" xfId="1" applyNumberFormat="1" applyFont="1" applyBorder="1" applyAlignment="1" applyProtection="1">
      <alignment horizontal="center" vertical="top" wrapText="1"/>
      <protection locked="0"/>
    </xf>
    <xf numFmtId="0" fontId="6" fillId="0" borderId="14"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5"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0" fontId="12" fillId="0" borderId="21"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2" xfId="1" applyFont="1" applyBorder="1" applyAlignment="1" applyProtection="1">
      <alignment horizontal="left" vertical="top"/>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12" fillId="0" borderId="15"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0" fontId="15" fillId="0" borderId="19"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4" fontId="8" fillId="0" borderId="8" xfId="1" applyNumberFormat="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1" fontId="6" fillId="0" borderId="19" xfId="1" applyNumberFormat="1" applyFont="1" applyBorder="1" applyAlignment="1" applyProtection="1">
      <alignment horizontal="center" vertical="center" wrapText="1"/>
      <protection locked="0"/>
    </xf>
    <xf numFmtId="167" fontId="6" fillId="0" borderId="8" xfId="1" applyNumberFormat="1" applyFont="1" applyBorder="1" applyAlignment="1" applyProtection="1">
      <alignment horizontal="center" vertical="center" wrapText="1"/>
      <protection locked="0"/>
    </xf>
    <xf numFmtId="167" fontId="6" fillId="0" borderId="19" xfId="1" applyNumberFormat="1" applyFont="1" applyBorder="1" applyAlignment="1" applyProtection="1">
      <alignment horizontal="center" vertical="center" wrapText="1"/>
      <protection locked="0"/>
    </xf>
    <xf numFmtId="167" fontId="6" fillId="0" borderId="9"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24" fillId="0" borderId="9" xfId="0" applyFont="1" applyBorder="1"/>
    <xf numFmtId="0" fontId="13" fillId="0" borderId="28"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476250</xdr:colOff>
      <xdr:row>403</xdr:row>
      <xdr:rowOff>141195</xdr:rowOff>
    </xdr:from>
    <xdr:to>
      <xdr:col>7</xdr:col>
      <xdr:colOff>304800</xdr:colOff>
      <xdr:row>423</xdr:row>
      <xdr:rowOff>26894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76250" y="73158724"/>
          <a:ext cx="5958168" cy="3919817"/>
        </a:xfrm>
        <a:prstGeom prst="rect">
          <a:avLst/>
        </a:prstGeom>
        <a:ln>
          <a:solidFill>
            <a:schemeClr val="tx1"/>
          </a:solidFill>
        </a:ln>
      </xdr:spPr>
    </xdr:pic>
    <xdr:clientData/>
  </xdr:twoCellAnchor>
  <xdr:twoCellAnchor editAs="oneCell">
    <xdr:from>
      <xdr:col>0</xdr:col>
      <xdr:colOff>476250</xdr:colOff>
      <xdr:row>383</xdr:row>
      <xdr:rowOff>26894</xdr:rowOff>
    </xdr:from>
    <xdr:to>
      <xdr:col>7</xdr:col>
      <xdr:colOff>304800</xdr:colOff>
      <xdr:row>402</xdr:row>
      <xdr:rowOff>112618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76250" y="69010306"/>
          <a:ext cx="5958168" cy="3918136"/>
        </a:xfrm>
        <a:prstGeom prst="rect">
          <a:avLst/>
        </a:prstGeom>
        <a:ln>
          <a:solidFill>
            <a:schemeClr val="tx1"/>
          </a:solidFill>
        </a:ln>
      </xdr:spPr>
    </xdr:pic>
    <xdr:clientData/>
  </xdr:twoCellAnchor>
  <xdr:twoCellAnchor>
    <xdr:from>
      <xdr:col>8</xdr:col>
      <xdr:colOff>744583</xdr:colOff>
      <xdr:row>339</xdr:row>
      <xdr:rowOff>161108</xdr:rowOff>
    </xdr:from>
    <xdr:to>
      <xdr:col>16</xdr:col>
      <xdr:colOff>175385</xdr:colOff>
      <xdr:row>376</xdr:row>
      <xdr:rowOff>95855</xdr:rowOff>
    </xdr:to>
    <xdr:grpSp>
      <xdr:nvGrpSpPr>
        <xdr:cNvPr id="6" name="Group 5">
          <a:extLst>
            <a:ext uri="{FF2B5EF4-FFF2-40B4-BE49-F238E27FC236}">
              <a16:creationId xmlns:a16="http://schemas.microsoft.com/office/drawing/2014/main" id="{844265B0-9C68-D467-3F74-91555F2F30C6}"/>
            </a:ext>
          </a:extLst>
        </xdr:cNvPr>
        <xdr:cNvGrpSpPr/>
      </xdr:nvGrpSpPr>
      <xdr:grpSpPr>
        <a:xfrm>
          <a:off x="7939133" y="68080708"/>
          <a:ext cx="6231652" cy="7218197"/>
          <a:chOff x="144652" y="112474"/>
          <a:chExt cx="6105922" cy="7255390"/>
        </a:xfrm>
      </xdr:grpSpPr>
      <xdr:grpSp>
        <xdr:nvGrpSpPr>
          <xdr:cNvPr id="18" name="Group 17">
            <a:extLst>
              <a:ext uri="{FF2B5EF4-FFF2-40B4-BE49-F238E27FC236}">
                <a16:creationId xmlns:a16="http://schemas.microsoft.com/office/drawing/2014/main" id="{38B3F0C1-A55B-5B91-9A00-709A687DA775}"/>
              </a:ext>
            </a:extLst>
          </xdr:cNvPr>
          <xdr:cNvGrpSpPr/>
        </xdr:nvGrpSpPr>
        <xdr:grpSpPr>
          <a:xfrm>
            <a:off x="1746732" y="5567864"/>
            <a:ext cx="2901762" cy="1800000"/>
            <a:chOff x="1243487" y="5611527"/>
            <a:chExt cx="2901762" cy="1800000"/>
          </a:xfrm>
        </xdr:grpSpPr>
        <xdr:pic>
          <xdr:nvPicPr>
            <xdr:cNvPr id="37" name="Picture 36">
              <a:extLst>
                <a:ext uri="{FF2B5EF4-FFF2-40B4-BE49-F238E27FC236}">
                  <a16:creationId xmlns:a16="http://schemas.microsoft.com/office/drawing/2014/main" id="{21058CB7-8951-A531-BDA6-4462C283BE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2791483" y="5611527"/>
              <a:ext cx="1353766" cy="1800000"/>
            </a:xfrm>
            <a:prstGeom prst="rect">
              <a:avLst/>
            </a:prstGeom>
            <a:ln>
              <a:solidFill>
                <a:schemeClr val="tx1"/>
              </a:solidFill>
            </a:ln>
          </xdr:spPr>
        </xdr:pic>
        <xdr:pic>
          <xdr:nvPicPr>
            <xdr:cNvPr id="38" name="Picture 37">
              <a:extLst>
                <a:ext uri="{FF2B5EF4-FFF2-40B4-BE49-F238E27FC236}">
                  <a16:creationId xmlns:a16="http://schemas.microsoft.com/office/drawing/2014/main" id="{6B895D05-5DA9-EA29-1C28-A9CF6A76DBC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1243487" y="5611527"/>
              <a:ext cx="1348125" cy="1800000"/>
            </a:xfrm>
            <a:prstGeom prst="rect">
              <a:avLst/>
            </a:prstGeom>
            <a:ln>
              <a:solidFill>
                <a:schemeClr val="tx1"/>
              </a:solidFill>
            </a:ln>
          </xdr:spPr>
        </xdr:pic>
      </xdr:grpSp>
      <xdr:grpSp>
        <xdr:nvGrpSpPr>
          <xdr:cNvPr id="19" name="Group 18">
            <a:extLst>
              <a:ext uri="{FF2B5EF4-FFF2-40B4-BE49-F238E27FC236}">
                <a16:creationId xmlns:a16="http://schemas.microsoft.com/office/drawing/2014/main" id="{E54489AC-6B18-B6C4-3518-EA58E6274D56}"/>
              </a:ext>
            </a:extLst>
          </xdr:cNvPr>
          <xdr:cNvGrpSpPr/>
        </xdr:nvGrpSpPr>
        <xdr:grpSpPr>
          <a:xfrm>
            <a:off x="501474" y="2817140"/>
            <a:ext cx="5392279" cy="2543029"/>
            <a:chOff x="424446" y="2745470"/>
            <a:chExt cx="5392279" cy="2543029"/>
          </a:xfrm>
        </xdr:grpSpPr>
        <xdr:pic>
          <xdr:nvPicPr>
            <xdr:cNvPr id="34" name="Picture 33">
              <a:extLst>
                <a:ext uri="{FF2B5EF4-FFF2-40B4-BE49-F238E27FC236}">
                  <a16:creationId xmlns:a16="http://schemas.microsoft.com/office/drawing/2014/main" id="{E628B747-5073-2EA6-F1CE-708EC5561F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2473773" y="2768499"/>
              <a:ext cx="3342952"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061B48C5-B906-16F7-63B4-EB71A6B08F8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424446" y="2745470"/>
              <a:ext cx="1895272" cy="2520000"/>
            </a:xfrm>
            <a:prstGeom prst="rect">
              <a:avLst/>
            </a:prstGeom>
            <a:ln>
              <a:solidFill>
                <a:schemeClr val="tx1"/>
              </a:solidFill>
            </a:ln>
          </xdr:spPr>
        </xdr:pic>
        <xdr:sp macro="" textlink="">
          <xdr:nvSpPr>
            <xdr:cNvPr id="36" name="TextBox 115">
              <a:extLst>
                <a:ext uri="{FF2B5EF4-FFF2-40B4-BE49-F238E27FC236}">
                  <a16:creationId xmlns:a16="http://schemas.microsoft.com/office/drawing/2014/main" id="{2B4AF564-A978-E049-4988-5EB8684D3F3F}"/>
                </a:ext>
              </a:extLst>
            </xdr:cNvPr>
            <xdr:cNvSpPr txBox="1"/>
          </xdr:nvSpPr>
          <xdr:spPr>
            <a:xfrm>
              <a:off x="1243487" y="2745470"/>
              <a:ext cx="44916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G4</a:t>
              </a:r>
            </a:p>
          </xdr:txBody>
        </xdr:sp>
      </xdr:grpSp>
      <xdr:grpSp>
        <xdr:nvGrpSpPr>
          <xdr:cNvPr id="20" name="Group 19">
            <a:extLst>
              <a:ext uri="{FF2B5EF4-FFF2-40B4-BE49-F238E27FC236}">
                <a16:creationId xmlns:a16="http://schemas.microsoft.com/office/drawing/2014/main" id="{7FDFAD3F-CCCD-A436-DE7B-97DCB9868CFD}"/>
              </a:ext>
            </a:extLst>
          </xdr:cNvPr>
          <xdr:cNvGrpSpPr/>
        </xdr:nvGrpSpPr>
        <xdr:grpSpPr>
          <a:xfrm>
            <a:off x="144652" y="112474"/>
            <a:ext cx="6105922" cy="2520000"/>
            <a:chOff x="144652" y="112474"/>
            <a:chExt cx="6105922" cy="2520000"/>
          </a:xfrm>
        </xdr:grpSpPr>
        <xdr:pic>
          <xdr:nvPicPr>
            <xdr:cNvPr id="21" name="Picture 20">
              <a:extLst>
                <a:ext uri="{FF2B5EF4-FFF2-40B4-BE49-F238E27FC236}">
                  <a16:creationId xmlns:a16="http://schemas.microsoft.com/office/drawing/2014/main" id="{66B4FE65-49A0-1779-E841-4F3524E1B83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249977" y="112474"/>
              <a:ext cx="1895272"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221AB679-BE82-F5AC-746E-C55DE1B48D1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355302" y="112474"/>
              <a:ext cx="1895272" cy="2520000"/>
            </a:xfrm>
            <a:prstGeom prst="rect">
              <a:avLst/>
            </a:prstGeom>
            <a:ln>
              <a:solidFill>
                <a:schemeClr val="tx1"/>
              </a:solidFill>
            </a:ln>
          </xdr:spPr>
        </xdr:pic>
        <xdr:pic>
          <xdr:nvPicPr>
            <xdr:cNvPr id="23" name="Picture 22">
              <a:extLst>
                <a:ext uri="{FF2B5EF4-FFF2-40B4-BE49-F238E27FC236}">
                  <a16:creationId xmlns:a16="http://schemas.microsoft.com/office/drawing/2014/main" id="{D065F16D-2AAD-E496-3414-CBBEBC7A194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144652" y="112474"/>
              <a:ext cx="1895272" cy="2520000"/>
            </a:xfrm>
            <a:prstGeom prst="rect">
              <a:avLst/>
            </a:prstGeom>
            <a:ln>
              <a:solidFill>
                <a:schemeClr val="tx1"/>
              </a:solidFill>
            </a:ln>
          </xdr:spPr>
        </xdr:pic>
        <xdr:sp macro="" textlink="">
          <xdr:nvSpPr>
            <xdr:cNvPr id="31" name="TextBox 116">
              <a:extLst>
                <a:ext uri="{FF2B5EF4-FFF2-40B4-BE49-F238E27FC236}">
                  <a16:creationId xmlns:a16="http://schemas.microsoft.com/office/drawing/2014/main" id="{28E2D6F9-F657-15E4-3A51-46FE24F5C7CC}"/>
                </a:ext>
              </a:extLst>
            </xdr:cNvPr>
            <xdr:cNvSpPr txBox="1"/>
          </xdr:nvSpPr>
          <xdr:spPr>
            <a:xfrm>
              <a:off x="2627358" y="112474"/>
              <a:ext cx="44916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G2</a:t>
              </a:r>
            </a:p>
          </xdr:txBody>
        </xdr:sp>
        <xdr:sp macro="" textlink="">
          <xdr:nvSpPr>
            <xdr:cNvPr id="32" name="TextBox 117">
              <a:extLst>
                <a:ext uri="{FF2B5EF4-FFF2-40B4-BE49-F238E27FC236}">
                  <a16:creationId xmlns:a16="http://schemas.microsoft.com/office/drawing/2014/main" id="{EF44F7B9-708D-2E9E-85E7-212FED173A7F}"/>
                </a:ext>
              </a:extLst>
            </xdr:cNvPr>
            <xdr:cNvSpPr txBox="1"/>
          </xdr:nvSpPr>
          <xdr:spPr>
            <a:xfrm>
              <a:off x="4908304" y="297140"/>
              <a:ext cx="44916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G3</a:t>
              </a:r>
            </a:p>
          </xdr:txBody>
        </xdr:sp>
        <xdr:sp macro="" textlink="">
          <xdr:nvSpPr>
            <xdr:cNvPr id="33" name="TextBox 118">
              <a:extLst>
                <a:ext uri="{FF2B5EF4-FFF2-40B4-BE49-F238E27FC236}">
                  <a16:creationId xmlns:a16="http://schemas.microsoft.com/office/drawing/2014/main" id="{D2C9EF20-35A4-F56F-9F2B-F0FA2EC4D12C}"/>
                </a:ext>
              </a:extLst>
            </xdr:cNvPr>
            <xdr:cNvSpPr txBox="1"/>
          </xdr:nvSpPr>
          <xdr:spPr>
            <a:xfrm>
              <a:off x="1387322" y="158194"/>
              <a:ext cx="44755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G1</a:t>
              </a:r>
            </a:p>
          </xdr:txBody>
        </xdr:sp>
      </xdr:grpSp>
    </xdr:grpSp>
    <xdr:clientData/>
  </xdr:twoCellAnchor>
  <xdr:twoCellAnchor editAs="oneCell">
    <xdr:from>
      <xdr:col>10</xdr:col>
      <xdr:colOff>475129</xdr:colOff>
      <xdr:row>66</xdr:row>
      <xdr:rowOff>268941</xdr:rowOff>
    </xdr:from>
    <xdr:to>
      <xdr:col>16</xdr:col>
      <xdr:colOff>235945</xdr:colOff>
      <xdr:row>92</xdr:row>
      <xdr:rowOff>16276</xdr:rowOff>
    </xdr:to>
    <xdr:pic>
      <xdr:nvPicPr>
        <xdr:cNvPr id="43" name="Picture 42">
          <a:extLst>
            <a:ext uri="{FF2B5EF4-FFF2-40B4-BE49-F238E27FC236}">
              <a16:creationId xmlns:a16="http://schemas.microsoft.com/office/drawing/2014/main" id="{F5D2251F-395B-43F0-BB56-F3A00A88B9D0}"/>
            </a:ext>
          </a:extLst>
        </xdr:cNvPr>
        <xdr:cNvPicPr>
          <a:picLocks noChangeAspect="1"/>
        </xdr:cNvPicPr>
      </xdr:nvPicPr>
      <xdr:blipFill>
        <a:blip xmlns:r="http://schemas.openxmlformats.org/officeDocument/2006/relationships" r:embed="rId10"/>
        <a:stretch>
          <a:fillRect/>
        </a:stretch>
      </xdr:blipFill>
      <xdr:spPr>
        <a:xfrm>
          <a:off x="9529482" y="17821835"/>
          <a:ext cx="4458322" cy="5553850"/>
        </a:xfrm>
        <a:prstGeom prst="rect">
          <a:avLst/>
        </a:prstGeom>
      </xdr:spPr>
    </xdr:pic>
    <xdr:clientData/>
  </xdr:twoCellAnchor>
  <xdr:twoCellAnchor>
    <xdr:from>
      <xdr:col>0</xdr:col>
      <xdr:colOff>336550</xdr:colOff>
      <xdr:row>337</xdr:row>
      <xdr:rowOff>101600</xdr:rowOff>
    </xdr:from>
    <xdr:to>
      <xdr:col>7</xdr:col>
      <xdr:colOff>838273</xdr:colOff>
      <xdr:row>377</xdr:row>
      <xdr:rowOff>133302</xdr:rowOff>
    </xdr:to>
    <xdr:grpSp>
      <xdr:nvGrpSpPr>
        <xdr:cNvPr id="5" name="Group 4"/>
        <xdr:cNvGrpSpPr/>
      </xdr:nvGrpSpPr>
      <xdr:grpSpPr>
        <a:xfrm>
          <a:off x="336550" y="67633850"/>
          <a:ext cx="6445323" cy="7899352"/>
          <a:chOff x="336550" y="68440300"/>
          <a:chExt cx="6445323" cy="7899352"/>
        </a:xfrm>
      </xdr:grpSpPr>
      <xdr:pic>
        <xdr:nvPicPr>
          <xdr:cNvPr id="42" name="Picture 4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746679" y="74179652"/>
            <a:ext cx="1625063"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6550" y="68440300"/>
            <a:ext cx="2058413"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530005" y="68440300"/>
            <a:ext cx="2058413"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723460" y="68440300"/>
            <a:ext cx="2058413" cy="273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36550" y="71309976"/>
            <a:ext cx="2058413" cy="273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530005" y="71309976"/>
            <a:ext cx="2058413" cy="273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723460" y="71309976"/>
            <a:ext cx="2049863" cy="2736000"/>
          </a:xfrm>
          <a:prstGeom prst="rect">
            <a:avLst/>
          </a:prstGeom>
          <a:ln>
            <a:solidFill>
              <a:schemeClr val="tx1"/>
            </a:solidFill>
          </a:ln>
        </xdr:spPr>
      </xdr:pic>
      <xdr:sp macro="" textlink="">
        <xdr:nvSpPr>
          <xdr:cNvPr id="50" name="TextBox 118">
            <a:extLst>
              <a:ext uri="{FF2B5EF4-FFF2-40B4-BE49-F238E27FC236}">
                <a16:creationId xmlns:a16="http://schemas.microsoft.com/office/drawing/2014/main" id="{D2C9EF20-35A4-F56F-9F2B-F0FA2EC4D12C}"/>
              </a:ext>
            </a:extLst>
          </xdr:cNvPr>
          <xdr:cNvSpPr txBox="1"/>
        </xdr:nvSpPr>
        <xdr:spPr>
          <a:xfrm>
            <a:off x="1276350" y="70332600"/>
            <a:ext cx="456774" cy="3674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G1</a:t>
            </a:r>
          </a:p>
        </xdr:txBody>
      </xdr:sp>
      <xdr:sp macro="" textlink="">
        <xdr:nvSpPr>
          <xdr:cNvPr id="51" name="TextBox 118">
            <a:extLst>
              <a:ext uri="{FF2B5EF4-FFF2-40B4-BE49-F238E27FC236}">
                <a16:creationId xmlns:a16="http://schemas.microsoft.com/office/drawing/2014/main" id="{D2C9EF20-35A4-F56F-9F2B-F0FA2EC4D12C}"/>
              </a:ext>
            </a:extLst>
          </xdr:cNvPr>
          <xdr:cNvSpPr txBox="1"/>
        </xdr:nvSpPr>
        <xdr:spPr>
          <a:xfrm>
            <a:off x="3285655" y="70027800"/>
            <a:ext cx="456774" cy="3674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G2</a:t>
            </a:r>
          </a:p>
        </xdr:txBody>
      </xdr:sp>
      <xdr:sp macro="" textlink="">
        <xdr:nvSpPr>
          <xdr:cNvPr id="52" name="TextBox 118">
            <a:extLst>
              <a:ext uri="{FF2B5EF4-FFF2-40B4-BE49-F238E27FC236}">
                <a16:creationId xmlns:a16="http://schemas.microsoft.com/office/drawing/2014/main" id="{D2C9EF20-35A4-F56F-9F2B-F0FA2EC4D12C}"/>
              </a:ext>
            </a:extLst>
          </xdr:cNvPr>
          <xdr:cNvSpPr txBox="1"/>
        </xdr:nvSpPr>
        <xdr:spPr>
          <a:xfrm>
            <a:off x="1441450" y="72897476"/>
            <a:ext cx="456774" cy="3674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G3</a:t>
            </a:r>
          </a:p>
        </xdr:txBody>
      </xdr:sp>
      <xdr:sp macro="" textlink="">
        <xdr:nvSpPr>
          <xdr:cNvPr id="53" name="TextBox 118">
            <a:extLst>
              <a:ext uri="{FF2B5EF4-FFF2-40B4-BE49-F238E27FC236}">
                <a16:creationId xmlns:a16="http://schemas.microsoft.com/office/drawing/2014/main" id="{D2C9EF20-35A4-F56F-9F2B-F0FA2EC4D12C}"/>
              </a:ext>
            </a:extLst>
          </xdr:cNvPr>
          <xdr:cNvSpPr txBox="1"/>
        </xdr:nvSpPr>
        <xdr:spPr>
          <a:xfrm>
            <a:off x="3126905" y="72840326"/>
            <a:ext cx="456774" cy="3674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G4</a:t>
            </a:r>
          </a:p>
        </xdr:txBody>
      </xdr:sp>
    </xdr:grpSp>
    <xdr:clientData/>
  </xdr:twoCellAnchor>
  <xdr:twoCellAnchor editAs="oneCell">
    <xdr:from>
      <xdr:col>8</xdr:col>
      <xdr:colOff>1060450</xdr:colOff>
      <xdr:row>52</xdr:row>
      <xdr:rowOff>158750</xdr:rowOff>
    </xdr:from>
    <xdr:to>
      <xdr:col>15</xdr:col>
      <xdr:colOff>472400</xdr:colOff>
      <xdr:row>64</xdr:row>
      <xdr:rowOff>10155</xdr:rowOff>
    </xdr:to>
    <xdr:pic>
      <xdr:nvPicPr>
        <xdr:cNvPr id="39" name="Picture 3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8255000" y="13950950"/>
          <a:ext cx="5400000" cy="323595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hXpiTdt194GpAtd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381"/>
  <sheetViews>
    <sheetView tabSelected="1" view="pageBreakPreview" topLeftCell="A51" zoomScaleNormal="100" zoomScaleSheetLayoutView="100" zoomScalePageLayoutView="85" workbookViewId="0">
      <selection activeCell="J55" sqref="J55"/>
    </sheetView>
  </sheetViews>
  <sheetFormatPr defaultColWidth="9.08984375" defaultRowHeight="15.5" x14ac:dyDescent="0.35"/>
  <cols>
    <col min="1" max="1" width="11.453125" style="37" customWidth="1"/>
    <col min="2" max="2" width="12" style="37" customWidth="1"/>
    <col min="3" max="3" width="12.6328125" style="37" customWidth="1"/>
    <col min="4" max="4" width="14.08984375" style="37" customWidth="1"/>
    <col min="5" max="7" width="11.6328125" style="37" customWidth="1"/>
    <col min="8" max="8" width="17.90625" style="37" customWidth="1"/>
    <col min="9" max="9" width="17.453125" style="18" customWidth="1"/>
    <col min="10" max="10" width="11.453125" style="18" customWidth="1"/>
    <col min="11" max="11" width="11.90625" style="18" bestFit="1" customWidth="1"/>
    <col min="12" max="12" width="10.54296875" style="18" customWidth="1"/>
    <col min="13" max="13" width="11.90625" style="18" customWidth="1"/>
    <col min="14" max="14" width="12.54296875" style="18" customWidth="1"/>
    <col min="15" max="15" width="9.90625" style="18" customWidth="1"/>
    <col min="16" max="16" width="11.6328125" style="18" customWidth="1"/>
    <col min="17" max="247" width="9.08984375" style="18"/>
    <col min="248" max="248" width="8.6328125" style="18" customWidth="1"/>
    <col min="249" max="249" width="9.90625" style="18" customWidth="1"/>
    <col min="250" max="250" width="14.453125" style="18" customWidth="1"/>
    <col min="251" max="251" width="7.36328125" style="18" customWidth="1"/>
    <col min="252" max="252" width="5.54296875" style="18" customWidth="1"/>
    <col min="253" max="253" width="9" style="18" customWidth="1"/>
    <col min="254" max="255" width="9.90625" style="18" customWidth="1"/>
    <col min="256" max="256" width="11.08984375" style="18" customWidth="1"/>
    <col min="257" max="257" width="2.90625" style="18" customWidth="1"/>
    <col min="258" max="258" width="3.54296875" style="18" customWidth="1"/>
    <col min="259" max="503" width="9.08984375" style="18"/>
    <col min="504" max="504" width="8.6328125" style="18" customWidth="1"/>
    <col min="505" max="505" width="9.90625" style="18" customWidth="1"/>
    <col min="506" max="506" width="14.453125" style="18" customWidth="1"/>
    <col min="507" max="507" width="7.36328125" style="18" customWidth="1"/>
    <col min="508" max="508" width="5.54296875" style="18" customWidth="1"/>
    <col min="509" max="509" width="9" style="18" customWidth="1"/>
    <col min="510" max="511" width="9.90625" style="18" customWidth="1"/>
    <col min="512" max="512" width="11.08984375" style="18" customWidth="1"/>
    <col min="513" max="513" width="2.90625" style="18" customWidth="1"/>
    <col min="514" max="514" width="3.54296875" style="18" customWidth="1"/>
    <col min="515" max="759" width="9.08984375" style="18"/>
    <col min="760" max="760" width="8.6328125" style="18" customWidth="1"/>
    <col min="761" max="761" width="9.90625" style="18" customWidth="1"/>
    <col min="762" max="762" width="14.453125" style="18" customWidth="1"/>
    <col min="763" max="763" width="7.36328125" style="18" customWidth="1"/>
    <col min="764" max="764" width="5.54296875" style="18" customWidth="1"/>
    <col min="765" max="765" width="9" style="18" customWidth="1"/>
    <col min="766" max="767" width="9.90625" style="18" customWidth="1"/>
    <col min="768" max="768" width="11.08984375" style="18" customWidth="1"/>
    <col min="769" max="769" width="2.90625" style="18" customWidth="1"/>
    <col min="770" max="770" width="3.54296875" style="18" customWidth="1"/>
    <col min="771" max="1015" width="9.08984375" style="18"/>
    <col min="1016" max="1016" width="8.6328125" style="18" customWidth="1"/>
    <col min="1017" max="1017" width="9.90625" style="18" customWidth="1"/>
    <col min="1018" max="1018" width="14.453125" style="18" customWidth="1"/>
    <col min="1019" max="1019" width="7.36328125" style="18" customWidth="1"/>
    <col min="1020" max="1020" width="5.54296875" style="18" customWidth="1"/>
    <col min="1021" max="1021" width="9" style="18" customWidth="1"/>
    <col min="1022" max="1023" width="9.90625" style="18" customWidth="1"/>
    <col min="1024" max="1024" width="11.08984375" style="18" customWidth="1"/>
    <col min="1025" max="1025" width="2.90625" style="18" customWidth="1"/>
    <col min="1026" max="1026" width="3.54296875" style="18" customWidth="1"/>
    <col min="1027" max="1271" width="9.08984375" style="18"/>
    <col min="1272" max="1272" width="8.6328125" style="18" customWidth="1"/>
    <col min="1273" max="1273" width="9.90625" style="18" customWidth="1"/>
    <col min="1274" max="1274" width="14.453125" style="18" customWidth="1"/>
    <col min="1275" max="1275" width="7.36328125" style="18" customWidth="1"/>
    <col min="1276" max="1276" width="5.54296875" style="18" customWidth="1"/>
    <col min="1277" max="1277" width="9" style="18" customWidth="1"/>
    <col min="1278" max="1279" width="9.90625" style="18" customWidth="1"/>
    <col min="1280" max="1280" width="11.08984375" style="18" customWidth="1"/>
    <col min="1281" max="1281" width="2.90625" style="18" customWidth="1"/>
    <col min="1282" max="1282" width="3.54296875" style="18" customWidth="1"/>
    <col min="1283" max="1527" width="9.08984375" style="18"/>
    <col min="1528" max="1528" width="8.6328125" style="18" customWidth="1"/>
    <col min="1529" max="1529" width="9.90625" style="18" customWidth="1"/>
    <col min="1530" max="1530" width="14.453125" style="18" customWidth="1"/>
    <col min="1531" max="1531" width="7.36328125" style="18" customWidth="1"/>
    <col min="1532" max="1532" width="5.54296875" style="18" customWidth="1"/>
    <col min="1533" max="1533" width="9" style="18" customWidth="1"/>
    <col min="1534" max="1535" width="9.90625" style="18" customWidth="1"/>
    <col min="1536" max="1536" width="11.08984375" style="18" customWidth="1"/>
    <col min="1537" max="1537" width="2.90625" style="18" customWidth="1"/>
    <col min="1538" max="1538" width="3.54296875" style="18" customWidth="1"/>
    <col min="1539" max="1783" width="9.08984375" style="18"/>
    <col min="1784" max="1784" width="8.6328125" style="18" customWidth="1"/>
    <col min="1785" max="1785" width="9.90625" style="18" customWidth="1"/>
    <col min="1786" max="1786" width="14.453125" style="18" customWidth="1"/>
    <col min="1787" max="1787" width="7.36328125" style="18" customWidth="1"/>
    <col min="1788" max="1788" width="5.54296875" style="18" customWidth="1"/>
    <col min="1789" max="1789" width="9" style="18" customWidth="1"/>
    <col min="1790" max="1791" width="9.90625" style="18" customWidth="1"/>
    <col min="1792" max="1792" width="11.08984375" style="18" customWidth="1"/>
    <col min="1793" max="1793" width="2.90625" style="18" customWidth="1"/>
    <col min="1794" max="1794" width="3.54296875" style="18" customWidth="1"/>
    <col min="1795" max="2039" width="9.08984375" style="18"/>
    <col min="2040" max="2040" width="8.6328125" style="18" customWidth="1"/>
    <col min="2041" max="2041" width="9.90625" style="18" customWidth="1"/>
    <col min="2042" max="2042" width="14.453125" style="18" customWidth="1"/>
    <col min="2043" max="2043" width="7.36328125" style="18" customWidth="1"/>
    <col min="2044" max="2044" width="5.54296875" style="18" customWidth="1"/>
    <col min="2045" max="2045" width="9" style="18" customWidth="1"/>
    <col min="2046" max="2047" width="9.90625" style="18" customWidth="1"/>
    <col min="2048" max="2048" width="11.08984375" style="18" customWidth="1"/>
    <col min="2049" max="2049" width="2.90625" style="18" customWidth="1"/>
    <col min="2050" max="2050" width="3.54296875" style="18" customWidth="1"/>
    <col min="2051" max="2295" width="9.08984375" style="18"/>
    <col min="2296" max="2296" width="8.6328125" style="18" customWidth="1"/>
    <col min="2297" max="2297" width="9.90625" style="18" customWidth="1"/>
    <col min="2298" max="2298" width="14.453125" style="18" customWidth="1"/>
    <col min="2299" max="2299" width="7.36328125" style="18" customWidth="1"/>
    <col min="2300" max="2300" width="5.54296875" style="18" customWidth="1"/>
    <col min="2301" max="2301" width="9" style="18" customWidth="1"/>
    <col min="2302" max="2303" width="9.90625" style="18" customWidth="1"/>
    <col min="2304" max="2304" width="11.08984375" style="18" customWidth="1"/>
    <col min="2305" max="2305" width="2.90625" style="18" customWidth="1"/>
    <col min="2306" max="2306" width="3.54296875" style="18" customWidth="1"/>
    <col min="2307" max="2551" width="9.08984375" style="18"/>
    <col min="2552" max="2552" width="8.6328125" style="18" customWidth="1"/>
    <col min="2553" max="2553" width="9.90625" style="18" customWidth="1"/>
    <col min="2554" max="2554" width="14.453125" style="18" customWidth="1"/>
    <col min="2555" max="2555" width="7.36328125" style="18" customWidth="1"/>
    <col min="2556" max="2556" width="5.54296875" style="18" customWidth="1"/>
    <col min="2557" max="2557" width="9" style="18" customWidth="1"/>
    <col min="2558" max="2559" width="9.90625" style="18" customWidth="1"/>
    <col min="2560" max="2560" width="11.08984375" style="18" customWidth="1"/>
    <col min="2561" max="2561" width="2.90625" style="18" customWidth="1"/>
    <col min="2562" max="2562" width="3.54296875" style="18" customWidth="1"/>
    <col min="2563" max="2807" width="9.08984375" style="18"/>
    <col min="2808" max="2808" width="8.6328125" style="18" customWidth="1"/>
    <col min="2809" max="2809" width="9.90625" style="18" customWidth="1"/>
    <col min="2810" max="2810" width="14.453125" style="18" customWidth="1"/>
    <col min="2811" max="2811" width="7.36328125" style="18" customWidth="1"/>
    <col min="2812" max="2812" width="5.54296875" style="18" customWidth="1"/>
    <col min="2813" max="2813" width="9" style="18" customWidth="1"/>
    <col min="2814" max="2815" width="9.90625" style="18" customWidth="1"/>
    <col min="2816" max="2816" width="11.08984375" style="18" customWidth="1"/>
    <col min="2817" max="2817" width="2.90625" style="18" customWidth="1"/>
    <col min="2818" max="2818" width="3.54296875" style="18" customWidth="1"/>
    <col min="2819" max="3063" width="9.08984375" style="18"/>
    <col min="3064" max="3064" width="8.6328125" style="18" customWidth="1"/>
    <col min="3065" max="3065" width="9.90625" style="18" customWidth="1"/>
    <col min="3066" max="3066" width="14.453125" style="18" customWidth="1"/>
    <col min="3067" max="3067" width="7.36328125" style="18" customWidth="1"/>
    <col min="3068" max="3068" width="5.54296875" style="18" customWidth="1"/>
    <col min="3069" max="3069" width="9" style="18" customWidth="1"/>
    <col min="3070" max="3071" width="9.90625" style="18" customWidth="1"/>
    <col min="3072" max="3072" width="11.08984375" style="18" customWidth="1"/>
    <col min="3073" max="3073" width="2.90625" style="18" customWidth="1"/>
    <col min="3074" max="3074" width="3.54296875" style="18" customWidth="1"/>
    <col min="3075" max="3319" width="9.08984375" style="18"/>
    <col min="3320" max="3320" width="8.6328125" style="18" customWidth="1"/>
    <col min="3321" max="3321" width="9.90625" style="18" customWidth="1"/>
    <col min="3322" max="3322" width="14.453125" style="18" customWidth="1"/>
    <col min="3323" max="3323" width="7.36328125" style="18" customWidth="1"/>
    <col min="3324" max="3324" width="5.54296875" style="18" customWidth="1"/>
    <col min="3325" max="3325" width="9" style="18" customWidth="1"/>
    <col min="3326" max="3327" width="9.90625" style="18" customWidth="1"/>
    <col min="3328" max="3328" width="11.08984375" style="18" customWidth="1"/>
    <col min="3329" max="3329" width="2.90625" style="18" customWidth="1"/>
    <col min="3330" max="3330" width="3.54296875" style="18" customWidth="1"/>
    <col min="3331" max="3575" width="9.08984375" style="18"/>
    <col min="3576" max="3576" width="8.6328125" style="18" customWidth="1"/>
    <col min="3577" max="3577" width="9.90625" style="18" customWidth="1"/>
    <col min="3578" max="3578" width="14.453125" style="18" customWidth="1"/>
    <col min="3579" max="3579" width="7.36328125" style="18" customWidth="1"/>
    <col min="3580" max="3580" width="5.54296875" style="18" customWidth="1"/>
    <col min="3581" max="3581" width="9" style="18" customWidth="1"/>
    <col min="3582" max="3583" width="9.90625" style="18" customWidth="1"/>
    <col min="3584" max="3584" width="11.08984375" style="18" customWidth="1"/>
    <col min="3585" max="3585" width="2.90625" style="18" customWidth="1"/>
    <col min="3586" max="3586" width="3.54296875" style="18" customWidth="1"/>
    <col min="3587" max="3831" width="9.08984375" style="18"/>
    <col min="3832" max="3832" width="8.6328125" style="18" customWidth="1"/>
    <col min="3833" max="3833" width="9.90625" style="18" customWidth="1"/>
    <col min="3834" max="3834" width="14.453125" style="18" customWidth="1"/>
    <col min="3835" max="3835" width="7.36328125" style="18" customWidth="1"/>
    <col min="3836" max="3836" width="5.54296875" style="18" customWidth="1"/>
    <col min="3837" max="3837" width="9" style="18" customWidth="1"/>
    <col min="3838" max="3839" width="9.90625" style="18" customWidth="1"/>
    <col min="3840" max="3840" width="11.08984375" style="18" customWidth="1"/>
    <col min="3841" max="3841" width="2.90625" style="18" customWidth="1"/>
    <col min="3842" max="3842" width="3.54296875" style="18" customWidth="1"/>
    <col min="3843" max="4087" width="9.08984375" style="18"/>
    <col min="4088" max="4088" width="8.6328125" style="18" customWidth="1"/>
    <col min="4089" max="4089" width="9.90625" style="18" customWidth="1"/>
    <col min="4090" max="4090" width="14.453125" style="18" customWidth="1"/>
    <col min="4091" max="4091" width="7.36328125" style="18" customWidth="1"/>
    <col min="4092" max="4092" width="5.54296875" style="18" customWidth="1"/>
    <col min="4093" max="4093" width="9" style="18" customWidth="1"/>
    <col min="4094" max="4095" width="9.90625" style="18" customWidth="1"/>
    <col min="4096" max="4096" width="11.08984375" style="18" customWidth="1"/>
    <col min="4097" max="4097" width="2.90625" style="18" customWidth="1"/>
    <col min="4098" max="4098" width="3.54296875" style="18" customWidth="1"/>
    <col min="4099" max="4343" width="9.08984375" style="18"/>
    <col min="4344" max="4344" width="8.6328125" style="18" customWidth="1"/>
    <col min="4345" max="4345" width="9.90625" style="18" customWidth="1"/>
    <col min="4346" max="4346" width="14.453125" style="18" customWidth="1"/>
    <col min="4347" max="4347" width="7.36328125" style="18" customWidth="1"/>
    <col min="4348" max="4348" width="5.54296875" style="18" customWidth="1"/>
    <col min="4349" max="4349" width="9" style="18" customWidth="1"/>
    <col min="4350" max="4351" width="9.90625" style="18" customWidth="1"/>
    <col min="4352" max="4352" width="11.08984375" style="18" customWidth="1"/>
    <col min="4353" max="4353" width="2.90625" style="18" customWidth="1"/>
    <col min="4354" max="4354" width="3.54296875" style="18" customWidth="1"/>
    <col min="4355" max="4599" width="9.08984375" style="18"/>
    <col min="4600" max="4600" width="8.6328125" style="18" customWidth="1"/>
    <col min="4601" max="4601" width="9.90625" style="18" customWidth="1"/>
    <col min="4602" max="4602" width="14.453125" style="18" customWidth="1"/>
    <col min="4603" max="4603" width="7.36328125" style="18" customWidth="1"/>
    <col min="4604" max="4604" width="5.54296875" style="18" customWidth="1"/>
    <col min="4605" max="4605" width="9" style="18" customWidth="1"/>
    <col min="4606" max="4607" width="9.90625" style="18" customWidth="1"/>
    <col min="4608" max="4608" width="11.08984375" style="18" customWidth="1"/>
    <col min="4609" max="4609" width="2.90625" style="18" customWidth="1"/>
    <col min="4610" max="4610" width="3.54296875" style="18" customWidth="1"/>
    <col min="4611" max="4855" width="9.08984375" style="18"/>
    <col min="4856" max="4856" width="8.6328125" style="18" customWidth="1"/>
    <col min="4857" max="4857" width="9.90625" style="18" customWidth="1"/>
    <col min="4858" max="4858" width="14.453125" style="18" customWidth="1"/>
    <col min="4859" max="4859" width="7.36328125" style="18" customWidth="1"/>
    <col min="4860" max="4860" width="5.54296875" style="18" customWidth="1"/>
    <col min="4861" max="4861" width="9" style="18" customWidth="1"/>
    <col min="4862" max="4863" width="9.90625" style="18" customWidth="1"/>
    <col min="4864" max="4864" width="11.08984375" style="18" customWidth="1"/>
    <col min="4865" max="4865" width="2.90625" style="18" customWidth="1"/>
    <col min="4866" max="4866" width="3.54296875" style="18" customWidth="1"/>
    <col min="4867" max="5111" width="9.08984375" style="18"/>
    <col min="5112" max="5112" width="8.6328125" style="18" customWidth="1"/>
    <col min="5113" max="5113" width="9.90625" style="18" customWidth="1"/>
    <col min="5114" max="5114" width="14.453125" style="18" customWidth="1"/>
    <col min="5115" max="5115" width="7.36328125" style="18" customWidth="1"/>
    <col min="5116" max="5116" width="5.54296875" style="18" customWidth="1"/>
    <col min="5117" max="5117" width="9" style="18" customWidth="1"/>
    <col min="5118" max="5119" width="9.90625" style="18" customWidth="1"/>
    <col min="5120" max="5120" width="11.08984375" style="18" customWidth="1"/>
    <col min="5121" max="5121" width="2.90625" style="18" customWidth="1"/>
    <col min="5122" max="5122" width="3.54296875" style="18" customWidth="1"/>
    <col min="5123" max="5367" width="9.08984375" style="18"/>
    <col min="5368" max="5368" width="8.6328125" style="18" customWidth="1"/>
    <col min="5369" max="5369" width="9.90625" style="18" customWidth="1"/>
    <col min="5370" max="5370" width="14.453125" style="18" customWidth="1"/>
    <col min="5371" max="5371" width="7.36328125" style="18" customWidth="1"/>
    <col min="5372" max="5372" width="5.54296875" style="18" customWidth="1"/>
    <col min="5373" max="5373" width="9" style="18" customWidth="1"/>
    <col min="5374" max="5375" width="9.90625" style="18" customWidth="1"/>
    <col min="5376" max="5376" width="11.08984375" style="18" customWidth="1"/>
    <col min="5377" max="5377" width="2.90625" style="18" customWidth="1"/>
    <col min="5378" max="5378" width="3.54296875" style="18" customWidth="1"/>
    <col min="5379" max="5623" width="9.08984375" style="18"/>
    <col min="5624" max="5624" width="8.6328125" style="18" customWidth="1"/>
    <col min="5625" max="5625" width="9.90625" style="18" customWidth="1"/>
    <col min="5626" max="5626" width="14.453125" style="18" customWidth="1"/>
    <col min="5627" max="5627" width="7.36328125" style="18" customWidth="1"/>
    <col min="5628" max="5628" width="5.54296875" style="18" customWidth="1"/>
    <col min="5629" max="5629" width="9" style="18" customWidth="1"/>
    <col min="5630" max="5631" width="9.90625" style="18" customWidth="1"/>
    <col min="5632" max="5632" width="11.08984375" style="18" customWidth="1"/>
    <col min="5633" max="5633" width="2.90625" style="18" customWidth="1"/>
    <col min="5634" max="5634" width="3.54296875" style="18" customWidth="1"/>
    <col min="5635" max="5879" width="9.08984375" style="18"/>
    <col min="5880" max="5880" width="8.6328125" style="18" customWidth="1"/>
    <col min="5881" max="5881" width="9.90625" style="18" customWidth="1"/>
    <col min="5882" max="5882" width="14.453125" style="18" customWidth="1"/>
    <col min="5883" max="5883" width="7.36328125" style="18" customWidth="1"/>
    <col min="5884" max="5884" width="5.54296875" style="18" customWidth="1"/>
    <col min="5885" max="5885" width="9" style="18" customWidth="1"/>
    <col min="5886" max="5887" width="9.90625" style="18" customWidth="1"/>
    <col min="5888" max="5888" width="11.08984375" style="18" customWidth="1"/>
    <col min="5889" max="5889" width="2.90625" style="18" customWidth="1"/>
    <col min="5890" max="5890" width="3.54296875" style="18" customWidth="1"/>
    <col min="5891" max="6135" width="9.08984375" style="18"/>
    <col min="6136" max="6136" width="8.6328125" style="18" customWidth="1"/>
    <col min="6137" max="6137" width="9.90625" style="18" customWidth="1"/>
    <col min="6138" max="6138" width="14.453125" style="18" customWidth="1"/>
    <col min="6139" max="6139" width="7.36328125" style="18" customWidth="1"/>
    <col min="6140" max="6140" width="5.54296875" style="18" customWidth="1"/>
    <col min="6141" max="6141" width="9" style="18" customWidth="1"/>
    <col min="6142" max="6143" width="9.90625" style="18" customWidth="1"/>
    <col min="6144" max="6144" width="11.08984375" style="18" customWidth="1"/>
    <col min="6145" max="6145" width="2.90625" style="18" customWidth="1"/>
    <col min="6146" max="6146" width="3.54296875" style="18" customWidth="1"/>
    <col min="6147" max="6391" width="9.08984375" style="18"/>
    <col min="6392" max="6392" width="8.6328125" style="18" customWidth="1"/>
    <col min="6393" max="6393" width="9.90625" style="18" customWidth="1"/>
    <col min="6394" max="6394" width="14.453125" style="18" customWidth="1"/>
    <col min="6395" max="6395" width="7.36328125" style="18" customWidth="1"/>
    <col min="6396" max="6396" width="5.54296875" style="18" customWidth="1"/>
    <col min="6397" max="6397" width="9" style="18" customWidth="1"/>
    <col min="6398" max="6399" width="9.90625" style="18" customWidth="1"/>
    <col min="6400" max="6400" width="11.08984375" style="18" customWidth="1"/>
    <col min="6401" max="6401" width="2.90625" style="18" customWidth="1"/>
    <col min="6402" max="6402" width="3.54296875" style="18" customWidth="1"/>
    <col min="6403" max="6647" width="9.08984375" style="18"/>
    <col min="6648" max="6648" width="8.6328125" style="18" customWidth="1"/>
    <col min="6649" max="6649" width="9.90625" style="18" customWidth="1"/>
    <col min="6650" max="6650" width="14.453125" style="18" customWidth="1"/>
    <col min="6651" max="6651" width="7.36328125" style="18" customWidth="1"/>
    <col min="6652" max="6652" width="5.54296875" style="18" customWidth="1"/>
    <col min="6653" max="6653" width="9" style="18" customWidth="1"/>
    <col min="6654" max="6655" width="9.90625" style="18" customWidth="1"/>
    <col min="6656" max="6656" width="11.08984375" style="18" customWidth="1"/>
    <col min="6657" max="6657" width="2.90625" style="18" customWidth="1"/>
    <col min="6658" max="6658" width="3.54296875" style="18" customWidth="1"/>
    <col min="6659" max="6903" width="9.08984375" style="18"/>
    <col min="6904" max="6904" width="8.6328125" style="18" customWidth="1"/>
    <col min="6905" max="6905" width="9.90625" style="18" customWidth="1"/>
    <col min="6906" max="6906" width="14.453125" style="18" customWidth="1"/>
    <col min="6907" max="6907" width="7.36328125" style="18" customWidth="1"/>
    <col min="6908" max="6908" width="5.54296875" style="18" customWidth="1"/>
    <col min="6909" max="6909" width="9" style="18" customWidth="1"/>
    <col min="6910" max="6911" width="9.90625" style="18" customWidth="1"/>
    <col min="6912" max="6912" width="11.08984375" style="18" customWidth="1"/>
    <col min="6913" max="6913" width="2.90625" style="18" customWidth="1"/>
    <col min="6914" max="6914" width="3.54296875" style="18" customWidth="1"/>
    <col min="6915" max="7159" width="9.08984375" style="18"/>
    <col min="7160" max="7160" width="8.6328125" style="18" customWidth="1"/>
    <col min="7161" max="7161" width="9.90625" style="18" customWidth="1"/>
    <col min="7162" max="7162" width="14.453125" style="18" customWidth="1"/>
    <col min="7163" max="7163" width="7.36328125" style="18" customWidth="1"/>
    <col min="7164" max="7164" width="5.54296875" style="18" customWidth="1"/>
    <col min="7165" max="7165" width="9" style="18" customWidth="1"/>
    <col min="7166" max="7167" width="9.90625" style="18" customWidth="1"/>
    <col min="7168" max="7168" width="11.08984375" style="18" customWidth="1"/>
    <col min="7169" max="7169" width="2.90625" style="18" customWidth="1"/>
    <col min="7170" max="7170" width="3.54296875" style="18" customWidth="1"/>
    <col min="7171" max="7415" width="9.08984375" style="18"/>
    <col min="7416" max="7416" width="8.6328125" style="18" customWidth="1"/>
    <col min="7417" max="7417" width="9.90625" style="18" customWidth="1"/>
    <col min="7418" max="7418" width="14.453125" style="18" customWidth="1"/>
    <col min="7419" max="7419" width="7.36328125" style="18" customWidth="1"/>
    <col min="7420" max="7420" width="5.54296875" style="18" customWidth="1"/>
    <col min="7421" max="7421" width="9" style="18" customWidth="1"/>
    <col min="7422" max="7423" width="9.90625" style="18" customWidth="1"/>
    <col min="7424" max="7424" width="11.08984375" style="18" customWidth="1"/>
    <col min="7425" max="7425" width="2.90625" style="18" customWidth="1"/>
    <col min="7426" max="7426" width="3.54296875" style="18" customWidth="1"/>
    <col min="7427" max="7671" width="9.08984375" style="18"/>
    <col min="7672" max="7672" width="8.6328125" style="18" customWidth="1"/>
    <col min="7673" max="7673" width="9.90625" style="18" customWidth="1"/>
    <col min="7674" max="7674" width="14.453125" style="18" customWidth="1"/>
    <col min="7675" max="7675" width="7.36328125" style="18" customWidth="1"/>
    <col min="7676" max="7676" width="5.54296875" style="18" customWidth="1"/>
    <col min="7677" max="7677" width="9" style="18" customWidth="1"/>
    <col min="7678" max="7679" width="9.90625" style="18" customWidth="1"/>
    <col min="7680" max="7680" width="11.08984375" style="18" customWidth="1"/>
    <col min="7681" max="7681" width="2.90625" style="18" customWidth="1"/>
    <col min="7682" max="7682" width="3.54296875" style="18" customWidth="1"/>
    <col min="7683" max="7927" width="9.08984375" style="18"/>
    <col min="7928" max="7928" width="8.6328125" style="18" customWidth="1"/>
    <col min="7929" max="7929" width="9.90625" style="18" customWidth="1"/>
    <col min="7930" max="7930" width="14.453125" style="18" customWidth="1"/>
    <col min="7931" max="7931" width="7.36328125" style="18" customWidth="1"/>
    <col min="7932" max="7932" width="5.54296875" style="18" customWidth="1"/>
    <col min="7933" max="7933" width="9" style="18" customWidth="1"/>
    <col min="7934" max="7935" width="9.90625" style="18" customWidth="1"/>
    <col min="7936" max="7936" width="11.08984375" style="18" customWidth="1"/>
    <col min="7937" max="7937" width="2.90625" style="18" customWidth="1"/>
    <col min="7938" max="7938" width="3.54296875" style="18" customWidth="1"/>
    <col min="7939" max="8183" width="9.08984375" style="18"/>
    <col min="8184" max="8184" width="8.6328125" style="18" customWidth="1"/>
    <col min="8185" max="8185" width="9.90625" style="18" customWidth="1"/>
    <col min="8186" max="8186" width="14.453125" style="18" customWidth="1"/>
    <col min="8187" max="8187" width="7.36328125" style="18" customWidth="1"/>
    <col min="8188" max="8188" width="5.54296875" style="18" customWidth="1"/>
    <col min="8189" max="8189" width="9" style="18" customWidth="1"/>
    <col min="8190" max="8191" width="9.90625" style="18" customWidth="1"/>
    <col min="8192" max="8192" width="11.08984375" style="18" customWidth="1"/>
    <col min="8193" max="8193" width="2.90625" style="18" customWidth="1"/>
    <col min="8194" max="8194" width="3.54296875" style="18" customWidth="1"/>
    <col min="8195" max="8439" width="9.08984375" style="18"/>
    <col min="8440" max="8440" width="8.6328125" style="18" customWidth="1"/>
    <col min="8441" max="8441" width="9.90625" style="18" customWidth="1"/>
    <col min="8442" max="8442" width="14.453125" style="18" customWidth="1"/>
    <col min="8443" max="8443" width="7.36328125" style="18" customWidth="1"/>
    <col min="8444" max="8444" width="5.54296875" style="18" customWidth="1"/>
    <col min="8445" max="8445" width="9" style="18" customWidth="1"/>
    <col min="8446" max="8447" width="9.90625" style="18" customWidth="1"/>
    <col min="8448" max="8448" width="11.08984375" style="18" customWidth="1"/>
    <col min="8449" max="8449" width="2.90625" style="18" customWidth="1"/>
    <col min="8450" max="8450" width="3.54296875" style="18" customWidth="1"/>
    <col min="8451" max="8695" width="9.08984375" style="18"/>
    <col min="8696" max="8696" width="8.6328125" style="18" customWidth="1"/>
    <col min="8697" max="8697" width="9.90625" style="18" customWidth="1"/>
    <col min="8698" max="8698" width="14.453125" style="18" customWidth="1"/>
    <col min="8699" max="8699" width="7.36328125" style="18" customWidth="1"/>
    <col min="8700" max="8700" width="5.54296875" style="18" customWidth="1"/>
    <col min="8701" max="8701" width="9" style="18" customWidth="1"/>
    <col min="8702" max="8703" width="9.90625" style="18" customWidth="1"/>
    <col min="8704" max="8704" width="11.08984375" style="18" customWidth="1"/>
    <col min="8705" max="8705" width="2.90625" style="18" customWidth="1"/>
    <col min="8706" max="8706" width="3.54296875" style="18" customWidth="1"/>
    <col min="8707" max="8951" width="9.08984375" style="18"/>
    <col min="8952" max="8952" width="8.6328125" style="18" customWidth="1"/>
    <col min="8953" max="8953" width="9.90625" style="18" customWidth="1"/>
    <col min="8954" max="8954" width="14.453125" style="18" customWidth="1"/>
    <col min="8955" max="8955" width="7.36328125" style="18" customWidth="1"/>
    <col min="8956" max="8956" width="5.54296875" style="18" customWidth="1"/>
    <col min="8957" max="8957" width="9" style="18" customWidth="1"/>
    <col min="8958" max="8959" width="9.90625" style="18" customWidth="1"/>
    <col min="8960" max="8960" width="11.08984375" style="18" customWidth="1"/>
    <col min="8961" max="8961" width="2.90625" style="18" customWidth="1"/>
    <col min="8962" max="8962" width="3.54296875" style="18" customWidth="1"/>
    <col min="8963" max="9207" width="9.08984375" style="18"/>
    <col min="9208" max="9208" width="8.6328125" style="18" customWidth="1"/>
    <col min="9209" max="9209" width="9.90625" style="18" customWidth="1"/>
    <col min="9210" max="9210" width="14.453125" style="18" customWidth="1"/>
    <col min="9211" max="9211" width="7.36328125" style="18" customWidth="1"/>
    <col min="9212" max="9212" width="5.54296875" style="18" customWidth="1"/>
    <col min="9213" max="9213" width="9" style="18" customWidth="1"/>
    <col min="9214" max="9215" width="9.90625" style="18" customWidth="1"/>
    <col min="9216" max="9216" width="11.08984375" style="18" customWidth="1"/>
    <col min="9217" max="9217" width="2.90625" style="18" customWidth="1"/>
    <col min="9218" max="9218" width="3.54296875" style="18" customWidth="1"/>
    <col min="9219" max="9463" width="9.08984375" style="18"/>
    <col min="9464" max="9464" width="8.6328125" style="18" customWidth="1"/>
    <col min="9465" max="9465" width="9.90625" style="18" customWidth="1"/>
    <col min="9466" max="9466" width="14.453125" style="18" customWidth="1"/>
    <col min="9467" max="9467" width="7.36328125" style="18" customWidth="1"/>
    <col min="9468" max="9468" width="5.54296875" style="18" customWidth="1"/>
    <col min="9469" max="9469" width="9" style="18" customWidth="1"/>
    <col min="9470" max="9471" width="9.90625" style="18" customWidth="1"/>
    <col min="9472" max="9472" width="11.08984375" style="18" customWidth="1"/>
    <col min="9473" max="9473" width="2.90625" style="18" customWidth="1"/>
    <col min="9474" max="9474" width="3.54296875" style="18" customWidth="1"/>
    <col min="9475" max="9719" width="9.08984375" style="18"/>
    <col min="9720" max="9720" width="8.6328125" style="18" customWidth="1"/>
    <col min="9721" max="9721" width="9.90625" style="18" customWidth="1"/>
    <col min="9722" max="9722" width="14.453125" style="18" customWidth="1"/>
    <col min="9723" max="9723" width="7.36328125" style="18" customWidth="1"/>
    <col min="9724" max="9724" width="5.54296875" style="18" customWidth="1"/>
    <col min="9725" max="9725" width="9" style="18" customWidth="1"/>
    <col min="9726" max="9727" width="9.90625" style="18" customWidth="1"/>
    <col min="9728" max="9728" width="11.08984375" style="18" customWidth="1"/>
    <col min="9729" max="9729" width="2.90625" style="18" customWidth="1"/>
    <col min="9730" max="9730" width="3.54296875" style="18" customWidth="1"/>
    <col min="9731" max="9975" width="9.08984375" style="18"/>
    <col min="9976" max="9976" width="8.6328125" style="18" customWidth="1"/>
    <col min="9977" max="9977" width="9.90625" style="18" customWidth="1"/>
    <col min="9978" max="9978" width="14.453125" style="18" customWidth="1"/>
    <col min="9979" max="9979" width="7.36328125" style="18" customWidth="1"/>
    <col min="9980" max="9980" width="5.54296875" style="18" customWidth="1"/>
    <col min="9981" max="9981" width="9" style="18" customWidth="1"/>
    <col min="9982" max="9983" width="9.90625" style="18" customWidth="1"/>
    <col min="9984" max="9984" width="11.08984375" style="18" customWidth="1"/>
    <col min="9985" max="9985" width="2.90625" style="18" customWidth="1"/>
    <col min="9986" max="9986" width="3.54296875" style="18" customWidth="1"/>
    <col min="9987" max="10231" width="9.08984375" style="18"/>
    <col min="10232" max="10232" width="8.6328125" style="18" customWidth="1"/>
    <col min="10233" max="10233" width="9.90625" style="18" customWidth="1"/>
    <col min="10234" max="10234" width="14.453125" style="18" customWidth="1"/>
    <col min="10235" max="10235" width="7.36328125" style="18" customWidth="1"/>
    <col min="10236" max="10236" width="5.54296875" style="18" customWidth="1"/>
    <col min="10237" max="10237" width="9" style="18" customWidth="1"/>
    <col min="10238" max="10239" width="9.90625" style="18" customWidth="1"/>
    <col min="10240" max="10240" width="11.08984375" style="18" customWidth="1"/>
    <col min="10241" max="10241" width="2.90625" style="18" customWidth="1"/>
    <col min="10242" max="10242" width="3.54296875" style="18" customWidth="1"/>
    <col min="10243" max="10487" width="9.08984375" style="18"/>
    <col min="10488" max="10488" width="8.6328125" style="18" customWidth="1"/>
    <col min="10489" max="10489" width="9.90625" style="18" customWidth="1"/>
    <col min="10490" max="10490" width="14.453125" style="18" customWidth="1"/>
    <col min="10491" max="10491" width="7.36328125" style="18" customWidth="1"/>
    <col min="10492" max="10492" width="5.54296875" style="18" customWidth="1"/>
    <col min="10493" max="10493" width="9" style="18" customWidth="1"/>
    <col min="10494" max="10495" width="9.90625" style="18" customWidth="1"/>
    <col min="10496" max="10496" width="11.08984375" style="18" customWidth="1"/>
    <col min="10497" max="10497" width="2.90625" style="18" customWidth="1"/>
    <col min="10498" max="10498" width="3.54296875" style="18" customWidth="1"/>
    <col min="10499" max="10743" width="9.08984375" style="18"/>
    <col min="10744" max="10744" width="8.6328125" style="18" customWidth="1"/>
    <col min="10745" max="10745" width="9.90625" style="18" customWidth="1"/>
    <col min="10746" max="10746" width="14.453125" style="18" customWidth="1"/>
    <col min="10747" max="10747" width="7.36328125" style="18" customWidth="1"/>
    <col min="10748" max="10748" width="5.54296875" style="18" customWidth="1"/>
    <col min="10749" max="10749" width="9" style="18" customWidth="1"/>
    <col min="10750" max="10751" width="9.90625" style="18" customWidth="1"/>
    <col min="10752" max="10752" width="11.08984375" style="18" customWidth="1"/>
    <col min="10753" max="10753" width="2.90625" style="18" customWidth="1"/>
    <col min="10754" max="10754" width="3.54296875" style="18" customWidth="1"/>
    <col min="10755" max="10999" width="9.08984375" style="18"/>
    <col min="11000" max="11000" width="8.6328125" style="18" customWidth="1"/>
    <col min="11001" max="11001" width="9.90625" style="18" customWidth="1"/>
    <col min="11002" max="11002" width="14.453125" style="18" customWidth="1"/>
    <col min="11003" max="11003" width="7.36328125" style="18" customWidth="1"/>
    <col min="11004" max="11004" width="5.54296875" style="18" customWidth="1"/>
    <col min="11005" max="11005" width="9" style="18" customWidth="1"/>
    <col min="11006" max="11007" width="9.90625" style="18" customWidth="1"/>
    <col min="11008" max="11008" width="11.08984375" style="18" customWidth="1"/>
    <col min="11009" max="11009" width="2.90625" style="18" customWidth="1"/>
    <col min="11010" max="11010" width="3.54296875" style="18" customWidth="1"/>
    <col min="11011" max="11255" width="9.08984375" style="18"/>
    <col min="11256" max="11256" width="8.6328125" style="18" customWidth="1"/>
    <col min="11257" max="11257" width="9.90625" style="18" customWidth="1"/>
    <col min="11258" max="11258" width="14.453125" style="18" customWidth="1"/>
    <col min="11259" max="11259" width="7.36328125" style="18" customWidth="1"/>
    <col min="11260" max="11260" width="5.54296875" style="18" customWidth="1"/>
    <col min="11261" max="11261" width="9" style="18" customWidth="1"/>
    <col min="11262" max="11263" width="9.90625" style="18" customWidth="1"/>
    <col min="11264" max="11264" width="11.08984375" style="18" customWidth="1"/>
    <col min="11265" max="11265" width="2.90625" style="18" customWidth="1"/>
    <col min="11266" max="11266" width="3.54296875" style="18" customWidth="1"/>
    <col min="11267" max="11511" width="9.08984375" style="18"/>
    <col min="11512" max="11512" width="8.6328125" style="18" customWidth="1"/>
    <col min="11513" max="11513" width="9.90625" style="18" customWidth="1"/>
    <col min="11514" max="11514" width="14.453125" style="18" customWidth="1"/>
    <col min="11515" max="11515" width="7.36328125" style="18" customWidth="1"/>
    <col min="11516" max="11516" width="5.54296875" style="18" customWidth="1"/>
    <col min="11517" max="11517" width="9" style="18" customWidth="1"/>
    <col min="11518" max="11519" width="9.90625" style="18" customWidth="1"/>
    <col min="11520" max="11520" width="11.08984375" style="18" customWidth="1"/>
    <col min="11521" max="11521" width="2.90625" style="18" customWidth="1"/>
    <col min="11522" max="11522" width="3.54296875" style="18" customWidth="1"/>
    <col min="11523" max="11767" width="9.08984375" style="18"/>
    <col min="11768" max="11768" width="8.6328125" style="18" customWidth="1"/>
    <col min="11769" max="11769" width="9.90625" style="18" customWidth="1"/>
    <col min="11770" max="11770" width="14.453125" style="18" customWidth="1"/>
    <col min="11771" max="11771" width="7.36328125" style="18" customWidth="1"/>
    <col min="11772" max="11772" width="5.54296875" style="18" customWidth="1"/>
    <col min="11773" max="11773" width="9" style="18" customWidth="1"/>
    <col min="11774" max="11775" width="9.90625" style="18" customWidth="1"/>
    <col min="11776" max="11776" width="11.08984375" style="18" customWidth="1"/>
    <col min="11777" max="11777" width="2.90625" style="18" customWidth="1"/>
    <col min="11778" max="11778" width="3.54296875" style="18" customWidth="1"/>
    <col min="11779" max="12023" width="9.08984375" style="18"/>
    <col min="12024" max="12024" width="8.6328125" style="18" customWidth="1"/>
    <col min="12025" max="12025" width="9.90625" style="18" customWidth="1"/>
    <col min="12026" max="12026" width="14.453125" style="18" customWidth="1"/>
    <col min="12027" max="12027" width="7.36328125" style="18" customWidth="1"/>
    <col min="12028" max="12028" width="5.54296875" style="18" customWidth="1"/>
    <col min="12029" max="12029" width="9" style="18" customWidth="1"/>
    <col min="12030" max="12031" width="9.90625" style="18" customWidth="1"/>
    <col min="12032" max="12032" width="11.08984375" style="18" customWidth="1"/>
    <col min="12033" max="12033" width="2.90625" style="18" customWidth="1"/>
    <col min="12034" max="12034" width="3.54296875" style="18" customWidth="1"/>
    <col min="12035" max="12279" width="9.08984375" style="18"/>
    <col min="12280" max="12280" width="8.6328125" style="18" customWidth="1"/>
    <col min="12281" max="12281" width="9.90625" style="18" customWidth="1"/>
    <col min="12282" max="12282" width="14.453125" style="18" customWidth="1"/>
    <col min="12283" max="12283" width="7.36328125" style="18" customWidth="1"/>
    <col min="12284" max="12284" width="5.54296875" style="18" customWidth="1"/>
    <col min="12285" max="12285" width="9" style="18" customWidth="1"/>
    <col min="12286" max="12287" width="9.90625" style="18" customWidth="1"/>
    <col min="12288" max="12288" width="11.08984375" style="18" customWidth="1"/>
    <col min="12289" max="12289" width="2.90625" style="18" customWidth="1"/>
    <col min="12290" max="12290" width="3.54296875" style="18" customWidth="1"/>
    <col min="12291" max="12535" width="9.08984375" style="18"/>
    <col min="12536" max="12536" width="8.6328125" style="18" customWidth="1"/>
    <col min="12537" max="12537" width="9.90625" style="18" customWidth="1"/>
    <col min="12538" max="12538" width="14.453125" style="18" customWidth="1"/>
    <col min="12539" max="12539" width="7.36328125" style="18" customWidth="1"/>
    <col min="12540" max="12540" width="5.54296875" style="18" customWidth="1"/>
    <col min="12541" max="12541" width="9" style="18" customWidth="1"/>
    <col min="12542" max="12543" width="9.90625" style="18" customWidth="1"/>
    <col min="12544" max="12544" width="11.08984375" style="18" customWidth="1"/>
    <col min="12545" max="12545" width="2.90625" style="18" customWidth="1"/>
    <col min="12546" max="12546" width="3.54296875" style="18" customWidth="1"/>
    <col min="12547" max="12791" width="9.08984375" style="18"/>
    <col min="12792" max="12792" width="8.6328125" style="18" customWidth="1"/>
    <col min="12793" max="12793" width="9.90625" style="18" customWidth="1"/>
    <col min="12794" max="12794" width="14.453125" style="18" customWidth="1"/>
    <col min="12795" max="12795" width="7.36328125" style="18" customWidth="1"/>
    <col min="12796" max="12796" width="5.54296875" style="18" customWidth="1"/>
    <col min="12797" max="12797" width="9" style="18" customWidth="1"/>
    <col min="12798" max="12799" width="9.90625" style="18" customWidth="1"/>
    <col min="12800" max="12800" width="11.08984375" style="18" customWidth="1"/>
    <col min="12801" max="12801" width="2.90625" style="18" customWidth="1"/>
    <col min="12802" max="12802" width="3.54296875" style="18" customWidth="1"/>
    <col min="12803" max="13047" width="9.08984375" style="18"/>
    <col min="13048" max="13048" width="8.6328125" style="18" customWidth="1"/>
    <col min="13049" max="13049" width="9.90625" style="18" customWidth="1"/>
    <col min="13050" max="13050" width="14.453125" style="18" customWidth="1"/>
    <col min="13051" max="13051" width="7.36328125" style="18" customWidth="1"/>
    <col min="13052" max="13052" width="5.54296875" style="18" customWidth="1"/>
    <col min="13053" max="13053" width="9" style="18" customWidth="1"/>
    <col min="13054" max="13055" width="9.90625" style="18" customWidth="1"/>
    <col min="13056" max="13056" width="11.08984375" style="18" customWidth="1"/>
    <col min="13057" max="13057" width="2.90625" style="18" customWidth="1"/>
    <col min="13058" max="13058" width="3.54296875" style="18" customWidth="1"/>
    <col min="13059" max="13303" width="9.08984375" style="18"/>
    <col min="13304" max="13304" width="8.6328125" style="18" customWidth="1"/>
    <col min="13305" max="13305" width="9.90625" style="18" customWidth="1"/>
    <col min="13306" max="13306" width="14.453125" style="18" customWidth="1"/>
    <col min="13307" max="13307" width="7.36328125" style="18" customWidth="1"/>
    <col min="13308" max="13308" width="5.54296875" style="18" customWidth="1"/>
    <col min="13309" max="13309" width="9" style="18" customWidth="1"/>
    <col min="13310" max="13311" width="9.90625" style="18" customWidth="1"/>
    <col min="13312" max="13312" width="11.08984375" style="18" customWidth="1"/>
    <col min="13313" max="13313" width="2.90625" style="18" customWidth="1"/>
    <col min="13314" max="13314" width="3.54296875" style="18" customWidth="1"/>
    <col min="13315" max="13559" width="9.08984375" style="18"/>
    <col min="13560" max="13560" width="8.6328125" style="18" customWidth="1"/>
    <col min="13561" max="13561" width="9.90625" style="18" customWidth="1"/>
    <col min="13562" max="13562" width="14.453125" style="18" customWidth="1"/>
    <col min="13563" max="13563" width="7.36328125" style="18" customWidth="1"/>
    <col min="13564" max="13564" width="5.54296875" style="18" customWidth="1"/>
    <col min="13565" max="13565" width="9" style="18" customWidth="1"/>
    <col min="13566" max="13567" width="9.90625" style="18" customWidth="1"/>
    <col min="13568" max="13568" width="11.08984375" style="18" customWidth="1"/>
    <col min="13569" max="13569" width="2.90625" style="18" customWidth="1"/>
    <col min="13570" max="13570" width="3.54296875" style="18" customWidth="1"/>
    <col min="13571" max="13815" width="9.08984375" style="18"/>
    <col min="13816" max="13816" width="8.6328125" style="18" customWidth="1"/>
    <col min="13817" max="13817" width="9.90625" style="18" customWidth="1"/>
    <col min="13818" max="13818" width="14.453125" style="18" customWidth="1"/>
    <col min="13819" max="13819" width="7.36328125" style="18" customWidth="1"/>
    <col min="13820" max="13820" width="5.54296875" style="18" customWidth="1"/>
    <col min="13821" max="13821" width="9" style="18" customWidth="1"/>
    <col min="13822" max="13823" width="9.90625" style="18" customWidth="1"/>
    <col min="13824" max="13824" width="11.08984375" style="18" customWidth="1"/>
    <col min="13825" max="13825" width="2.90625" style="18" customWidth="1"/>
    <col min="13826" max="13826" width="3.54296875" style="18" customWidth="1"/>
    <col min="13827" max="14071" width="9.08984375" style="18"/>
    <col min="14072" max="14072" width="8.6328125" style="18" customWidth="1"/>
    <col min="14073" max="14073" width="9.90625" style="18" customWidth="1"/>
    <col min="14074" max="14074" width="14.453125" style="18" customWidth="1"/>
    <col min="14075" max="14075" width="7.36328125" style="18" customWidth="1"/>
    <col min="14076" max="14076" width="5.54296875" style="18" customWidth="1"/>
    <col min="14077" max="14077" width="9" style="18" customWidth="1"/>
    <col min="14078" max="14079" width="9.90625" style="18" customWidth="1"/>
    <col min="14080" max="14080" width="11.08984375" style="18" customWidth="1"/>
    <col min="14081" max="14081" width="2.90625" style="18" customWidth="1"/>
    <col min="14082" max="14082" width="3.54296875" style="18" customWidth="1"/>
    <col min="14083" max="14327" width="9.08984375" style="18"/>
    <col min="14328" max="14328" width="8.6328125" style="18" customWidth="1"/>
    <col min="14329" max="14329" width="9.90625" style="18" customWidth="1"/>
    <col min="14330" max="14330" width="14.453125" style="18" customWidth="1"/>
    <col min="14331" max="14331" width="7.36328125" style="18" customWidth="1"/>
    <col min="14332" max="14332" width="5.54296875" style="18" customWidth="1"/>
    <col min="14333" max="14333" width="9" style="18" customWidth="1"/>
    <col min="14334" max="14335" width="9.90625" style="18" customWidth="1"/>
    <col min="14336" max="14336" width="11.08984375" style="18" customWidth="1"/>
    <col min="14337" max="14337" width="2.90625" style="18" customWidth="1"/>
    <col min="14338" max="14338" width="3.54296875" style="18" customWidth="1"/>
    <col min="14339" max="14583" width="9.08984375" style="18"/>
    <col min="14584" max="14584" width="8.6328125" style="18" customWidth="1"/>
    <col min="14585" max="14585" width="9.90625" style="18" customWidth="1"/>
    <col min="14586" max="14586" width="14.453125" style="18" customWidth="1"/>
    <col min="14587" max="14587" width="7.36328125" style="18" customWidth="1"/>
    <col min="14588" max="14588" width="5.54296875" style="18" customWidth="1"/>
    <col min="14589" max="14589" width="9" style="18" customWidth="1"/>
    <col min="14590" max="14591" width="9.90625" style="18" customWidth="1"/>
    <col min="14592" max="14592" width="11.08984375" style="18" customWidth="1"/>
    <col min="14593" max="14593" width="2.90625" style="18" customWidth="1"/>
    <col min="14594" max="14594" width="3.54296875" style="18" customWidth="1"/>
    <col min="14595" max="14839" width="9.08984375" style="18"/>
    <col min="14840" max="14840" width="8.6328125" style="18" customWidth="1"/>
    <col min="14841" max="14841" width="9.90625" style="18" customWidth="1"/>
    <col min="14842" max="14842" width="14.453125" style="18" customWidth="1"/>
    <col min="14843" max="14843" width="7.36328125" style="18" customWidth="1"/>
    <col min="14844" max="14844" width="5.54296875" style="18" customWidth="1"/>
    <col min="14845" max="14845" width="9" style="18" customWidth="1"/>
    <col min="14846" max="14847" width="9.90625" style="18" customWidth="1"/>
    <col min="14848" max="14848" width="11.08984375" style="18" customWidth="1"/>
    <col min="14849" max="14849" width="2.90625" style="18" customWidth="1"/>
    <col min="14850" max="14850" width="3.54296875" style="18" customWidth="1"/>
    <col min="14851" max="15095" width="9.08984375" style="18"/>
    <col min="15096" max="15096" width="8.6328125" style="18" customWidth="1"/>
    <col min="15097" max="15097" width="9.90625" style="18" customWidth="1"/>
    <col min="15098" max="15098" width="14.453125" style="18" customWidth="1"/>
    <col min="15099" max="15099" width="7.36328125" style="18" customWidth="1"/>
    <col min="15100" max="15100" width="5.54296875" style="18" customWidth="1"/>
    <col min="15101" max="15101" width="9" style="18" customWidth="1"/>
    <col min="15102" max="15103" width="9.90625" style="18" customWidth="1"/>
    <col min="15104" max="15104" width="11.08984375" style="18" customWidth="1"/>
    <col min="15105" max="15105" width="2.90625" style="18" customWidth="1"/>
    <col min="15106" max="15106" width="3.54296875" style="18" customWidth="1"/>
    <col min="15107" max="15351" width="9.08984375" style="18"/>
    <col min="15352" max="15352" width="8.6328125" style="18" customWidth="1"/>
    <col min="15353" max="15353" width="9.90625" style="18" customWidth="1"/>
    <col min="15354" max="15354" width="14.453125" style="18" customWidth="1"/>
    <col min="15355" max="15355" width="7.36328125" style="18" customWidth="1"/>
    <col min="15356" max="15356" width="5.54296875" style="18" customWidth="1"/>
    <col min="15357" max="15357" width="9" style="18" customWidth="1"/>
    <col min="15358" max="15359" width="9.90625" style="18" customWidth="1"/>
    <col min="15360" max="15360" width="11.08984375" style="18" customWidth="1"/>
    <col min="15361" max="15361" width="2.90625" style="18" customWidth="1"/>
    <col min="15362" max="15362" width="3.54296875" style="18" customWidth="1"/>
    <col min="15363" max="15607" width="9.08984375" style="18"/>
    <col min="15608" max="15608" width="8.6328125" style="18" customWidth="1"/>
    <col min="15609" max="15609" width="9.90625" style="18" customWidth="1"/>
    <col min="15610" max="15610" width="14.453125" style="18" customWidth="1"/>
    <col min="15611" max="15611" width="7.36328125" style="18" customWidth="1"/>
    <col min="15612" max="15612" width="5.54296875" style="18" customWidth="1"/>
    <col min="15613" max="15613" width="9" style="18" customWidth="1"/>
    <col min="15614" max="15615" width="9.90625" style="18" customWidth="1"/>
    <col min="15616" max="15616" width="11.08984375" style="18" customWidth="1"/>
    <col min="15617" max="15617" width="2.90625" style="18" customWidth="1"/>
    <col min="15618" max="15618" width="3.54296875" style="18" customWidth="1"/>
    <col min="15619" max="15863" width="9.08984375" style="18"/>
    <col min="15864" max="15864" width="8.6328125" style="18" customWidth="1"/>
    <col min="15865" max="15865" width="9.90625" style="18" customWidth="1"/>
    <col min="15866" max="15866" width="14.453125" style="18" customWidth="1"/>
    <col min="15867" max="15867" width="7.36328125" style="18" customWidth="1"/>
    <col min="15868" max="15868" width="5.54296875" style="18" customWidth="1"/>
    <col min="15869" max="15869" width="9" style="18" customWidth="1"/>
    <col min="15870" max="15871" width="9.90625" style="18" customWidth="1"/>
    <col min="15872" max="15872" width="11.08984375" style="18" customWidth="1"/>
    <col min="15873" max="15873" width="2.90625" style="18" customWidth="1"/>
    <col min="15874" max="15874" width="3.54296875" style="18" customWidth="1"/>
    <col min="15875" max="16119" width="9.08984375" style="18"/>
    <col min="16120" max="16120" width="8.6328125" style="18" customWidth="1"/>
    <col min="16121" max="16121" width="9.90625" style="18" customWidth="1"/>
    <col min="16122" max="16122" width="14.453125" style="18" customWidth="1"/>
    <col min="16123" max="16123" width="7.36328125" style="18" customWidth="1"/>
    <col min="16124" max="16124" width="5.54296875" style="18" customWidth="1"/>
    <col min="16125" max="16125" width="9" style="18" customWidth="1"/>
    <col min="16126" max="16127" width="9.90625" style="18" customWidth="1"/>
    <col min="16128" max="16128" width="11.08984375" style="18" customWidth="1"/>
    <col min="16129" max="16129" width="2.90625" style="18" customWidth="1"/>
    <col min="16130" max="16130" width="3.54296875" style="18" customWidth="1"/>
    <col min="16131" max="16384" width="9.08984375" style="18"/>
  </cols>
  <sheetData>
    <row r="1" spans="1:8" ht="46.5" customHeight="1" x14ac:dyDescent="0.35">
      <c r="A1" s="176" t="s">
        <v>264</v>
      </c>
      <c r="B1" s="176"/>
      <c r="C1" s="176"/>
      <c r="D1" s="176"/>
      <c r="E1" s="176"/>
      <c r="F1" s="176"/>
      <c r="G1" s="176"/>
      <c r="H1" s="176"/>
    </row>
    <row r="2" spans="1:8" ht="16.5" customHeight="1" x14ac:dyDescent="0.35">
      <c r="A2" s="119" t="s">
        <v>0</v>
      </c>
      <c r="B2" s="119"/>
      <c r="C2" s="119"/>
      <c r="D2" s="119"/>
      <c r="E2" s="119"/>
      <c r="F2" s="119"/>
      <c r="G2" s="119"/>
      <c r="H2" s="119"/>
    </row>
    <row r="3" spans="1:8" x14ac:dyDescent="0.35">
      <c r="A3" s="149" t="s">
        <v>1</v>
      </c>
      <c r="B3" s="149"/>
      <c r="C3" s="149"/>
      <c r="D3" s="149"/>
      <c r="E3" s="149" t="str">
        <f ca="1">TEXT(TODAY(),"DD/MM/YYYY")</f>
        <v>12/09/2025</v>
      </c>
      <c r="F3" s="149"/>
      <c r="G3" s="149"/>
      <c r="H3" s="149"/>
    </row>
    <row r="4" spans="1:8" ht="15" customHeight="1" x14ac:dyDescent="0.35">
      <c r="A4" s="149" t="s">
        <v>2</v>
      </c>
      <c r="B4" s="149"/>
      <c r="C4" s="149"/>
      <c r="D4" s="149"/>
      <c r="E4" s="149" t="s">
        <v>168</v>
      </c>
      <c r="F4" s="149"/>
      <c r="G4" s="149"/>
      <c r="H4" s="149"/>
    </row>
    <row r="5" spans="1:8" x14ac:dyDescent="0.35">
      <c r="A5" s="149" t="s">
        <v>3</v>
      </c>
      <c r="B5" s="149"/>
      <c r="C5" s="149"/>
      <c r="D5" s="149"/>
      <c r="E5" s="177">
        <v>45911</v>
      </c>
      <c r="F5" s="149"/>
      <c r="G5" s="149"/>
      <c r="H5" s="149"/>
    </row>
    <row r="6" spans="1:8" ht="16.5" customHeight="1" x14ac:dyDescent="0.35">
      <c r="A6" s="149" t="s">
        <v>4</v>
      </c>
      <c r="B6" s="149"/>
      <c r="C6" s="149"/>
      <c r="D6" s="149"/>
      <c r="E6" s="149" t="s">
        <v>169</v>
      </c>
      <c r="F6" s="149"/>
      <c r="G6" s="149"/>
      <c r="H6" s="149"/>
    </row>
    <row r="7" spans="1:8" ht="15" customHeight="1" x14ac:dyDescent="0.35">
      <c r="A7" s="149" t="s">
        <v>5</v>
      </c>
      <c r="B7" s="149"/>
      <c r="C7" s="149"/>
      <c r="D7" s="149"/>
      <c r="E7" s="149" t="str">
        <f>E6</f>
        <v>L&amp;T Seawoods Limited</v>
      </c>
      <c r="F7" s="149"/>
      <c r="G7" s="149"/>
      <c r="H7" s="149"/>
    </row>
    <row r="8" spans="1:8" x14ac:dyDescent="0.35">
      <c r="A8" s="149" t="s">
        <v>6</v>
      </c>
      <c r="B8" s="149"/>
      <c r="C8" s="149"/>
      <c r="D8" s="149"/>
      <c r="E8" s="85" t="s">
        <v>249</v>
      </c>
      <c r="F8" s="85"/>
      <c r="G8" s="85"/>
      <c r="H8" s="85"/>
    </row>
    <row r="9" spans="1:8" x14ac:dyDescent="0.35">
      <c r="A9" s="149" t="s">
        <v>123</v>
      </c>
      <c r="B9" s="149"/>
      <c r="C9" s="149"/>
      <c r="D9" s="149"/>
      <c r="E9" s="149" t="s">
        <v>170</v>
      </c>
      <c r="F9" s="149"/>
      <c r="G9" s="149"/>
      <c r="H9" s="149"/>
    </row>
    <row r="10" spans="1:8" ht="63" customHeight="1" x14ac:dyDescent="0.35">
      <c r="A10" s="149" t="s">
        <v>7</v>
      </c>
      <c r="B10" s="149"/>
      <c r="C10" s="149"/>
      <c r="D10" s="149"/>
      <c r="E10" s="121" t="s">
        <v>213</v>
      </c>
      <c r="F10" s="149"/>
      <c r="G10" s="149"/>
      <c r="H10" s="149"/>
    </row>
    <row r="11" spans="1:8" ht="32.25" customHeight="1" x14ac:dyDescent="0.35">
      <c r="A11" s="129" t="s">
        <v>8</v>
      </c>
      <c r="B11" s="129"/>
      <c r="C11" s="129"/>
      <c r="D11" s="129"/>
      <c r="E11" s="121" t="s">
        <v>103</v>
      </c>
      <c r="F11" s="121"/>
      <c r="G11" s="121"/>
      <c r="H11" s="121"/>
    </row>
    <row r="12" spans="1:8" ht="65.25" customHeight="1" x14ac:dyDescent="0.35">
      <c r="A12" s="129" t="s">
        <v>210</v>
      </c>
      <c r="B12" s="129"/>
      <c r="C12" s="129"/>
      <c r="D12" s="129"/>
      <c r="E12" s="121" t="s">
        <v>171</v>
      </c>
      <c r="F12" s="149"/>
      <c r="G12" s="149"/>
      <c r="H12" s="149"/>
    </row>
    <row r="13" spans="1:8" ht="48.75" customHeight="1" x14ac:dyDescent="0.35">
      <c r="A13" s="151" t="s">
        <v>9</v>
      </c>
      <c r="B13" s="151"/>
      <c r="C13" s="151" t="str">
        <f>CONCATENATE((IF(OR(E8="",E8="NA"),"",E8)),", ",(IF(OR(A14="",A14="NA"),"",A14)),".",(IF(OR(C14="",C14="NA"),"",C14)),", near ",(IF(OR(C19="",C19="NA"),"",C19)),", ",(IF(OR(C16="",C16="NA"),"",C16)),", ",(IF(OR(C15="",C15="NA"),"",C15)),", ",(IF(OR(G16="",G16="NA"),"",G16)),", ",(IF(OR(C17="",C17="NA"),"",C17)),", ",(IF(OR(C18="",C18="NA"),"",C18)),", ",(IF(OR(G17="",G17="NA"),"",G17))," - ",(IF(OR(G18="",G18="NA"),"",G18)),".")</f>
        <v>L and T Seawoods - West Square, Plot No.R-1/ Sector No.40, near Seawoods Grand Central, Seawoods Station Road, L &amp; T Seawoods, Seawoods, Nerul, Thane, Thane - 400706.</v>
      </c>
      <c r="D13" s="151"/>
      <c r="E13" s="151"/>
      <c r="F13" s="151"/>
      <c r="G13" s="151"/>
      <c r="H13" s="151"/>
    </row>
    <row r="14" spans="1:8" x14ac:dyDescent="0.35">
      <c r="A14" s="121" t="s">
        <v>172</v>
      </c>
      <c r="B14" s="121"/>
      <c r="C14" s="121" t="s">
        <v>268</v>
      </c>
      <c r="D14" s="121"/>
      <c r="E14" s="121"/>
      <c r="F14" s="121"/>
      <c r="G14" s="121"/>
      <c r="H14" s="121"/>
    </row>
    <row r="15" spans="1:8" ht="15.75" customHeight="1" x14ac:dyDescent="0.35">
      <c r="A15" s="169" t="s">
        <v>165</v>
      </c>
      <c r="B15" s="171"/>
      <c r="C15" s="169" t="s">
        <v>173</v>
      </c>
      <c r="D15" s="170"/>
      <c r="E15" s="170"/>
      <c r="F15" s="170"/>
      <c r="G15" s="170"/>
      <c r="H15" s="171"/>
    </row>
    <row r="16" spans="1:8" ht="15.75" customHeight="1" x14ac:dyDescent="0.35">
      <c r="A16" s="151" t="s">
        <v>10</v>
      </c>
      <c r="B16" s="151"/>
      <c r="C16" s="149" t="s">
        <v>174</v>
      </c>
      <c r="D16" s="149"/>
      <c r="E16" s="151" t="s">
        <v>166</v>
      </c>
      <c r="F16" s="151"/>
      <c r="G16" s="121" t="s">
        <v>176</v>
      </c>
      <c r="H16" s="121"/>
    </row>
    <row r="17" spans="1:8" x14ac:dyDescent="0.35">
      <c r="A17" s="129" t="s">
        <v>12</v>
      </c>
      <c r="B17" s="129"/>
      <c r="C17" s="121" t="s">
        <v>178</v>
      </c>
      <c r="D17" s="121"/>
      <c r="E17" s="151" t="s">
        <v>11</v>
      </c>
      <c r="F17" s="151"/>
      <c r="G17" s="175" t="s">
        <v>175</v>
      </c>
      <c r="H17" s="175"/>
    </row>
    <row r="18" spans="1:8" x14ac:dyDescent="0.35">
      <c r="A18" s="129" t="s">
        <v>74</v>
      </c>
      <c r="B18" s="129"/>
      <c r="C18" s="121" t="s">
        <v>175</v>
      </c>
      <c r="D18" s="121"/>
      <c r="E18" s="151" t="s">
        <v>13</v>
      </c>
      <c r="F18" s="151"/>
      <c r="G18" s="121">
        <v>400706</v>
      </c>
      <c r="H18" s="121"/>
    </row>
    <row r="19" spans="1:8" ht="32.25" customHeight="1" x14ac:dyDescent="0.35">
      <c r="A19" s="129" t="s">
        <v>124</v>
      </c>
      <c r="B19" s="129"/>
      <c r="C19" s="121" t="s">
        <v>177</v>
      </c>
      <c r="D19" s="121"/>
      <c r="E19" s="151" t="s">
        <v>14</v>
      </c>
      <c r="F19" s="151"/>
      <c r="G19" s="121" t="s">
        <v>195</v>
      </c>
      <c r="H19" s="121"/>
    </row>
    <row r="20" spans="1:8" ht="15" customHeight="1" x14ac:dyDescent="0.35">
      <c r="A20" s="151" t="s">
        <v>76</v>
      </c>
      <c r="B20" s="151"/>
      <c r="C20" s="151"/>
      <c r="D20" s="151"/>
      <c r="E20" s="149" t="s">
        <v>15</v>
      </c>
      <c r="F20" s="149"/>
      <c r="G20" s="149"/>
      <c r="H20" s="149"/>
    </row>
    <row r="21" spans="1:8" ht="18.75" customHeight="1" x14ac:dyDescent="0.35">
      <c r="A21" s="151"/>
      <c r="B21" s="151"/>
      <c r="C21" s="151"/>
      <c r="D21" s="151"/>
      <c r="E21" s="149"/>
      <c r="F21" s="149"/>
      <c r="G21" s="149"/>
      <c r="H21" s="149"/>
    </row>
    <row r="22" spans="1:8" ht="15" customHeight="1" x14ac:dyDescent="0.35">
      <c r="A22" s="151" t="s">
        <v>16</v>
      </c>
      <c r="B22" s="151"/>
      <c r="C22" s="151"/>
      <c r="D22" s="151"/>
      <c r="E22" s="121" t="s">
        <v>17</v>
      </c>
      <c r="F22" s="121"/>
      <c r="G22" s="121"/>
      <c r="H22" s="121"/>
    </row>
    <row r="23" spans="1:8" ht="15" customHeight="1" x14ac:dyDescent="0.35">
      <c r="A23" s="129" t="s">
        <v>18</v>
      </c>
      <c r="B23" s="129"/>
      <c r="C23" s="129"/>
      <c r="D23" s="129"/>
      <c r="E23" s="121" t="str">
        <f>IF(AND(G17="Mumbai"),"Upper Class","Middle Class")</f>
        <v>Middle Class</v>
      </c>
      <c r="F23" s="121"/>
      <c r="G23" s="121"/>
      <c r="H23" s="121"/>
    </row>
    <row r="24" spans="1:8" x14ac:dyDescent="0.35">
      <c r="A24" s="129" t="s">
        <v>19</v>
      </c>
      <c r="B24" s="129"/>
      <c r="C24" s="129"/>
      <c r="D24" s="129"/>
      <c r="E24" s="121" t="s">
        <v>20</v>
      </c>
      <c r="F24" s="121"/>
      <c r="G24" s="121"/>
      <c r="H24" s="121"/>
    </row>
    <row r="25" spans="1:8" ht="15.75" customHeight="1" x14ac:dyDescent="0.35">
      <c r="A25" s="129" t="s">
        <v>21</v>
      </c>
      <c r="B25" s="129"/>
      <c r="C25" s="129"/>
      <c r="D25" s="129"/>
      <c r="E25" s="121" t="str">
        <f>IF(AND(G17="Mumbai"),"Developed","Developing")</f>
        <v>Developing</v>
      </c>
      <c r="F25" s="121"/>
      <c r="G25" s="121"/>
      <c r="H25" s="121"/>
    </row>
    <row r="26" spans="1:8" x14ac:dyDescent="0.35">
      <c r="A26" s="129" t="s">
        <v>22</v>
      </c>
      <c r="B26" s="129"/>
      <c r="C26" s="129"/>
      <c r="D26" s="129"/>
      <c r="E26" s="121" t="s">
        <v>23</v>
      </c>
      <c r="F26" s="121"/>
      <c r="G26" s="121"/>
      <c r="H26" s="121"/>
    </row>
    <row r="27" spans="1:8" ht="15.75" customHeight="1" x14ac:dyDescent="0.35">
      <c r="A27" s="129" t="s">
        <v>81</v>
      </c>
      <c r="B27" s="129"/>
      <c r="C27" s="129"/>
      <c r="D27" s="129"/>
      <c r="E27" s="121" t="s">
        <v>82</v>
      </c>
      <c r="F27" s="121"/>
      <c r="G27" s="121"/>
      <c r="H27" s="121"/>
    </row>
    <row r="28" spans="1:8" ht="15" customHeight="1" x14ac:dyDescent="0.35">
      <c r="A28" s="129" t="s">
        <v>34</v>
      </c>
      <c r="B28" s="129"/>
      <c r="C28" s="129"/>
      <c r="D28" s="129"/>
      <c r="E28" s="121"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v>
      </c>
      <c r="F28" s="121"/>
      <c r="G28" s="121"/>
      <c r="H28" s="121"/>
    </row>
    <row r="29" spans="1:8" ht="15.75" customHeight="1" x14ac:dyDescent="0.35">
      <c r="A29" s="129" t="s">
        <v>93</v>
      </c>
      <c r="B29" s="129"/>
      <c r="C29" s="129"/>
      <c r="D29" s="129"/>
      <c r="E29" s="121" t="s">
        <v>35</v>
      </c>
      <c r="F29" s="121"/>
      <c r="G29" s="121"/>
      <c r="H29" s="121"/>
    </row>
    <row r="30" spans="1:8" s="19" customFormat="1" x14ac:dyDescent="0.35">
      <c r="A30" s="174" t="s">
        <v>94</v>
      </c>
      <c r="B30" s="174"/>
      <c r="C30" s="173" t="s">
        <v>28</v>
      </c>
      <c r="D30" s="173"/>
      <c r="E30" s="173"/>
      <c r="F30" s="173" t="s">
        <v>30</v>
      </c>
      <c r="G30" s="173"/>
      <c r="H30" s="173"/>
    </row>
    <row r="31" spans="1:8" s="19" customFormat="1" x14ac:dyDescent="0.35">
      <c r="A31" s="153" t="s">
        <v>24</v>
      </c>
      <c r="B31" s="153" t="s">
        <v>29</v>
      </c>
      <c r="C31" s="154" t="s">
        <v>29</v>
      </c>
      <c r="D31" s="154"/>
      <c r="E31" s="154"/>
      <c r="F31" s="154" t="s">
        <v>181</v>
      </c>
      <c r="G31" s="154"/>
      <c r="H31" s="154"/>
    </row>
    <row r="32" spans="1:8" x14ac:dyDescent="0.35">
      <c r="A32" s="153" t="s">
        <v>25</v>
      </c>
      <c r="B32" s="153" t="s">
        <v>29</v>
      </c>
      <c r="C32" s="154" t="s">
        <v>29</v>
      </c>
      <c r="D32" s="154"/>
      <c r="E32" s="154"/>
      <c r="F32" s="154" t="s">
        <v>179</v>
      </c>
      <c r="G32" s="154"/>
      <c r="H32" s="154"/>
    </row>
    <row r="33" spans="1:8" s="19" customFormat="1" x14ac:dyDescent="0.35">
      <c r="A33" s="153" t="s">
        <v>27</v>
      </c>
      <c r="B33" s="153" t="s">
        <v>29</v>
      </c>
      <c r="C33" s="154" t="s">
        <v>29</v>
      </c>
      <c r="D33" s="154"/>
      <c r="E33" s="154"/>
      <c r="F33" s="154" t="s">
        <v>180</v>
      </c>
      <c r="G33" s="154"/>
      <c r="H33" s="154"/>
    </row>
    <row r="34" spans="1:8" x14ac:dyDescent="0.35">
      <c r="A34" s="153" t="s">
        <v>26</v>
      </c>
      <c r="B34" s="153" t="s">
        <v>29</v>
      </c>
      <c r="C34" s="154" t="s">
        <v>29</v>
      </c>
      <c r="D34" s="154"/>
      <c r="E34" s="154"/>
      <c r="F34" s="154" t="s">
        <v>174</v>
      </c>
      <c r="G34" s="154"/>
      <c r="H34" s="154"/>
    </row>
    <row r="35" spans="1:8" x14ac:dyDescent="0.35">
      <c r="A35" s="129" t="s">
        <v>31</v>
      </c>
      <c r="B35" s="129"/>
      <c r="C35" s="129"/>
      <c r="D35" s="129"/>
      <c r="E35" s="129"/>
      <c r="F35" s="129"/>
      <c r="G35" s="129"/>
      <c r="H35" s="129"/>
    </row>
    <row r="36" spans="1:8" ht="15.75" customHeight="1" x14ac:dyDescent="0.35">
      <c r="A36" s="119" t="s">
        <v>32</v>
      </c>
      <c r="B36" s="119"/>
      <c r="C36" s="156">
        <v>19.023855999999999</v>
      </c>
      <c r="D36" s="156"/>
      <c r="E36" s="119" t="s">
        <v>33</v>
      </c>
      <c r="F36" s="119"/>
      <c r="G36" s="157">
        <v>73.016234999999995</v>
      </c>
      <c r="H36" s="157"/>
    </row>
    <row r="37" spans="1:8" x14ac:dyDescent="0.35">
      <c r="A37" s="119" t="s">
        <v>164</v>
      </c>
      <c r="B37" s="119"/>
      <c r="C37" s="120" t="s">
        <v>182</v>
      </c>
      <c r="D37" s="121"/>
      <c r="E37" s="121"/>
      <c r="F37" s="121"/>
      <c r="G37" s="121"/>
      <c r="H37" s="121"/>
    </row>
    <row r="38" spans="1:8" x14ac:dyDescent="0.35">
      <c r="A38" s="155" t="s">
        <v>246</v>
      </c>
      <c r="B38" s="155"/>
      <c r="C38" s="155"/>
      <c r="D38" s="155"/>
      <c r="E38" s="155"/>
      <c r="F38" s="155"/>
      <c r="G38" s="155"/>
      <c r="H38" s="155"/>
    </row>
    <row r="39" spans="1:8" x14ac:dyDescent="0.35">
      <c r="A39" s="129" t="s">
        <v>36</v>
      </c>
      <c r="B39" s="129"/>
      <c r="C39" s="129"/>
      <c r="D39" s="129"/>
      <c r="E39" s="148">
        <v>162002.82999999999</v>
      </c>
      <c r="F39" s="148"/>
      <c r="G39" s="148"/>
      <c r="H39" s="148"/>
    </row>
    <row r="40" spans="1:8" x14ac:dyDescent="0.35">
      <c r="A40" s="129" t="s">
        <v>37</v>
      </c>
      <c r="B40" s="129"/>
      <c r="C40" s="129"/>
      <c r="D40" s="129"/>
      <c r="E40" s="148">
        <v>1.5</v>
      </c>
      <c r="F40" s="148"/>
      <c r="G40" s="148"/>
      <c r="H40" s="148"/>
    </row>
    <row r="41" spans="1:8" x14ac:dyDescent="0.35">
      <c r="A41" s="129" t="s">
        <v>38</v>
      </c>
      <c r="B41" s="129"/>
      <c r="C41" s="129"/>
      <c r="D41" s="129"/>
      <c r="E41" s="148">
        <f>E43/E39-E40</f>
        <v>0</v>
      </c>
      <c r="F41" s="148"/>
      <c r="G41" s="148"/>
      <c r="H41" s="148"/>
    </row>
    <row r="42" spans="1:8" x14ac:dyDescent="0.35">
      <c r="A42" s="129" t="s">
        <v>39</v>
      </c>
      <c r="B42" s="129"/>
      <c r="C42" s="129"/>
      <c r="D42" s="129"/>
      <c r="E42" s="148">
        <f>E40+E41</f>
        <v>1.5</v>
      </c>
      <c r="F42" s="148"/>
      <c r="G42" s="148"/>
      <c r="H42" s="148"/>
    </row>
    <row r="43" spans="1:8" x14ac:dyDescent="0.35">
      <c r="A43" s="129" t="s">
        <v>92</v>
      </c>
      <c r="B43" s="129"/>
      <c r="C43" s="129"/>
      <c r="D43" s="129"/>
      <c r="E43" s="148">
        <v>243004.245</v>
      </c>
      <c r="F43" s="148"/>
      <c r="G43" s="148"/>
      <c r="H43" s="148"/>
    </row>
    <row r="44" spans="1:8" x14ac:dyDescent="0.35">
      <c r="A44" s="149" t="s">
        <v>40</v>
      </c>
      <c r="B44" s="149"/>
      <c r="C44" s="149"/>
      <c r="D44" s="149"/>
      <c r="E44" s="149" t="s">
        <v>183</v>
      </c>
      <c r="F44" s="149"/>
      <c r="G44" s="149"/>
      <c r="H44" s="149"/>
    </row>
    <row r="45" spans="1:8" x14ac:dyDescent="0.35">
      <c r="A45" s="155" t="s">
        <v>41</v>
      </c>
      <c r="B45" s="155"/>
      <c r="C45" s="155"/>
      <c r="D45" s="155"/>
      <c r="E45" s="155"/>
      <c r="F45" s="155"/>
      <c r="G45" s="155"/>
      <c r="H45" s="155"/>
    </row>
    <row r="46" spans="1:8" ht="33.75" customHeight="1" x14ac:dyDescent="0.35">
      <c r="A46" s="122" t="s">
        <v>156</v>
      </c>
      <c r="B46" s="123"/>
      <c r="C46" s="124" t="s">
        <v>184</v>
      </c>
      <c r="D46" s="125"/>
      <c r="E46" s="125"/>
      <c r="F46" s="125"/>
      <c r="G46" s="125"/>
      <c r="H46" s="126"/>
    </row>
    <row r="47" spans="1:8" ht="15.75" customHeight="1" x14ac:dyDescent="0.35">
      <c r="A47" s="169" t="s">
        <v>42</v>
      </c>
      <c r="B47" s="171"/>
      <c r="C47" s="169" t="s">
        <v>29</v>
      </c>
      <c r="D47" s="202"/>
      <c r="E47" s="203"/>
      <c r="F47" s="48" t="s">
        <v>43</v>
      </c>
      <c r="G47" s="169" t="s">
        <v>29</v>
      </c>
      <c r="H47" s="171"/>
    </row>
    <row r="48" spans="1:8" x14ac:dyDescent="0.35">
      <c r="A48" s="122" t="s">
        <v>44</v>
      </c>
      <c r="B48" s="123"/>
      <c r="C48" s="169" t="s">
        <v>247</v>
      </c>
      <c r="D48" s="170"/>
      <c r="E48" s="171"/>
      <c r="F48" s="48" t="s">
        <v>43</v>
      </c>
      <c r="G48" s="163">
        <v>44004</v>
      </c>
      <c r="H48" s="164"/>
    </row>
    <row r="49" spans="1:14" s="20" customFormat="1" ht="33.75" customHeight="1" x14ac:dyDescent="0.35">
      <c r="A49" s="165" t="s">
        <v>215</v>
      </c>
      <c r="B49" s="166"/>
      <c r="C49" s="122" t="s">
        <v>248</v>
      </c>
      <c r="D49" s="172"/>
      <c r="E49" s="123"/>
      <c r="F49" s="17" t="s">
        <v>43</v>
      </c>
      <c r="G49" s="205">
        <v>44004</v>
      </c>
      <c r="H49" s="206"/>
    </row>
    <row r="50" spans="1:14" s="20" customFormat="1" ht="63.75" customHeight="1" x14ac:dyDescent="0.35">
      <c r="A50" s="167"/>
      <c r="B50" s="168"/>
      <c r="C50" s="169" t="s">
        <v>217</v>
      </c>
      <c r="D50" s="170"/>
      <c r="E50" s="170"/>
      <c r="F50" s="170"/>
      <c r="G50" s="170"/>
      <c r="H50" s="171"/>
    </row>
    <row r="51" spans="1:14" x14ac:dyDescent="0.35">
      <c r="A51" s="189" t="s">
        <v>167</v>
      </c>
      <c r="B51" s="190"/>
      <c r="C51" s="193" t="s">
        <v>29</v>
      </c>
      <c r="D51" s="194"/>
      <c r="E51" s="195"/>
      <c r="F51" s="45" t="s">
        <v>43</v>
      </c>
      <c r="G51" s="217" t="s">
        <v>29</v>
      </c>
      <c r="H51" s="218"/>
    </row>
    <row r="52" spans="1:14" x14ac:dyDescent="0.35">
      <c r="A52" s="191"/>
      <c r="B52" s="192"/>
      <c r="C52" s="193" t="s">
        <v>29</v>
      </c>
      <c r="D52" s="194"/>
      <c r="E52" s="194"/>
      <c r="F52" s="194"/>
      <c r="G52" s="194"/>
      <c r="H52" s="195"/>
    </row>
    <row r="53" spans="1:14" x14ac:dyDescent="0.35">
      <c r="A53" s="216" t="s">
        <v>46</v>
      </c>
      <c r="B53" s="216"/>
      <c r="C53" s="216"/>
      <c r="D53" s="216"/>
      <c r="E53" s="216"/>
      <c r="F53" s="216"/>
      <c r="G53" s="216"/>
      <c r="H53" s="216"/>
    </row>
    <row r="54" spans="1:14" x14ac:dyDescent="0.35">
      <c r="A54" s="151" t="s">
        <v>91</v>
      </c>
      <c r="B54" s="151"/>
      <c r="C54" s="151"/>
      <c r="D54" s="129">
        <f>E43</f>
        <v>243004.245</v>
      </c>
      <c r="E54" s="129"/>
      <c r="F54" s="129"/>
      <c r="G54" s="129"/>
      <c r="H54" s="129"/>
    </row>
    <row r="55" spans="1:14" x14ac:dyDescent="0.35">
      <c r="A55" s="121" t="s">
        <v>47</v>
      </c>
      <c r="B55" s="149"/>
      <c r="C55" s="149"/>
      <c r="D55" s="149" t="s">
        <v>216</v>
      </c>
      <c r="E55" s="149"/>
      <c r="F55" s="149"/>
      <c r="G55" s="149"/>
      <c r="H55" s="149"/>
      <c r="I55" s="21"/>
    </row>
    <row r="56" spans="1:14" ht="79.5" customHeight="1" x14ac:dyDescent="0.35">
      <c r="A56" s="160" t="s">
        <v>48</v>
      </c>
      <c r="B56" s="161"/>
      <c r="C56" s="162"/>
      <c r="D56" s="158" t="s">
        <v>245</v>
      </c>
      <c r="E56" s="159"/>
      <c r="F56" s="159"/>
      <c r="G56" s="159"/>
      <c r="H56" s="159"/>
      <c r="I56" s="18" t="s">
        <v>193</v>
      </c>
    </row>
    <row r="57" spans="1:14" ht="15.75" customHeight="1" x14ac:dyDescent="0.35">
      <c r="A57" s="160" t="s">
        <v>89</v>
      </c>
      <c r="B57" s="161"/>
      <c r="C57" s="162"/>
      <c r="D57" s="196" t="s">
        <v>272</v>
      </c>
      <c r="E57" s="197"/>
      <c r="F57" s="197"/>
      <c r="G57" s="197"/>
      <c r="H57" s="198"/>
    </row>
    <row r="58" spans="1:14" ht="15.75" customHeight="1" x14ac:dyDescent="0.35">
      <c r="A58" s="210"/>
      <c r="B58" s="211"/>
      <c r="C58" s="212"/>
      <c r="D58" s="186" t="s">
        <v>273</v>
      </c>
      <c r="E58" s="187"/>
      <c r="F58" s="187"/>
      <c r="G58" s="187"/>
      <c r="H58" s="188"/>
    </row>
    <row r="59" spans="1:14" ht="15.75" customHeight="1" x14ac:dyDescent="0.35">
      <c r="A59" s="210"/>
      <c r="B59" s="211"/>
      <c r="C59" s="211"/>
      <c r="D59" s="186" t="s">
        <v>274</v>
      </c>
      <c r="E59" s="187"/>
      <c r="F59" s="187"/>
      <c r="G59" s="187"/>
      <c r="H59" s="188"/>
    </row>
    <row r="60" spans="1:14" ht="15.75" customHeight="1" x14ac:dyDescent="0.35">
      <c r="A60" s="213"/>
      <c r="B60" s="214"/>
      <c r="C60" s="215"/>
      <c r="D60" s="207" t="s">
        <v>275</v>
      </c>
      <c r="E60" s="208"/>
      <c r="F60" s="208"/>
      <c r="G60" s="208"/>
      <c r="H60" s="209"/>
    </row>
    <row r="61" spans="1:14" x14ac:dyDescent="0.35">
      <c r="A61" s="129" t="s">
        <v>45</v>
      </c>
      <c r="B61" s="129"/>
      <c r="C61" s="129"/>
      <c r="D61" s="146" t="s">
        <v>214</v>
      </c>
      <c r="E61" s="146"/>
      <c r="F61" s="146"/>
      <c r="G61" s="146"/>
      <c r="H61" s="146"/>
      <c r="J61" s="22"/>
      <c r="K61" s="21"/>
      <c r="N61" s="21"/>
    </row>
    <row r="62" spans="1:14" ht="15.75" customHeight="1" x14ac:dyDescent="0.35">
      <c r="A62" s="129" t="s">
        <v>87</v>
      </c>
      <c r="B62" s="129"/>
      <c r="C62" s="129"/>
      <c r="D62" s="147" t="str">
        <f>(IF(G51="NA","60 Years After Completion",IF(G51&lt;&gt;"NA",""&amp;60-ROUNDDOWN((E3-G51)/360,0)&amp;" Years"," ")))</f>
        <v>60 Years After Completion</v>
      </c>
      <c r="E62" s="147"/>
      <c r="F62" s="147"/>
      <c r="G62" s="147"/>
      <c r="H62" s="147"/>
      <c r="N62" s="21"/>
    </row>
    <row r="63" spans="1:14" ht="15.75" customHeight="1" x14ac:dyDescent="0.35">
      <c r="A63" s="129" t="s">
        <v>88</v>
      </c>
      <c r="B63" s="129"/>
      <c r="C63" s="129"/>
      <c r="D63" s="151" t="s">
        <v>23</v>
      </c>
      <c r="E63" s="151"/>
      <c r="F63" s="151"/>
      <c r="G63" s="151"/>
      <c r="H63" s="151"/>
      <c r="J63" s="23"/>
      <c r="K63" s="23"/>
    </row>
    <row r="64" spans="1:14" ht="32.25" customHeight="1" x14ac:dyDescent="0.35">
      <c r="A64" s="200" t="s">
        <v>269</v>
      </c>
      <c r="B64" s="200"/>
      <c r="C64" s="200"/>
      <c r="D64" s="199" t="s">
        <v>251</v>
      </c>
      <c r="E64" s="199"/>
      <c r="F64" s="199"/>
      <c r="G64" s="199"/>
      <c r="H64" s="199"/>
    </row>
    <row r="65" spans="1:14" x14ac:dyDescent="0.35">
      <c r="A65" s="199" t="s">
        <v>152</v>
      </c>
      <c r="B65" s="199"/>
      <c r="C65" s="199"/>
      <c r="D65" s="199" t="s">
        <v>29</v>
      </c>
      <c r="E65" s="199"/>
      <c r="F65" s="199"/>
      <c r="G65" s="199"/>
      <c r="H65" s="199"/>
      <c r="I65" s="24"/>
      <c r="J65" s="24"/>
      <c r="K65" s="24"/>
      <c r="L65" s="24"/>
      <c r="M65" s="24"/>
      <c r="N65" s="24"/>
    </row>
    <row r="66" spans="1:14" ht="15.75" customHeight="1" x14ac:dyDescent="0.35">
      <c r="A66" s="200" t="s">
        <v>86</v>
      </c>
      <c r="B66" s="200"/>
      <c r="C66" s="200"/>
      <c r="D66" s="199" t="str">
        <f ca="1">(IF(G72&gt;95%,"Nothing",IF(G72&gt;0%,"Cement, Aggregate, Steel, etc",IF(G72=0%,"Work not yet Started"))))</f>
        <v>Cement, Aggregate, Steel, etc</v>
      </c>
      <c r="E66" s="199"/>
      <c r="F66" s="199"/>
      <c r="G66" s="199"/>
      <c r="H66" s="199"/>
      <c r="J66" s="23"/>
    </row>
    <row r="67" spans="1:14" ht="33.75" customHeight="1" thickBot="1" x14ac:dyDescent="0.4">
      <c r="A67" s="199" t="s">
        <v>116</v>
      </c>
      <c r="B67" s="199"/>
      <c r="C67" s="199"/>
      <c r="D67" s="199" t="str">
        <f ca="1">(IF(D66="Nothing","Yes",IF(D66="Cement, Aggregate, Steel, etc","Under Construction",IF(D66="Work not yet Started","Work not yet Started"))))</f>
        <v>Under Construction</v>
      </c>
      <c r="E67" s="199"/>
      <c r="F67" s="199" t="str">
        <f ca="1">(IF(D66="Nothing","Yes",IF(D66="Cement, Aggregate, Steel, etc","Under Construction",IF(D66="Work not yet Started","Work not yet Started"))))</f>
        <v>Under Construction</v>
      </c>
      <c r="G67" s="199"/>
      <c r="H67" s="199"/>
    </row>
    <row r="68" spans="1:14" ht="15.75" customHeight="1" x14ac:dyDescent="0.35">
      <c r="A68" s="152" t="s">
        <v>142</v>
      </c>
      <c r="B68" s="152"/>
      <c r="C68" s="152" t="str">
        <f>D57</f>
        <v>Tower G1 (Amber) = 3B + L.P/LG + 2nd to 18th Floor</v>
      </c>
      <c r="D68" s="152"/>
      <c r="E68" s="152"/>
      <c r="F68" s="152"/>
      <c r="G68" s="152"/>
      <c r="H68" s="152"/>
      <c r="I68" s="77" t="str">
        <f ca="1">IF(D81=100%,"All work Completed. Possession granted to the Building.",IF(D80=100%,"All work Completed, Waiting for OC",I69&amp;""&amp;I70&amp;""&amp;J69&amp;""&amp;J68&amp;" "&amp;J70))</f>
        <v>Excavation, Plinth, RCC Slab, Brickwork, Internal Plaster, External Plaster Completed, Flooring upto 16 Floor, Painting upto 16 Floor Completed</v>
      </c>
      <c r="J68" s="42" t="str">
        <f ca="1">(IF(C74=(D69+F69+H69),"",IF(C74&gt;0,",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Flooring upto 16 Floor, Painting upto 16 Floor</v>
      </c>
    </row>
    <row r="69" spans="1:14" s="20" customFormat="1" x14ac:dyDescent="0.35">
      <c r="A69" s="75" t="s">
        <v>144</v>
      </c>
      <c r="B69" s="75">
        <v>3</v>
      </c>
      <c r="C69" s="75" t="s">
        <v>73</v>
      </c>
      <c r="D69" s="75">
        <v>1</v>
      </c>
      <c r="E69" s="75" t="s">
        <v>72</v>
      </c>
      <c r="F69" s="75">
        <v>0</v>
      </c>
      <c r="G69" s="75" t="s">
        <v>80</v>
      </c>
      <c r="H69" s="75">
        <f ca="1">--TRIM(RIGHT(SUBSTITUTE(LEFT(C68,_xlfn.AGGREGATE(16,6,FIND({0,1,2,3,4,5,6,7,8,9},C68,ROW(INDIRECT("1:"&amp;LEN(C68)))),1))," ",REPT(" ",LEN(C68))),LEN(C68)))</f>
        <v>18</v>
      </c>
      <c r="I69" s="224" t="str">
        <f ca="1">IF(D72=100%,"Excavation","")&amp;IF(D73=100%,", Plinth","")&amp;IF(D74=100%,", RCC Slab","")&amp;IF(D75=100%,", Brickwork","")&amp;IF(D76=100%,", Internal Plaster","")&amp;IF(D77=100%,", External Plaster","")&amp;IF(D78=100%,", Flooring","")&amp;IF(D79=100%,", Painting","")&amp;IF(D80=100%,", Building common Amenities","")</f>
        <v>Excavation, Plinth, RCC Slab, Brickwork, Internal Plaster, External Plaster</v>
      </c>
      <c r="J69" s="55" t="str">
        <f ca="1">(IF(C72=0,"Work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
      </c>
    </row>
    <row r="70" spans="1:14" ht="32.5" customHeight="1" x14ac:dyDescent="0.35">
      <c r="A70" s="150" t="s">
        <v>90</v>
      </c>
      <c r="B70" s="150"/>
      <c r="C70" s="152" t="str">
        <f ca="1">(IF($C$52=C68,"All work Completed. OC Received.",I68))</f>
        <v>Excavation, Plinth, RCC Slab, Brickwork, Internal Plaster, External Plaster Completed, Flooring upto 16 Floor, Painting upto 16 Floor Completed</v>
      </c>
      <c r="D70" s="152"/>
      <c r="E70" s="152"/>
      <c r="F70" s="152"/>
      <c r="G70" s="152"/>
      <c r="H70" s="152"/>
      <c r="I70" s="76" t="str">
        <f ca="1">IF(I69&lt;&gt;""," Completed","")</f>
        <v xml:space="preserve"> Completed</v>
      </c>
      <c r="J70" s="44" t="str">
        <f ca="1">IF(J68&lt;&gt;"","Completed","")</f>
        <v>Completed</v>
      </c>
    </row>
    <row r="71" spans="1:14" ht="15.75" customHeight="1" x14ac:dyDescent="0.35">
      <c r="A71" s="89" t="s">
        <v>49</v>
      </c>
      <c r="B71" s="89"/>
      <c r="C71" s="73" t="s">
        <v>141</v>
      </c>
      <c r="D71" s="73" t="s">
        <v>83</v>
      </c>
      <c r="E71" s="89" t="s">
        <v>85</v>
      </c>
      <c r="F71" s="89"/>
      <c r="G71" s="89" t="s">
        <v>84</v>
      </c>
      <c r="H71" s="89"/>
      <c r="I71" s="13" t="s">
        <v>143</v>
      </c>
      <c r="J71" s="25">
        <f ca="1">H69*25%</f>
        <v>4.5</v>
      </c>
    </row>
    <row r="72" spans="1:14" x14ac:dyDescent="0.35">
      <c r="A72" s="89" t="s">
        <v>130</v>
      </c>
      <c r="B72" s="89"/>
      <c r="C72" s="73">
        <f ca="1">J73</f>
        <v>18</v>
      </c>
      <c r="D72" s="66">
        <f ca="1">((100/H69)*C72)/100</f>
        <v>1</v>
      </c>
      <c r="E72" s="127">
        <f ca="1">(((C73/H69*10)+(40/(D69+F69+H69)*C74)+(7.5/(H69)*C75)+(7.5/(H69)*C76)+(10/H69*C77)+(10/H69*C78)+(5/H69*C79)+(5/H69*C80)+(5/H69*C81))/100)</f>
        <v>0.8833333333333333</v>
      </c>
      <c r="F72" s="127"/>
      <c r="G72" s="127">
        <f ca="1">((((C72/H69)*20)+((C73/H69)*25)+(30/(H69+F69+D69)*C74)+(5/H69*C75)+(5/H69*C76)+(5/H69*C77)+(5/H69*C78)+(0/H69*C79)+(0/H69*C80)+(5/H69*C81))/100)</f>
        <v>0.94444444444444442</v>
      </c>
      <c r="H72" s="127"/>
      <c r="I72" s="13" t="s">
        <v>98</v>
      </c>
      <c r="J72" s="26">
        <f ca="1">H69*50%</f>
        <v>9</v>
      </c>
    </row>
    <row r="73" spans="1:14" x14ac:dyDescent="0.35">
      <c r="A73" s="89" t="s">
        <v>50</v>
      </c>
      <c r="B73" s="89"/>
      <c r="C73" s="67">
        <f ca="1">J81</f>
        <v>18</v>
      </c>
      <c r="D73" s="66">
        <f ca="1">((100/H69)*C73)/100</f>
        <v>1</v>
      </c>
      <c r="E73" s="127"/>
      <c r="F73" s="127"/>
      <c r="G73" s="127"/>
      <c r="H73" s="127"/>
      <c r="I73" s="13" t="s">
        <v>99</v>
      </c>
      <c r="J73" s="26">
        <f ca="1">H69</f>
        <v>18</v>
      </c>
    </row>
    <row r="74" spans="1:14" ht="15.75" customHeight="1" x14ac:dyDescent="0.35">
      <c r="A74" s="89" t="s">
        <v>131</v>
      </c>
      <c r="B74" s="89"/>
      <c r="C74" s="73">
        <v>19</v>
      </c>
      <c r="D74" s="66">
        <f ca="1">((100/(D69+F69+H69))*C74)/100</f>
        <v>1</v>
      </c>
      <c r="E74" s="127"/>
      <c r="F74" s="127"/>
      <c r="G74" s="127"/>
      <c r="H74" s="127"/>
      <c r="I74" s="13" t="s">
        <v>100</v>
      </c>
      <c r="J74" s="27">
        <f ca="1">(IF(B69&gt;1,(H69/(B69+2)),H69/4))</f>
        <v>3.6</v>
      </c>
    </row>
    <row r="75" spans="1:14" ht="15.75" customHeight="1" x14ac:dyDescent="0.35">
      <c r="A75" s="89" t="s">
        <v>138</v>
      </c>
      <c r="B75" s="89" t="s">
        <v>132</v>
      </c>
      <c r="C75" s="73">
        <v>18</v>
      </c>
      <c r="D75" s="66">
        <f ca="1">((100/H69)*C75)/100</f>
        <v>1</v>
      </c>
      <c r="E75" s="127"/>
      <c r="F75" s="127"/>
      <c r="G75" s="127"/>
      <c r="H75" s="127"/>
      <c r="I75" s="13" t="s">
        <v>101</v>
      </c>
      <c r="J75" s="27">
        <f ca="1">(IF(B69&gt;1,(H69/(B69+2)+J74),H69/4+J74))</f>
        <v>7.2</v>
      </c>
    </row>
    <row r="76" spans="1:14" ht="15.75" customHeight="1" x14ac:dyDescent="0.35">
      <c r="A76" s="89" t="s">
        <v>139</v>
      </c>
      <c r="B76" s="89" t="s">
        <v>132</v>
      </c>
      <c r="C76" s="67">
        <v>18</v>
      </c>
      <c r="D76" s="66">
        <f ca="1">((100/H69)*C76)/100</f>
        <v>1</v>
      </c>
      <c r="E76" s="127"/>
      <c r="F76" s="127"/>
      <c r="G76" s="127"/>
      <c r="H76" s="127"/>
      <c r="I76" s="13" t="s">
        <v>150</v>
      </c>
      <c r="J76" s="27">
        <f ca="1">(IF(B69&gt;1,(H69/(B69+2)+J75),0))</f>
        <v>10.8</v>
      </c>
    </row>
    <row r="77" spans="1:14" ht="15" customHeight="1" x14ac:dyDescent="0.35">
      <c r="A77" s="89" t="s">
        <v>137</v>
      </c>
      <c r="B77" s="89" t="s">
        <v>134</v>
      </c>
      <c r="C77" s="67">
        <v>18</v>
      </c>
      <c r="D77" s="66">
        <f ca="1">((100/(H69))*C77)/100</f>
        <v>1</v>
      </c>
      <c r="E77" s="127"/>
      <c r="F77" s="127"/>
      <c r="G77" s="127"/>
      <c r="H77" s="127"/>
      <c r="I77" s="13" t="s">
        <v>145</v>
      </c>
      <c r="J77" s="27">
        <f ca="1">(IF(B69&gt;2,(H69/(B69+2)+J76),0))</f>
        <v>14.4</v>
      </c>
    </row>
    <row r="78" spans="1:14" ht="15.75" customHeight="1" x14ac:dyDescent="0.35">
      <c r="A78" s="89" t="s">
        <v>133</v>
      </c>
      <c r="B78" s="89" t="s">
        <v>133</v>
      </c>
      <c r="C78" s="73">
        <v>16</v>
      </c>
      <c r="D78" s="66">
        <f ca="1">((100/H69)*C78)/100</f>
        <v>0.88888888888888884</v>
      </c>
      <c r="E78" s="127"/>
      <c r="F78" s="127"/>
      <c r="G78" s="127"/>
      <c r="H78" s="127"/>
      <c r="I78" s="13" t="s">
        <v>146</v>
      </c>
      <c r="J78" s="28">
        <f>(IF(B69&gt;3,(H69/(B69+2)+J77),0))</f>
        <v>0</v>
      </c>
    </row>
    <row r="79" spans="1:14" ht="15.75" customHeight="1" x14ac:dyDescent="0.35">
      <c r="A79" s="89" t="s">
        <v>140</v>
      </c>
      <c r="B79" s="89"/>
      <c r="C79" s="73">
        <v>16</v>
      </c>
      <c r="D79" s="66">
        <f ca="1">((100/H69)*C79)/100</f>
        <v>0.88888888888888884</v>
      </c>
      <c r="E79" s="127"/>
      <c r="F79" s="127"/>
      <c r="G79" s="127"/>
      <c r="H79" s="127"/>
      <c r="I79" s="13" t="s">
        <v>147</v>
      </c>
      <c r="J79" s="27">
        <f>(IF(B69&gt;4,(H69/(B69+2)+J78),0))</f>
        <v>0</v>
      </c>
    </row>
    <row r="80" spans="1:14" ht="15.75" customHeight="1" x14ac:dyDescent="0.35">
      <c r="A80" s="89" t="s">
        <v>135</v>
      </c>
      <c r="B80" s="89" t="s">
        <v>135</v>
      </c>
      <c r="C80" s="73">
        <v>0</v>
      </c>
      <c r="D80" s="66">
        <f ca="1">((100/(H69))*C80)/100</f>
        <v>0</v>
      </c>
      <c r="E80" s="127"/>
      <c r="F80" s="127"/>
      <c r="G80" s="127"/>
      <c r="H80" s="127"/>
      <c r="I80" s="13" t="s">
        <v>151</v>
      </c>
      <c r="J80" s="27">
        <f>(IF(B69=1,(H69/(B69+3)+J75),IF(B69=0,(H69/4+J75),IF(B69&gt;1,0))))</f>
        <v>0</v>
      </c>
    </row>
    <row r="81" spans="1:10" ht="16" thickBot="1" x14ac:dyDescent="0.4">
      <c r="A81" s="89" t="s">
        <v>136</v>
      </c>
      <c r="B81" s="89"/>
      <c r="C81" s="73">
        <v>0</v>
      </c>
      <c r="D81" s="66">
        <f ca="1">((100/(H69))*C81)/100</f>
        <v>0</v>
      </c>
      <c r="E81" s="127"/>
      <c r="F81" s="127"/>
      <c r="G81" s="127"/>
      <c r="H81" s="127"/>
      <c r="I81" s="14" t="s">
        <v>102</v>
      </c>
      <c r="J81" s="29">
        <f ca="1">(IF(B69&gt;1.5,(H69/(B69+2)+J75+MAX(0,J76-J75)+MAX(0,J77-J76)+MAX(0,J78-J77)+MAX(0,J79-J78)+MAX(0,J80-J79)),IF(B69=1,(H69/(B69+3)+J80),IF(B69=0,H69/4+J80))))</f>
        <v>18</v>
      </c>
    </row>
    <row r="82" spans="1:10" ht="15.75" customHeight="1" x14ac:dyDescent="0.35">
      <c r="A82" s="225" t="s">
        <v>142</v>
      </c>
      <c r="B82" s="226"/>
      <c r="C82" s="227" t="str">
        <f>D58</f>
        <v>Tower G2 (Jasper) = 3B + L.P/LG + 2nd to 18th Floor</v>
      </c>
      <c r="D82" s="228"/>
      <c r="E82" s="228"/>
      <c r="F82" s="228"/>
      <c r="G82" s="228"/>
      <c r="H82" s="229"/>
      <c r="I82" s="41" t="str">
        <f ca="1">IF(D95=100%,"All work Completed. Possession granted to the Building.",IF(D94=100%,"All work Completed, Waiting for OC",I83&amp;""&amp;I84&amp;""&amp;J83&amp;""&amp;J82&amp;" "&amp;J84))</f>
        <v xml:space="preserve">Excavation, Plinth, RCC Slab, Brickwork, Internal Plaster, External Plaster, Flooring, Painting Completed </v>
      </c>
      <c r="J82" s="42"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c>
    </row>
    <row r="83" spans="1:10" x14ac:dyDescent="0.35">
      <c r="A83" s="15" t="s">
        <v>144</v>
      </c>
      <c r="B83" s="64">
        <v>3</v>
      </c>
      <c r="C83" s="64" t="s">
        <v>73</v>
      </c>
      <c r="D83" s="64">
        <v>1</v>
      </c>
      <c r="E83" s="64" t="s">
        <v>72</v>
      </c>
      <c r="F83" s="64">
        <v>0</v>
      </c>
      <c r="G83" s="64" t="s">
        <v>80</v>
      </c>
      <c r="H83" s="16">
        <f ca="1">--TRIM(RIGHT(SUBSTITUTE(LEFT(C82,_xlfn.AGGREGATE(16,6,FIND({0,1,2,3,4,5,6,7,8,9},C82,ROW(INDIRECT("1:"&amp;LEN(C82)))),1))," ",REPT(" ",LEN(C82))),LEN(C82)))</f>
        <v>18</v>
      </c>
      <c r="I83" s="43" t="str">
        <f ca="1">IF(D86=100%,"Excavation","")&amp;IF(D87=100%,", Plinth","")&amp;IF(D88=100%,", RCC Slab","")&amp;IF(D89=100%,", Brickwork","")&amp;IF(D90=100%,", Internal Plaster","")&amp;IF(D91=100%,", External Plaster","")&amp;IF(D92=100%,", Flooring","")&amp;IF(D93=100%,", Painting","")&amp;IF(D94=100%,", Building common Amenities","")</f>
        <v>Excavation, Plinth, RCC Slab, Brickwork, Internal Plaster, External Plaster, Flooring, Painting</v>
      </c>
      <c r="J83" s="44" t="str">
        <f ca="1">(IF(C86=0,"Work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
      </c>
    </row>
    <row r="84" spans="1:10" ht="34" customHeight="1" x14ac:dyDescent="0.35">
      <c r="A84" s="85" t="s">
        <v>90</v>
      </c>
      <c r="B84" s="85"/>
      <c r="C84" s="86" t="str">
        <f ca="1">(IF($C$52=C82,"All work Completed. OC Received.",I82))</f>
        <v xml:space="preserve">Excavation, Plinth, RCC Slab, Brickwork, Internal Plaster, External Plaster, Flooring, Painting Completed </v>
      </c>
      <c r="D84" s="86"/>
      <c r="E84" s="86"/>
      <c r="F84" s="86"/>
      <c r="G84" s="86"/>
      <c r="H84" s="86"/>
      <c r="I84" s="76" t="str">
        <f ca="1">IF(I83&lt;&gt;""," Completed","")</f>
        <v xml:space="preserve"> Completed</v>
      </c>
      <c r="J84" s="44" t="str">
        <f ca="1">IF(J82&lt;&gt;"","Completed","")</f>
        <v/>
      </c>
    </row>
    <row r="85" spans="1:10" ht="15.75" customHeight="1" x14ac:dyDescent="0.35">
      <c r="A85" s="89" t="s">
        <v>49</v>
      </c>
      <c r="B85" s="89"/>
      <c r="C85" s="71" t="s">
        <v>141</v>
      </c>
      <c r="D85" s="71" t="s">
        <v>83</v>
      </c>
      <c r="E85" s="89" t="s">
        <v>85</v>
      </c>
      <c r="F85" s="89"/>
      <c r="G85" s="89" t="s">
        <v>84</v>
      </c>
      <c r="H85" s="89"/>
      <c r="I85" s="13" t="s">
        <v>143</v>
      </c>
      <c r="J85" s="25">
        <f ca="1">H83*25%</f>
        <v>4.5</v>
      </c>
    </row>
    <row r="86" spans="1:10" x14ac:dyDescent="0.35">
      <c r="A86" s="89" t="s">
        <v>130</v>
      </c>
      <c r="B86" s="89"/>
      <c r="C86" s="73">
        <f ca="1">J87</f>
        <v>18</v>
      </c>
      <c r="D86" s="66">
        <f ca="1">((100/H83)*C86)/100</f>
        <v>1</v>
      </c>
      <c r="E86" s="127">
        <f ca="1">(((C87/H83*10)+(40/(D83+F83+H83)*C88)+(7.5/(H83)*C89)+(7.5/(H83)*C90)+(10/H83*C91)+(10/H83*C92)+(5/H83*C93)+(5/H83*C94)+(5/H83*C95))/100)</f>
        <v>0.9</v>
      </c>
      <c r="F86" s="127"/>
      <c r="G86" s="127">
        <f ca="1">((((C86/H83)*20)+((C87/H83)*25)+(30/(H83+F83+D83)*C88)+(5/H83*C89)+(5/H83*C90)+(5/H83*C91)+(5/H83*C92)+(0/H83*C93)+(0/H83*C94)+(5/H83*C95))/100)</f>
        <v>0.95</v>
      </c>
      <c r="H86" s="127"/>
      <c r="I86" s="13" t="s">
        <v>98</v>
      </c>
      <c r="J86" s="26">
        <f ca="1">H83*50%</f>
        <v>9</v>
      </c>
    </row>
    <row r="87" spans="1:10" x14ac:dyDescent="0.35">
      <c r="A87" s="89" t="s">
        <v>50</v>
      </c>
      <c r="B87" s="89"/>
      <c r="C87" s="67">
        <f ca="1">J95</f>
        <v>18</v>
      </c>
      <c r="D87" s="66">
        <f ca="1">((100/H83)*C87)/100</f>
        <v>1</v>
      </c>
      <c r="E87" s="127"/>
      <c r="F87" s="127"/>
      <c r="G87" s="127"/>
      <c r="H87" s="127"/>
      <c r="I87" s="13" t="s">
        <v>99</v>
      </c>
      <c r="J87" s="26">
        <f ca="1">H83</f>
        <v>18</v>
      </c>
    </row>
    <row r="88" spans="1:10" ht="15.75" customHeight="1" x14ac:dyDescent="0.35">
      <c r="A88" s="89" t="s">
        <v>131</v>
      </c>
      <c r="B88" s="89"/>
      <c r="C88" s="73">
        <v>19</v>
      </c>
      <c r="D88" s="66">
        <f ca="1">((100/(D83+F83+H83))*C88)/100</f>
        <v>1</v>
      </c>
      <c r="E88" s="127"/>
      <c r="F88" s="127"/>
      <c r="G88" s="127"/>
      <c r="H88" s="127"/>
      <c r="I88" s="13" t="s">
        <v>100</v>
      </c>
      <c r="J88" s="27">
        <f ca="1">(IF(B83&gt;1,(H83/(B83+2)),H83/4))</f>
        <v>3.6</v>
      </c>
    </row>
    <row r="89" spans="1:10" ht="15.75" customHeight="1" x14ac:dyDescent="0.35">
      <c r="A89" s="89" t="s">
        <v>138</v>
      </c>
      <c r="B89" s="89" t="s">
        <v>132</v>
      </c>
      <c r="C89" s="73">
        <v>18</v>
      </c>
      <c r="D89" s="66">
        <f ca="1">((100/H83)*C89)/100</f>
        <v>1</v>
      </c>
      <c r="E89" s="127"/>
      <c r="F89" s="127"/>
      <c r="G89" s="127"/>
      <c r="H89" s="127"/>
      <c r="I89" s="13" t="s">
        <v>101</v>
      </c>
      <c r="J89" s="27">
        <f ca="1">(IF(B83&gt;1,(H83/(B83+2)+J88),H83/4+J88))</f>
        <v>7.2</v>
      </c>
    </row>
    <row r="90" spans="1:10" ht="15.75" customHeight="1" x14ac:dyDescent="0.35">
      <c r="A90" s="89" t="s">
        <v>139</v>
      </c>
      <c r="B90" s="89" t="s">
        <v>132</v>
      </c>
      <c r="C90" s="73">
        <v>18</v>
      </c>
      <c r="D90" s="66">
        <f ca="1">((100/H83)*C90)/100</f>
        <v>1</v>
      </c>
      <c r="E90" s="127"/>
      <c r="F90" s="127"/>
      <c r="G90" s="127"/>
      <c r="H90" s="127"/>
      <c r="I90" s="13" t="s">
        <v>150</v>
      </c>
      <c r="J90" s="27">
        <f ca="1">(IF(B83&gt;1,(H83/(B83+2)+J89),0))</f>
        <v>10.8</v>
      </c>
    </row>
    <row r="91" spans="1:10" ht="15" customHeight="1" x14ac:dyDescent="0.35">
      <c r="A91" s="89" t="s">
        <v>137</v>
      </c>
      <c r="B91" s="89" t="s">
        <v>134</v>
      </c>
      <c r="C91" s="73">
        <v>18</v>
      </c>
      <c r="D91" s="66">
        <f ca="1">((100/(H83))*C91)/100</f>
        <v>1</v>
      </c>
      <c r="E91" s="127"/>
      <c r="F91" s="127"/>
      <c r="G91" s="127"/>
      <c r="H91" s="127"/>
      <c r="I91" s="13" t="s">
        <v>145</v>
      </c>
      <c r="J91" s="27">
        <f ca="1">(IF(B83&gt;2,(H83/(B83+2)+J90),0))</f>
        <v>14.4</v>
      </c>
    </row>
    <row r="92" spans="1:10" ht="15.75" customHeight="1" x14ac:dyDescent="0.35">
      <c r="A92" s="89" t="s">
        <v>133</v>
      </c>
      <c r="B92" s="89" t="s">
        <v>133</v>
      </c>
      <c r="C92" s="73">
        <v>18</v>
      </c>
      <c r="D92" s="66">
        <f ca="1">((100/H83)*C92)/100</f>
        <v>1</v>
      </c>
      <c r="E92" s="127"/>
      <c r="F92" s="127"/>
      <c r="G92" s="127"/>
      <c r="H92" s="127"/>
      <c r="I92" s="13" t="s">
        <v>146</v>
      </c>
      <c r="J92" s="28">
        <f>(IF(B83&gt;3,(H83/(B83+2)+J91),0))</f>
        <v>0</v>
      </c>
    </row>
    <row r="93" spans="1:10" ht="15.75" customHeight="1" x14ac:dyDescent="0.35">
      <c r="A93" s="89" t="s">
        <v>140</v>
      </c>
      <c r="B93" s="89"/>
      <c r="C93" s="73">
        <v>18</v>
      </c>
      <c r="D93" s="66">
        <f ca="1">((100/H83)*C93)/100</f>
        <v>1</v>
      </c>
      <c r="E93" s="127"/>
      <c r="F93" s="127"/>
      <c r="G93" s="127"/>
      <c r="H93" s="127"/>
      <c r="I93" s="13" t="s">
        <v>147</v>
      </c>
      <c r="J93" s="27">
        <f>(IF(B83&gt;4,(H83/(B83+2)+J92),0))</f>
        <v>0</v>
      </c>
    </row>
    <row r="94" spans="1:10" ht="15.75" customHeight="1" x14ac:dyDescent="0.35">
      <c r="A94" s="89" t="s">
        <v>135</v>
      </c>
      <c r="B94" s="89" t="s">
        <v>135</v>
      </c>
      <c r="C94" s="73">
        <v>0</v>
      </c>
      <c r="D94" s="66">
        <f ca="1">((100/(H83))*C94)/100</f>
        <v>0</v>
      </c>
      <c r="E94" s="127"/>
      <c r="F94" s="127"/>
      <c r="G94" s="127"/>
      <c r="H94" s="127"/>
      <c r="I94" s="13" t="s">
        <v>151</v>
      </c>
      <c r="J94" s="27">
        <f>(IF(B83=1,(H83/(B83+3)+J89),IF(B83=0,(H83/4+J89),IF(B83&gt;1,0))))</f>
        <v>0</v>
      </c>
    </row>
    <row r="95" spans="1:10" ht="16" thickBot="1" x14ac:dyDescent="0.4">
      <c r="A95" s="89" t="s">
        <v>136</v>
      </c>
      <c r="B95" s="89"/>
      <c r="C95" s="73">
        <v>0</v>
      </c>
      <c r="D95" s="66">
        <f ca="1">((100/(H83))*C95)/100</f>
        <v>0</v>
      </c>
      <c r="E95" s="127"/>
      <c r="F95" s="127"/>
      <c r="G95" s="127"/>
      <c r="H95" s="127"/>
      <c r="I95" s="14" t="s">
        <v>102</v>
      </c>
      <c r="J95" s="29">
        <f ca="1">(IF(B83&gt;1.5,(H83/(B83+2)+J89+MAX(0,J90-J89)+MAX(0,J91-J90)+MAX(0,J92-J91)+MAX(0,J93-J92)+MAX(0,J94-J93)),IF(B83=1,(H83/(B83+3)+J94),IF(B83=0,H83/4+J94))))</f>
        <v>18</v>
      </c>
    </row>
    <row r="96" spans="1:10" ht="15.75" customHeight="1" x14ac:dyDescent="0.35">
      <c r="A96" s="86" t="s">
        <v>142</v>
      </c>
      <c r="B96" s="86"/>
      <c r="C96" s="86" t="str">
        <f>D59</f>
        <v>Tower G3 (Opal) =  3B + L.P/LG + 2nd to 18th Floor</v>
      </c>
      <c r="D96" s="86"/>
      <c r="E96" s="86"/>
      <c r="F96" s="86"/>
      <c r="G96" s="86"/>
      <c r="H96" s="86"/>
      <c r="I96" s="77" t="str">
        <f ca="1">IF(D109=100%,"All work Completed. Possession granted to the Building.",IF(D108=100%,"All work Completed, Waiting for OC",I97&amp;""&amp;I98&amp;""&amp;J97&amp;""&amp;J96&amp;" "&amp;J98))</f>
        <v>Excavation, Plinth, RCC Slab, Brickwork, Internal Plaster Completed, External Plaster upto 17 Floor, Flooring upto 16 Floor, Painting upto 10 Floor Completed</v>
      </c>
      <c r="J96" s="42" t="str">
        <f ca="1">(IF(C102=(D97+F97+H97),"",IF(C102&gt;0,", RCC upto "&amp;C102&amp;" Slab","")))&amp;(IF(C103=H97,"",IF(C103&gt;0,", Brickwork upto "&amp;C103&amp;" Floor","")))&amp;(IF(C104=H97,"",IF(C104&gt;0,", Internal Plaster upto "&amp;C104&amp;" Floor","")))&amp;(IF(C105=H97,"",IF(C105&gt;0,", External Plaster upto "&amp;C105&amp;" Floor","")))&amp;(IF(C106=H97,"",IF(C106&gt;0,", Flooring upto "&amp;C106&amp;" Floor","")))&amp;(IF(C107=H97,"",IF(C107&gt;0,", Painting upto "&amp;C107&amp;" Floor","")))&amp;(IF(C108=H97,"",IF(C108&gt;0,", Finishing upto "&amp;C108&amp;" Floor","")))&amp;(IF(C109=H97,"",IF(C109&gt;0,", Possession upto "&amp;C109&amp;" Floor","")))</f>
        <v>, External Plaster upto 17 Floor, Flooring upto 16 Floor, Painting upto 10 Floor</v>
      </c>
    </row>
    <row r="97" spans="1:11" x14ac:dyDescent="0.35">
      <c r="A97" s="74" t="s">
        <v>144</v>
      </c>
      <c r="B97" s="74">
        <v>3</v>
      </c>
      <c r="C97" s="74" t="s">
        <v>73</v>
      </c>
      <c r="D97" s="74">
        <v>1</v>
      </c>
      <c r="E97" s="74" t="s">
        <v>72</v>
      </c>
      <c r="F97" s="74">
        <v>0</v>
      </c>
      <c r="G97" s="74" t="s">
        <v>80</v>
      </c>
      <c r="H97" s="74">
        <f ca="1">--TRIM(RIGHT(SUBSTITUTE(LEFT(C96,_xlfn.AGGREGATE(16,6,FIND({0,1,2,3,4,5,6,7,8,9},C96,ROW(INDIRECT("1:"&amp;LEN(C96)))),1))," ",REPT(" ",LEN(C96))),LEN(C96)))</f>
        <v>18</v>
      </c>
      <c r="I97" s="76" t="str">
        <f ca="1">IF(D100=100%,"Excavation","")&amp;IF(D101=100%,", Plinth","")&amp;IF(D102=100%,", RCC Slab","")&amp;IF(D103=100%,", Brickwork","")&amp;IF(D104=100%,", Internal Plaster","")&amp;IF(D105=100%,", External Plaster","")&amp;IF(D106=100%,", Flooring","")&amp;IF(D107=100%,", Painting","")&amp;IF(D108=100%,", Building common Amenities","")</f>
        <v>Excavation, Plinth, RCC Slab, Brickwork, Internal Plaster</v>
      </c>
      <c r="J97" s="44" t="str">
        <f ca="1">(IF(C100=0,"Work not yet Started.",IF(D100=25%,"Piling work in process",IF(D100=50%,"Excavation work in process",IF(D100=100%,"","0")))))&amp;(IF(C101=0%,"",IF(C101=J102,", Footing work is process",IF(C101=J103,", Footing work Completed",IF(C101=J104,", 1st Basement Completed",IF(C101=J105,", 1st &amp; 2nd Basement Completed",IF(C101=J106,", 1st to 3rd Basement Completed",IF(C101=J107,", 1st to 4th Basement Completed",IF(C101=J108,", Plinth work is process",IF(C101=J109,"","0"))))))))))</f>
        <v/>
      </c>
    </row>
    <row r="98" spans="1:11" ht="33.5" customHeight="1" x14ac:dyDescent="0.35">
      <c r="A98" s="85" t="s">
        <v>90</v>
      </c>
      <c r="B98" s="85"/>
      <c r="C98" s="86" t="str">
        <f ca="1">(IF($C$52=C96,"All work Completed. OC Received.",I96))</f>
        <v>Excavation, Plinth, RCC Slab, Brickwork, Internal Plaster Completed, External Plaster upto 17 Floor, Flooring upto 16 Floor, Painting upto 10 Floor Completed</v>
      </c>
      <c r="D98" s="86"/>
      <c r="E98" s="86"/>
      <c r="F98" s="86"/>
      <c r="G98" s="86"/>
      <c r="H98" s="86"/>
      <c r="I98" s="76" t="str">
        <f ca="1">IF(I97&lt;&gt;""," Completed","")</f>
        <v xml:space="preserve"> Completed</v>
      </c>
      <c r="J98" s="44" t="str">
        <f ca="1">IF(J96&lt;&gt;"","Completed","")</f>
        <v>Completed</v>
      </c>
    </row>
    <row r="99" spans="1:11" ht="15.75" customHeight="1" x14ac:dyDescent="0.35">
      <c r="A99" s="89" t="s">
        <v>49</v>
      </c>
      <c r="B99" s="89"/>
      <c r="C99" s="73" t="s">
        <v>141</v>
      </c>
      <c r="D99" s="73" t="s">
        <v>83</v>
      </c>
      <c r="E99" s="89" t="s">
        <v>85</v>
      </c>
      <c r="F99" s="89"/>
      <c r="G99" s="89" t="s">
        <v>84</v>
      </c>
      <c r="H99" s="89"/>
      <c r="I99" s="13" t="s">
        <v>143</v>
      </c>
      <c r="J99" s="25">
        <f ca="1">H97*25%</f>
        <v>4.5</v>
      </c>
    </row>
    <row r="100" spans="1:11" x14ac:dyDescent="0.35">
      <c r="A100" s="89" t="s">
        <v>130</v>
      </c>
      <c r="B100" s="89"/>
      <c r="C100" s="73">
        <f ca="1">J101</f>
        <v>18</v>
      </c>
      <c r="D100" s="66">
        <f ca="1">((100/H97)*C100)/100</f>
        <v>1</v>
      </c>
      <c r="E100" s="127">
        <f ca="1">(((C101/H97*10)+(40/(D97+F97+H97)*C102)+(7.5/(H97)*C103)+(7.5/(H97)*C104)+(10/H97*C105)+(10/H97*C106)+(5/H97*C107)+(5/H97*C108)+(5/H97*C109))/100)</f>
        <v>0.86111111111111105</v>
      </c>
      <c r="F100" s="127"/>
      <c r="G100" s="127">
        <f ca="1">((((C100/H97)*20)+((C101/H97)*25)+(30/(H97+F97+D97)*C102)+(5/H97*C103)+(5/H97*C104)+(5/H97*C105)+(5/H97*C106)+(0/H97*C107)+(0/H97*C108)+(5/H97*C109))/100)</f>
        <v>0.94166666666666676</v>
      </c>
      <c r="H100" s="127"/>
      <c r="I100" s="13" t="s">
        <v>98</v>
      </c>
      <c r="J100" s="26">
        <f ca="1">H97*50%</f>
        <v>9</v>
      </c>
    </row>
    <row r="101" spans="1:11" x14ac:dyDescent="0.35">
      <c r="A101" s="89" t="s">
        <v>50</v>
      </c>
      <c r="B101" s="89"/>
      <c r="C101" s="67">
        <f ca="1">J109</f>
        <v>18</v>
      </c>
      <c r="D101" s="66">
        <f ca="1">((100/H97)*C101)/100</f>
        <v>1</v>
      </c>
      <c r="E101" s="127"/>
      <c r="F101" s="127"/>
      <c r="G101" s="127"/>
      <c r="H101" s="127"/>
      <c r="I101" s="13" t="s">
        <v>99</v>
      </c>
      <c r="J101" s="26">
        <f ca="1">H97</f>
        <v>18</v>
      </c>
    </row>
    <row r="102" spans="1:11" ht="15.75" customHeight="1" x14ac:dyDescent="0.35">
      <c r="A102" s="89" t="s">
        <v>131</v>
      </c>
      <c r="B102" s="89"/>
      <c r="C102" s="73">
        <v>19</v>
      </c>
      <c r="D102" s="66">
        <f ca="1">((100/(D97+F97+H97))*C102)/100</f>
        <v>1</v>
      </c>
      <c r="E102" s="127"/>
      <c r="F102" s="127"/>
      <c r="G102" s="127"/>
      <c r="H102" s="127"/>
      <c r="I102" s="13" t="s">
        <v>100</v>
      </c>
      <c r="J102" s="27">
        <f ca="1">(IF(B97&gt;1,(H97/(B97+2)),H97/4))</f>
        <v>3.6</v>
      </c>
    </row>
    <row r="103" spans="1:11" ht="15.75" customHeight="1" x14ac:dyDescent="0.35">
      <c r="A103" s="89" t="s">
        <v>138</v>
      </c>
      <c r="B103" s="89" t="s">
        <v>132</v>
      </c>
      <c r="C103" s="73">
        <v>18</v>
      </c>
      <c r="D103" s="66">
        <f ca="1">((100/H97)*C103)/100</f>
        <v>1</v>
      </c>
      <c r="E103" s="127"/>
      <c r="F103" s="127"/>
      <c r="G103" s="127"/>
      <c r="H103" s="127"/>
      <c r="I103" s="13" t="s">
        <v>101</v>
      </c>
      <c r="J103" s="27">
        <f ca="1">(IF(B97&gt;1,(H97/(B97+2)+J102),H97/4+J102))</f>
        <v>7.2</v>
      </c>
    </row>
    <row r="104" spans="1:11" ht="15.75" customHeight="1" x14ac:dyDescent="0.35">
      <c r="A104" s="89" t="s">
        <v>139</v>
      </c>
      <c r="B104" s="89" t="s">
        <v>132</v>
      </c>
      <c r="C104" s="73">
        <v>18</v>
      </c>
      <c r="D104" s="66">
        <f ca="1">((100/H97)*C104)/100</f>
        <v>1</v>
      </c>
      <c r="E104" s="127"/>
      <c r="F104" s="127"/>
      <c r="G104" s="127"/>
      <c r="H104" s="127"/>
      <c r="I104" s="13" t="s">
        <v>150</v>
      </c>
      <c r="J104" s="27">
        <f ca="1">(IF(B97&gt;1,(H97/(B97+2)+J103),0))</f>
        <v>10.8</v>
      </c>
    </row>
    <row r="105" spans="1:11" ht="15" customHeight="1" x14ac:dyDescent="0.35">
      <c r="A105" s="89" t="s">
        <v>137</v>
      </c>
      <c r="B105" s="89" t="s">
        <v>134</v>
      </c>
      <c r="C105" s="73">
        <v>17</v>
      </c>
      <c r="D105" s="66">
        <f ca="1">((100/(H97))*C105)/100</f>
        <v>0.94444444444444442</v>
      </c>
      <c r="E105" s="127"/>
      <c r="F105" s="127"/>
      <c r="G105" s="127"/>
      <c r="H105" s="127"/>
      <c r="I105" s="13" t="s">
        <v>145</v>
      </c>
      <c r="J105" s="27">
        <f ca="1">(IF(B97&gt;2,(H97/(B97+2)+J104),0))</f>
        <v>14.4</v>
      </c>
    </row>
    <row r="106" spans="1:11" ht="15.75" customHeight="1" x14ac:dyDescent="0.35">
      <c r="A106" s="89" t="s">
        <v>133</v>
      </c>
      <c r="B106" s="89" t="s">
        <v>133</v>
      </c>
      <c r="C106" s="73">
        <v>16</v>
      </c>
      <c r="D106" s="66">
        <f ca="1">((100/H97)*C106)/100</f>
        <v>0.88888888888888884</v>
      </c>
      <c r="E106" s="127"/>
      <c r="F106" s="127"/>
      <c r="G106" s="127"/>
      <c r="H106" s="127"/>
      <c r="I106" s="13" t="s">
        <v>146</v>
      </c>
      <c r="J106" s="28">
        <f>(IF(B97&gt;3,(H97/(B97+2)+J105),0))</f>
        <v>0</v>
      </c>
    </row>
    <row r="107" spans="1:11" ht="15.75" customHeight="1" x14ac:dyDescent="0.35">
      <c r="A107" s="89" t="s">
        <v>140</v>
      </c>
      <c r="B107" s="89"/>
      <c r="C107" s="73">
        <v>10</v>
      </c>
      <c r="D107" s="66">
        <f ca="1">((100/H97)*C107)/100</f>
        <v>0.55555555555555558</v>
      </c>
      <c r="E107" s="127"/>
      <c r="F107" s="127"/>
      <c r="G107" s="127"/>
      <c r="H107" s="127"/>
      <c r="I107" s="13" t="s">
        <v>147</v>
      </c>
      <c r="J107" s="27">
        <f>(IF(B97&gt;4,(H97/(B97+2)+J106),0))</f>
        <v>0</v>
      </c>
    </row>
    <row r="108" spans="1:11" ht="15.75" customHeight="1" x14ac:dyDescent="0.35">
      <c r="A108" s="89" t="s">
        <v>135</v>
      </c>
      <c r="B108" s="89" t="s">
        <v>135</v>
      </c>
      <c r="C108" s="73">
        <v>0</v>
      </c>
      <c r="D108" s="66">
        <f ca="1">((100/(H97))*C108)/100</f>
        <v>0</v>
      </c>
      <c r="E108" s="127"/>
      <c r="F108" s="127"/>
      <c r="G108" s="127"/>
      <c r="H108" s="127"/>
      <c r="I108" s="13" t="s">
        <v>151</v>
      </c>
      <c r="J108" s="27">
        <f>(IF(B97=1,(H97/(B97+3)+J103),IF(B97=0,(H97/4+J103),IF(B97&gt;1,0))))</f>
        <v>0</v>
      </c>
    </row>
    <row r="109" spans="1:11" ht="16" thickBot="1" x14ac:dyDescent="0.4">
      <c r="A109" s="89" t="s">
        <v>136</v>
      </c>
      <c r="B109" s="89"/>
      <c r="C109" s="73">
        <v>0</v>
      </c>
      <c r="D109" s="66">
        <f ca="1">((100/(H97))*C109)/100</f>
        <v>0</v>
      </c>
      <c r="E109" s="127"/>
      <c r="F109" s="127"/>
      <c r="G109" s="127"/>
      <c r="H109" s="127"/>
      <c r="I109" s="14" t="s">
        <v>102</v>
      </c>
      <c r="J109" s="29">
        <f ca="1">(IF(B97&gt;1.5,(H97/(B97+2)+J103+MAX(0,J104-J103)+MAX(0,J105-J104)+MAX(0,J106-J105)+MAX(0,J107-J106)+MAX(0,J108-J107)),IF(B97=1,(H97/(B97+3)+J108),IF(B97=0,H97/4+J108))))</f>
        <v>18</v>
      </c>
    </row>
    <row r="110" spans="1:11" ht="15.75" customHeight="1" x14ac:dyDescent="0.35">
      <c r="A110" s="225" t="s">
        <v>142</v>
      </c>
      <c r="B110" s="226"/>
      <c r="C110" s="227" t="str">
        <f>D60</f>
        <v>Tower G4 (Coral) = 3B + L.P/LG + 2nd to 18th Floor</v>
      </c>
      <c r="D110" s="228"/>
      <c r="E110" s="228"/>
      <c r="F110" s="228"/>
      <c r="G110" s="228"/>
      <c r="H110" s="229"/>
      <c r="I110" s="41" t="str">
        <f ca="1">IF(D123=100%,"All work Completed. Possession granted to the Building.",IF(D122=100%,"All work Completed, Waiting for OC",I111&amp;""&amp;I112&amp;""&amp;J111&amp;""&amp;J110&amp;" "&amp;J112))</f>
        <v>Excavation, Plinth Completed, RCC upto 11 Slab, Brickwork upto 10 Floor, Internal Plaster upto 7.5 Floor, External Plaster upto 7 Floor Completed</v>
      </c>
      <c r="J110" s="42" t="str">
        <f ca="1">(IF(C116=(D111+F111+H111),"",IF(C116&gt;0,", RCC upto "&amp;C116&amp;" Slab","")))&amp;(IF(C117=H111,"",IF(C117&gt;0,", Brickwork upto "&amp;C117&amp;" Floor","")))&amp;(IF(C118=H111,"",IF(C118&gt;0,", Internal Plaster upto "&amp;C118&amp;" Floor","")))&amp;(IF(C119=H111,"",IF(C119&gt;0,", External Plaster upto "&amp;C119&amp;" Floor","")))&amp;(IF(C120=H111,"",IF(C120&gt;0,", Flooring upto "&amp;C120&amp;" Floor","")))&amp;(IF(C121=H111,"",IF(C121&gt;0,", Painting upto "&amp;C121&amp;" Floor","")))&amp;(IF(C122=H111,"",IF(C122&gt;0,", Finishing upto "&amp;C122&amp;" Floor","")))&amp;(IF(C123=H111,"",IF(C123&gt;0,", Possession upto "&amp;C123&amp;" Floor","")))</f>
        <v>, RCC upto 11 Slab, Brickwork upto 10 Floor, Internal Plaster upto 7.5 Floor, External Plaster upto 7 Floor</v>
      </c>
    </row>
    <row r="111" spans="1:11" x14ac:dyDescent="0.35">
      <c r="A111" s="15" t="s">
        <v>144</v>
      </c>
      <c r="B111" s="64">
        <v>3</v>
      </c>
      <c r="C111" s="64" t="s">
        <v>73</v>
      </c>
      <c r="D111" s="64">
        <v>1</v>
      </c>
      <c r="E111" s="64" t="s">
        <v>72</v>
      </c>
      <c r="F111" s="64">
        <v>0</v>
      </c>
      <c r="G111" s="64" t="s">
        <v>80</v>
      </c>
      <c r="H111" s="16">
        <f ca="1">--TRIM(RIGHT(SUBSTITUTE(LEFT(C110,_xlfn.AGGREGATE(16,6,FIND({0,1,2,3,4,5,6,7,8,9},C110,ROW(INDIRECT("1:"&amp;LEN(C110)))),1))," ",REPT(" ",LEN(C110))),LEN(C110)))</f>
        <v>18</v>
      </c>
      <c r="I111" s="43" t="str">
        <f ca="1">IF(D114=100%,"Excavation","")&amp;IF(D115=100%,", Plinth","")&amp;IF(D116=100%,", RCC Slab","")&amp;IF(D117=100%,", Brickwork","")&amp;IF(D118=100%,", Internal Plaster","")&amp;IF(D119=100%,", External Plaster","")&amp;IF(D120=100%,", Flooring","")&amp;IF(D121=100%,", Painting","")&amp;IF(D122=100%,", Building common Amenities","")</f>
        <v>Excavation, Plinth</v>
      </c>
      <c r="J111" s="44" t="str">
        <f ca="1">(IF(C114=0,"Work not yet Started.",IF(D114=25%,"Piling work in process",IF(D114=50%,"Excavation work in process",IF(D114=100%,"","0")))))&amp;(IF(C115=0%,"",IF(C115=J116,", Footing work is process",IF(C115=J117,", Footing work Completed",IF(C115=J118,", 1st Basement Completed",IF(C115=J119,", 1st &amp; 2nd Basement Completed",IF(C115=J120,", 1st to 3rd Basement Completed",IF(C115=J121,", 1st to 4th Basement Completed",IF(C115=J122,", Plinth work is process",IF(C115=J123,"","0"))))))))))</f>
        <v/>
      </c>
      <c r="K111" s="18" t="s">
        <v>265</v>
      </c>
    </row>
    <row r="112" spans="1:11" ht="32" customHeight="1" x14ac:dyDescent="0.35">
      <c r="A112" s="84" t="s">
        <v>90</v>
      </c>
      <c r="B112" s="85"/>
      <c r="C112" s="86" t="str">
        <f ca="1">(IF($C$52=C110,"All work Completed. OC Received.",I110))</f>
        <v>Excavation, Plinth Completed, RCC upto 11 Slab, Brickwork upto 10 Floor, Internal Plaster upto 7.5 Floor, External Plaster upto 7 Floor Completed</v>
      </c>
      <c r="D112" s="86"/>
      <c r="E112" s="86"/>
      <c r="F112" s="86"/>
      <c r="G112" s="86"/>
      <c r="H112" s="87"/>
      <c r="I112" s="43" t="str">
        <f ca="1">IF(I111&lt;&gt;""," Completed","")</f>
        <v xml:space="preserve"> Completed</v>
      </c>
      <c r="J112" s="44" t="str">
        <f ca="1">IF(J110&lt;&gt;"","Completed","")</f>
        <v>Completed</v>
      </c>
    </row>
    <row r="113" spans="1:13" ht="15.75" customHeight="1" x14ac:dyDescent="0.35">
      <c r="A113" s="88" t="s">
        <v>49</v>
      </c>
      <c r="B113" s="89"/>
      <c r="C113" s="65" t="s">
        <v>141</v>
      </c>
      <c r="D113" s="65" t="s">
        <v>83</v>
      </c>
      <c r="E113" s="89" t="s">
        <v>85</v>
      </c>
      <c r="F113" s="89"/>
      <c r="G113" s="89" t="s">
        <v>84</v>
      </c>
      <c r="H113" s="90"/>
      <c r="I113" s="13" t="s">
        <v>143</v>
      </c>
      <c r="J113" s="25">
        <f ca="1">H111*25%</f>
        <v>4.5</v>
      </c>
    </row>
    <row r="114" spans="1:13" x14ac:dyDescent="0.35">
      <c r="A114" s="88" t="s">
        <v>130</v>
      </c>
      <c r="B114" s="89"/>
      <c r="C114" s="65">
        <f ca="1">J115</f>
        <v>18</v>
      </c>
      <c r="D114" s="66">
        <f ca="1">((100/H111)*C114)/100</f>
        <v>1</v>
      </c>
      <c r="E114" s="91">
        <f ca="1">(((C115/H111*10)+(40/(D111+F111+H111)*C116)+(7.5/(H111)*C117)+(7.5/(H111)*C118)+(10/H111*C119)+(10/H111*C120)+(5/H111*C121)+(5/H111*C122)+(5/H111*C123))/100)</f>
        <v>0.44338450292397652</v>
      </c>
      <c r="F114" s="92"/>
      <c r="G114" s="91">
        <f ca="1">((((C114/H111)*20)+((C115/H111)*25)+(30/(H111+F111+D111)*C116)+(5/H111*C117)+(5/H111*C118)+(5/H111*C119)+(5/H111*C120)+(0/H111*C121)+(0/H111*C122)+(5/H111*C123))/100)</f>
        <v>0.69173976608187115</v>
      </c>
      <c r="H114" s="97"/>
      <c r="I114" s="13" t="s">
        <v>98</v>
      </c>
      <c r="J114" s="26">
        <f ca="1">H111*50%</f>
        <v>9</v>
      </c>
    </row>
    <row r="115" spans="1:13" x14ac:dyDescent="0.35">
      <c r="A115" s="88" t="s">
        <v>50</v>
      </c>
      <c r="B115" s="89"/>
      <c r="C115" s="67">
        <f ca="1">J123</f>
        <v>18</v>
      </c>
      <c r="D115" s="66">
        <f ca="1">((100/H111)*C115)/100</f>
        <v>1</v>
      </c>
      <c r="E115" s="93"/>
      <c r="F115" s="94"/>
      <c r="G115" s="93"/>
      <c r="H115" s="98"/>
      <c r="I115" s="13" t="s">
        <v>99</v>
      </c>
      <c r="J115" s="26">
        <f ca="1">H111</f>
        <v>18</v>
      </c>
    </row>
    <row r="116" spans="1:13" ht="15.75" customHeight="1" x14ac:dyDescent="0.35">
      <c r="A116" s="88" t="s">
        <v>131</v>
      </c>
      <c r="B116" s="89"/>
      <c r="C116" s="65">
        <v>11</v>
      </c>
      <c r="D116" s="66">
        <f ca="1">((100/(D111+F111+H111))*C116)/100</f>
        <v>0.57894736842105265</v>
      </c>
      <c r="E116" s="93"/>
      <c r="F116" s="94"/>
      <c r="G116" s="93"/>
      <c r="H116" s="98"/>
      <c r="I116" s="13" t="s">
        <v>100</v>
      </c>
      <c r="J116" s="27">
        <f ca="1">(IF(B111&gt;1,(H111/(B111+2)),H111/4))</f>
        <v>3.6</v>
      </c>
    </row>
    <row r="117" spans="1:13" ht="15.75" customHeight="1" x14ac:dyDescent="0.35">
      <c r="A117" s="88" t="s">
        <v>138</v>
      </c>
      <c r="B117" s="89" t="s">
        <v>132</v>
      </c>
      <c r="C117" s="65">
        <f>C116-1</f>
        <v>10</v>
      </c>
      <c r="D117" s="66">
        <f ca="1">((100/H111)*C117)/100</f>
        <v>0.55555555555555558</v>
      </c>
      <c r="E117" s="93"/>
      <c r="F117" s="94"/>
      <c r="G117" s="93"/>
      <c r="H117" s="98"/>
      <c r="I117" s="13" t="s">
        <v>101</v>
      </c>
      <c r="J117" s="27">
        <f ca="1">(IF(B111&gt;1,(H111/(B111+2)+J116),H111/4+J116))</f>
        <v>7.2</v>
      </c>
    </row>
    <row r="118" spans="1:13" ht="15.75" customHeight="1" x14ac:dyDescent="0.35">
      <c r="A118" s="88" t="s">
        <v>139</v>
      </c>
      <c r="B118" s="89" t="s">
        <v>132</v>
      </c>
      <c r="C118" s="67">
        <f>C117*0.75</f>
        <v>7.5</v>
      </c>
      <c r="D118" s="66">
        <f ca="1">((100/H111)*C118)/100</f>
        <v>0.41666666666666663</v>
      </c>
      <c r="E118" s="93"/>
      <c r="F118" s="94"/>
      <c r="G118" s="93"/>
      <c r="H118" s="98"/>
      <c r="I118" s="13" t="s">
        <v>150</v>
      </c>
      <c r="J118" s="27">
        <f ca="1">(IF(B111&gt;1,(H111/(B111+2)+J117),0))</f>
        <v>10.8</v>
      </c>
    </row>
    <row r="119" spans="1:13" ht="15" customHeight="1" x14ac:dyDescent="0.35">
      <c r="A119" s="88" t="s">
        <v>137</v>
      </c>
      <c r="B119" s="89" t="s">
        <v>134</v>
      </c>
      <c r="C119" s="67">
        <f>C117*0.7</f>
        <v>7</v>
      </c>
      <c r="D119" s="66">
        <f ca="1">((100/(H111))*C119)/100</f>
        <v>0.38888888888888884</v>
      </c>
      <c r="E119" s="93"/>
      <c r="F119" s="94"/>
      <c r="G119" s="93"/>
      <c r="H119" s="98"/>
      <c r="I119" s="13" t="s">
        <v>145</v>
      </c>
      <c r="J119" s="27">
        <f ca="1">(IF(B111&gt;2,(H111/(B111+2)+J118),0))</f>
        <v>14.4</v>
      </c>
    </row>
    <row r="120" spans="1:13" ht="15.75" customHeight="1" x14ac:dyDescent="0.35">
      <c r="A120" s="88" t="s">
        <v>133</v>
      </c>
      <c r="B120" s="89" t="s">
        <v>133</v>
      </c>
      <c r="C120" s="65">
        <v>0</v>
      </c>
      <c r="D120" s="66">
        <f ca="1">((100/H111)*C120)/100</f>
        <v>0</v>
      </c>
      <c r="E120" s="93"/>
      <c r="F120" s="94"/>
      <c r="G120" s="93"/>
      <c r="H120" s="98"/>
      <c r="I120" s="13" t="s">
        <v>146</v>
      </c>
      <c r="J120" s="28">
        <f>(IF(B111&gt;3,(H111/(B111+2)+J119),0))</f>
        <v>0</v>
      </c>
    </row>
    <row r="121" spans="1:13" ht="15.75" customHeight="1" x14ac:dyDescent="0.35">
      <c r="A121" s="88" t="s">
        <v>140</v>
      </c>
      <c r="B121" s="89"/>
      <c r="C121" s="65">
        <v>0</v>
      </c>
      <c r="D121" s="66">
        <f ca="1">((100/H111)*C121)/100</f>
        <v>0</v>
      </c>
      <c r="E121" s="93"/>
      <c r="F121" s="94"/>
      <c r="G121" s="93"/>
      <c r="H121" s="98"/>
      <c r="I121" s="13" t="s">
        <v>147</v>
      </c>
      <c r="J121" s="27">
        <f>(IF(B111&gt;4,(H111/(B111+2)+J120),0))</f>
        <v>0</v>
      </c>
    </row>
    <row r="122" spans="1:13" ht="15.75" customHeight="1" x14ac:dyDescent="0.35">
      <c r="A122" s="88" t="s">
        <v>135</v>
      </c>
      <c r="B122" s="89" t="s">
        <v>135</v>
      </c>
      <c r="C122" s="65">
        <v>0</v>
      </c>
      <c r="D122" s="66">
        <f ca="1">((100/(H111))*C122)/100</f>
        <v>0</v>
      </c>
      <c r="E122" s="93"/>
      <c r="F122" s="94"/>
      <c r="G122" s="93"/>
      <c r="H122" s="98"/>
      <c r="I122" s="13" t="s">
        <v>151</v>
      </c>
      <c r="J122" s="27">
        <f>(IF(B111=1,(H111/(B111+3)+J117),IF(B111=0,(H111/4+J117),IF(B111&gt;1,0))))</f>
        <v>0</v>
      </c>
    </row>
    <row r="123" spans="1:13" ht="16" thickBot="1" x14ac:dyDescent="0.4">
      <c r="A123" s="100" t="s">
        <v>136</v>
      </c>
      <c r="B123" s="101"/>
      <c r="C123" s="68">
        <v>0</v>
      </c>
      <c r="D123" s="69">
        <f ca="1">((100/(H111))*C123)/100</f>
        <v>0</v>
      </c>
      <c r="E123" s="95"/>
      <c r="F123" s="96"/>
      <c r="G123" s="95"/>
      <c r="H123" s="99"/>
      <c r="I123" s="14" t="s">
        <v>102</v>
      </c>
      <c r="J123" s="29">
        <f ca="1">(IF(B111&gt;1.5,(H111/(B111+2)+J117+MAX(0,J118-J117)+MAX(0,J119-J118)+MAX(0,J120-J119)+MAX(0,J121-J120)+MAX(0,J122-J121)),IF(B111=1,(H111/(B111+3)+J122),IF(B111=0,H111/4+J122))))</f>
        <v>18</v>
      </c>
    </row>
    <row r="124" spans="1:13" x14ac:dyDescent="0.35">
      <c r="A124" s="140" t="s">
        <v>161</v>
      </c>
      <c r="B124" s="140"/>
      <c r="C124" s="140"/>
      <c r="D124" s="140"/>
      <c r="E124" s="140"/>
      <c r="F124" s="141" t="s">
        <v>163</v>
      </c>
      <c r="G124" s="141"/>
      <c r="H124" s="141"/>
    </row>
    <row r="125" spans="1:13" x14ac:dyDescent="0.35">
      <c r="A125" s="102" t="s">
        <v>162</v>
      </c>
      <c r="B125" s="103"/>
      <c r="C125" s="103"/>
      <c r="D125" s="103"/>
      <c r="E125" s="104"/>
      <c r="F125" s="105">
        <v>19600</v>
      </c>
      <c r="G125" s="106"/>
      <c r="H125" s="107"/>
      <c r="J125" s="62" t="s">
        <v>259</v>
      </c>
      <c r="K125" s="63">
        <v>45136</v>
      </c>
      <c r="L125" s="62" t="s">
        <v>260</v>
      </c>
      <c r="M125" s="62" t="s">
        <v>261</v>
      </c>
    </row>
    <row r="126" spans="1:13" s="30" customFormat="1" x14ac:dyDescent="0.35">
      <c r="A126" s="129" t="s">
        <v>252</v>
      </c>
      <c r="B126" s="129"/>
      <c r="C126" s="129"/>
      <c r="D126" s="129"/>
      <c r="E126" s="129"/>
      <c r="F126" s="142">
        <v>70</v>
      </c>
      <c r="G126" s="142"/>
      <c r="H126" s="142"/>
      <c r="J126" s="62" t="s">
        <v>262</v>
      </c>
      <c r="K126" s="60">
        <v>45145</v>
      </c>
      <c r="L126" s="59" t="s">
        <v>263</v>
      </c>
      <c r="M126" s="59" t="s">
        <v>256</v>
      </c>
    </row>
    <row r="127" spans="1:13" s="30" customFormat="1" x14ac:dyDescent="0.3">
      <c r="A127" s="102" t="s">
        <v>253</v>
      </c>
      <c r="B127" s="103"/>
      <c r="C127" s="103"/>
      <c r="D127" s="103"/>
      <c r="E127" s="104"/>
      <c r="F127" s="105">
        <v>200000</v>
      </c>
      <c r="G127" s="106"/>
      <c r="H127" s="107"/>
      <c r="J127" s="59" t="s">
        <v>254</v>
      </c>
      <c r="K127" s="60">
        <v>44993</v>
      </c>
      <c r="L127" s="59" t="s">
        <v>255</v>
      </c>
      <c r="M127" s="59" t="s">
        <v>256</v>
      </c>
    </row>
    <row r="128" spans="1:13" s="30" customFormat="1" x14ac:dyDescent="0.3">
      <c r="A128" s="102" t="s">
        <v>95</v>
      </c>
      <c r="B128" s="103"/>
      <c r="C128" s="103"/>
      <c r="D128" s="103"/>
      <c r="E128" s="104"/>
      <c r="F128" s="105">
        <v>250000</v>
      </c>
      <c r="G128" s="106"/>
      <c r="H128" s="107"/>
      <c r="J128" s="61" t="s">
        <v>257</v>
      </c>
      <c r="K128" s="61"/>
      <c r="L128" s="61"/>
    </row>
    <row r="129" spans="1:10" s="30" customFormat="1" x14ac:dyDescent="0.3">
      <c r="A129" s="102" t="s">
        <v>258</v>
      </c>
      <c r="B129" s="103"/>
      <c r="C129" s="103"/>
      <c r="D129" s="103"/>
      <c r="E129" s="104"/>
      <c r="F129" s="105">
        <v>400000</v>
      </c>
      <c r="G129" s="106"/>
      <c r="H129" s="107"/>
    </row>
    <row r="130" spans="1:10" s="30" customFormat="1" hidden="1" x14ac:dyDescent="0.3">
      <c r="A130" s="102" t="s">
        <v>96</v>
      </c>
      <c r="B130" s="103"/>
      <c r="C130" s="103"/>
      <c r="D130" s="103"/>
      <c r="E130" s="104"/>
      <c r="F130" s="105"/>
      <c r="G130" s="106"/>
      <c r="H130" s="107"/>
    </row>
    <row r="131" spans="1:10" s="30" customFormat="1" hidden="1" x14ac:dyDescent="0.3">
      <c r="A131" s="102" t="s">
        <v>97</v>
      </c>
      <c r="B131" s="103"/>
      <c r="C131" s="103"/>
      <c r="D131" s="103"/>
      <c r="E131" s="104"/>
      <c r="F131" s="105"/>
      <c r="G131" s="106"/>
      <c r="H131" s="107"/>
    </row>
    <row r="132" spans="1:10" s="30" customFormat="1" hidden="1" x14ac:dyDescent="0.3">
      <c r="A132" s="129" t="s">
        <v>211</v>
      </c>
      <c r="B132" s="129"/>
      <c r="C132" s="129"/>
      <c r="D132" s="129"/>
      <c r="E132" s="129"/>
      <c r="F132" s="142">
        <v>100000</v>
      </c>
      <c r="G132" s="142"/>
      <c r="H132" s="142"/>
    </row>
    <row r="133" spans="1:10" s="30" customFormat="1" x14ac:dyDescent="0.3">
      <c r="A133" s="129" t="s">
        <v>212</v>
      </c>
      <c r="B133" s="129"/>
      <c r="C133" s="129"/>
      <c r="D133" s="129"/>
      <c r="E133" s="129"/>
      <c r="F133" s="142">
        <v>600</v>
      </c>
      <c r="G133" s="142"/>
      <c r="H133" s="142"/>
    </row>
    <row r="134" spans="1:10" x14ac:dyDescent="0.35">
      <c r="A134" s="129" t="s">
        <v>51</v>
      </c>
      <c r="B134" s="129"/>
      <c r="C134" s="129"/>
      <c r="D134" s="129"/>
      <c r="E134" s="129"/>
      <c r="F134" s="142">
        <v>800000</v>
      </c>
      <c r="G134" s="142"/>
      <c r="H134" s="142"/>
    </row>
    <row r="135" spans="1:10" s="31" customFormat="1" x14ac:dyDescent="0.35">
      <c r="A135" s="155" t="s">
        <v>52</v>
      </c>
      <c r="B135" s="155"/>
      <c r="C135" s="155"/>
      <c r="D135" s="155"/>
      <c r="E135" s="155"/>
      <c r="F135" s="142">
        <f>F125*0.8</f>
        <v>15680</v>
      </c>
      <c r="G135" s="142"/>
      <c r="H135" s="142"/>
    </row>
    <row r="136" spans="1:10" s="32" customFormat="1" ht="15.75" hidden="1" customHeight="1" x14ac:dyDescent="0.35">
      <c r="A136" s="134" t="s">
        <v>75</v>
      </c>
      <c r="B136" s="134"/>
      <c r="C136" s="134"/>
      <c r="D136" s="134"/>
      <c r="E136" s="134"/>
      <c r="F136" s="134"/>
      <c r="G136" s="134"/>
      <c r="H136" s="134"/>
    </row>
    <row r="137" spans="1:10" s="32" customFormat="1" ht="15.75" hidden="1" customHeight="1" x14ac:dyDescent="0.35">
      <c r="A137" s="137" t="s">
        <v>53</v>
      </c>
      <c r="B137" s="137"/>
      <c r="C137" s="135" t="s">
        <v>78</v>
      </c>
      <c r="D137" s="135"/>
      <c r="E137" s="136" t="s">
        <v>54</v>
      </c>
      <c r="F137" s="136"/>
      <c r="G137" s="137" t="s">
        <v>55</v>
      </c>
      <c r="H137" s="137"/>
    </row>
    <row r="138" spans="1:10" s="32" customFormat="1" hidden="1" x14ac:dyDescent="0.35">
      <c r="A138" s="138"/>
      <c r="B138" s="138"/>
      <c r="C138" s="131"/>
      <c r="D138" s="131"/>
      <c r="E138" s="132"/>
      <c r="F138" s="132"/>
      <c r="G138" s="133"/>
      <c r="H138" s="133"/>
    </row>
    <row r="139" spans="1:10" s="32" customFormat="1" hidden="1" x14ac:dyDescent="0.35">
      <c r="A139" s="138"/>
      <c r="B139" s="138"/>
      <c r="C139" s="131"/>
      <c r="D139" s="131"/>
      <c r="E139" s="132"/>
      <c r="F139" s="132"/>
      <c r="G139" s="133"/>
      <c r="H139" s="133"/>
    </row>
    <row r="140" spans="1:10" s="32" customFormat="1" hidden="1" x14ac:dyDescent="0.35">
      <c r="A140" s="134" t="s">
        <v>155</v>
      </c>
      <c r="B140" s="134"/>
      <c r="C140" s="135"/>
      <c r="D140" s="135"/>
      <c r="E140" s="136"/>
      <c r="F140" s="136"/>
      <c r="G140" s="137"/>
      <c r="H140" s="137"/>
    </row>
    <row r="141" spans="1:10" s="32" customFormat="1" x14ac:dyDescent="0.35">
      <c r="A141" s="134" t="s">
        <v>71</v>
      </c>
      <c r="B141" s="134"/>
      <c r="C141" s="134"/>
      <c r="D141" s="134"/>
      <c r="E141" s="134"/>
      <c r="F141" s="134"/>
      <c r="G141" s="134"/>
      <c r="H141" s="134"/>
    </row>
    <row r="142" spans="1:10" s="32" customFormat="1" ht="15.75" customHeight="1" x14ac:dyDescent="0.35">
      <c r="A142" s="137" t="s">
        <v>53</v>
      </c>
      <c r="B142" s="137"/>
      <c r="C142" s="135" t="s">
        <v>78</v>
      </c>
      <c r="D142" s="135"/>
      <c r="E142" s="136" t="s">
        <v>54</v>
      </c>
      <c r="F142" s="136"/>
      <c r="G142" s="137" t="s">
        <v>55</v>
      </c>
      <c r="H142" s="137"/>
    </row>
    <row r="143" spans="1:10" s="32" customFormat="1" x14ac:dyDescent="0.35">
      <c r="A143" s="138" t="s">
        <v>192</v>
      </c>
      <c r="B143" s="138"/>
      <c r="C143" s="131">
        <f>COUNT(D161:D168)+COUNT(D170:D177)*5+COUNT(D179:D186)*8+COUNT(D188:D194)*3</f>
        <v>133</v>
      </c>
      <c r="D143" s="131"/>
      <c r="E143" s="139">
        <f>SUM(D161:D168)+SUM(D170:D177)*5+SUM(D179:D186)*8+SUM(D188:D194)*3</f>
        <v>112429.20768299996</v>
      </c>
      <c r="F143" s="139"/>
      <c r="G143" s="139">
        <f>SUM(F161:F168)+SUM(F170:F177)*5+SUM(F179:F186)*8+SUM(F188:F194)*3</f>
        <v>195933</v>
      </c>
      <c r="H143" s="139"/>
      <c r="I143" s="32">
        <f>5+8+3+1</f>
        <v>17</v>
      </c>
      <c r="J143" s="32">
        <f>8*14+3*7</f>
        <v>133</v>
      </c>
    </row>
    <row r="144" spans="1:10" s="32" customFormat="1" x14ac:dyDescent="0.35">
      <c r="A144" s="138" t="s">
        <v>186</v>
      </c>
      <c r="B144" s="138"/>
      <c r="C144" s="131">
        <f>COUNT(D197:D202)+COUNT(D204:D209)*5+COUNT(D211:D216)*8+COUNT(D218:D222)*3</f>
        <v>99</v>
      </c>
      <c r="D144" s="131"/>
      <c r="E144" s="139">
        <f>SUM(D197:D202)+SUM(D204:D209)*5+SUM(D211:D216)*8+SUM(D218:D222)*3</f>
        <v>118108.62884339999</v>
      </c>
      <c r="F144" s="139"/>
      <c r="G144" s="139">
        <f>SUM(F197:F202)+SUM(F204:F209)*5+SUM(F211:F216)*8+SUM(F218:F222)*3</f>
        <v>201037</v>
      </c>
      <c r="H144" s="139"/>
      <c r="J144" s="32">
        <f>6*14+5*3</f>
        <v>99</v>
      </c>
    </row>
    <row r="145" spans="1:14" s="32" customFormat="1" x14ac:dyDescent="0.35">
      <c r="A145" s="138" t="s">
        <v>188</v>
      </c>
      <c r="B145" s="138"/>
      <c r="C145" s="131">
        <f>COUNT(D225:D232)+COUNT(D234:D241)*5+COUNT(D243:D250)*8+COUNT(D252:D258)*3</f>
        <v>133</v>
      </c>
      <c r="D145" s="131"/>
      <c r="E145" s="139">
        <f>SUM(D225:D232)+SUM(D234:D241)*5+SUM(D243:D250)*8+SUM(D252:D258)*3</f>
        <v>106963.9002432</v>
      </c>
      <c r="F145" s="139"/>
      <c r="G145" s="139">
        <f>SUM(F225:F232)+SUM(F234:F241)*5+SUM(F243:F250)*8+SUM(F252:F258)*3</f>
        <v>185471</v>
      </c>
      <c r="H145" s="139"/>
    </row>
    <row r="146" spans="1:14" s="32" customFormat="1" x14ac:dyDescent="0.35">
      <c r="A146" s="138" t="s">
        <v>189</v>
      </c>
      <c r="B146" s="138"/>
      <c r="C146" s="131">
        <f>COUNT(D262:D264)+COUNT(D266:D269)*5+COUNT(D271:D274)*8+COUNT(D276,D278:D279)*3</f>
        <v>64</v>
      </c>
      <c r="D146" s="131"/>
      <c r="E146" s="139">
        <f>SUM(D262:D264)+SUM(D266:D269)*5+SUM(D271:D274)*8+SUM(D276,D278:D279)*3</f>
        <v>40739.450497199992</v>
      </c>
      <c r="F146" s="139"/>
      <c r="G146" s="139">
        <f>SUM(F262:F264)+SUM(F266:F269)*5+SUM(F271:F274)*8+SUM(F276,F278:F279)*3</f>
        <v>71357</v>
      </c>
      <c r="H146" s="139"/>
    </row>
    <row r="147" spans="1:14" s="32" customFormat="1" x14ac:dyDescent="0.35">
      <c r="A147" s="134" t="s">
        <v>155</v>
      </c>
      <c r="B147" s="134"/>
      <c r="C147" s="135">
        <f>SUM(C143:D146)</f>
        <v>429</v>
      </c>
      <c r="D147" s="135"/>
      <c r="E147" s="130">
        <f>SUM(E143:F146)</f>
        <v>378241.18726679997</v>
      </c>
      <c r="F147" s="130"/>
      <c r="G147" s="130">
        <f>SUM(G143:H146)</f>
        <v>653798</v>
      </c>
      <c r="H147" s="130"/>
      <c r="J147" s="32">
        <f>441-(4*3)</f>
        <v>429</v>
      </c>
    </row>
    <row r="148" spans="1:14" s="31" customFormat="1" x14ac:dyDescent="0.35">
      <c r="A148" s="119" t="s">
        <v>56</v>
      </c>
      <c r="B148" s="119"/>
      <c r="C148" s="119"/>
      <c r="D148" s="119"/>
      <c r="E148" s="119"/>
      <c r="F148" s="119"/>
      <c r="G148" s="119"/>
      <c r="H148" s="119"/>
    </row>
    <row r="149" spans="1:14" x14ac:dyDescent="0.35">
      <c r="A149" s="119" t="s">
        <v>57</v>
      </c>
      <c r="B149" s="119"/>
      <c r="C149" s="119"/>
      <c r="D149" s="119"/>
      <c r="E149" s="119"/>
      <c r="F149" s="119"/>
      <c r="G149" s="119"/>
      <c r="H149" s="119"/>
    </row>
    <row r="150" spans="1:14" ht="47.25" hidden="1" customHeight="1" x14ac:dyDescent="0.35">
      <c r="A150" s="128" t="s">
        <v>120</v>
      </c>
      <c r="B150" s="128" t="s">
        <v>119</v>
      </c>
      <c r="C150" s="128" t="s">
        <v>58</v>
      </c>
      <c r="D150" s="128" t="s">
        <v>59</v>
      </c>
      <c r="E150" s="145" t="s">
        <v>160</v>
      </c>
      <c r="F150" s="78" t="s">
        <v>153</v>
      </c>
      <c r="G150" s="128" t="s">
        <v>61</v>
      </c>
      <c r="H150" s="128"/>
    </row>
    <row r="151" spans="1:14" s="34" customFormat="1" hidden="1" x14ac:dyDescent="0.35">
      <c r="A151" s="128"/>
      <c r="B151" s="128"/>
      <c r="C151" s="128"/>
      <c r="D151" s="128"/>
      <c r="E151" s="145"/>
      <c r="F151" s="79">
        <v>0.6</v>
      </c>
      <c r="G151" s="128"/>
      <c r="H151" s="128"/>
    </row>
    <row r="152" spans="1:14" s="34" customFormat="1" hidden="1" x14ac:dyDescent="0.35">
      <c r="A152" s="143" t="s">
        <v>117</v>
      </c>
      <c r="B152" s="143"/>
      <c r="C152" s="143"/>
      <c r="D152" s="143"/>
      <c r="E152" s="143"/>
      <c r="F152" s="143"/>
      <c r="G152" s="143"/>
      <c r="H152" s="143"/>
      <c r="J152" s="33"/>
    </row>
    <row r="153" spans="1:14" s="34" customFormat="1" hidden="1" x14ac:dyDescent="0.35">
      <c r="A153" s="118">
        <v>1</v>
      </c>
      <c r="B153" s="118"/>
      <c r="C153" s="72"/>
      <c r="D153" s="72"/>
      <c r="E153" s="72">
        <v>0</v>
      </c>
      <c r="F153" s="72">
        <f>(D153+E153)*(($F$151)+1)</f>
        <v>0</v>
      </c>
      <c r="G153" s="118" t="str">
        <f>A152</f>
        <v>Ground Floor</v>
      </c>
      <c r="H153" s="118"/>
      <c r="I153" s="33"/>
      <c r="L153" s="144"/>
      <c r="M153" s="144"/>
      <c r="N153" s="33"/>
    </row>
    <row r="154" spans="1:14" s="34" customFormat="1" hidden="1" x14ac:dyDescent="0.35">
      <c r="A154" s="118">
        <f t="shared" ref="A154:A156" si="0">A153+1</f>
        <v>2</v>
      </c>
      <c r="B154" s="118"/>
      <c r="C154" s="72"/>
      <c r="D154" s="72"/>
      <c r="E154" s="72">
        <v>0</v>
      </c>
      <c r="F154" s="72">
        <f t="shared" ref="F154:F156" si="1">(D154+E154)*(($F$151)+1)</f>
        <v>0</v>
      </c>
      <c r="G154" s="118" t="str">
        <f t="shared" ref="G154:G156" si="2">G153</f>
        <v>Ground Floor</v>
      </c>
      <c r="H154" s="118"/>
      <c r="I154" s="33"/>
      <c r="L154" s="144"/>
      <c r="M154" s="144"/>
      <c r="N154" s="33"/>
    </row>
    <row r="155" spans="1:14" s="34" customFormat="1" hidden="1" x14ac:dyDescent="0.35">
      <c r="A155" s="118">
        <f t="shared" si="0"/>
        <v>3</v>
      </c>
      <c r="B155" s="118"/>
      <c r="C155" s="72"/>
      <c r="D155" s="72"/>
      <c r="E155" s="72">
        <v>0</v>
      </c>
      <c r="F155" s="72">
        <f t="shared" si="1"/>
        <v>0</v>
      </c>
      <c r="G155" s="118" t="str">
        <f t="shared" si="2"/>
        <v>Ground Floor</v>
      </c>
      <c r="H155" s="118"/>
      <c r="I155" s="33"/>
      <c r="L155" s="144"/>
      <c r="M155" s="144"/>
      <c r="N155" s="33"/>
    </row>
    <row r="156" spans="1:14" s="34" customFormat="1" hidden="1" x14ac:dyDescent="0.35">
      <c r="A156" s="118">
        <f t="shared" si="0"/>
        <v>4</v>
      </c>
      <c r="B156" s="118"/>
      <c r="C156" s="72"/>
      <c r="D156" s="72"/>
      <c r="E156" s="72">
        <v>0</v>
      </c>
      <c r="F156" s="72">
        <f t="shared" si="1"/>
        <v>0</v>
      </c>
      <c r="G156" s="118" t="str">
        <f t="shared" si="2"/>
        <v>Ground Floor</v>
      </c>
      <c r="H156" s="118"/>
      <c r="I156" s="33"/>
      <c r="L156" s="144"/>
      <c r="M156" s="144"/>
      <c r="N156" s="33"/>
    </row>
    <row r="157" spans="1:14" s="34" customFormat="1" hidden="1" x14ac:dyDescent="0.35">
      <c r="A157" s="118"/>
      <c r="B157" s="118"/>
      <c r="C157" s="118"/>
      <c r="D157" s="118"/>
      <c r="E157" s="118"/>
      <c r="F157" s="118"/>
      <c r="G157" s="118"/>
      <c r="H157" s="118"/>
      <c r="I157" s="33"/>
      <c r="N157" s="33"/>
    </row>
    <row r="158" spans="1:14" ht="47.25" customHeight="1" x14ac:dyDescent="0.35">
      <c r="A158" s="78" t="s">
        <v>121</v>
      </c>
      <c r="B158" s="78" t="s">
        <v>122</v>
      </c>
      <c r="C158" s="78" t="s">
        <v>58</v>
      </c>
      <c r="D158" s="78" t="s">
        <v>59</v>
      </c>
      <c r="E158" s="80" t="s">
        <v>60</v>
      </c>
      <c r="F158" s="78" t="s">
        <v>196</v>
      </c>
      <c r="G158" s="128" t="s">
        <v>61</v>
      </c>
      <c r="H158" s="128"/>
      <c r="I158" s="33"/>
    </row>
    <row r="159" spans="1:14" s="34" customFormat="1" x14ac:dyDescent="0.35">
      <c r="A159" s="110" t="s">
        <v>187</v>
      </c>
      <c r="B159" s="111"/>
      <c r="C159" s="111"/>
      <c r="D159" s="111"/>
      <c r="E159" s="111"/>
      <c r="F159" s="111"/>
      <c r="G159" s="111"/>
      <c r="H159" s="112"/>
      <c r="J159" s="47"/>
    </row>
    <row r="160" spans="1:14" s="34" customFormat="1" ht="32.25" customHeight="1" x14ac:dyDescent="0.35">
      <c r="A160" s="110" t="s">
        <v>205</v>
      </c>
      <c r="B160" s="111"/>
      <c r="C160" s="111"/>
      <c r="D160" s="111"/>
      <c r="E160" s="111"/>
      <c r="F160" s="111"/>
      <c r="G160" s="111"/>
      <c r="H160" s="112"/>
      <c r="J160" s="47"/>
    </row>
    <row r="161" spans="1:14" s="34" customFormat="1" ht="15.75" customHeight="1" x14ac:dyDescent="0.35">
      <c r="A161" s="108">
        <v>201</v>
      </c>
      <c r="B161" s="109"/>
      <c r="C161" s="46">
        <v>3</v>
      </c>
      <c r="D161" s="47">
        <f>(3.5*5.4+1*2.95+3.3*1.5+2.65*2.85+3.2*1.3+2.85*0.6+1.2*0.9+2.2*1.375+3.25*2.45+2.85*0.6+3.35*3.95+2.8*3+3*0.6+3.45*1.15+2.45*1.225+2.45*1.525+1.875*1.075+1.575*1.075+1.375*2.2)*(10.764)</f>
        <v>1021.1941349999998</v>
      </c>
      <c r="E161" s="47">
        <f>(15.104+1.825*3.45)*10.764</f>
        <v>230.35229099999998</v>
      </c>
      <c r="F161" s="39">
        <v>1873</v>
      </c>
      <c r="G161" s="180" t="str">
        <f>A160</f>
        <v>2nd Floor For Residential
(Residential 1st level)</v>
      </c>
      <c r="H161" s="181"/>
      <c r="I161" s="33"/>
      <c r="J161" s="58">
        <f>(F161-E161)/D161</f>
        <v>1.6085557610453769</v>
      </c>
      <c r="L161" s="144"/>
      <c r="M161" s="144"/>
      <c r="N161" s="33"/>
    </row>
    <row r="162" spans="1:14" s="34" customFormat="1" ht="15.75" customHeight="1" x14ac:dyDescent="0.35">
      <c r="A162" s="108">
        <f t="shared" ref="A162:A168" si="3">A161+1</f>
        <v>202</v>
      </c>
      <c r="B162" s="109"/>
      <c r="C162" s="46">
        <v>3</v>
      </c>
      <c r="D162" s="47">
        <f>(3.35*4.25+1*2.725+2.775*0.6+3.15*1.5+3.175*2.275+2.2*1.375+2.65*3.55+3*0.6+2.275*0.6+1.35*0.9+3.05*2.7+3.05*1+1.575*1.075+1.575*1.125+3.35*2.625+1.575*0.55+3.35*1+3*0.6+1.525*2.45+1.375*2.375+3.45*0.675+2.4*0.6)*(10.764)</f>
        <v>944.20462499999974</v>
      </c>
      <c r="E162" s="47">
        <f>(4.275)*(10.764)</f>
        <v>46.016100000000002</v>
      </c>
      <c r="F162" s="39">
        <v>1690</v>
      </c>
      <c r="G162" s="182"/>
      <c r="H162" s="183"/>
      <c r="I162" s="33"/>
      <c r="J162" s="58">
        <f t="shared" ref="J162:J225" si="4">(F162-E162)/D162</f>
        <v>1.7411309545322344</v>
      </c>
      <c r="L162" s="144"/>
      <c r="M162" s="144"/>
      <c r="N162" s="33"/>
    </row>
    <row r="163" spans="1:14" s="34" customFormat="1" ht="15.75" customHeight="1" x14ac:dyDescent="0.35">
      <c r="A163" s="108">
        <f t="shared" si="3"/>
        <v>203</v>
      </c>
      <c r="B163" s="109"/>
      <c r="C163" s="46">
        <v>3</v>
      </c>
      <c r="D163" s="47">
        <f>(3.35*4.25+1*2.725+2.775*0.6+3.15*1.5+3.175*2.275+2.2*1.375+2.65*3.55+3*0.6+2.275*0.6+1.35*0.9+3.05*2.7+3.05*1+1.575*1.075+1.575*1.125+3.35*2.625+1.575*0.55+3.35*1+3*0.6+1.525*2.45+1.375*2.375+3.45*0.675+2.4*0.6)*(10.764)</f>
        <v>944.20462499999974</v>
      </c>
      <c r="E163" s="47">
        <f>(4.275+6.6)*(10.764)</f>
        <v>117.0585</v>
      </c>
      <c r="F163" s="39">
        <v>1690</v>
      </c>
      <c r="G163" s="182"/>
      <c r="H163" s="183"/>
      <c r="I163" s="33"/>
      <c r="J163" s="58">
        <f t="shared" si="4"/>
        <v>1.6658904842792952</v>
      </c>
      <c r="L163" s="144"/>
      <c r="M163" s="144"/>
      <c r="N163" s="33"/>
    </row>
    <row r="164" spans="1:14" s="34" customFormat="1" ht="15.75" customHeight="1" x14ac:dyDescent="0.35">
      <c r="A164" s="108">
        <f t="shared" si="3"/>
        <v>204</v>
      </c>
      <c r="B164" s="109"/>
      <c r="C164" s="46">
        <v>2</v>
      </c>
      <c r="D164" s="47">
        <f>(3.2*4.375+1.2*0.6+2.1*0.6+3.2*1.5+1.7*3.35+3*0.6+3.05*2.85+3.05*1+3.35*3.575+3*0.6+1.575*2+1.375*2.275+1.525*2.275)*(10.764)</f>
        <v>683.95801499999982</v>
      </c>
      <c r="E164" s="47">
        <f>(14.123+0.8*3.45+1.8*3.35)*(10.764)</f>
        <v>246.63553199999998</v>
      </c>
      <c r="F164" s="39">
        <v>1332</v>
      </c>
      <c r="G164" s="182"/>
      <c r="H164" s="183"/>
      <c r="I164" s="33"/>
      <c r="J164" s="58">
        <f t="shared" si="4"/>
        <v>1.5868875635590005</v>
      </c>
      <c r="L164" s="144"/>
      <c r="M164" s="144"/>
      <c r="N164" s="33"/>
    </row>
    <row r="165" spans="1:14" s="34" customFormat="1" ht="15.75" customHeight="1" x14ac:dyDescent="0.35">
      <c r="A165" s="108">
        <f t="shared" si="3"/>
        <v>205</v>
      </c>
      <c r="B165" s="109"/>
      <c r="C165" s="46">
        <v>2</v>
      </c>
      <c r="D165" s="47">
        <f>(2.65*5.3+0.55*1.275+3.2*1+1.3*1.1+3.35*1.725+0.4*0.6+2.2*1.375+1.35*1.025+3.05*2.7+3.5*1+1.8*1.025+2.8*3+3.45*1.15+2.45*1.375+3*(3*0.6)+3.35*0.5)*(10.764)</f>
        <v>712.52297999999985</v>
      </c>
      <c r="E165" s="47">
        <f>(12.552+4.499)*(10.764)</f>
        <v>183.53696399999998</v>
      </c>
      <c r="F165" s="39">
        <v>1382</v>
      </c>
      <c r="G165" s="182"/>
      <c r="H165" s="183"/>
      <c r="I165" s="33"/>
      <c r="J165" s="58">
        <f t="shared" si="4"/>
        <v>1.6819991349612335</v>
      </c>
      <c r="L165" s="144"/>
      <c r="M165" s="144"/>
      <c r="N165" s="33"/>
    </row>
    <row r="166" spans="1:14" s="34" customFormat="1" ht="15.75" customHeight="1" x14ac:dyDescent="0.35">
      <c r="A166" s="108">
        <f t="shared" si="3"/>
        <v>206</v>
      </c>
      <c r="B166" s="109"/>
      <c r="C166" s="46" t="s">
        <v>185</v>
      </c>
      <c r="D166" s="47">
        <f>(3.2*4.8+1.8*0.6+2.95*2.275+1.9*3.05+1.375*2.275+2.8*3+1.525*2.45+2*(1.575*1.075)+3.05*3.35+(3.3*1.5+3.45*1.15)+2*(3*0.6)+2.275*0.6+3.05*0.6)*(10.764)</f>
        <v>791.44328249999967</v>
      </c>
      <c r="E166" s="47">
        <f>(21.04)*(10.764)</f>
        <v>226.47455999999997</v>
      </c>
      <c r="F166" s="39">
        <v>1575</v>
      </c>
      <c r="G166" s="182"/>
      <c r="H166" s="183"/>
      <c r="I166" s="33"/>
      <c r="J166" s="58">
        <f t="shared" si="4"/>
        <v>1.7038813390901459</v>
      </c>
      <c r="L166" s="144"/>
      <c r="M166" s="144"/>
      <c r="N166" s="33"/>
    </row>
    <row r="167" spans="1:14" s="34" customFormat="1" ht="15.75" customHeight="1" x14ac:dyDescent="0.35">
      <c r="A167" s="108">
        <f t="shared" si="3"/>
        <v>207</v>
      </c>
      <c r="B167" s="109"/>
      <c r="C167" s="46" t="s">
        <v>185</v>
      </c>
      <c r="D167" s="47">
        <f>(3.2*4.8+1.8*0.6+2.95*2.275+1.9*3.05+1.375*2.275+2.8*3+1.525*2.45+2*(1.575*1.075)+3.05*3.35+(3.3*1.5+3.45*1.15)+2*(3*0.6)+2.275*0.6+3.05*0.6)*(10.764)</f>
        <v>791.44328249999967</v>
      </c>
      <c r="E167" s="47">
        <f>(20.274)*(10.764)</f>
        <v>218.22933599999999</v>
      </c>
      <c r="F167" s="39">
        <v>1575</v>
      </c>
      <c r="G167" s="182"/>
      <c r="H167" s="183"/>
      <c r="I167" s="33"/>
      <c r="J167" s="58">
        <f t="shared" si="4"/>
        <v>1.7142992985097461</v>
      </c>
      <c r="L167" s="144"/>
      <c r="M167" s="144"/>
      <c r="N167" s="33"/>
    </row>
    <row r="168" spans="1:14" s="34" customFormat="1" ht="15.75" customHeight="1" x14ac:dyDescent="0.35">
      <c r="A168" s="108">
        <f t="shared" si="3"/>
        <v>208</v>
      </c>
      <c r="B168" s="109"/>
      <c r="C168" s="46">
        <v>2</v>
      </c>
      <c r="D168" s="47">
        <f>(2.65*5.3+0.55*1.275+1.4*1.3+3.35*1.725+2.2*1.375+2.45*1.375+2.8*3+3.05*2.7+1.8*1.025+1.35*1.025+3.4*1+3.35*1+3.45*1.15+2*(3*0.6)+3*0.5)*(10.764)</f>
        <v>693.41687999999988</v>
      </c>
      <c r="E168" s="47">
        <f>(12.553+4.499)*(10.764)</f>
        <v>183.54772799999998</v>
      </c>
      <c r="F168" s="39">
        <v>1382</v>
      </c>
      <c r="G168" s="184"/>
      <c r="H168" s="185"/>
      <c r="I168" s="33"/>
      <c r="J168" s="58">
        <f t="shared" si="4"/>
        <v>1.7283286671648377</v>
      </c>
      <c r="L168" s="144"/>
      <c r="M168" s="144"/>
      <c r="N168" s="33"/>
    </row>
    <row r="169" spans="1:14" s="34" customFormat="1" ht="31.5" customHeight="1" x14ac:dyDescent="0.35">
      <c r="A169" s="110" t="s">
        <v>202</v>
      </c>
      <c r="B169" s="111"/>
      <c r="C169" s="111"/>
      <c r="D169" s="111"/>
      <c r="E169" s="111"/>
      <c r="F169" s="111"/>
      <c r="G169" s="111"/>
      <c r="H169" s="112"/>
      <c r="I169" s="33"/>
      <c r="J169" s="58" t="e">
        <f t="shared" si="4"/>
        <v>#DIV/0!</v>
      </c>
      <c r="K169" s="57"/>
      <c r="L169" s="57"/>
      <c r="M169" s="57"/>
    </row>
    <row r="170" spans="1:14" s="34" customFormat="1" ht="15.75" customHeight="1" x14ac:dyDescent="0.35">
      <c r="A170" s="113" t="s">
        <v>222</v>
      </c>
      <c r="B170" s="113"/>
      <c r="C170" s="46">
        <v>3</v>
      </c>
      <c r="D170" s="47">
        <f>(3.5*4.8+1*2.95+3.3*1.5+2.65*2.95+2.55*0.6+3*1.2+1.2*0.9+2.2*1.375+3.25*2.45+2.45*0.6+3.35*3.95+2.8*3+3.45*1.15+2.45*1.225+2.45*1.525+1.875*1.075+1.575*1.075+1.375*2.2+2*(3*0.6)+3.3*0.6+3.4*0.6)*(10.764)</f>
        <v>1053.539955</v>
      </c>
      <c r="E170" s="47">
        <f>(2.75*1.5)*(10.764)</f>
        <v>44.401499999999999</v>
      </c>
      <c r="F170" s="39">
        <v>1814</v>
      </c>
      <c r="G170" s="180" t="str">
        <f>A169</f>
        <v>4th, 6th, 10th, 14th &amp; 18th Floor 
(Residential 3rd, 5th, 9th, 13th &amp; 17th level)</v>
      </c>
      <c r="H170" s="181"/>
      <c r="I170" s="33"/>
      <c r="J170" s="58">
        <f t="shared" si="4"/>
        <v>1.6796690923791306</v>
      </c>
      <c r="K170" s="57"/>
      <c r="L170" s="57"/>
      <c r="M170" s="57"/>
    </row>
    <row r="171" spans="1:14" s="34" customFormat="1" ht="15.75" customHeight="1" x14ac:dyDescent="0.35">
      <c r="A171" s="113" t="s">
        <v>223</v>
      </c>
      <c r="B171" s="113"/>
      <c r="C171" s="46">
        <v>3</v>
      </c>
      <c r="D171" s="47">
        <f>(3.35*4.25+1*2.725+2.775*0.6+3.15*1.5+3.175*2.275+2.2*1.375+2.65*3.55+3*0.6+0.6*0.6+1.35*0.9+3.05*2.7+3.05*1+1.575*1.075+1.575*1.125+3.35*2.625+1.575*0.55+3.35*1+3*0.6+1.525*2.45+1.375*2.375+3*0.7+2.4*0.6)*(10.764)</f>
        <v>930.92453999999964</v>
      </c>
      <c r="E171" s="47">
        <f>(2.85*1.5)*(10.764)</f>
        <v>46.016100000000002</v>
      </c>
      <c r="F171" s="39">
        <v>1634</v>
      </c>
      <c r="G171" s="182" t="str">
        <f t="shared" ref="G171:G177" si="5">G170</f>
        <v>4th, 6th, 10th, 14th &amp; 18th Floor 
(Residential 3rd, 5th, 9th, 13th &amp; 17th level)</v>
      </c>
      <c r="H171" s="183"/>
      <c r="I171" s="33"/>
      <c r="J171" s="58">
        <f t="shared" si="4"/>
        <v>1.7058137708991972</v>
      </c>
      <c r="K171" s="57"/>
      <c r="L171" s="57"/>
      <c r="M171" s="57"/>
    </row>
    <row r="172" spans="1:14" s="34" customFormat="1" ht="15.75" customHeight="1" x14ac:dyDescent="0.35">
      <c r="A172" s="113" t="s">
        <v>224</v>
      </c>
      <c r="B172" s="113"/>
      <c r="C172" s="46">
        <v>3</v>
      </c>
      <c r="D172" s="47">
        <f>(3.35*4.25+1*2.725+2.775*0.6+3.15*1.5+3.175*2.275+2.2*1.375+2.65*3.55+3*0.6+0.6*0.6+1.35*0.9+3.05*2.7+3.05*1+1.575*1.075+1.575*1.125+3.35*2.625+1.575*0.55+3.35*1+3*0.6+1.525*2.45+1.375*2.375+3*0.7+2.4*0.6)*(10.764)</f>
        <v>930.92453999999964</v>
      </c>
      <c r="E172" s="47">
        <f>(2.85*1.5)*(10.764)</f>
        <v>46.016100000000002</v>
      </c>
      <c r="F172" s="39">
        <v>1634</v>
      </c>
      <c r="G172" s="182" t="str">
        <f t="shared" si="5"/>
        <v>4th, 6th, 10th, 14th &amp; 18th Floor 
(Residential 3rd, 5th, 9th, 13th &amp; 17th level)</v>
      </c>
      <c r="H172" s="183"/>
      <c r="I172" s="33"/>
      <c r="J172" s="58">
        <f t="shared" si="4"/>
        <v>1.7058137708991972</v>
      </c>
      <c r="K172" s="57"/>
      <c r="L172" s="57"/>
      <c r="M172" s="57"/>
    </row>
    <row r="173" spans="1:14" s="34" customFormat="1" ht="15.75" customHeight="1" x14ac:dyDescent="0.35">
      <c r="A173" s="113" t="s">
        <v>225</v>
      </c>
      <c r="B173" s="113"/>
      <c r="C173" s="46">
        <v>2</v>
      </c>
      <c r="D173" s="47">
        <f>(3.2*4.375+1.2*0.6+2.1*0.6+3.2*1.5+1.7*3.35+3*0.6+0.35*0.6+3.05*2.85+3.45*1+3.35*3.575+3.4*0.6+1.575*2+1.375*2.275+1.525*2.275+2*(3.45*0.6))*(10.764)</f>
        <v>737.67037499999992</v>
      </c>
      <c r="E173" s="47">
        <f>(2.95*1.5)*(10.764)</f>
        <v>47.630700000000004</v>
      </c>
      <c r="F173" s="39">
        <v>1277</v>
      </c>
      <c r="G173" s="182" t="str">
        <f t="shared" si="5"/>
        <v>4th, 6th, 10th, 14th &amp; 18th Floor 
(Residential 3rd, 5th, 9th, 13th &amp; 17th level)</v>
      </c>
      <c r="H173" s="183"/>
      <c r="I173" s="33">
        <f>22000000/F173</f>
        <v>17227.877838684417</v>
      </c>
      <c r="J173" s="58">
        <f t="shared" si="4"/>
        <v>1.6665564209488557</v>
      </c>
      <c r="K173" s="57"/>
      <c r="L173" s="57"/>
      <c r="M173" s="57"/>
    </row>
    <row r="174" spans="1:14" s="34" customFormat="1" ht="15.75" customHeight="1" x14ac:dyDescent="0.35">
      <c r="A174" s="113" t="s">
        <v>226</v>
      </c>
      <c r="B174" s="113"/>
      <c r="C174" s="46">
        <v>2</v>
      </c>
      <c r="D174" s="47">
        <f>(2.65*4.025+3.2*1.275+0.6*1.275+3.4*1+1.4*1.1+3.35*1.725+0.4*0.6+2.2*1.375+1.35*1.075+3.05*2.7+3.35*1+1.8*1.025+1.35*1.075+2.8*3+3.3*1.15+2.45*1.375+3*(3*0.6)+3.4*0.6+3.35*0.6)*(10.764)</f>
        <v>762.53521500000011</v>
      </c>
      <c r="E174" s="47">
        <f>(3*1.5)*(10.764)</f>
        <v>48.437999999999995</v>
      </c>
      <c r="F174" s="39">
        <v>1272</v>
      </c>
      <c r="G174" s="182" t="str">
        <f t="shared" si="5"/>
        <v>4th, 6th, 10th, 14th &amp; 18th Floor 
(Residential 3rd, 5th, 9th, 13th &amp; 17th level)</v>
      </c>
      <c r="H174" s="183"/>
      <c r="I174" s="33"/>
      <c r="J174" s="58">
        <f t="shared" si="4"/>
        <v>1.6045973693162483</v>
      </c>
      <c r="K174" s="57"/>
      <c r="L174" s="57"/>
      <c r="M174" s="57"/>
    </row>
    <row r="175" spans="1:14" s="34" customFormat="1" ht="15.75" customHeight="1" x14ac:dyDescent="0.35">
      <c r="A175" s="113" t="s">
        <v>227</v>
      </c>
      <c r="B175" s="113"/>
      <c r="C175" s="46" t="s">
        <v>185</v>
      </c>
      <c r="D175" s="47">
        <f>(3.2*4.8+1.8*0.6+2.95*2.275+1.9*3.05+1.375*2.275+2.8*3+1.525*2.45+2*(1.575*1.075)+3*3.35+3.3*1.5+3.45*1.15+2*(3*0.6)+2.275*0.6+3.05*0.8+2.7*0.5)*(10.764)</f>
        <v>810.73775249999971</v>
      </c>
      <c r="E175" s="47">
        <f>(2.7*1.5)*(10.764)</f>
        <v>43.594200000000008</v>
      </c>
      <c r="F175" s="39">
        <v>1411</v>
      </c>
      <c r="G175" s="182" t="str">
        <f t="shared" si="5"/>
        <v>4th, 6th, 10th, 14th &amp; 18th Floor 
(Residential 3rd, 5th, 9th, 13th &amp; 17th level)</v>
      </c>
      <c r="H175" s="183"/>
      <c r="I175" s="33"/>
      <c r="J175" s="58">
        <f t="shared" si="4"/>
        <v>1.6866191265713883</v>
      </c>
      <c r="K175" s="57"/>
      <c r="L175" s="57"/>
      <c r="M175" s="57"/>
    </row>
    <row r="176" spans="1:14" s="34" customFormat="1" ht="15.75" customHeight="1" x14ac:dyDescent="0.35">
      <c r="A176" s="113" t="s">
        <v>228</v>
      </c>
      <c r="B176" s="113"/>
      <c r="C176" s="46" t="s">
        <v>185</v>
      </c>
      <c r="D176" s="47">
        <f>(3.2*4.8+1.8*0.6+2.95*2.275+1.9*3.05+1.375*2.275+2.8*3+1.525*2.45+2*(1.575*1.075)+3*3.35+3.3*1.5+3.45*1.15+2*(3*0.6)+2.275*0.6+3.05*0.8+2.7*0.5)*(10.764)</f>
        <v>810.73775249999971</v>
      </c>
      <c r="E176" s="47">
        <f>(2.7*1.5)*(10.764)</f>
        <v>43.594200000000008</v>
      </c>
      <c r="F176" s="39">
        <v>1411</v>
      </c>
      <c r="G176" s="182" t="str">
        <f t="shared" si="5"/>
        <v>4th, 6th, 10th, 14th &amp; 18th Floor 
(Residential 3rd, 5th, 9th, 13th &amp; 17th level)</v>
      </c>
      <c r="H176" s="183"/>
      <c r="I176" s="33"/>
      <c r="J176" s="58">
        <f t="shared" si="4"/>
        <v>1.6866191265713883</v>
      </c>
      <c r="K176" s="57"/>
      <c r="L176" s="57"/>
      <c r="M176" s="57"/>
    </row>
    <row r="177" spans="1:13" s="34" customFormat="1" ht="15.75" customHeight="1" x14ac:dyDescent="0.35">
      <c r="A177" s="113" t="s">
        <v>229</v>
      </c>
      <c r="B177" s="113"/>
      <c r="C177" s="46">
        <v>2</v>
      </c>
      <c r="D177" s="47">
        <f>(2.65*5.3+0.55*1.275+1.4*1.3+3.35*1.725+2.2*1.375+2.45*1.375+2.8*3+3*2.7+1.8*1.025+1.35*1.025+3.2*1+3.1*1+3.45*1.15+2*(3*0.6)+3*0.5+2.8*0.5)*(10.764)</f>
        <v>702.18953999999997</v>
      </c>
      <c r="E177" s="47">
        <f>(3*1.5)*(10.764)</f>
        <v>48.437999999999995</v>
      </c>
      <c r="F177" s="39">
        <v>1274</v>
      </c>
      <c r="G177" s="184" t="str">
        <f t="shared" si="5"/>
        <v>4th, 6th, 10th, 14th &amp; 18th Floor 
(Residential 3rd, 5th, 9th, 13th &amp; 17th level)</v>
      </c>
      <c r="H177" s="185"/>
      <c r="I177" s="33"/>
      <c r="J177" s="58">
        <f t="shared" si="4"/>
        <v>1.7453435720503612</v>
      </c>
      <c r="K177" s="57"/>
      <c r="L177" s="57"/>
      <c r="M177" s="57"/>
    </row>
    <row r="178" spans="1:13" s="34" customFormat="1" ht="33" customHeight="1" x14ac:dyDescent="0.35">
      <c r="A178" s="110" t="s">
        <v>200</v>
      </c>
      <c r="B178" s="111"/>
      <c r="C178" s="111"/>
      <c r="D178" s="111"/>
      <c r="E178" s="111"/>
      <c r="F178" s="111"/>
      <c r="G178" s="111"/>
      <c r="H178" s="112"/>
      <c r="I178" s="33"/>
      <c r="J178" s="58" t="e">
        <f t="shared" si="4"/>
        <v>#DIV/0!</v>
      </c>
      <c r="K178" s="57"/>
      <c r="L178" s="57"/>
      <c r="M178" s="57"/>
    </row>
    <row r="179" spans="1:13" s="34" customFormat="1" ht="15.75" customHeight="1" x14ac:dyDescent="0.35">
      <c r="A179" s="108" t="s">
        <v>230</v>
      </c>
      <c r="B179" s="109"/>
      <c r="C179" s="46">
        <v>3</v>
      </c>
      <c r="D179" s="47">
        <f>(3.5*4.85+1*2.95+3.3*1.5+2.65*3.055+3.2*1+1.2*0.9+2.2*1.375+3.25*2.45+2.45*0.6+3.35*3.95+2.8*3+3.45*1.15+2.45*1.225+2.45*1.525+1.875*1.075+1.575*1.075+1.375*2.2+2*(3*0.6)+2.55*0.6+3.3*0.7+2.7*0.6)*(10.764)</f>
        <v>1053.1443779999997</v>
      </c>
      <c r="E179" s="47">
        <f>(3*1.5)*(10.764)</f>
        <v>48.437999999999995</v>
      </c>
      <c r="F179" s="39">
        <v>1795</v>
      </c>
      <c r="G179" s="180" t="str">
        <f>A178</f>
        <v>3rd, 5th, 7th, 9th, 11th, 13th, 15th &amp; 17th Floor 
(Residential 2nd, 4th, 6th, 8th, 10th, 12th, 14th &amp; 16th level)</v>
      </c>
      <c r="H179" s="181"/>
      <c r="I179" s="49">
        <f>1795/D179</f>
        <v>1.7044196764444015</v>
      </c>
      <c r="J179" s="58">
        <f t="shared" si="4"/>
        <v>1.6584259826908561</v>
      </c>
      <c r="K179" s="57"/>
      <c r="L179" s="57"/>
      <c r="M179" s="57"/>
    </row>
    <row r="180" spans="1:13" s="34" customFormat="1" ht="15.75" customHeight="1" x14ac:dyDescent="0.35">
      <c r="A180" s="108" t="s">
        <v>231</v>
      </c>
      <c r="B180" s="109"/>
      <c r="C180" s="46">
        <v>3</v>
      </c>
      <c r="D180" s="47">
        <f>(3.35*4.25+1*2.725+2.775*0.6+3.15*1.5+3.175*2.275+2.2*1.375+2.65*3.55+3*0.6+0.6*0.6+1.35*0.9+3.05*2.7+3.05*1+1.575*1.075+1.575*1.125+3.35*2.625+1.575*0.55+3.35*1+3*0.6+1.525*2.45+1.375*2.375+2.275*0.6+2.4*0.6+2.9*0.6+3.4*0.6)*(10.764)</f>
        <v>963.70091999999966</v>
      </c>
      <c r="E180" s="47">
        <f>(3*1.5)*(10.764)</f>
        <v>48.437999999999995</v>
      </c>
      <c r="F180" s="39">
        <v>1619</v>
      </c>
      <c r="G180" s="182"/>
      <c r="H180" s="183"/>
      <c r="I180" s="56">
        <f>1033+48</f>
        <v>1081</v>
      </c>
      <c r="J180" s="58">
        <f t="shared" si="4"/>
        <v>1.6297193116719246</v>
      </c>
      <c r="K180" s="57"/>
      <c r="L180" s="57"/>
      <c r="M180" s="57"/>
    </row>
    <row r="181" spans="1:13" s="34" customFormat="1" ht="15.75" customHeight="1" x14ac:dyDescent="0.35">
      <c r="A181" s="108" t="s">
        <v>232</v>
      </c>
      <c r="B181" s="109"/>
      <c r="C181" s="46">
        <v>3</v>
      </c>
      <c r="D181" s="47">
        <f>(3.35*4.25+1*2.725+2.775*0.6+3.15*1.5+3.175*2.275+2.2*1.375+2.65*3.55+3*0.6+0.6*0.6+1.35*0.9+3.05*2.7+3.05*1+1.575*1.075+1.575*1.125+3.35*2.625+1.575*0.55+3.35*1+3*0.6+1.525*2.45+1.375*2.375+2.275*0.6+2.4*0.6+2.9*0.5+3.4*0.5)*(10.764)</f>
        <v>956.91959999999972</v>
      </c>
      <c r="E181" s="47">
        <f>(3*1.5)*(10.764)</f>
        <v>48.437999999999995</v>
      </c>
      <c r="F181" s="39">
        <v>1619</v>
      </c>
      <c r="G181" s="182"/>
      <c r="H181" s="183"/>
      <c r="I181" s="33"/>
      <c r="J181" s="58">
        <f t="shared" si="4"/>
        <v>1.6412685036444026</v>
      </c>
      <c r="K181" s="57"/>
      <c r="L181" s="57"/>
      <c r="M181" s="57"/>
    </row>
    <row r="182" spans="1:13" s="34" customFormat="1" ht="15.75" customHeight="1" x14ac:dyDescent="0.35">
      <c r="A182" s="108" t="s">
        <v>233</v>
      </c>
      <c r="B182" s="109"/>
      <c r="C182" s="46">
        <v>2</v>
      </c>
      <c r="D182" s="47">
        <f>(3.2*4.375+1.2*0.6+2.1*0.6+3.2*1.5+1.7*3.35+3*0.6+0.35*0.6+3.05*2.85+3.05*1+3.35*3.575+3*0.6+1.575*2+1.375*2.275+1.525*2.275+3.2*0.6+2.8*0.6)*(10.764)</f>
        <v>724.96885499999985</v>
      </c>
      <c r="E182" s="47">
        <f>(2.8*1.5)*(10.764)</f>
        <v>45.208799999999989</v>
      </c>
      <c r="F182" s="39">
        <v>1277</v>
      </c>
      <c r="G182" s="182"/>
      <c r="H182" s="183"/>
      <c r="I182" s="33"/>
      <c r="J182" s="58">
        <f t="shared" si="4"/>
        <v>1.6990953356196252</v>
      </c>
      <c r="K182" s="57"/>
      <c r="L182" s="57">
        <f>17000*F182+60*10*F182</f>
        <v>22475200</v>
      </c>
      <c r="M182" s="57"/>
    </row>
    <row r="183" spans="1:13" s="34" customFormat="1" ht="15.75" customHeight="1" x14ac:dyDescent="0.35">
      <c r="A183" s="108" t="s">
        <v>234</v>
      </c>
      <c r="B183" s="109"/>
      <c r="C183" s="46">
        <v>2</v>
      </c>
      <c r="D183" s="47">
        <f>(2.65*5.3+0.6*1.275+3.2*1+1.3*1.1+3.35*1.725+0.4*0.6+2.2*1.375+1.35*1.075+3.05*2.7+3*1+1.8*1.025+2.8*3+3.3*1.15+2.45*1.375+3*(3*0.6)+3*0.6+2.75*0.6)*(10.764)</f>
        <v>725.80306500000006</v>
      </c>
      <c r="E183" s="47">
        <f>(2.75*1.5)*(10.764)</f>
        <v>44.401499999999999</v>
      </c>
      <c r="F183" s="39">
        <v>1272</v>
      </c>
      <c r="G183" s="182"/>
      <c r="H183" s="183"/>
      <c r="I183" s="33"/>
      <c r="J183" s="58">
        <f t="shared" si="4"/>
        <v>1.6913658252462738</v>
      </c>
      <c r="K183" s="57"/>
      <c r="L183" s="57"/>
      <c r="M183" s="57"/>
    </row>
    <row r="184" spans="1:13" s="34" customFormat="1" ht="15.75" customHeight="1" x14ac:dyDescent="0.35">
      <c r="A184" s="108" t="s">
        <v>235</v>
      </c>
      <c r="B184" s="109"/>
      <c r="C184" s="46" t="s">
        <v>185</v>
      </c>
      <c r="D184" s="47">
        <f>(3.2*4.8+1.8*0.6+2.95*2.275+1.9*3.05+1.375*2.275+2.8*3+1.525*2.45+2*(1.575*1.075)+3*3.35+3.3*1.5+3.45*1.15+2*(3*0.6)+2.275*0.6+3.05*0.6+2.5*0.6)*(10.764)</f>
        <v>805.78631249999978</v>
      </c>
      <c r="E184" s="47">
        <f>(2.65*1.5)*(10.764)</f>
        <v>42.786899999999996</v>
      </c>
      <c r="F184" s="39">
        <v>1413</v>
      </c>
      <c r="G184" s="182"/>
      <c r="H184" s="183"/>
      <c r="I184" s="33"/>
      <c r="J184" s="58">
        <f t="shared" si="4"/>
        <v>1.7004670825802843</v>
      </c>
      <c r="K184" s="57"/>
      <c r="L184" s="57"/>
      <c r="M184" s="57"/>
    </row>
    <row r="185" spans="1:13" s="34" customFormat="1" ht="15.75" customHeight="1" x14ac:dyDescent="0.35">
      <c r="A185" s="108" t="s">
        <v>236</v>
      </c>
      <c r="B185" s="109"/>
      <c r="C185" s="46" t="s">
        <v>185</v>
      </c>
      <c r="D185" s="47">
        <f>(3.2*4.8+1.8*0.6+2.95*2.275+1.9*3.05+1.375*2.275+2.8*3+1.525*2.45+2*(1.575*1.075)+3*3.35+3.3*1.5+3.45*1.15+2*(3*0.6)+2.275*0.6+3.05*0.6+2.5*0.6)*(10.764)</f>
        <v>805.78631249999978</v>
      </c>
      <c r="E185" s="47">
        <f>(2.65*1.5)*(10.764)</f>
        <v>42.786899999999996</v>
      </c>
      <c r="F185" s="39">
        <v>1413</v>
      </c>
      <c r="G185" s="182"/>
      <c r="H185" s="183"/>
      <c r="I185" s="33"/>
      <c r="J185" s="58">
        <f t="shared" si="4"/>
        <v>1.7004670825802843</v>
      </c>
      <c r="K185" s="57"/>
      <c r="L185" s="57"/>
      <c r="M185" s="57"/>
    </row>
    <row r="186" spans="1:13" s="34" customFormat="1" ht="15.75" customHeight="1" x14ac:dyDescent="0.35">
      <c r="A186" s="108" t="s">
        <v>237</v>
      </c>
      <c r="B186" s="109"/>
      <c r="C186" s="46">
        <v>2</v>
      </c>
      <c r="D186" s="47">
        <f>(2.65*5.3+0.55*1.275+1.4*1.3+3.35*1.725+2.2*1.375+2.45*1.375+2.8*3+3*2.7+1.8*1.025+1.35*1.025+3.2*1+3.1*1+3.45*1.15+2*(3*0.6)+3.35*0.6+3.4*0.6)*(10.764)</f>
        <v>714.56813999999997</v>
      </c>
      <c r="E186" s="47">
        <f>(2.75*1.5)*(10.764)</f>
        <v>44.401499999999999</v>
      </c>
      <c r="F186" s="39">
        <v>1272</v>
      </c>
      <c r="G186" s="184"/>
      <c r="H186" s="185"/>
      <c r="I186" s="33"/>
      <c r="J186" s="58">
        <f t="shared" si="4"/>
        <v>1.7179586260311019</v>
      </c>
      <c r="K186" s="57"/>
      <c r="L186" s="57"/>
      <c r="M186" s="57"/>
    </row>
    <row r="187" spans="1:13" s="34" customFormat="1" ht="31.5" customHeight="1" x14ac:dyDescent="0.35">
      <c r="A187" s="110" t="s">
        <v>209</v>
      </c>
      <c r="B187" s="111"/>
      <c r="C187" s="111"/>
      <c r="D187" s="111"/>
      <c r="E187" s="111"/>
      <c r="F187" s="111"/>
      <c r="G187" s="111"/>
      <c r="H187" s="112"/>
      <c r="I187" s="33"/>
      <c r="J187" s="58" t="e">
        <f t="shared" si="4"/>
        <v>#DIV/0!</v>
      </c>
      <c r="K187" s="57"/>
      <c r="L187" s="57"/>
      <c r="M187" s="57"/>
    </row>
    <row r="188" spans="1:13" s="34" customFormat="1" ht="15.75" customHeight="1" x14ac:dyDescent="0.35">
      <c r="A188" s="113" t="s">
        <v>238</v>
      </c>
      <c r="B188" s="113"/>
      <c r="C188" s="46">
        <v>3</v>
      </c>
      <c r="D188" s="47">
        <f>(3.5*4.85+1*2.95+3.3*1.5+2.65*3.055+3.2*1+1.2*0.9+2.2*1.375+3.25*2.45+2.45*0.6+3.35*3.95+2.8*3+3.45*1.15+2.45*1.225+2.45*1.525+1.875*1.075+1.575*1.075+1.375*2.2+2*(3*0.6)+2.55*0.6+3.35*0.6+3.45*0.6)*(10.764)</f>
        <v>1054.7589779999996</v>
      </c>
      <c r="E188" s="47">
        <f>(2.75*1.5)*(10.764)</f>
        <v>44.401499999999999</v>
      </c>
      <c r="F188" s="39">
        <v>1814</v>
      </c>
      <c r="G188" s="180" t="str">
        <f>A187</f>
        <v>8th, 12th, 16th Floor (Part Refuge Area)
(Residential 7th, 11th &amp; 15th level)</v>
      </c>
      <c r="H188" s="181"/>
      <c r="I188" s="33"/>
      <c r="J188" s="58">
        <f t="shared" si="4"/>
        <v>1.6777278382170839</v>
      </c>
      <c r="K188" s="57"/>
      <c r="L188" s="57"/>
      <c r="M188" s="57"/>
    </row>
    <row r="189" spans="1:13" s="34" customFormat="1" ht="15.75" customHeight="1" x14ac:dyDescent="0.35">
      <c r="A189" s="113" t="s">
        <v>239</v>
      </c>
      <c r="B189" s="113"/>
      <c r="C189" s="46">
        <v>3</v>
      </c>
      <c r="D189" s="47">
        <f>(3.35*4.25+1*2.725+2.775*0.6+3.15*1.5+3.175*2.275+2.2*1.375+2.65*3.55+3*0.6+0.6*0.6+1.35*0.9+3.05*2.7+3.05*1+1.575*1.075+1.575*1.125+3.35*2.625+1.575*0.55+3.35*1+3*0.6+1.525*2.45+1.375*2.375+2.275*0.6+2.4*0.6+3.45*0.6+3.45*0.6)*(10.764)</f>
        <v>967.57595999999944</v>
      </c>
      <c r="E189" s="47">
        <f>(2.85*1.5)*(10.764)</f>
        <v>46.016100000000002</v>
      </c>
      <c r="F189" s="39">
        <v>1634</v>
      </c>
      <c r="G189" s="182"/>
      <c r="H189" s="183"/>
      <c r="I189" s="33"/>
      <c r="J189" s="58">
        <f t="shared" si="4"/>
        <v>1.641198175283314</v>
      </c>
      <c r="K189" s="57"/>
      <c r="L189" s="57"/>
      <c r="M189" s="57"/>
    </row>
    <row r="190" spans="1:13" s="34" customFormat="1" ht="15.75" customHeight="1" x14ac:dyDescent="0.35">
      <c r="A190" s="113" t="s">
        <v>240</v>
      </c>
      <c r="B190" s="113"/>
      <c r="C190" s="46">
        <v>3</v>
      </c>
      <c r="D190" s="47">
        <f>(3.35*4.25+1*2.725+2.775*0.6+3.15*1.5+3.175*2.275+2.2*1.375+2.65*3.55+3*0.6+0.6*0.6+1.35*0.9+3.05*2.7+3.05*1+1.575*1.075+1.575*1.125+3.35*2.625+1.575*0.55+3.35*1+3*0.6+1.525*2.45+1.375*2.375+2.275*0.6+2.4*0.6+2.9*0.6+3*0.6)*(10.764)</f>
        <v>961.11755999999957</v>
      </c>
      <c r="E190" s="47">
        <f>(2.85*1.5)*(10.764)</f>
        <v>46.016100000000002</v>
      </c>
      <c r="F190" s="39">
        <v>1634</v>
      </c>
      <c r="G190" s="182"/>
      <c r="H190" s="183"/>
      <c r="I190" s="33"/>
      <c r="J190" s="58">
        <f t="shared" si="4"/>
        <v>1.6522264976617436</v>
      </c>
      <c r="K190" s="57"/>
      <c r="L190" s="57"/>
      <c r="M190" s="57"/>
    </row>
    <row r="191" spans="1:13" s="34" customFormat="1" ht="15.75" customHeight="1" x14ac:dyDescent="0.35">
      <c r="A191" s="113" t="s">
        <v>241</v>
      </c>
      <c r="B191" s="113"/>
      <c r="C191" s="46">
        <v>2</v>
      </c>
      <c r="D191" s="47">
        <f>(3.2*4.375+1.2*0.6+2.1*0.6+3.2*1.5+1.7*3.35+3*0.6+0.35*0.6+3.05*2.85+3.05*1+3.35*3.575+3*0.6+1.575*2+1.375*2.275+1.525*2.275+3.2*0.6+3*0.6)*(10.764)</f>
        <v>726.26053499999978</v>
      </c>
      <c r="E191" s="47">
        <f>(2.95*1.5)*(10.764)</f>
        <v>47.630700000000004</v>
      </c>
      <c r="F191" s="39">
        <v>1277</v>
      </c>
      <c r="G191" s="182"/>
      <c r="H191" s="183"/>
      <c r="I191" s="33"/>
      <c r="J191" s="58">
        <f t="shared" si="4"/>
        <v>1.6927386808922509</v>
      </c>
      <c r="K191" s="57"/>
      <c r="L191" s="57"/>
      <c r="M191" s="57"/>
    </row>
    <row r="192" spans="1:13" s="34" customFormat="1" ht="15.75" customHeight="1" x14ac:dyDescent="0.35">
      <c r="A192" s="113" t="s">
        <v>242</v>
      </c>
      <c r="B192" s="113"/>
      <c r="C192" s="46">
        <v>2</v>
      </c>
      <c r="D192" s="47">
        <f>(2.65*5.05+0.55*1.275+3.2*1.25+1.1*1.3+3.35*1.725+0.4*0.6+2.2*1.375+1.35*1.025+3.05*2.45+3.1*1.25+1.8*1.025+2.8*3+3.3*1.15+2.45*1.375+3*(3*0.6)+3*0.6+2.75*0.6)*(10.764)</f>
        <v>727.08128999999997</v>
      </c>
      <c r="E192" s="47">
        <f>(3*1.5)*(10.764)</f>
        <v>48.437999999999995</v>
      </c>
      <c r="F192" s="39">
        <v>1272</v>
      </c>
      <c r="G192" s="182"/>
      <c r="H192" s="183"/>
      <c r="I192" s="33"/>
      <c r="J192" s="58">
        <f t="shared" si="4"/>
        <v>1.6828407178515072</v>
      </c>
      <c r="K192" s="57"/>
      <c r="L192" s="57"/>
      <c r="M192" s="57"/>
    </row>
    <row r="193" spans="1:14" s="34" customFormat="1" ht="15.75" customHeight="1" x14ac:dyDescent="0.35">
      <c r="A193" s="113" t="s">
        <v>243</v>
      </c>
      <c r="B193" s="113"/>
      <c r="C193" s="46" t="s">
        <v>185</v>
      </c>
      <c r="D193" s="47">
        <f>(3.2*4.8+1.8*0.6+2.95*2.275+1.9*3.05+1.375*2.275+2.8*3+1.525*2.45+2*(1.575*1.075)+3*3.35+3.3*1.5+3.45*1.15+2*(3*0.6)+2.275*0.6+3.05*0.6+2.5*0.6)*(10.764)</f>
        <v>805.78631249999978</v>
      </c>
      <c r="E193" s="47">
        <f>(2.7*1.5)*(10.764)</f>
        <v>43.594200000000008</v>
      </c>
      <c r="F193" s="39">
        <v>1411</v>
      </c>
      <c r="G193" s="182"/>
      <c r="H193" s="183"/>
      <c r="I193" s="33"/>
      <c r="J193" s="58">
        <f t="shared" si="4"/>
        <v>1.6969831564370241</v>
      </c>
      <c r="K193" s="57"/>
      <c r="L193" s="57"/>
      <c r="M193" s="57"/>
    </row>
    <row r="194" spans="1:14" s="34" customFormat="1" ht="15.75" customHeight="1" x14ac:dyDescent="0.35">
      <c r="A194" s="113" t="s">
        <v>244</v>
      </c>
      <c r="B194" s="113"/>
      <c r="C194" s="46" t="s">
        <v>185</v>
      </c>
      <c r="D194" s="47">
        <f>(3.2*4.8+1.8*0.6+2.95*2.275+1.9*3.05+1.375*2.275+2.8*3+1.525*2.45+2*(1.575*1.075)+3*3.35+3.3*1.5+3.45*1.15+2*(3*0.6)+2.275*0.6+3.05*0.6+2.5*0.6)*(10.764)</f>
        <v>805.78631249999978</v>
      </c>
      <c r="E194" s="47">
        <f>(2.7*1.5)*(10.764)</f>
        <v>43.594200000000008</v>
      </c>
      <c r="F194" s="39">
        <v>1411</v>
      </c>
      <c r="G194" s="184"/>
      <c r="H194" s="185"/>
      <c r="I194" s="33"/>
      <c r="J194" s="58">
        <f t="shared" si="4"/>
        <v>1.6969831564370241</v>
      </c>
      <c r="K194" s="57"/>
      <c r="L194" s="57"/>
      <c r="M194" s="57"/>
    </row>
    <row r="195" spans="1:14" s="34" customFormat="1" x14ac:dyDescent="0.35">
      <c r="A195" s="110" t="s">
        <v>197</v>
      </c>
      <c r="B195" s="111"/>
      <c r="C195" s="111"/>
      <c r="D195" s="111"/>
      <c r="E195" s="111"/>
      <c r="F195" s="111"/>
      <c r="G195" s="111"/>
      <c r="H195" s="112"/>
      <c r="J195" s="58" t="e">
        <f t="shared" si="4"/>
        <v>#DIV/0!</v>
      </c>
      <c r="K195" s="57"/>
      <c r="L195" s="57"/>
      <c r="M195" s="57"/>
    </row>
    <row r="196" spans="1:14" s="34" customFormat="1" ht="30.75" customHeight="1" x14ac:dyDescent="0.35">
      <c r="A196" s="143" t="s">
        <v>206</v>
      </c>
      <c r="B196" s="143"/>
      <c r="C196" s="143"/>
      <c r="D196" s="143"/>
      <c r="E196" s="143"/>
      <c r="F196" s="143"/>
      <c r="G196" s="143"/>
      <c r="H196" s="143"/>
      <c r="I196" s="33"/>
      <c r="J196" s="58" t="e">
        <f t="shared" si="4"/>
        <v>#DIV/0!</v>
      </c>
      <c r="K196" s="57"/>
      <c r="L196" s="57"/>
      <c r="M196" s="57"/>
    </row>
    <row r="197" spans="1:14" s="34" customFormat="1" ht="15.75" customHeight="1" x14ac:dyDescent="0.35">
      <c r="A197" s="118">
        <v>201</v>
      </c>
      <c r="B197" s="118"/>
      <c r="C197" s="46">
        <v>3</v>
      </c>
      <c r="D197" s="47">
        <f>(3.5*5.41+2.7+3.65*1.9+0.7*0.6+2.65*2.8+1*0.9+1.525*2.275+3.2*2.92+3.35*2.725+0.35*0.6+1.525*2.45+1.375*2.45+1.725*1.075+1.575*1.075+3*(3*0.6)+3.55*1.5+3.4*1.23+3.25*1.5+3.75*1.375+(3.1*0.9)+3.3*0.6+3.201*0.6)*(10.764)</f>
        <v>1095.1667649000001</v>
      </c>
      <c r="E197" s="47">
        <f>(2.8*1.5)*(10.764)</f>
        <v>45.208799999999989</v>
      </c>
      <c r="F197" s="39">
        <v>1807</v>
      </c>
      <c r="G197" s="180" t="str">
        <f>A196</f>
        <v>2nd Floor 
(Residential 1st level)</v>
      </c>
      <c r="H197" s="181"/>
      <c r="I197" s="33"/>
      <c r="J197" s="58">
        <f t="shared" si="4"/>
        <v>1.6086967359358002</v>
      </c>
      <c r="K197" s="57"/>
      <c r="L197" s="57"/>
      <c r="M197" s="57"/>
      <c r="N197" s="33"/>
    </row>
    <row r="198" spans="1:14" s="34" customFormat="1" ht="15.75" customHeight="1" x14ac:dyDescent="0.35">
      <c r="A198" s="118">
        <f>A197+1</f>
        <v>202</v>
      </c>
      <c r="B198" s="118"/>
      <c r="C198" s="46">
        <v>4</v>
      </c>
      <c r="D198" s="47">
        <f>(3.65*5.15+0.7*3.148+4.15*1.9+2.3*0.6+2.6*0.9+2.2*1.825+1.525*1.225+2.2*1.525+2.65*3.01+3.05*2.975+3.05*4.125+1.375*2.3+3.35*4.575+2.05*1.525+2*(2.275*1.825)+5.8*1+2.9*0.6+2*(3*0.6)+3.75*1.162+3.65*1.5+3.15*1.5+(2.1*0.6+3*0.6+3.75*0.6))*(10.764)</f>
        <v>1425.1748588999994</v>
      </c>
      <c r="E198" s="47">
        <f>(1.5*2.95)*(10.764)</f>
        <v>47.630700000000004</v>
      </c>
      <c r="F198" s="39">
        <v>2462</v>
      </c>
      <c r="G198" s="182"/>
      <c r="H198" s="183"/>
      <c r="I198" s="33">
        <f>1425+E198</f>
        <v>1472.6306999999999</v>
      </c>
      <c r="J198" s="58">
        <f t="shared" si="4"/>
        <v>1.6940863676640323</v>
      </c>
      <c r="K198" s="57"/>
      <c r="L198" s="57"/>
      <c r="M198" s="57"/>
      <c r="N198" s="33"/>
    </row>
    <row r="199" spans="1:14" s="34" customFormat="1" ht="15.75" customHeight="1" x14ac:dyDescent="0.35">
      <c r="A199" s="118">
        <f>A198+1</f>
        <v>203</v>
      </c>
      <c r="B199" s="118"/>
      <c r="C199" s="46">
        <v>4</v>
      </c>
      <c r="D199" s="47">
        <f>(3.65*5.15+0.7*3.148+4.15*1.9+2.3*0.6+2.6*0.9+2.2*1.825+1.525*1.225+2.2*1.525+2.65*3.01+3.05*2.975+3.05*4.125+1.375*2.3+3.35*4.575+2.05*1.525+2*(2.275*1.825)+5.8*1+2.9*0.6+2*(3*0.6)+3.75*1.162+3.65*1.5+3.15*1.5+2.1*0.6+3*0.6+3.75*0.6)*(10.764)</f>
        <v>1425.1748588999994</v>
      </c>
      <c r="E199" s="47">
        <f>(1.5*2.95)*(10.764)</f>
        <v>47.630700000000004</v>
      </c>
      <c r="F199" s="39">
        <v>2462</v>
      </c>
      <c r="G199" s="182"/>
      <c r="H199" s="183"/>
      <c r="I199" s="33"/>
      <c r="J199" s="58">
        <f t="shared" si="4"/>
        <v>1.6940863676640323</v>
      </c>
      <c r="K199" s="57"/>
      <c r="L199" s="57"/>
      <c r="M199" s="57"/>
      <c r="N199" s="33"/>
    </row>
    <row r="200" spans="1:14" s="34" customFormat="1" ht="15.75" customHeight="1" x14ac:dyDescent="0.35">
      <c r="A200" s="118">
        <f>A199+1</f>
        <v>204</v>
      </c>
      <c r="B200" s="118"/>
      <c r="C200" s="46">
        <v>3</v>
      </c>
      <c r="D200" s="47">
        <f>(3.5*5.41+2.7+3.65*1.9+0.7*0.6+2.65*2.8+1*0.9+1.525*2.275+3.2*2.92+3.35*2.725+0.35*0.6+1.525*2.45+1.375*2.45+1.725*1.075+1.575*1.075+3*(3*0.6)+3.55*1.5+3.4*1.23+3.25*1.5+3.75*1.375+(3.1*0.9)+3.3*0.6+3.201*0.6)*(10.764)</f>
        <v>1095.1667649000001</v>
      </c>
      <c r="E200" s="47">
        <f>(2.8*1.5)*(10.764)</f>
        <v>45.208799999999989</v>
      </c>
      <c r="F200" s="39">
        <v>1807</v>
      </c>
      <c r="G200" s="182"/>
      <c r="H200" s="183"/>
      <c r="I200" s="33"/>
      <c r="J200" s="58">
        <f t="shared" si="4"/>
        <v>1.6086967359358002</v>
      </c>
      <c r="K200" s="57"/>
      <c r="L200" s="57"/>
      <c r="M200" s="57"/>
      <c r="N200" s="33"/>
    </row>
    <row r="201" spans="1:14" s="34" customFormat="1" ht="15.75" customHeight="1" x14ac:dyDescent="0.35">
      <c r="A201" s="118">
        <f>A200+1</f>
        <v>205</v>
      </c>
      <c r="B201" s="118"/>
      <c r="C201" s="46">
        <v>3</v>
      </c>
      <c r="D201" s="47">
        <f>(3.5*5.4+1*2.95+3.25*2.45+2.2*1.375+2.65*3.95+0.8*0.6+1.2*0.9+1.375*2.2+2.45*1.525+2.45*1.225+2.8*2.65+0.8*0.6+3.35*2.65+1.575*1.075+1.875*1.075+2.45*0.6+2*(3*0.6)+3.7*1.5+3.55*1.5+2.85*1.5+3.55*0.6+3.2*0.6)*(10.764)</f>
        <v>1069.7666849999996</v>
      </c>
      <c r="E201" s="47">
        <f>(2.75*1.5)*(10.764)</f>
        <v>44.401499999999999</v>
      </c>
      <c r="F201" s="39">
        <v>1817</v>
      </c>
      <c r="G201" s="182"/>
      <c r="H201" s="183"/>
      <c r="I201" s="33"/>
      <c r="J201" s="58">
        <f t="shared" si="4"/>
        <v>1.656995422324262</v>
      </c>
      <c r="K201" s="57"/>
      <c r="L201" s="57"/>
      <c r="M201" s="57"/>
      <c r="N201" s="33"/>
    </row>
    <row r="202" spans="1:14" s="34" customFormat="1" ht="15.75" customHeight="1" x14ac:dyDescent="0.35">
      <c r="A202" s="118">
        <f>A201+1</f>
        <v>206</v>
      </c>
      <c r="B202" s="118"/>
      <c r="C202" s="46">
        <v>3</v>
      </c>
      <c r="D202" s="47">
        <f>(3.5*5.4+1*2.95+3.25*2.45+2.2*1.375+2.65*3.95+0.8*0.6+1.2*0.9+1.375*2.2+2.45*1.525+2.45*1.225+2.8*2.65+0.8*0.6+3.35*2.65+1.575*1.075+1.875*1.075+2.45*0.6+2*(3*0.6)+3.7*1.5+3.55*1.5+2.85*1.5+3.55*0.6+3.2*0.6)*(10.764)</f>
        <v>1069.7666849999996</v>
      </c>
      <c r="E202" s="47">
        <f>(2.75*1.5)*(10.764)</f>
        <v>44.401499999999999</v>
      </c>
      <c r="F202" s="39">
        <v>1817</v>
      </c>
      <c r="G202" s="184"/>
      <c r="H202" s="185"/>
      <c r="I202" s="33"/>
      <c r="J202" s="58">
        <f t="shared" si="4"/>
        <v>1.656995422324262</v>
      </c>
      <c r="K202" s="57"/>
      <c r="L202" s="57"/>
      <c r="M202" s="57"/>
      <c r="N202" s="33"/>
    </row>
    <row r="203" spans="1:14" s="34" customFormat="1" ht="31.5" customHeight="1" x14ac:dyDescent="0.35">
      <c r="A203" s="110" t="s">
        <v>202</v>
      </c>
      <c r="B203" s="111"/>
      <c r="C203" s="111"/>
      <c r="D203" s="111"/>
      <c r="E203" s="111"/>
      <c r="F203" s="111"/>
      <c r="G203" s="111"/>
      <c r="H203" s="112"/>
      <c r="I203" s="33"/>
      <c r="J203" s="58" t="e">
        <f t="shared" si="4"/>
        <v>#DIV/0!</v>
      </c>
      <c r="K203" s="57"/>
      <c r="L203" s="57"/>
      <c r="M203" s="57"/>
    </row>
    <row r="204" spans="1:14" s="34" customFormat="1" ht="15.75" customHeight="1" x14ac:dyDescent="0.35">
      <c r="A204" s="113" t="s">
        <v>222</v>
      </c>
      <c r="B204" s="113"/>
      <c r="C204" s="46">
        <v>3</v>
      </c>
      <c r="D204" s="47">
        <f>(3.5*5.41+2.7+3.65*1.9+0.7*0.6+2.65*2.8+1*0.9+1.525*2.275+3.2*2.92+3.35*2.725+0.35*0.6+1.525*2.45+1.375*2.45+1.725*1.075+1.575*1.075+3*(3*0.6)+3.55*1.5+3.4*1.23+3.25*1.5+3.75*1.375+(3.1*0.9)+3.3*0.6)*(10.764)</f>
        <v>1074.4934265000002</v>
      </c>
      <c r="E204" s="47">
        <f>(2.8*1.5)*(10.764)</f>
        <v>45.208799999999989</v>
      </c>
      <c r="F204" s="39">
        <v>1806</v>
      </c>
      <c r="G204" s="180" t="str">
        <f>A203</f>
        <v>4th, 6th, 10th, 14th &amp; 18th Floor 
(Residential 3rd, 5th, 9th, 13th &amp; 17th level)</v>
      </c>
      <c r="H204" s="181"/>
      <c r="I204" s="33"/>
      <c r="J204" s="58">
        <f t="shared" si="4"/>
        <v>1.6387175170866435</v>
      </c>
      <c r="K204" s="57"/>
      <c r="L204" s="57"/>
      <c r="M204" s="57"/>
    </row>
    <row r="205" spans="1:14" s="34" customFormat="1" ht="15.75" customHeight="1" x14ac:dyDescent="0.35">
      <c r="A205" s="113" t="s">
        <v>223</v>
      </c>
      <c r="B205" s="113"/>
      <c r="C205" s="46">
        <v>4</v>
      </c>
      <c r="D205" s="47">
        <f>(3.65*5.15+0.7*3.148+4.15*1.9+2.3*0.6+2.6*0.9+2.2*1.825+1.525*1.225+2.2*1.525+2.65*3.01+3.05*2.975+3.05*4.125+1.375*2.3+3.35*4.575+2.05*1.525+2*(2.275*1.825)+5.8*1+2.9*0.6+2*(3*0.6)+3.75*1.162+3.5*1.5+3.15*1.5+2.1*0.6+3*0.6+3.75*0.6)*(10.764)</f>
        <v>1422.7529588999996</v>
      </c>
      <c r="E205" s="47">
        <f>(1.5*2.95)*(10.764)</f>
        <v>47.630700000000004</v>
      </c>
      <c r="F205" s="39">
        <v>2459</v>
      </c>
      <c r="G205" s="182"/>
      <c r="H205" s="183"/>
      <c r="I205" s="33"/>
      <c r="J205" s="58">
        <f t="shared" si="4"/>
        <v>1.6948615604105637</v>
      </c>
      <c r="K205" s="57"/>
      <c r="L205" s="57"/>
      <c r="M205" s="57"/>
    </row>
    <row r="206" spans="1:14" s="34" customFormat="1" ht="15.75" customHeight="1" x14ac:dyDescent="0.35">
      <c r="A206" s="113" t="s">
        <v>224</v>
      </c>
      <c r="B206" s="113"/>
      <c r="C206" s="46">
        <v>4</v>
      </c>
      <c r="D206" s="47">
        <f>(3.65*5.15+0.7*3.148+4.15*1.9+2.3*0.6+2.6*0.9+2.2*1.825+1.525*1.225+2.2*1.525+2.65*3.01+3.05*2.975+3.05*4.125+1.375*2.3+3.35*4.575+2.05*1.525+2*(2.275*1.825)+5.8*1+2.9*0.6+2*(3*0.6)+3.75*1.162+3.5*1.5+3.15*1.5+2.1*0.6+3*0.6+3.75*0.6)*(10.764)</f>
        <v>1422.7529588999996</v>
      </c>
      <c r="E206" s="47">
        <f>(1.5*2.95)*(10.764)</f>
        <v>47.630700000000004</v>
      </c>
      <c r="F206" s="39">
        <v>2458</v>
      </c>
      <c r="G206" s="184"/>
      <c r="H206" s="185"/>
      <c r="I206" s="33"/>
      <c r="J206" s="58">
        <f t="shared" si="4"/>
        <v>1.6941586977008116</v>
      </c>
      <c r="K206" s="57"/>
      <c r="L206" s="57"/>
      <c r="M206" s="57"/>
    </row>
    <row r="207" spans="1:14" s="34" customFormat="1" ht="15.75" customHeight="1" x14ac:dyDescent="0.35">
      <c r="A207" s="113" t="s">
        <v>225</v>
      </c>
      <c r="B207" s="113"/>
      <c r="C207" s="46">
        <v>3</v>
      </c>
      <c r="D207" s="47">
        <f>(3.5*5.41+2.7+3.65*1.9+0.7*0.6+2.65*2.8+1*0.9+1.525*2.275+3.2*2.92+3.35*2.725+0.35*0.6+1.525*2.45+1.375*2.45+1.725*1.075+1.575*1.075+3*(3*0.6)+3.55*1.5+3.4*1.23+3.25*1.5+3.75*1.375+(3.1*0.9)+3.3*0.6)*(10.764)</f>
        <v>1074.4934265000002</v>
      </c>
      <c r="E207" s="47">
        <f>(2.8*1.5)*(10.764)</f>
        <v>45.208799999999989</v>
      </c>
      <c r="F207" s="39">
        <v>1806</v>
      </c>
      <c r="G207" s="180" t="str">
        <f>G204</f>
        <v>4th, 6th, 10th, 14th &amp; 18th Floor 
(Residential 3rd, 5th, 9th, 13th &amp; 17th level)</v>
      </c>
      <c r="H207" s="181"/>
      <c r="I207" s="33"/>
      <c r="J207" s="58">
        <f t="shared" si="4"/>
        <v>1.6387175170866435</v>
      </c>
      <c r="K207" s="57"/>
      <c r="L207" s="57"/>
      <c r="M207" s="57"/>
    </row>
    <row r="208" spans="1:14" s="34" customFormat="1" ht="15.75" customHeight="1" x14ac:dyDescent="0.35">
      <c r="A208" s="113" t="s">
        <v>226</v>
      </c>
      <c r="B208" s="113"/>
      <c r="C208" s="46">
        <v>3</v>
      </c>
      <c r="D208" s="47">
        <f>(3.5*5.4+1*2.95+3.25*2.45+2.2*1.376+2.65*3.95+0.8*0.6+1.2*0.9+1.375*2.2+2.45*1.525+2.45*1.225+2.8*2.65+0.8*0.6+3.35*2.65+1.575*1.075+1.875*1.075+2.45*0.6+2*(3*0.6)+3.7*1.5+3.55*1.5+2.85*1.5+3.35*0.6+3*0.6)*(10.764)</f>
        <v>1067.2070057999997</v>
      </c>
      <c r="E208" s="47">
        <f>(2.75*1.5)*(10.764)</f>
        <v>44.401499999999999</v>
      </c>
      <c r="F208" s="39">
        <v>1813</v>
      </c>
      <c r="G208" s="182"/>
      <c r="H208" s="183"/>
      <c r="I208" s="33"/>
      <c r="J208" s="58">
        <f t="shared" si="4"/>
        <v>1.6572215984229071</v>
      </c>
      <c r="K208" s="57"/>
      <c r="L208" s="57"/>
      <c r="M208" s="57"/>
    </row>
    <row r="209" spans="1:13" s="34" customFormat="1" ht="15.75" customHeight="1" x14ac:dyDescent="0.35">
      <c r="A209" s="113" t="s">
        <v>227</v>
      </c>
      <c r="B209" s="113"/>
      <c r="C209" s="46">
        <v>3</v>
      </c>
      <c r="D209" s="47">
        <f>(3.5*5.4+1*2.95+3.25*2.45+2.2*1.376+2.65*3.95+0.8*0.6+1.2*0.9+1.375*2.2+2.45*1.525+2.45*1.225+2.8*2.65+0.8*0.6+3.35*2.65+1.575*1.075+1.875*1.075+2.45*0.6+2*(3*0.6)+3.7*1.5+3.55*1.5+2.85*1.5+3.35*0.6+3*0.6)*(10.764)</f>
        <v>1067.2070057999997</v>
      </c>
      <c r="E209" s="47">
        <f>(2.75*1.5)*(10.764)</f>
        <v>44.401499999999999</v>
      </c>
      <c r="F209" s="39">
        <v>1813</v>
      </c>
      <c r="G209" s="184"/>
      <c r="H209" s="185"/>
      <c r="I209" s="33"/>
      <c r="J209" s="58">
        <f t="shared" si="4"/>
        <v>1.6572215984229071</v>
      </c>
      <c r="K209" s="57"/>
      <c r="L209" s="57"/>
      <c r="M209" s="57"/>
    </row>
    <row r="210" spans="1:13" s="34" customFormat="1" ht="32.25" customHeight="1" x14ac:dyDescent="0.35">
      <c r="A210" s="110" t="s">
        <v>201</v>
      </c>
      <c r="B210" s="111"/>
      <c r="C210" s="111"/>
      <c r="D210" s="111"/>
      <c r="E210" s="111"/>
      <c r="F210" s="111"/>
      <c r="G210" s="111"/>
      <c r="H210" s="112"/>
      <c r="I210" s="33"/>
      <c r="J210" s="58" t="e">
        <f t="shared" si="4"/>
        <v>#DIV/0!</v>
      </c>
      <c r="K210" s="57"/>
      <c r="L210" s="57"/>
      <c r="M210" s="57"/>
    </row>
    <row r="211" spans="1:13" s="34" customFormat="1" ht="15.75" customHeight="1" x14ac:dyDescent="0.35">
      <c r="A211" s="113" t="s">
        <v>230</v>
      </c>
      <c r="B211" s="113"/>
      <c r="C211" s="46">
        <v>3</v>
      </c>
      <c r="D211" s="47">
        <f>(3.5*5.41+2.7+3.65*1.9+0.7*0.6+2.65*2.8+1*0.9+1.525*2.275+3.2*3.15+3.35*2.725+0.35*0.6+1.525*2.45+1.375*2.45+1.725*1.075+1.575*1.075+3*(3*0.6)+3.65*1.5+3.65*1+3.3*1.5+3.75*1.375+3.65*0.6+3.3*0.6)*(10.764)</f>
        <v>1072.6527825000001</v>
      </c>
      <c r="E211" s="47">
        <f t="shared" ref="E211:E216" si="6">(3*1.5)*(10.764)</f>
        <v>48.437999999999995</v>
      </c>
      <c r="F211" s="39">
        <v>1808</v>
      </c>
      <c r="G211" s="180" t="str">
        <f>A210</f>
        <v>3rd, 5th, 7th, 9th, 11th, 13th, 15th &amp; 17th Floor
  (Residential 2nd, 4th, 6th, 8th, 10th, 12th, 14th &amp; 16th level)</v>
      </c>
      <c r="H211" s="181"/>
      <c r="I211" s="33"/>
      <c r="J211" s="58">
        <f t="shared" si="4"/>
        <v>1.6403835693215105</v>
      </c>
      <c r="K211" s="57"/>
      <c r="L211" s="57"/>
      <c r="M211" s="57"/>
    </row>
    <row r="212" spans="1:13" s="34" customFormat="1" ht="15.75" customHeight="1" x14ac:dyDescent="0.35">
      <c r="A212" s="113" t="s">
        <v>231</v>
      </c>
      <c r="B212" s="113"/>
      <c r="C212" s="46">
        <v>4</v>
      </c>
      <c r="D212" s="47">
        <f>(3.65*5.15+0.7*3.148+4.15*1.9+2.3*0.6+2.6*0.9+2.2*1.825+1.525*1.225+2.2*1.525+2.65*3.01+3.05*2.975+3.05*4.125+1.375*2.3+3.35*4.575+2.05*1.525+2*(2.275*1.825)+5.8*1+2.9*0.6+2*(3*0.6)+3.75*1.162+3.5*1.5+3.15*1.5+2.1*0.6+3*0.6+3.5*0.6)*(10.764)</f>
        <v>1421.1383588999995</v>
      </c>
      <c r="E212" s="47">
        <f t="shared" si="6"/>
        <v>48.437999999999995</v>
      </c>
      <c r="F212" s="39">
        <v>2446</v>
      </c>
      <c r="G212" s="182"/>
      <c r="H212" s="183"/>
      <c r="I212" s="33"/>
      <c r="J212" s="58">
        <f t="shared" si="4"/>
        <v>1.6870714839164425</v>
      </c>
      <c r="K212" s="57"/>
      <c r="L212" s="57"/>
      <c r="M212" s="57"/>
    </row>
    <row r="213" spans="1:13" s="34" customFormat="1" ht="15.75" customHeight="1" x14ac:dyDescent="0.35">
      <c r="A213" s="113" t="s">
        <v>232</v>
      </c>
      <c r="B213" s="113"/>
      <c r="C213" s="46">
        <v>4</v>
      </c>
      <c r="D213" s="47">
        <f>(3.65*5.15+0.7*3.148+4.15*1.9+2.3*0.6+2.6*0.9+2.2*1.825+1.525*1.225+2.2*1.525+2.65*3.01+3.05*2.975+3.05*4.125+1.375*2.3+3.35*4.575+2.05*1.525+2*(2.275*1.825)+5.8*1+2.9*0.6+2*(3*0.6)+3.75*1.162+3.5*1.5+3.15*1.5+2.1*0.6+3*0.6+3.5*0.6)*(10.764)</f>
        <v>1421.1383588999995</v>
      </c>
      <c r="E213" s="47">
        <f t="shared" si="6"/>
        <v>48.437999999999995</v>
      </c>
      <c r="F213" s="39">
        <v>2445</v>
      </c>
      <c r="G213" s="182"/>
      <c r="H213" s="183"/>
      <c r="I213" s="33"/>
      <c r="J213" s="58">
        <f t="shared" si="4"/>
        <v>1.6863678226622532</v>
      </c>
      <c r="K213" s="57"/>
      <c r="L213" s="57"/>
      <c r="M213" s="57"/>
    </row>
    <row r="214" spans="1:13" s="34" customFormat="1" ht="15.75" customHeight="1" x14ac:dyDescent="0.35">
      <c r="A214" s="113" t="s">
        <v>233</v>
      </c>
      <c r="B214" s="113"/>
      <c r="C214" s="46">
        <v>3</v>
      </c>
      <c r="D214" s="47">
        <f>(3.5*5.41+2.7+3.65*1.9+0.7*0.6+2.65*2.8+1*0.9+1.525*2.275+3.2*3.15+3.35*2.725+0.35*0.6+1.525*2.45+1.375*2.45+1.725*1.075+1.575*1.075+3*(3*0.6)+3.65*1.5+3.65*1+3.3*1.5+3.75*1.375+3.65*0.6+3.3*0.6)*(10.764)</f>
        <v>1072.6527825000001</v>
      </c>
      <c r="E214" s="47">
        <f t="shared" si="6"/>
        <v>48.437999999999995</v>
      </c>
      <c r="F214" s="39">
        <v>1808</v>
      </c>
      <c r="G214" s="182"/>
      <c r="H214" s="183"/>
      <c r="I214" s="33"/>
      <c r="J214" s="58">
        <f t="shared" si="4"/>
        <v>1.6403835693215105</v>
      </c>
      <c r="K214" s="57"/>
      <c r="L214" s="57"/>
      <c r="M214" s="57"/>
    </row>
    <row r="215" spans="1:13" s="34" customFormat="1" ht="15.75" customHeight="1" x14ac:dyDescent="0.35">
      <c r="A215" s="113" t="s">
        <v>234</v>
      </c>
      <c r="B215" s="113"/>
      <c r="C215" s="46">
        <v>3</v>
      </c>
      <c r="D215" s="47">
        <f>(3.5*5.4+1*2.95+3.25*2.45+2.2*1.375+2.65*3.95+0.8*0.6+1.2*0.9+1.375*2.2+2.45*1.525+2.45*1.225+2.8*2.65+0.8*0.6+3.35*2.65+1.575*1.075+1.875*1.075+2.45*0.6+2*(3*0.6)+3.7*1.5+3.55*1.5+2.85*1.5+3.35*0.6+2.7*0.6)*(10.764)</f>
        <v>1065.2458049999998</v>
      </c>
      <c r="E215" s="47">
        <f t="shared" si="6"/>
        <v>48.437999999999995</v>
      </c>
      <c r="F215" s="39">
        <v>1813</v>
      </c>
      <c r="G215" s="182"/>
      <c r="H215" s="183"/>
      <c r="I215" s="33"/>
      <c r="J215" s="58">
        <f t="shared" si="4"/>
        <v>1.6564834066631224</v>
      </c>
      <c r="K215" s="57"/>
      <c r="L215" s="57"/>
      <c r="M215" s="57"/>
    </row>
    <row r="216" spans="1:13" s="34" customFormat="1" ht="15.75" customHeight="1" x14ac:dyDescent="0.35">
      <c r="A216" s="113" t="s">
        <v>235</v>
      </c>
      <c r="B216" s="113"/>
      <c r="C216" s="46">
        <v>3</v>
      </c>
      <c r="D216" s="47">
        <f>(3.5*5.4+1*2.95+3.25*2.45+2.2*1.375+2.65*3.95+0.8*0.6+1.2*0.9+1.375*2.2+2.45*1.525+2.45*1.225+2.8*2.65+0.8*0.6+3.35*2.65+1.575*1.075+1.875*1.075+2.45*0.6+2*(3*0.6)+3.7*1.5+3.55*1.5+2.85*1.5+3.35*0.6+2.7*0.6)*(10.764)</f>
        <v>1065.2458049999998</v>
      </c>
      <c r="E216" s="47">
        <f t="shared" si="6"/>
        <v>48.437999999999995</v>
      </c>
      <c r="F216" s="39">
        <v>1813</v>
      </c>
      <c r="G216" s="184"/>
      <c r="H216" s="185"/>
      <c r="I216" s="33"/>
      <c r="J216" s="58">
        <f t="shared" si="4"/>
        <v>1.6564834066631224</v>
      </c>
      <c r="K216" s="57"/>
      <c r="L216" s="57"/>
      <c r="M216" s="57"/>
    </row>
    <row r="217" spans="1:13" s="34" customFormat="1" ht="30.75" customHeight="1" x14ac:dyDescent="0.35">
      <c r="A217" s="110" t="s">
        <v>209</v>
      </c>
      <c r="B217" s="111"/>
      <c r="C217" s="111"/>
      <c r="D217" s="111"/>
      <c r="E217" s="111"/>
      <c r="F217" s="111"/>
      <c r="G217" s="111"/>
      <c r="H217" s="112"/>
      <c r="I217" s="33"/>
      <c r="J217" s="58" t="e">
        <f t="shared" si="4"/>
        <v>#DIV/0!</v>
      </c>
      <c r="K217" s="57"/>
      <c r="L217" s="57"/>
      <c r="M217" s="57"/>
    </row>
    <row r="218" spans="1:13" s="34" customFormat="1" ht="15.75" customHeight="1" x14ac:dyDescent="0.35">
      <c r="A218" s="113" t="s">
        <v>238</v>
      </c>
      <c r="B218" s="113"/>
      <c r="C218" s="46">
        <v>3</v>
      </c>
      <c r="D218" s="47">
        <f>(3.5*5.41+2.7+3.65*1.9+0.7*0.6+2.65*2.8+1*0.9+1.525*2.275+3.2*2.88+3.35*2.725+0.35*0.6+1.525*2.45+1.375*2.45+1.725*1.075+1.575*1.075+3*(3*0.6)+3.3*1.5+3.55*1.27+3.25*1.5+3.75*1.375+(3.1*0.9)+3.2*0.6)*(10.764)</f>
        <v>1071.9477405000002</v>
      </c>
      <c r="E218" s="47">
        <f>(2.8*1.5)*(10.764)</f>
        <v>45.208799999999989</v>
      </c>
      <c r="F218" s="39">
        <v>1806</v>
      </c>
      <c r="G218" s="180" t="str">
        <f>A217</f>
        <v>8th, 12th, 16th Floor (Part Refuge Area)
(Residential 7th, 11th &amp; 15th level)</v>
      </c>
      <c r="H218" s="181"/>
      <c r="I218" s="33"/>
      <c r="J218" s="58">
        <f t="shared" si="4"/>
        <v>1.6426091809090386</v>
      </c>
      <c r="K218" s="57"/>
      <c r="L218" s="57"/>
      <c r="M218" s="57"/>
    </row>
    <row r="219" spans="1:13" s="34" customFormat="1" ht="15.75" customHeight="1" x14ac:dyDescent="0.35">
      <c r="A219" s="113" t="s">
        <v>239</v>
      </c>
      <c r="B219" s="113"/>
      <c r="C219" s="46">
        <v>4</v>
      </c>
      <c r="D219" s="47">
        <f>(3.65*5.15+0.7*3.148+4.15*1.9+2.3*0.6+2.6*0.9+2.2*1.825+1.525*1.225+2.2*1.525+2.65*3.01+3.05*2.675+3.05*4.125+1.375*2.3+3.35*4.575+2.05*1.525+2*(2.275*1.825)+5.8*1+2.9*0.6+2*(3*0.6)+3.75*1.162+3.5*1.5+3.15*1.5+2.1*0.6+3.75*0.6+3*0.5+3*0.6+3.4*0.6)*(10.764)</f>
        <v>1451.0084588999998</v>
      </c>
      <c r="E219" s="47">
        <f>(2.95*1.5)*(10.764)</f>
        <v>47.630700000000004</v>
      </c>
      <c r="F219" s="39">
        <v>2459</v>
      </c>
      <c r="G219" s="182"/>
      <c r="H219" s="183"/>
      <c r="I219" s="33"/>
      <c r="J219" s="58">
        <f t="shared" si="4"/>
        <v>1.6618575069011268</v>
      </c>
      <c r="K219" s="57"/>
      <c r="L219" s="57"/>
      <c r="M219" s="57"/>
    </row>
    <row r="220" spans="1:13" s="34" customFormat="1" ht="15.75" customHeight="1" x14ac:dyDescent="0.35">
      <c r="A220" s="113" t="s">
        <v>240</v>
      </c>
      <c r="B220" s="113"/>
      <c r="C220" s="46">
        <v>4</v>
      </c>
      <c r="D220" s="47">
        <f>(3.65*5.15+0.7*3.148+4.15*1.9+2.3*0.6+2.6*0.9+2.2*1.825+1.525*1.225+2.2*1.525+2.65*3.01+3.05*2.675+3.05*4.125+1.375*2.3+3.35*4.575+2.05*1.525+2*(2.275*1.825)+5.8*1+2.9*0.6+2*(3*0.6)+3.75*1.162+3.5*1.5+3.15*1.5+2.1*0.6+3.75*0.6+3*0.5+3*0.6+3.4*0.6)*(10.764)</f>
        <v>1451.0084588999998</v>
      </c>
      <c r="E220" s="47">
        <f>(2.95*1.5)*(10.764)</f>
        <v>47.630700000000004</v>
      </c>
      <c r="F220" s="39">
        <v>2458</v>
      </c>
      <c r="G220" s="182"/>
      <c r="H220" s="183"/>
      <c r="I220" s="33"/>
      <c r="J220" s="58">
        <f t="shared" si="4"/>
        <v>1.6611683310428702</v>
      </c>
      <c r="K220" s="57"/>
      <c r="L220" s="57"/>
      <c r="M220" s="57"/>
    </row>
    <row r="221" spans="1:13" s="34" customFormat="1" ht="15.75" customHeight="1" x14ac:dyDescent="0.35">
      <c r="A221" s="113" t="s">
        <v>241</v>
      </c>
      <c r="B221" s="113"/>
      <c r="C221" s="46">
        <v>3</v>
      </c>
      <c r="D221" s="47">
        <f>(3.5*5.41+2.7+3.65*1.9+0.7*0.6+2.65*2.8+1*0.9+1.525*2.275+3.2*2.88+3.35*2.725+0.35*0.6+1.525*2.45+1.375*2.45+1.725*1.075+1.575*1.075+3*(3*0.6)+3.3*1.5+3.55*1.27+3.25*1.5+3.75*1.375+(3.1*0.9)+3.2*0.6)*(10.764)</f>
        <v>1071.9477405000002</v>
      </c>
      <c r="E221" s="47">
        <f>(2.8*1.5)*(10.764)</f>
        <v>45.208799999999989</v>
      </c>
      <c r="F221" s="39">
        <v>1806</v>
      </c>
      <c r="G221" s="182"/>
      <c r="H221" s="183"/>
      <c r="I221" s="33"/>
      <c r="J221" s="58">
        <f t="shared" si="4"/>
        <v>1.6426091809090386</v>
      </c>
      <c r="K221" s="57"/>
      <c r="L221" s="57"/>
      <c r="M221" s="57"/>
    </row>
    <row r="222" spans="1:13" s="34" customFormat="1" ht="15.75" customHeight="1" x14ac:dyDescent="0.35">
      <c r="A222" s="113" t="s">
        <v>242</v>
      </c>
      <c r="B222" s="113"/>
      <c r="C222" s="46">
        <v>3</v>
      </c>
      <c r="D222" s="47">
        <f>(3.5*5.4+1*2.95+3.25*2.45+2.2*1.375+2.65*3.95+0.8*0.6+1.2*0.9+1.375*2.2+2.45*1.525+2.45*1.225+2.8*2.65+0.8*0.6+3.35*2.65+1.575*1.075+1.875*1.075+2.45*0.6+2*(3*0.6)+3.7*1.5+3.55*1.5+2.85*1.5+3.35*0.6+3*0.6)*(10.764)</f>
        <v>1067.1833249999997</v>
      </c>
      <c r="E222" s="47">
        <f>(2.75*1.5)*(10.764)</f>
        <v>44.401499999999999</v>
      </c>
      <c r="F222" s="39">
        <v>1813</v>
      </c>
      <c r="G222" s="184"/>
      <c r="H222" s="185"/>
      <c r="I222" s="33"/>
      <c r="J222" s="58">
        <f t="shared" si="4"/>
        <v>1.6572583721733101</v>
      </c>
      <c r="K222" s="57"/>
      <c r="L222" s="57"/>
      <c r="M222" s="57"/>
    </row>
    <row r="223" spans="1:13" s="34" customFormat="1" x14ac:dyDescent="0.35">
      <c r="A223" s="143" t="s">
        <v>198</v>
      </c>
      <c r="B223" s="143"/>
      <c r="C223" s="143"/>
      <c r="D223" s="143"/>
      <c r="E223" s="143"/>
      <c r="F223" s="143"/>
      <c r="G223" s="143"/>
      <c r="H223" s="143"/>
      <c r="I223" s="33"/>
      <c r="J223" s="58" t="e">
        <f t="shared" si="4"/>
        <v>#DIV/0!</v>
      </c>
      <c r="K223" s="57"/>
      <c r="L223" s="57"/>
      <c r="M223" s="57"/>
    </row>
    <row r="224" spans="1:13" s="34" customFormat="1" ht="32.25" customHeight="1" x14ac:dyDescent="0.35">
      <c r="A224" s="143" t="s">
        <v>207</v>
      </c>
      <c r="B224" s="143"/>
      <c r="C224" s="143"/>
      <c r="D224" s="143"/>
      <c r="E224" s="143"/>
      <c r="F224" s="143"/>
      <c r="G224" s="143"/>
      <c r="H224" s="143"/>
      <c r="I224" s="33"/>
      <c r="J224" s="58" t="e">
        <f t="shared" si="4"/>
        <v>#DIV/0!</v>
      </c>
      <c r="K224" s="57"/>
      <c r="L224" s="57"/>
      <c r="M224" s="57"/>
    </row>
    <row r="225" spans="1:14" s="34" customFormat="1" ht="15.75" customHeight="1" x14ac:dyDescent="0.35">
      <c r="A225" s="118">
        <v>201</v>
      </c>
      <c r="B225" s="118"/>
      <c r="C225" s="46">
        <v>2</v>
      </c>
      <c r="D225" s="47">
        <f>(3.2*4.46+1.725*3.35+0.4*0.6+3.05*2.85+3.35*3.575+1.525*2.275+1.375*2.275+(1.575*1)*2+3.3*1.429+3.45*1+2*(3*0.6)+2.25*0.6+3.35*0.6+3.45*0.6)*(10.764)</f>
        <v>730.90466279999987</v>
      </c>
      <c r="E225" s="47">
        <f>(2.85*1.5)*(10.764)</f>
        <v>46.016100000000002</v>
      </c>
      <c r="F225" s="39">
        <v>1250</v>
      </c>
      <c r="G225" s="180" t="str">
        <f>A224</f>
        <v>2nd Floor
 (Residential 1st level)</v>
      </c>
      <c r="H225" s="181"/>
      <c r="I225" s="33"/>
      <c r="J225" s="58">
        <f t="shared" si="4"/>
        <v>1.6472516338693142</v>
      </c>
      <c r="K225" s="57"/>
      <c r="L225" s="57"/>
      <c r="M225" s="57"/>
      <c r="N225" s="33"/>
    </row>
    <row r="226" spans="1:14" s="34" customFormat="1" ht="15.75" customHeight="1" x14ac:dyDescent="0.35">
      <c r="A226" s="118">
        <f t="shared" ref="A226:A232" si="7">A225+1</f>
        <v>202</v>
      </c>
      <c r="B226" s="118"/>
      <c r="C226" s="46" t="s">
        <v>185</v>
      </c>
      <c r="D226" s="47">
        <f>(3.2*4.75+1.8*0.55+1.775*0.6+2.95*2.275+1.9*3.05+3.05*2.55+2.8*3+1.525*2.45+1.375*2.275+1.675*1.075+1.475*1.075+2*(3*0.6)+2.275*0.6+1.9*0.6+3.45*1.15+3.45*1+3.25*1+3.45*0.6+3.45*0.6)*(10.764)</f>
        <v>829.9245824999997</v>
      </c>
      <c r="E226" s="47">
        <f>(2.75*1.4)*(10.764)</f>
        <v>41.441399999999994</v>
      </c>
      <c r="F226" s="39">
        <v>1398</v>
      </c>
      <c r="G226" s="182"/>
      <c r="H226" s="183"/>
      <c r="I226" s="33"/>
      <c r="J226" s="58">
        <f t="shared" ref="J226:J279" si="8">(F226-E226)/D226</f>
        <v>1.6345564748951156</v>
      </c>
      <c r="K226" s="57"/>
      <c r="L226" s="57"/>
      <c r="M226" s="57"/>
      <c r="N226" s="33"/>
    </row>
    <row r="227" spans="1:14" s="34" customFormat="1" ht="15.75" customHeight="1" x14ac:dyDescent="0.35">
      <c r="A227" s="118">
        <f t="shared" si="7"/>
        <v>203</v>
      </c>
      <c r="B227" s="118"/>
      <c r="C227" s="46" t="s">
        <v>185</v>
      </c>
      <c r="D227" s="47">
        <f>(3.2*4.75+1.8*0.55+1.775*0.6+2.95*2.275+1.9*3.05+3.05*2.55+2.8*3+1.525*2.45+1.375*2.275+1.675*1.075+1.475*1.075+2*(3*0.6)+2.275*0.6+1.9*0.6+3.45*1.15+3.45*1+3.25*1+3.45*0.6+3.45*0.6)*(10.764)</f>
        <v>829.9245824999997</v>
      </c>
      <c r="E227" s="47">
        <f>(2.75*1.4)*(10.764)</f>
        <v>41.441399999999994</v>
      </c>
      <c r="F227" s="39">
        <v>1398</v>
      </c>
      <c r="G227" s="182"/>
      <c r="H227" s="183"/>
      <c r="I227" s="33"/>
      <c r="J227" s="58">
        <f t="shared" si="8"/>
        <v>1.6345564748951156</v>
      </c>
      <c r="K227" s="57"/>
      <c r="L227" s="57"/>
      <c r="M227" s="57"/>
      <c r="N227" s="33"/>
    </row>
    <row r="228" spans="1:14" s="34" customFormat="1" ht="15.75" customHeight="1" x14ac:dyDescent="0.35">
      <c r="A228" s="118">
        <f t="shared" si="7"/>
        <v>204</v>
      </c>
      <c r="B228" s="118"/>
      <c r="C228" s="46">
        <v>2</v>
      </c>
      <c r="D228" s="47">
        <f>(3.2*4.46+1.725*3.35+0.4*0.6+3.05*2.85+3.35*3.575+1.525*2.275+1.375*2.275+(1.575*1)*2+3.3*1.429+3.45*1+2*(3*0.6)+2*(3.45*0.6))*(10.764)</f>
        <v>717.01910279999981</v>
      </c>
      <c r="E228" s="47">
        <f>(2.85*1.5)*(10.764)</f>
        <v>46.016100000000002</v>
      </c>
      <c r="F228" s="39">
        <v>1273</v>
      </c>
      <c r="G228" s="182"/>
      <c r="H228" s="183"/>
      <c r="I228" s="33"/>
      <c r="J228" s="58">
        <f t="shared" si="8"/>
        <v>1.7112290247338724</v>
      </c>
      <c r="K228" s="57"/>
      <c r="L228" s="57"/>
      <c r="M228" s="57"/>
      <c r="N228" s="33"/>
    </row>
    <row r="229" spans="1:14" s="34" customFormat="1" ht="15.75" customHeight="1" x14ac:dyDescent="0.35">
      <c r="A229" s="118">
        <f t="shared" si="7"/>
        <v>205</v>
      </c>
      <c r="B229" s="118"/>
      <c r="C229" s="46">
        <v>2</v>
      </c>
      <c r="D229" s="47">
        <f>(2.65*5.3+0.55*1.275+3.35*1.725+0.4*0.6+1.2*1.3+0.7*0.6+2.2*1.375+2.45*1.375+2.8*3+3.05*2.7+1.35*1.025+1.8*1.025+3*(3*0.6)+3.5*1+3.25*1+3.45*1.15+(2.9+2.7)*0.6)*(10.764)</f>
        <v>737.11871999999983</v>
      </c>
      <c r="E229" s="47">
        <f>(3*1.5)*(10.764)</f>
        <v>48.437999999999995</v>
      </c>
      <c r="F229" s="39">
        <v>1272</v>
      </c>
      <c r="G229" s="182"/>
      <c r="H229" s="183"/>
      <c r="I229" s="33"/>
      <c r="J229" s="58">
        <f t="shared" si="8"/>
        <v>1.6599252831348528</v>
      </c>
      <c r="K229" s="57"/>
      <c r="L229" s="57"/>
      <c r="M229" s="57"/>
      <c r="N229" s="33"/>
    </row>
    <row r="230" spans="1:14" s="34" customFormat="1" ht="15.75" customHeight="1" x14ac:dyDescent="0.35">
      <c r="A230" s="118">
        <f t="shared" si="7"/>
        <v>206</v>
      </c>
      <c r="B230" s="118"/>
      <c r="C230" s="46">
        <v>3</v>
      </c>
      <c r="D230" s="47">
        <f>(3.35*5.3+1*2.75+3.175*2.175+2.2*1.375+2.65*3.55+1.3*0.9+1.375*2.375+1.525*2.45+3.35*2.625+1.52*0.6+3.05*2.7+1.625*1.075+(3.45*1)*2+3.15*1+2*(3*0.6)+2.175*0.6+2*(3*0.6))*(10.764)</f>
        <v>928.47707549999996</v>
      </c>
      <c r="E230" s="47">
        <f>(2.5*1.4)*(10.764)</f>
        <v>37.673999999999999</v>
      </c>
      <c r="F230" s="39">
        <v>1624</v>
      </c>
      <c r="G230" s="182"/>
      <c r="H230" s="183"/>
      <c r="I230" s="33"/>
      <c r="J230" s="58">
        <f t="shared" si="8"/>
        <v>1.7085246818245219</v>
      </c>
      <c r="K230" s="57"/>
      <c r="L230" s="57"/>
      <c r="M230" s="57"/>
      <c r="N230" s="33"/>
    </row>
    <row r="231" spans="1:14" s="34" customFormat="1" ht="15.75" customHeight="1" x14ac:dyDescent="0.35">
      <c r="A231" s="118">
        <f t="shared" si="7"/>
        <v>207</v>
      </c>
      <c r="B231" s="118"/>
      <c r="C231" s="46">
        <v>3</v>
      </c>
      <c r="D231" s="47">
        <f>(3.35*5.3+1*2.75+3.175*2.175+2.2*1.375+2.65*3.55+1.3*0.9+1.375*2.375+1.525*2.45+3.35*2.625+1.52*0.6+3.05*2.7+1.625*1.075+(3.45*1)*2+3.15*1+2*(3*0.6)+2.175*0.6+2*(3*0.6))*(10.764)</f>
        <v>928.47707549999996</v>
      </c>
      <c r="E231" s="47">
        <f>(2.5*1.4)*(10.764)</f>
        <v>37.673999999999999</v>
      </c>
      <c r="F231" s="39">
        <v>1624</v>
      </c>
      <c r="G231" s="182"/>
      <c r="H231" s="183"/>
      <c r="I231" s="33"/>
      <c r="J231" s="58">
        <f t="shared" si="8"/>
        <v>1.7085246818245219</v>
      </c>
      <c r="K231" s="57"/>
      <c r="L231" s="57"/>
      <c r="M231" s="57"/>
      <c r="N231" s="33"/>
    </row>
    <row r="232" spans="1:14" s="34" customFormat="1" ht="15.75" customHeight="1" x14ac:dyDescent="0.35">
      <c r="A232" s="118">
        <f t="shared" si="7"/>
        <v>208</v>
      </c>
      <c r="B232" s="118"/>
      <c r="C232" s="46">
        <v>2</v>
      </c>
      <c r="D232" s="47">
        <f>(2.65*5.3+0.55*1.275+3.35*1.725+0.4*0.6+1.2*1.3+0.7*0.6+2.2*1.375+2.45*1.375+2.8*3+3.05*2.7+1.35*1.025+1.8*1.025+3*(3*0.6)+3.5*1+3.25*1+3.45*1.15+(2.9+2.7)*0.6)*(10.764)</f>
        <v>737.11871999999983</v>
      </c>
      <c r="E232" s="47">
        <f>(3*1.5)*(10.764)</f>
        <v>48.437999999999995</v>
      </c>
      <c r="F232" s="39">
        <v>1272</v>
      </c>
      <c r="G232" s="184"/>
      <c r="H232" s="185"/>
      <c r="I232" s="33"/>
      <c r="J232" s="58">
        <f t="shared" si="8"/>
        <v>1.6599252831348528</v>
      </c>
      <c r="K232" s="57"/>
      <c r="L232" s="57"/>
      <c r="M232" s="57"/>
      <c r="N232" s="33"/>
    </row>
    <row r="233" spans="1:14" s="34" customFormat="1" ht="31.5" customHeight="1" x14ac:dyDescent="0.35">
      <c r="A233" s="110" t="s">
        <v>203</v>
      </c>
      <c r="B233" s="111"/>
      <c r="C233" s="111"/>
      <c r="D233" s="111"/>
      <c r="E233" s="111"/>
      <c r="F233" s="111"/>
      <c r="G233" s="111"/>
      <c r="H233" s="112"/>
      <c r="I233" s="33"/>
      <c r="J233" s="58" t="e">
        <f t="shared" si="8"/>
        <v>#DIV/0!</v>
      </c>
      <c r="K233" s="57"/>
      <c r="L233" s="57"/>
      <c r="M233" s="57"/>
    </row>
    <row r="234" spans="1:14" s="34" customFormat="1" ht="15.75" customHeight="1" x14ac:dyDescent="0.35">
      <c r="A234" s="113" t="s">
        <v>222</v>
      </c>
      <c r="B234" s="113"/>
      <c r="C234" s="46">
        <v>2</v>
      </c>
      <c r="D234" s="47">
        <f>(3.2*4.46+1.725*3.35+0.4*0.6+3.05*2.85+3.35*3.575+1.525*2.275+1.375*2.275+(1.575*1)*2+3.3*1.429+3.45*1+2*(3*0.6)+2.25*0.6+3.35*0.6+3.45*0.65)*(10.764)</f>
        <v>732.76145280000003</v>
      </c>
      <c r="E234" s="47">
        <f>(2.85*1.5)*(10.764)</f>
        <v>46.016100000000002</v>
      </c>
      <c r="F234" s="39">
        <v>1274</v>
      </c>
      <c r="G234" s="180" t="str">
        <f>A233</f>
        <v>4th, 6th, 10th, 14th &amp; 18th Floor
 (Residential 3rd, 5th, 9th, 13th &amp; 17th level)</v>
      </c>
      <c r="H234" s="181"/>
      <c r="I234" s="33"/>
      <c r="J234" s="58">
        <f t="shared" si="8"/>
        <v>1.6758303746842507</v>
      </c>
      <c r="K234" s="57"/>
      <c r="L234" s="57"/>
      <c r="M234" s="57"/>
    </row>
    <row r="235" spans="1:14" s="34" customFormat="1" ht="15.75" customHeight="1" x14ac:dyDescent="0.35">
      <c r="A235" s="113" t="s">
        <v>223</v>
      </c>
      <c r="B235" s="113"/>
      <c r="C235" s="46" t="s">
        <v>185</v>
      </c>
      <c r="D235" s="47">
        <f>(3.2*4.75+1.8*0.55+1.775*0.6+2.95*2.275+1.9*3.05+3.05*2.55+2.8*3+1.525*2.45+1.375*2.275+1.675*1.075+1.475*1.075+2*(3*0.6)+2.275*0.6+1.9*0.6+3.45*1.15+3.45*1+3.25*1+3.45*0.6+3.45*0.6)*(10.764)</f>
        <v>829.9245824999997</v>
      </c>
      <c r="E235" s="47">
        <f>(2.75*1.4)*(10.764)</f>
        <v>41.441399999999994</v>
      </c>
      <c r="F235" s="39">
        <v>1398</v>
      </c>
      <c r="G235" s="182"/>
      <c r="H235" s="183"/>
      <c r="I235" s="33"/>
      <c r="J235" s="58">
        <f t="shared" si="8"/>
        <v>1.6345564748951156</v>
      </c>
      <c r="K235" s="57"/>
      <c r="L235" s="57"/>
      <c r="M235" s="57"/>
    </row>
    <row r="236" spans="1:14" s="34" customFormat="1" ht="15.75" customHeight="1" x14ac:dyDescent="0.35">
      <c r="A236" s="113" t="s">
        <v>224</v>
      </c>
      <c r="B236" s="113"/>
      <c r="C236" s="46" t="s">
        <v>185</v>
      </c>
      <c r="D236" s="47">
        <f>(3.2*4.75+1.8*0.55+1.775*0.6+2.95*2.275+1.9*3.05+3.05*2.55+2.8*3+1.525*2.45+1.375*2.275+1.675*1.075+1.475*1.075+2*(3*0.6)+2.275*0.6+1.9*0.6+3.45*1.15+3.45*1+3.25*1+3.45*0.6+3.45*0.6)*(10.764)</f>
        <v>829.9245824999997</v>
      </c>
      <c r="E236" s="47">
        <f>(2.75*1.4)*(10.764)</f>
        <v>41.441399999999994</v>
      </c>
      <c r="F236" s="39">
        <v>1398</v>
      </c>
      <c r="G236" s="182"/>
      <c r="H236" s="183"/>
      <c r="I236" s="33"/>
      <c r="J236" s="58">
        <f t="shared" si="8"/>
        <v>1.6345564748951156</v>
      </c>
      <c r="K236" s="57"/>
      <c r="L236" s="57"/>
      <c r="M236" s="57"/>
    </row>
    <row r="237" spans="1:14" s="34" customFormat="1" ht="15.75" customHeight="1" x14ac:dyDescent="0.35">
      <c r="A237" s="113" t="s">
        <v>225</v>
      </c>
      <c r="B237" s="113"/>
      <c r="C237" s="46">
        <v>2</v>
      </c>
      <c r="D237" s="47">
        <f>(3.2*4.46+1.725*3.35+0.4*0.6+3.05*2.85+3.35*3.575+1.525*2.275+1.375*2.275+(1.575*1)*2+3.3*1.429+3.45*1+2*(3*0.6)+2*(3.45*0.6))*(10.764)</f>
        <v>717.01910279999981</v>
      </c>
      <c r="E237" s="47">
        <f>(2.85*1.5)*(10.764)</f>
        <v>46.016100000000002</v>
      </c>
      <c r="F237" s="39">
        <v>1274</v>
      </c>
      <c r="G237" s="182"/>
      <c r="H237" s="183"/>
      <c r="I237" s="33"/>
      <c r="J237" s="58">
        <f t="shared" si="8"/>
        <v>1.7126236877157861</v>
      </c>
      <c r="K237" s="57"/>
      <c r="L237" s="57"/>
      <c r="M237" s="57"/>
    </row>
    <row r="238" spans="1:14" s="34" customFormat="1" ht="15.75" customHeight="1" x14ac:dyDescent="0.35">
      <c r="A238" s="113" t="s">
        <v>226</v>
      </c>
      <c r="B238" s="113"/>
      <c r="C238" s="46">
        <v>2</v>
      </c>
      <c r="D238" s="47">
        <f>(2.65*5.3+0.55*1.275+3.35*1.725+0.4*0.6+1.2*1.3+0.7*0.6+2.2*1.375+2.45*1.375+2.8*3+3.05*2.7+1.35*1.025+1.8*1.025+3*(3*0.6)+3.5*1+3.25*1+3.45*1.15+(2.9+2.7)*0.6)*(10.764)</f>
        <v>737.11871999999983</v>
      </c>
      <c r="E238" s="47">
        <f>(3*1.5)*(10.764)</f>
        <v>48.437999999999995</v>
      </c>
      <c r="F238" s="39">
        <v>1274</v>
      </c>
      <c r="G238" s="182"/>
      <c r="H238" s="183"/>
      <c r="I238" s="33"/>
      <c r="J238" s="58">
        <f t="shared" si="8"/>
        <v>1.6626385502731502</v>
      </c>
      <c r="K238" s="57"/>
      <c r="L238" s="57"/>
      <c r="M238" s="57"/>
    </row>
    <row r="239" spans="1:14" s="34" customFormat="1" ht="15.75" customHeight="1" x14ac:dyDescent="0.35">
      <c r="A239" s="113" t="s">
        <v>227</v>
      </c>
      <c r="B239" s="113"/>
      <c r="C239" s="46">
        <v>3</v>
      </c>
      <c r="D239" s="47">
        <f>(3.35*5.3+1*2.75+3.175*2.175+2.2*1.375+2.65*3.55+1.3*0.9+1.375*2.375+1.525*2.45+3.35*2.625+1.52*0.6+3.05*2.7+1.625*1.075+(3.45*1)*2+3.15*1+2*(3*0.6)+2.175*0.6+2*(3*0.6))*(10.764)</f>
        <v>928.47707549999996</v>
      </c>
      <c r="E239" s="47">
        <f>(2.5*1.4)*(10.764)</f>
        <v>37.673999999999999</v>
      </c>
      <c r="F239" s="39">
        <v>1624</v>
      </c>
      <c r="G239" s="182"/>
      <c r="H239" s="183"/>
      <c r="I239" s="33"/>
      <c r="J239" s="58">
        <f t="shared" si="8"/>
        <v>1.7085246818245219</v>
      </c>
      <c r="K239" s="57"/>
      <c r="L239" s="57"/>
      <c r="M239" s="57"/>
    </row>
    <row r="240" spans="1:14" s="34" customFormat="1" ht="15.75" customHeight="1" x14ac:dyDescent="0.35">
      <c r="A240" s="113" t="s">
        <v>228</v>
      </c>
      <c r="B240" s="113"/>
      <c r="C240" s="46">
        <v>3</v>
      </c>
      <c r="D240" s="47">
        <f>(3.35*5.3+1*2.75+3.175*2.175+2.2*1.375+2.65*3.55+1.3*0.9+1.375*2.375+1.525*2.45+3.35*2.625+1.52*0.6+3.05*2.7+1.625*1.075+(3.45*1)*2+3.15*1+2*(3*0.6)+2.175*0.6+2*(3*0.6))*(10.764)</f>
        <v>928.47707549999996</v>
      </c>
      <c r="E240" s="47">
        <f>(2.5*1.4)*(10.764)</f>
        <v>37.673999999999999</v>
      </c>
      <c r="F240" s="39">
        <v>1624</v>
      </c>
      <c r="G240" s="182"/>
      <c r="H240" s="183"/>
      <c r="I240" s="33"/>
      <c r="J240" s="58">
        <f t="shared" si="8"/>
        <v>1.7085246818245219</v>
      </c>
      <c r="K240" s="57"/>
      <c r="L240" s="57"/>
      <c r="M240" s="57"/>
    </row>
    <row r="241" spans="1:13" s="34" customFormat="1" ht="15.75" customHeight="1" x14ac:dyDescent="0.35">
      <c r="A241" s="113" t="s">
        <v>229</v>
      </c>
      <c r="B241" s="113"/>
      <c r="C241" s="46">
        <v>2</v>
      </c>
      <c r="D241" s="47">
        <f>(2.65*5.3+0.55*1.275+3.35*1.725+0.4*0.6+1.2*1.3+0.7*0.6+2.2*1.375+2.45*1.375+2.8*3+3.05*2.7+1.35*1.025+1.8*1.025+3*(3*0.6)+3.5*1+3.25*1+3.45*1.15+(2.9+2.7)*0.6)*(10.764)</f>
        <v>737.11871999999983</v>
      </c>
      <c r="E241" s="47">
        <f>(3*1.5)*(10.764)</f>
        <v>48.437999999999995</v>
      </c>
      <c r="F241" s="39">
        <v>1272</v>
      </c>
      <c r="G241" s="184"/>
      <c r="H241" s="185"/>
      <c r="I241" s="33"/>
      <c r="J241" s="58">
        <f t="shared" si="8"/>
        <v>1.6599252831348528</v>
      </c>
      <c r="K241" s="57"/>
      <c r="L241" s="57"/>
      <c r="M241" s="57"/>
    </row>
    <row r="242" spans="1:13" s="34" customFormat="1" ht="32.25" customHeight="1" x14ac:dyDescent="0.35">
      <c r="A242" s="110" t="s">
        <v>200</v>
      </c>
      <c r="B242" s="111"/>
      <c r="C242" s="111"/>
      <c r="D242" s="111"/>
      <c r="E242" s="111"/>
      <c r="F242" s="111"/>
      <c r="G242" s="111"/>
      <c r="H242" s="112"/>
      <c r="I242" s="33"/>
      <c r="J242" s="58" t="e">
        <f t="shared" si="8"/>
        <v>#DIV/0!</v>
      </c>
      <c r="K242" s="57"/>
      <c r="L242" s="57"/>
      <c r="M242" s="57"/>
    </row>
    <row r="243" spans="1:13" s="34" customFormat="1" ht="15.75" customHeight="1" x14ac:dyDescent="0.35">
      <c r="A243" s="108" t="s">
        <v>230</v>
      </c>
      <c r="B243" s="109"/>
      <c r="C243" s="46">
        <v>2</v>
      </c>
      <c r="D243" s="47">
        <f>(3.2*4.46+1.725*3.35+0.4*0.6+3.05*2.85+3.35*3.575+1.525*2.275+1.375*2.275+(1.575*1)*2+3.3*1.389+3.45*1+2*(3*0.6)+(3*0.6)+2.7*0.6)*(10.764)</f>
        <v>707.84817479999992</v>
      </c>
      <c r="E243" s="47">
        <f>(3*1.45)*(10.764)</f>
        <v>46.823399999999992</v>
      </c>
      <c r="F243" s="39">
        <v>1274</v>
      </c>
      <c r="G243" s="180" t="str">
        <f>A242</f>
        <v>3rd, 5th, 7th, 9th, 11th, 13th, 15th &amp; 17th Floor 
(Residential 2nd, 4th, 6th, 8th, 10th, 12th, 14th &amp; 16th level)</v>
      </c>
      <c r="H243" s="181"/>
      <c r="I243" s="33"/>
      <c r="J243" s="58">
        <f t="shared" si="8"/>
        <v>1.7336720552351987</v>
      </c>
      <c r="K243" s="57"/>
      <c r="L243" s="57"/>
      <c r="M243" s="57"/>
    </row>
    <row r="244" spans="1:13" s="34" customFormat="1" ht="15.75" customHeight="1" x14ac:dyDescent="0.35">
      <c r="A244" s="108" t="s">
        <v>231</v>
      </c>
      <c r="B244" s="109"/>
      <c r="C244" s="46" t="s">
        <v>185</v>
      </c>
      <c r="D244" s="47">
        <f>(3.2*4.75+1.8*0.55+1.3*0.6+2.95*2.275+1.9*3.05+3.05*2.55+2.8*3+1.525*2.45+1.375*2.275+1.675*1.075+1.475*1.075+2*(3*0.6)+2.275*0.6+1.9*0.6+3.45*1.15+3.45*1+3.25*1+2.6*0.6+3*0.6)*(10.764)</f>
        <v>818.46092249999992</v>
      </c>
      <c r="E244" s="47">
        <f>(2.65*1.5)*(10.764)</f>
        <v>42.786899999999996</v>
      </c>
      <c r="F244" s="39">
        <v>1402</v>
      </c>
      <c r="G244" s="182"/>
      <c r="H244" s="183"/>
      <c r="I244" s="33"/>
      <c r="J244" s="58">
        <f t="shared" si="8"/>
        <v>1.6606939471810886</v>
      </c>
      <c r="K244" s="57"/>
      <c r="L244" s="57"/>
      <c r="M244" s="57">
        <f>(26900000-M245)/F244</f>
        <v>18226.875891583451</v>
      </c>
    </row>
    <row r="245" spans="1:13" s="34" customFormat="1" ht="15.75" customHeight="1" x14ac:dyDescent="0.35">
      <c r="A245" s="108" t="s">
        <v>232</v>
      </c>
      <c r="B245" s="109"/>
      <c r="C245" s="46" t="s">
        <v>185</v>
      </c>
      <c r="D245" s="47">
        <f>(3.2*4.75+1.8*0.55+1.3*0.6+2.95*2.275+1.9*3.05+3.05*2.55+2.8*3+1.525*2.45+1.375*2.275+1.675*1.075+1.475*1.075+2*(3*0.6)+2.275*0.6+1.9*0.6+3.45*1.15+3.45*1+3.25*1+2.6*0.6+3*0.6)*(10.764)</f>
        <v>818.46092249999992</v>
      </c>
      <c r="E245" s="47">
        <f>(2.65*1.5)*(10.764)</f>
        <v>42.786899999999996</v>
      </c>
      <c r="F245" s="39">
        <v>1402</v>
      </c>
      <c r="G245" s="184"/>
      <c r="H245" s="185"/>
      <c r="I245" s="33"/>
      <c r="J245" s="58">
        <f t="shared" si="8"/>
        <v>1.6606939471810886</v>
      </c>
      <c r="K245" s="57"/>
      <c r="L245" s="57"/>
      <c r="M245" s="57">
        <f>60*16*F244</f>
        <v>1345920</v>
      </c>
    </row>
    <row r="246" spans="1:13" s="34" customFormat="1" ht="15.75" customHeight="1" x14ac:dyDescent="0.35">
      <c r="A246" s="108" t="s">
        <v>233</v>
      </c>
      <c r="B246" s="109"/>
      <c r="C246" s="46">
        <v>2</v>
      </c>
      <c r="D246" s="47">
        <f>(3.2*4.46+1.725*3.35+0.4*0.6+3.05*2.85+3.35*3.575+1.525*2.275+1.375*2.275+(1.575*1)*2+3.3*1.429+3.45*1+2*(3*0.6)+3*0.6+2.7*0.6)*(10.764)</f>
        <v>709.26902280000002</v>
      </c>
      <c r="E246" s="47">
        <f>(3*1.5)*(10.764)</f>
        <v>48.437999999999995</v>
      </c>
      <c r="F246" s="39">
        <v>1274</v>
      </c>
      <c r="G246" s="180" t="str">
        <f>G243</f>
        <v>3rd, 5th, 7th, 9th, 11th, 13th, 15th &amp; 17th Floor 
(Residential 2nd, 4th, 6th, 8th, 10th, 12th, 14th &amp; 16th level)</v>
      </c>
      <c r="H246" s="181"/>
      <c r="I246" s="33"/>
      <c r="J246" s="58">
        <f t="shared" si="8"/>
        <v>1.7279226366912466</v>
      </c>
      <c r="K246" s="57"/>
      <c r="L246" s="57"/>
      <c r="M246" s="57"/>
    </row>
    <row r="247" spans="1:13" s="34" customFormat="1" ht="15.75" customHeight="1" x14ac:dyDescent="0.35">
      <c r="A247" s="108" t="s">
        <v>234</v>
      </c>
      <c r="B247" s="109"/>
      <c r="C247" s="46">
        <v>2</v>
      </c>
      <c r="D247" s="47">
        <f>(2.65*5.3+0.55*1.275+3.35*1.725+0.4*0.6+1.2*1.3+0.7*0.6+2.2*1.375+2.45*1.375+2.8*3+3.05*2.7+1.35*1.025+1.8*1.025+3*(3*0.6)+3.5*1+3.25*1+3.45*1.15+(2.9+3)*0.6)*(10.764)</f>
        <v>739.05623999999989</v>
      </c>
      <c r="E247" s="47">
        <f>(2.75*1.5)*(10.764)</f>
        <v>44.401499999999999</v>
      </c>
      <c r="F247" s="39">
        <v>1275</v>
      </c>
      <c r="G247" s="182"/>
      <c r="H247" s="183"/>
      <c r="I247" s="33"/>
      <c r="J247" s="58">
        <f t="shared" si="8"/>
        <v>1.6650945265004464</v>
      </c>
      <c r="K247" s="57"/>
      <c r="L247" s="57"/>
      <c r="M247" s="57"/>
    </row>
    <row r="248" spans="1:13" s="34" customFormat="1" ht="15.75" customHeight="1" x14ac:dyDescent="0.35">
      <c r="A248" s="108" t="s">
        <v>235</v>
      </c>
      <c r="B248" s="109"/>
      <c r="C248" s="46">
        <v>3</v>
      </c>
      <c r="D248" s="47">
        <f>(3.35*5.3+1*2.75+3.175*2.175+2.2*1.375+2.65*3.55+1.3*0.9+1.375*2.375+1.525*2.45+3.35*2.625+1.52*0.6+3.05*2.7+1.625*1.075+(3.45*1)*2+3.15*1+2*(3*0.6)+2.175*0.6+3.15*0.6+(3.45*0.6))*(10.764)</f>
        <v>932.35211549999997</v>
      </c>
      <c r="E248" s="47">
        <f>(3*1.5)*(10.764)</f>
        <v>48.437999999999995</v>
      </c>
      <c r="F248" s="39">
        <v>1616</v>
      </c>
      <c r="G248" s="182"/>
      <c r="H248" s="183"/>
      <c r="I248" s="33"/>
      <c r="J248" s="58">
        <f t="shared" si="8"/>
        <v>1.6812982712645541</v>
      </c>
      <c r="K248" s="57"/>
      <c r="L248" s="57"/>
      <c r="M248" s="57"/>
    </row>
    <row r="249" spans="1:13" s="34" customFormat="1" ht="15.75" customHeight="1" x14ac:dyDescent="0.35">
      <c r="A249" s="108" t="s">
        <v>236</v>
      </c>
      <c r="B249" s="109"/>
      <c r="C249" s="46">
        <v>3</v>
      </c>
      <c r="D249" s="47">
        <f>(3.35*5.3+1*2.75+3.175*2.175+2.2*1.375+2.65*3.55+1.3*0.9+1.375*2.375+1.525*2.45+3.35*2.625+1.52*0.6+3.05*2.7+1.625*1.075+(3.45*1)*2+3.15*1+2*(3*0.6)+2.175*0.6+3.15*0.6+(3.45*0.6))*(10.764)</f>
        <v>932.35211549999997</v>
      </c>
      <c r="E249" s="47">
        <f>(3*1.5)*(10.764)</f>
        <v>48.437999999999995</v>
      </c>
      <c r="F249" s="39">
        <v>1616</v>
      </c>
      <c r="G249" s="182"/>
      <c r="H249" s="183"/>
      <c r="I249" s="33"/>
      <c r="J249" s="58">
        <f t="shared" si="8"/>
        <v>1.6812982712645541</v>
      </c>
      <c r="K249" s="57"/>
      <c r="L249" s="57"/>
      <c r="M249" s="57"/>
    </row>
    <row r="250" spans="1:13" s="34" customFormat="1" ht="15.75" customHeight="1" x14ac:dyDescent="0.35">
      <c r="A250" s="108" t="s">
        <v>237</v>
      </c>
      <c r="B250" s="109"/>
      <c r="C250" s="46">
        <v>2</v>
      </c>
      <c r="D250" s="47">
        <f>(2.65*5.3+0.55*1.275+3.35*1.725+0.4*0.6+1.2*1.3+0.7*0.6+2.2*1.375+2.45*1.375+2.8*3+3.05*2.7+1.35*1.025+1.8*1.025+3*(3*0.6)+3.5*1+3.25*1+3.45*1.15+(2.9+3)*0.6)*(10.764)</f>
        <v>739.05623999999989</v>
      </c>
      <c r="E250" s="47">
        <f>(2.75*1.5)*(10.764)</f>
        <v>44.401499999999999</v>
      </c>
      <c r="F250" s="39">
        <v>1275</v>
      </c>
      <c r="G250" s="184"/>
      <c r="H250" s="185"/>
      <c r="I250" s="33"/>
      <c r="J250" s="58">
        <f t="shared" si="8"/>
        <v>1.6650945265004464</v>
      </c>
      <c r="K250" s="57"/>
      <c r="L250" s="57"/>
      <c r="M250" s="57"/>
    </row>
    <row r="251" spans="1:13" s="34" customFormat="1" ht="31.5" customHeight="1" x14ac:dyDescent="0.35">
      <c r="A251" s="110" t="s">
        <v>209</v>
      </c>
      <c r="B251" s="111"/>
      <c r="C251" s="111"/>
      <c r="D251" s="111"/>
      <c r="E251" s="111"/>
      <c r="F251" s="111"/>
      <c r="G251" s="111"/>
      <c r="H251" s="112"/>
      <c r="I251" s="33"/>
      <c r="J251" s="58" t="e">
        <f t="shared" si="8"/>
        <v>#DIV/0!</v>
      </c>
      <c r="K251" s="57"/>
      <c r="L251" s="57"/>
      <c r="M251" s="57"/>
    </row>
    <row r="252" spans="1:13" s="34" customFormat="1" ht="15.75" customHeight="1" x14ac:dyDescent="0.35">
      <c r="A252" s="113" t="s">
        <v>238</v>
      </c>
      <c r="B252" s="113"/>
      <c r="C252" s="46">
        <v>2</v>
      </c>
      <c r="D252" s="47">
        <f>(3.2*4.46+1.725*3.35+0.4*0.6+3.05*2.85+3.35*3.575+1.525*2.275+1.375*2.275+(1.575*1)*2+3.3*1.429+3.45*1+2*(3*0.6)+2.25*0.6+3.35*0.6+3.45*0.65)*(10.764)</f>
        <v>732.76145280000003</v>
      </c>
      <c r="E252" s="47">
        <f>(2.85*1.5)*(10.764)</f>
        <v>46.016100000000002</v>
      </c>
      <c r="F252" s="39">
        <v>1274</v>
      </c>
      <c r="G252" s="180" t="str">
        <f>A251</f>
        <v>8th, 12th, 16th Floor (Part Refuge Area)
(Residential 7th, 11th &amp; 15th level)</v>
      </c>
      <c r="H252" s="181"/>
      <c r="I252" s="33"/>
      <c r="J252" s="58">
        <f t="shared" si="8"/>
        <v>1.6758303746842507</v>
      </c>
      <c r="K252" s="57"/>
      <c r="L252" s="57"/>
      <c r="M252" s="57"/>
    </row>
    <row r="253" spans="1:13" s="34" customFormat="1" ht="15.75" customHeight="1" x14ac:dyDescent="0.35">
      <c r="A253" s="113" t="s">
        <v>239</v>
      </c>
      <c r="B253" s="113"/>
      <c r="C253" s="46" t="s">
        <v>185</v>
      </c>
      <c r="D253" s="47">
        <f>(3.2*4.75+1.8*0.55+1.775*0.6+2.95*2.275+1.9*3.05+3.05*2.55+2.8*3+1.525*2.45+1.375*2.275+1.675*1.075+1.475*1.075+2*(3*0.6)+2.275*0.6+1.9*0.6+3.45*1.15+3.45*1+3.25*1+3.45*0.6+3.45*0.6)*(10.764)</f>
        <v>829.9245824999997</v>
      </c>
      <c r="E253" s="47">
        <f>(2.75*1.4)*(10.764)</f>
        <v>41.441399999999994</v>
      </c>
      <c r="F253" s="39">
        <v>1398</v>
      </c>
      <c r="G253" s="182"/>
      <c r="H253" s="183"/>
      <c r="I253" s="33"/>
      <c r="J253" s="58">
        <f t="shared" si="8"/>
        <v>1.6345564748951156</v>
      </c>
      <c r="K253" s="57"/>
      <c r="L253" s="57"/>
      <c r="M253" s="57"/>
    </row>
    <row r="254" spans="1:13" s="34" customFormat="1" ht="15.75" customHeight="1" x14ac:dyDescent="0.35">
      <c r="A254" s="113" t="s">
        <v>240</v>
      </c>
      <c r="B254" s="113"/>
      <c r="C254" s="46" t="s">
        <v>185</v>
      </c>
      <c r="D254" s="47">
        <f>(3.2*4.75+1.8*0.55+1.775*0.6+2.95*2.275+1.9*3.05+3.05*2.55+2.8*3+1.525*2.45+1.375*2.275+1.675*1.075+1.475*1.075+2*(3*0.6)+2.275*0.6+1.9*0.6+3.45*1.15+3.45*1+3.25*1+3.45*0.6+3.45*0.6)*(10.764)</f>
        <v>829.9245824999997</v>
      </c>
      <c r="E254" s="47">
        <f>(2.75*1.4)*(10.764)</f>
        <v>41.441399999999994</v>
      </c>
      <c r="F254" s="39">
        <v>1398</v>
      </c>
      <c r="G254" s="182"/>
      <c r="H254" s="183"/>
      <c r="I254" s="33"/>
      <c r="J254" s="58">
        <f t="shared" si="8"/>
        <v>1.6345564748951156</v>
      </c>
      <c r="K254" s="57"/>
      <c r="L254" s="57"/>
      <c r="M254" s="57"/>
    </row>
    <row r="255" spans="1:13" s="34" customFormat="1" ht="15.75" customHeight="1" x14ac:dyDescent="0.35">
      <c r="A255" s="113" t="s">
        <v>241</v>
      </c>
      <c r="B255" s="113"/>
      <c r="C255" s="46">
        <v>2</v>
      </c>
      <c r="D255" s="47">
        <f>(3.2*4.46+1.725*3.35+0.4*0.6+3.05*2.85+3.35*3.575+1.525*2.275+1.375*2.275+(1.575*1)*2+3.3*1.429+3.45*1+2*(3*0.6)+2*(3.45*0.6))*(10.764)</f>
        <v>717.01910279999981</v>
      </c>
      <c r="E255" s="47">
        <f>(2.85*1.5)*(10.764)</f>
        <v>46.016100000000002</v>
      </c>
      <c r="F255" s="39">
        <v>1274</v>
      </c>
      <c r="G255" s="182"/>
      <c r="H255" s="183"/>
      <c r="I255" s="33"/>
      <c r="J255" s="58">
        <f t="shared" si="8"/>
        <v>1.7126236877157861</v>
      </c>
      <c r="K255" s="57"/>
      <c r="L255" s="57"/>
      <c r="M255" s="57"/>
    </row>
    <row r="256" spans="1:13" s="34" customFormat="1" ht="15.75" customHeight="1" x14ac:dyDescent="0.35">
      <c r="A256" s="113" t="s">
        <v>242</v>
      </c>
      <c r="B256" s="113"/>
      <c r="C256" s="46">
        <v>2</v>
      </c>
      <c r="D256" s="47">
        <f>(2.65*5.3+0.55*1.275+3.35*1.725+0.4*0.6+1.2*1.3+0.7*0.6+2.2*1.375+2.45*1.375+2.8*3+3.05*2.7+1.35*1.025+1.8*1.025+3*(3*0.6)+3.5*1+3.25*1+3.45*1.15+(2.9+2.7)*0.6)*(10.764)</f>
        <v>737.11871999999983</v>
      </c>
      <c r="E256" s="47">
        <f>(2.8*1.5)*(10.764)</f>
        <v>45.208799999999989</v>
      </c>
      <c r="F256" s="39">
        <v>1274</v>
      </c>
      <c r="G256" s="182"/>
      <c r="H256" s="183"/>
      <c r="I256" s="33"/>
      <c r="J256" s="58">
        <f t="shared" si="8"/>
        <v>1.6670193913946458</v>
      </c>
      <c r="K256" s="57"/>
      <c r="L256" s="57"/>
      <c r="M256" s="57"/>
    </row>
    <row r="257" spans="1:14" s="34" customFormat="1" ht="15.75" customHeight="1" x14ac:dyDescent="0.35">
      <c r="A257" s="113" t="s">
        <v>243</v>
      </c>
      <c r="B257" s="113"/>
      <c r="C257" s="46">
        <v>3</v>
      </c>
      <c r="D257" s="47">
        <f>(3.35*5.3+1*2.75+3.175*2.175+2.2*1.375+2.65*3.55+1.3*0.9+1.375*2.375+1.525*2.45+3.35*2.625+1.52*0.6+3.05*2.7+1.625*1.075+(3.45*1)*2+3.15*1+2*(3*0.6)+2.175*0.6+2*(3.45*0.6))*(10.764)</f>
        <v>934.28963550000003</v>
      </c>
      <c r="E257" s="47">
        <f>(2.5*1.4)*(10.764)</f>
        <v>37.673999999999999</v>
      </c>
      <c r="F257" s="39">
        <v>1624</v>
      </c>
      <c r="G257" s="182"/>
      <c r="H257" s="183"/>
      <c r="I257" s="33"/>
      <c r="J257" s="58">
        <f t="shared" si="8"/>
        <v>1.6978953203853666</v>
      </c>
      <c r="K257" s="57"/>
      <c r="L257" s="57"/>
      <c r="M257" s="57"/>
    </row>
    <row r="258" spans="1:14" s="34" customFormat="1" ht="15.75" customHeight="1" x14ac:dyDescent="0.35">
      <c r="A258" s="113" t="s">
        <v>244</v>
      </c>
      <c r="B258" s="113"/>
      <c r="C258" s="46">
        <v>3</v>
      </c>
      <c r="D258" s="47">
        <f>(3.35*5.3+1*2.75+3.175*2.175+2.2*1.375+2.65*3.55+1.3*0.9+1.375*2.375+1.525*2.45+3.35*2.625+1.52*0.6+3.05*2.7+1.625*1.075+(3.45*1)*2+3.15*1+2*(3*0.6)+2.175*0.6+2*(3.45*0.6))*(10.764)</f>
        <v>934.28963550000003</v>
      </c>
      <c r="E258" s="47">
        <f>(2.5*1.4)*(10.764)</f>
        <v>37.673999999999999</v>
      </c>
      <c r="F258" s="39">
        <v>1624</v>
      </c>
      <c r="G258" s="184"/>
      <c r="H258" s="185"/>
      <c r="I258" s="33"/>
      <c r="J258" s="58">
        <f t="shared" si="8"/>
        <v>1.6978953203853666</v>
      </c>
      <c r="K258" s="57"/>
      <c r="L258" s="57"/>
      <c r="M258" s="57"/>
    </row>
    <row r="259" spans="1:14" s="34" customFormat="1" x14ac:dyDescent="0.35">
      <c r="A259" s="110" t="s">
        <v>194</v>
      </c>
      <c r="B259" s="111"/>
      <c r="C259" s="111"/>
      <c r="D259" s="111"/>
      <c r="E259" s="111"/>
      <c r="F259" s="111"/>
      <c r="G259" s="111"/>
      <c r="H259" s="112"/>
      <c r="J259" s="58" t="e">
        <f t="shared" si="8"/>
        <v>#DIV/0!</v>
      </c>
      <c r="K259" s="57"/>
      <c r="L259" s="57"/>
      <c r="M259" s="57"/>
    </row>
    <row r="260" spans="1:14" s="34" customFormat="1" ht="30.75" customHeight="1" x14ac:dyDescent="0.35">
      <c r="A260" s="143" t="s">
        <v>208</v>
      </c>
      <c r="B260" s="143"/>
      <c r="C260" s="143"/>
      <c r="D260" s="143"/>
      <c r="E260" s="143"/>
      <c r="F260" s="143"/>
      <c r="G260" s="143"/>
      <c r="H260" s="143"/>
      <c r="I260" s="33"/>
      <c r="J260" s="58" t="e">
        <f t="shared" si="8"/>
        <v>#DIV/0!</v>
      </c>
      <c r="K260" s="57"/>
      <c r="L260" s="57"/>
      <c r="M260" s="57"/>
    </row>
    <row r="261" spans="1:14" s="54" customFormat="1" ht="15.75" customHeight="1" x14ac:dyDescent="0.35">
      <c r="A261" s="118">
        <v>201</v>
      </c>
      <c r="B261" s="118"/>
      <c r="C261" s="220" t="s">
        <v>199</v>
      </c>
      <c r="D261" s="221"/>
      <c r="E261" s="221"/>
      <c r="F261" s="222"/>
      <c r="G261" s="180" t="str">
        <f>A260</f>
        <v>2nd Floor For Residential &amp; Part Stilt Area
(Residential 1st level)</v>
      </c>
      <c r="H261" s="181"/>
      <c r="I261" s="53"/>
      <c r="J261" s="58" t="e">
        <f t="shared" si="8"/>
        <v>#DIV/0!</v>
      </c>
      <c r="K261" s="57"/>
      <c r="L261" s="57"/>
      <c r="M261" s="57"/>
      <c r="N261" s="53"/>
    </row>
    <row r="262" spans="1:14" s="54" customFormat="1" ht="15.75" customHeight="1" x14ac:dyDescent="0.35">
      <c r="A262" s="118">
        <v>202</v>
      </c>
      <c r="B262" s="118"/>
      <c r="C262" s="46">
        <v>2</v>
      </c>
      <c r="D262" s="47">
        <f>(3.875*2.5+2.95*0.55+2.9*1.7+2.2*1.325+1.05*1.475+2.275*1.375+0.55*1.47+3.1*3.05+1.05*1.675+3.05*3.05+2*(3*0.6)+2.3*0.55+2.75*1.5+0.7*(2.7+3.05))*(10.764)</f>
        <v>626.15937149999991</v>
      </c>
      <c r="E262" s="47">
        <f>(20.737+2.7*1.4)*(10.764)</f>
        <v>263.90098799999998</v>
      </c>
      <c r="F262" s="39">
        <v>1272</v>
      </c>
      <c r="G262" s="182"/>
      <c r="H262" s="183"/>
      <c r="I262" s="53"/>
      <c r="J262" s="58">
        <f t="shared" si="8"/>
        <v>1.6099719302851641</v>
      </c>
      <c r="K262" s="57"/>
      <c r="L262" s="57"/>
      <c r="M262" s="57"/>
      <c r="N262" s="53"/>
    </row>
    <row r="263" spans="1:14" s="34" customFormat="1" ht="15.75" customHeight="1" x14ac:dyDescent="0.35">
      <c r="A263" s="118">
        <v>203</v>
      </c>
      <c r="B263" s="118"/>
      <c r="C263" s="50">
        <v>2</v>
      </c>
      <c r="D263" s="47">
        <f>(2.5*4.068+1*0.55+2.125*2.45+2.2*1.375+2.275*1.375+2.5*2.85+3.05*3.05+1.6+1.55+2.125*0.4+2*(3*0.55)+3.45*1.307+2.55+0.75*(2.5+2.7))*(10.764)</f>
        <v>611.02949309999985</v>
      </c>
      <c r="E263" s="51">
        <f>(3*1.5)*(10.764)</f>
        <v>48.437999999999995</v>
      </c>
      <c r="F263" s="52">
        <v>1084</v>
      </c>
      <c r="G263" s="182"/>
      <c r="H263" s="183"/>
      <c r="I263" s="33"/>
      <c r="J263" s="58">
        <f t="shared" si="8"/>
        <v>1.6947823496148686</v>
      </c>
      <c r="K263" s="57"/>
      <c r="L263" s="57"/>
      <c r="M263" s="57"/>
      <c r="N263" s="33"/>
    </row>
    <row r="264" spans="1:14" s="34" customFormat="1" ht="15.75" customHeight="1" x14ac:dyDescent="0.35">
      <c r="A264" s="118">
        <v>204</v>
      </c>
      <c r="B264" s="118"/>
      <c r="C264" s="46">
        <v>2</v>
      </c>
      <c r="D264" s="47">
        <f>(3.05*3.63+1.7*3.1+3.05*2.4+3.05*2.45+1.525*2.275+1.374*2.275+1.57*2+2*(3*0.5)+3*0.4+3.35*1+3.25*1.15+3.05*1.5+2*(3*0.7))*(10.764)</f>
        <v>655.86908789999995</v>
      </c>
      <c r="E264" s="47">
        <f>(2.7*1.5)*(10.764)</f>
        <v>43.594200000000008</v>
      </c>
      <c r="F264" s="39">
        <v>1139</v>
      </c>
      <c r="G264" s="184"/>
      <c r="H264" s="185"/>
      <c r="I264" s="33"/>
      <c r="J264" s="58">
        <f t="shared" si="8"/>
        <v>1.6701592134908116</v>
      </c>
      <c r="K264" s="57"/>
      <c r="L264" s="57"/>
      <c r="M264" s="57"/>
      <c r="N264" s="33"/>
    </row>
    <row r="265" spans="1:14" s="34" customFormat="1" ht="32.25" customHeight="1" x14ac:dyDescent="0.35">
      <c r="A265" s="143" t="s">
        <v>204</v>
      </c>
      <c r="B265" s="143"/>
      <c r="C265" s="143"/>
      <c r="D265" s="143"/>
      <c r="E265" s="143"/>
      <c r="F265" s="143"/>
      <c r="G265" s="143"/>
      <c r="H265" s="143"/>
      <c r="I265" s="33"/>
      <c r="J265" s="58" t="e">
        <f t="shared" si="8"/>
        <v>#DIV/0!</v>
      </c>
      <c r="K265" s="57"/>
      <c r="L265" s="57"/>
      <c r="M265" s="57"/>
    </row>
    <row r="266" spans="1:14" s="34" customFormat="1" ht="15.75" customHeight="1" x14ac:dyDescent="0.35">
      <c r="A266" s="113" t="s">
        <v>222</v>
      </c>
      <c r="B266" s="113"/>
      <c r="C266" s="46">
        <v>2</v>
      </c>
      <c r="D266" s="47">
        <f>(3.63*3.05+1.25*0.55+2.75*1.7+2.4*3.05+2.45*3.05+2.275*1.525+2.275*1.375+3.25*1+(1.65+3+3)*0.6+3.1+3.5*1.15+3.15*1.5+(2.7+3)*0.5)*(10.764)</f>
        <v>649.75809600000002</v>
      </c>
      <c r="E266" s="47">
        <f>(2.7*1.5)*(10.764)</f>
        <v>43.594200000000008</v>
      </c>
      <c r="F266" s="72">
        <v>1126</v>
      </c>
      <c r="G266" s="118" t="str">
        <f>A265</f>
        <v>4th, 6th, 10th, 14th &amp; 18th Floor
(Residential 3rd, 5th, 9th, 13th &amp; 17th level)</v>
      </c>
      <c r="H266" s="118"/>
      <c r="I266" s="33"/>
      <c r="J266" s="58">
        <f t="shared" si="8"/>
        <v>1.665859658638251</v>
      </c>
      <c r="K266" s="57"/>
      <c r="L266" s="57"/>
      <c r="M266" s="57"/>
    </row>
    <row r="267" spans="1:14" s="34" customFormat="1" ht="15.75" customHeight="1" x14ac:dyDescent="0.35">
      <c r="A267" s="113" t="s">
        <v>223</v>
      </c>
      <c r="B267" s="113"/>
      <c r="C267" s="46">
        <v>2</v>
      </c>
      <c r="D267" s="47">
        <f>(3.875*2.5+2.95*0.55+2.9*1.7+2.2*1.325+1.05*1.475+2.275*1.375+0.55*1.47+3.1*3.05+1.05*1.675+3.05*3.05+2*(3*0.6)+2.3*0.55+2.75*1.5+0.7*(2.7+3.05))*(10.764)</f>
        <v>626.15937149999991</v>
      </c>
      <c r="E267" s="47">
        <f>(2.7*1.5)*(10.764)</f>
        <v>43.594200000000008</v>
      </c>
      <c r="F267" s="72">
        <v>1094</v>
      </c>
      <c r="G267" s="118" t="str">
        <f>G266</f>
        <v>4th, 6th, 10th, 14th &amp; 18th Floor
(Residential 3rd, 5th, 9th, 13th &amp; 17th level)</v>
      </c>
      <c r="H267" s="118"/>
      <c r="I267" s="33"/>
      <c r="J267" s="58">
        <f t="shared" si="8"/>
        <v>1.6775374574107131</v>
      </c>
      <c r="K267" s="57"/>
      <c r="L267" s="57"/>
      <c r="M267" s="57">
        <f>26900000/F267</f>
        <v>24588.665447897623</v>
      </c>
    </row>
    <row r="268" spans="1:14" s="34" customFormat="1" ht="15.75" customHeight="1" x14ac:dyDescent="0.35">
      <c r="A268" s="113" t="s">
        <v>224</v>
      </c>
      <c r="B268" s="113"/>
      <c r="C268" s="46">
        <v>2</v>
      </c>
      <c r="D268" s="47">
        <f>(2.5*4.068+1*0.55+2.125*2.45+2.2*1.375+2.275*1.375+2.5*2.85+3.05*3.05+1.6+1.55+2.125*0.4+2*(3*0.55)+3.45*1.307+2.55+0.75*(2.5+2.7))*(10.764)</f>
        <v>611.02949309999985</v>
      </c>
      <c r="E268" s="47">
        <f>(3*1.5)*(10.764)</f>
        <v>48.437999999999995</v>
      </c>
      <c r="F268" s="72">
        <v>1085</v>
      </c>
      <c r="G268" s="118" t="str">
        <f>G267</f>
        <v>4th, 6th, 10th, 14th &amp; 18th Floor
(Residential 3rd, 5th, 9th, 13th &amp; 17th level)</v>
      </c>
      <c r="H268" s="118"/>
      <c r="I268" s="33"/>
      <c r="J268" s="58">
        <f t="shared" si="8"/>
        <v>1.6964189318278262</v>
      </c>
      <c r="K268" s="57"/>
      <c r="L268" s="57"/>
      <c r="M268" s="57"/>
    </row>
    <row r="269" spans="1:14" s="34" customFormat="1" ht="15.75" customHeight="1" x14ac:dyDescent="0.35">
      <c r="A269" s="113" t="s">
        <v>225</v>
      </c>
      <c r="B269" s="113"/>
      <c r="C269" s="46">
        <v>2</v>
      </c>
      <c r="D269" s="47">
        <f>(3.05*3.63+1.7*3.1+3.05*2.4+3.05*2.45+1.525*2.275+1.374*2.275+1.57*2+2*(3*0.5)+3*0.4+3.35*1+3.25*1.15+3.05*1.5+2*(3*0.7))*(10.764)</f>
        <v>655.86908789999995</v>
      </c>
      <c r="E269" s="47">
        <f>(2.7*1.5)*(10.764)</f>
        <v>43.594200000000008</v>
      </c>
      <c r="F269" s="72">
        <v>1141</v>
      </c>
      <c r="G269" s="118" t="str">
        <f>G268</f>
        <v>4th, 6th, 10th, 14th &amp; 18th Floor
(Residential 3rd, 5th, 9th, 13th &amp; 17th level)</v>
      </c>
      <c r="H269" s="118"/>
      <c r="I269" s="33"/>
      <c r="J269" s="58">
        <f t="shared" si="8"/>
        <v>1.6732086025181307</v>
      </c>
      <c r="K269" s="57"/>
      <c r="L269" s="57"/>
      <c r="M269" s="57"/>
    </row>
    <row r="270" spans="1:14" s="34" customFormat="1" ht="31.5" customHeight="1" x14ac:dyDescent="0.35">
      <c r="A270" s="143" t="s">
        <v>201</v>
      </c>
      <c r="B270" s="143"/>
      <c r="C270" s="143"/>
      <c r="D270" s="143"/>
      <c r="E270" s="143"/>
      <c r="F270" s="143"/>
      <c r="G270" s="143"/>
      <c r="H270" s="143"/>
      <c r="I270" s="33"/>
      <c r="J270" s="58" t="e">
        <f t="shared" si="8"/>
        <v>#DIV/0!</v>
      </c>
      <c r="K270" s="57"/>
      <c r="L270" s="57"/>
      <c r="M270" s="57"/>
    </row>
    <row r="271" spans="1:14" s="34" customFormat="1" ht="15.75" customHeight="1" x14ac:dyDescent="0.35">
      <c r="A271" s="118" t="s">
        <v>230</v>
      </c>
      <c r="B271" s="118"/>
      <c r="C271" s="46">
        <v>2</v>
      </c>
      <c r="D271" s="47">
        <f>(3.63*3.05+1.25*0.55+2.75*1.7+2.4*3.05+2.45*3.05+2.275*1.525+2.275*1.375+3.25*1+(1.65+2.7+3)*0.6+3.1+3.5*1.15+3.15*1.5+(2.7+3)*0.7)*(10.764)</f>
        <v>660.09153599999991</v>
      </c>
      <c r="E271" s="47">
        <f>(2.7*1.5)*(10.764)</f>
        <v>43.594200000000008</v>
      </c>
      <c r="F271" s="72">
        <f>1126</f>
        <v>1126</v>
      </c>
      <c r="G271" s="118" t="str">
        <f>A270</f>
        <v>3rd, 5th, 7th, 9th, 11th, 13th, 15th &amp; 17th Floor
  (Residential 2nd, 4th, 6th, 8th, 10th, 12th, 14th &amp; 16th level)</v>
      </c>
      <c r="H271" s="118"/>
      <c r="I271" s="33"/>
      <c r="J271" s="58">
        <f t="shared" si="8"/>
        <v>1.6397813651105506</v>
      </c>
      <c r="K271" s="57"/>
      <c r="L271" s="57"/>
      <c r="M271" s="57"/>
    </row>
    <row r="272" spans="1:14" s="34" customFormat="1" ht="15.75" customHeight="1" x14ac:dyDescent="0.35">
      <c r="A272" s="118" t="s">
        <v>231</v>
      </c>
      <c r="B272" s="118"/>
      <c r="C272" s="46">
        <v>2</v>
      </c>
      <c r="D272" s="47">
        <f>(3.875*2.5+2.95*0.55+2.9*1.7+2.2*1.325+1*1.475+2.275*1.375+0.55*1.47+3.1*3.05+1.05*1.675+3.05*3.05+2*(3*0.6)+1.4*0.55+2.65*1.5+0.7*(2.8+3.05))*(10.764)</f>
        <v>619.17622649999998</v>
      </c>
      <c r="E272" s="47">
        <f>(2.7*1.5)*(10.764)</f>
        <v>43.594200000000008</v>
      </c>
      <c r="F272" s="72">
        <v>1094</v>
      </c>
      <c r="G272" s="118"/>
      <c r="H272" s="118"/>
      <c r="I272" s="33"/>
      <c r="J272" s="58">
        <f t="shared" si="8"/>
        <v>1.6964569294554463</v>
      </c>
      <c r="K272" s="57"/>
      <c r="L272" s="57"/>
      <c r="M272" s="57"/>
    </row>
    <row r="273" spans="1:14" s="34" customFormat="1" ht="15.75" customHeight="1" x14ac:dyDescent="0.35">
      <c r="A273" s="118" t="s">
        <v>232</v>
      </c>
      <c r="B273" s="118"/>
      <c r="C273" s="46">
        <v>2</v>
      </c>
      <c r="D273" s="47">
        <f>(2.5*4.115+1*0.55+2.125*2.45+2.2*1.375+2.275*1.375+2.5*3.65+3.05*3.05+1.6+1.55+2*(3*0.55)+2.125*0.55+3.45*1.22+0.7*(3.45+2.8))*(10.764)</f>
        <v>611.68717349999997</v>
      </c>
      <c r="E273" s="47">
        <f>(2.65*1.5)*(10.764)</f>
        <v>42.786899999999996</v>
      </c>
      <c r="F273" s="72">
        <v>1085</v>
      </c>
      <c r="G273" s="118"/>
      <c r="H273" s="118"/>
      <c r="I273" s="33"/>
      <c r="J273" s="58">
        <f t="shared" si="8"/>
        <v>1.7038335037116812</v>
      </c>
      <c r="K273" s="57"/>
      <c r="L273" s="57"/>
      <c r="M273" s="57"/>
    </row>
    <row r="274" spans="1:14" s="34" customFormat="1" ht="15.75" customHeight="1" x14ac:dyDescent="0.35">
      <c r="A274" s="118" t="s">
        <v>233</v>
      </c>
      <c r="B274" s="118"/>
      <c r="C274" s="46">
        <v>2</v>
      </c>
      <c r="D274" s="47">
        <f>(3.05*4.018+1.7*3.1+3.05*2.4+3.05*2.45+1.525*2.275+1.374*2.275+1.57*2+2*(3*0.55)+3*0.4+3.35*1+3.25*1.15+3.05*1.112+3*0.7+2.7*0.7)*(10.764)</f>
        <v>656.83784789999993</v>
      </c>
      <c r="E274" s="47">
        <f>(2.95*1.5)*(10.764)</f>
        <v>47.630700000000004</v>
      </c>
      <c r="F274" s="72">
        <v>1142</v>
      </c>
      <c r="G274" s="118"/>
      <c r="H274" s="118"/>
      <c r="I274" s="33"/>
      <c r="J274" s="58">
        <f t="shared" si="8"/>
        <v>1.666117906419138</v>
      </c>
      <c r="K274" s="57"/>
      <c r="L274" s="57"/>
      <c r="M274" s="57"/>
    </row>
    <row r="275" spans="1:14" s="34" customFormat="1" ht="32.25" customHeight="1" x14ac:dyDescent="0.35">
      <c r="A275" s="143" t="s">
        <v>209</v>
      </c>
      <c r="B275" s="143"/>
      <c r="C275" s="143"/>
      <c r="D275" s="143"/>
      <c r="E275" s="143"/>
      <c r="F275" s="143"/>
      <c r="G275" s="143"/>
      <c r="H275" s="143"/>
      <c r="I275" s="33"/>
      <c r="J275" s="58" t="e">
        <f t="shared" si="8"/>
        <v>#DIV/0!</v>
      </c>
      <c r="K275" s="57"/>
      <c r="L275" s="57"/>
      <c r="M275" s="57"/>
    </row>
    <row r="276" spans="1:14" s="34" customFormat="1" ht="15.75" customHeight="1" x14ac:dyDescent="0.35">
      <c r="A276" s="113" t="s">
        <v>238</v>
      </c>
      <c r="B276" s="113"/>
      <c r="C276" s="46">
        <v>2</v>
      </c>
      <c r="D276" s="47">
        <f>(3.63*3.05+1.25*0.55+2.75*1.7+2.4*3.05+2.45*3.05+2.275*1.525+2.275*1.375+3.25*1+(1.65+3+3)*0.6+3.1+3.5*1.15+3.15*1.5+(2.7+3)*0.5)*(10.764)</f>
        <v>649.75809600000002</v>
      </c>
      <c r="E276" s="47">
        <f>(2.7*1.5)*(10.764)</f>
        <v>43.594200000000008</v>
      </c>
      <c r="F276" s="39">
        <v>1126</v>
      </c>
      <c r="G276" s="180" t="str">
        <f>A275</f>
        <v>8th, 12th, 16th Floor (Part Refuge Area)
(Residential 7th, 11th &amp; 15th level)</v>
      </c>
      <c r="H276" s="181"/>
      <c r="I276" s="33"/>
      <c r="J276" s="58">
        <f t="shared" si="8"/>
        <v>1.665859658638251</v>
      </c>
      <c r="K276" s="57"/>
      <c r="L276" s="57"/>
      <c r="M276" s="57"/>
    </row>
    <row r="277" spans="1:14" s="34" customFormat="1" ht="15.75" customHeight="1" x14ac:dyDescent="0.35">
      <c r="A277" s="113" t="s">
        <v>239</v>
      </c>
      <c r="B277" s="113"/>
      <c r="C277" s="108" t="s">
        <v>190</v>
      </c>
      <c r="D277" s="219"/>
      <c r="E277" s="219"/>
      <c r="F277" s="109"/>
      <c r="G277" s="182" t="str">
        <f>G276</f>
        <v>8th, 12th, 16th Floor (Part Refuge Area)
(Residential 7th, 11th &amp; 15th level)</v>
      </c>
      <c r="H277" s="183"/>
      <c r="I277" s="33"/>
      <c r="J277" s="58" t="e">
        <f t="shared" si="8"/>
        <v>#DIV/0!</v>
      </c>
      <c r="K277" s="57"/>
      <c r="L277" s="57"/>
      <c r="M277" s="57"/>
    </row>
    <row r="278" spans="1:14" s="34" customFormat="1" ht="15.75" customHeight="1" x14ac:dyDescent="0.35">
      <c r="A278" s="113" t="s">
        <v>240</v>
      </c>
      <c r="B278" s="113"/>
      <c r="C278" s="46">
        <v>2</v>
      </c>
      <c r="D278" s="47">
        <f>(2.5*4.068+1*0.55+2.125*2.45+2.2*1.375+2.275*1.375+2.5*2.85+3.05*3.05+1.6+1.55+2.125*0.4+2*(3*0.55)+3.45*1.307+2.55+0.75*(2.5+2.7))*(10.764)</f>
        <v>611.02949309999985</v>
      </c>
      <c r="E278" s="47">
        <f>(3*1.5)*(10.764)</f>
        <v>48.437999999999995</v>
      </c>
      <c r="F278" s="39">
        <v>1085</v>
      </c>
      <c r="G278" s="182" t="str">
        <f>G277</f>
        <v>8th, 12th, 16th Floor (Part Refuge Area)
(Residential 7th, 11th &amp; 15th level)</v>
      </c>
      <c r="H278" s="183"/>
      <c r="I278" s="33"/>
      <c r="J278" s="58">
        <f t="shared" si="8"/>
        <v>1.6964189318278262</v>
      </c>
      <c r="K278" s="57"/>
      <c r="L278" s="57"/>
      <c r="M278" s="57"/>
    </row>
    <row r="279" spans="1:14" s="34" customFormat="1" ht="15.75" customHeight="1" x14ac:dyDescent="0.35">
      <c r="A279" s="113" t="s">
        <v>241</v>
      </c>
      <c r="B279" s="113"/>
      <c r="C279" s="46">
        <v>2</v>
      </c>
      <c r="D279" s="47">
        <f>(3.05*3.63+1.7*3.1+3.05*2.4+3.05*2.45+1.525*2.275+1.374*2.275+1.57*2+2*(3*0.5)+3*0.4+3.35*1+3.25*1.15+3.05*1.5+2*(3*0.7))*(10.764)</f>
        <v>655.86908789999995</v>
      </c>
      <c r="E279" s="47">
        <f>(2.7*1.5)*(10.764)</f>
        <v>43.594200000000008</v>
      </c>
      <c r="F279" s="39">
        <v>1141</v>
      </c>
      <c r="G279" s="184" t="str">
        <f>G278</f>
        <v>8th, 12th, 16th Floor (Part Refuge Area)
(Residential 7th, 11th &amp; 15th level)</v>
      </c>
      <c r="H279" s="185"/>
      <c r="I279" s="33"/>
      <c r="J279" s="58">
        <f t="shared" si="8"/>
        <v>1.6732086025181307</v>
      </c>
      <c r="K279" s="57"/>
      <c r="L279" s="57"/>
      <c r="M279" s="57"/>
    </row>
    <row r="280" spans="1:14" s="34" customFormat="1" ht="15.75" hidden="1" customHeight="1" x14ac:dyDescent="0.35">
      <c r="A280" s="110" t="s">
        <v>117</v>
      </c>
      <c r="B280" s="111"/>
      <c r="C280" s="111"/>
      <c r="D280" s="111"/>
      <c r="E280" s="111"/>
      <c r="F280" s="111"/>
      <c r="G280" s="111"/>
      <c r="H280" s="112"/>
      <c r="J280" s="57"/>
      <c r="K280" s="57"/>
      <c r="L280" s="57"/>
      <c r="M280" s="57"/>
    </row>
    <row r="281" spans="1:14" s="34" customFormat="1" ht="15.75" hidden="1" customHeight="1" x14ac:dyDescent="0.35">
      <c r="A281" s="108">
        <v>1</v>
      </c>
      <c r="B281" s="109"/>
      <c r="C281" s="46"/>
      <c r="D281" s="39"/>
      <c r="E281" s="39">
        <v>0</v>
      </c>
      <c r="F281" s="39" t="e">
        <f>D281*((#REF!)+1)+(IF(E281&lt;101,E281,IF(E281&lt;201,E281/2,IF(E281&lt;=301,E281/3,E281/4))))</f>
        <v>#REF!</v>
      </c>
      <c r="G281" s="108" t="str">
        <f>A280</f>
        <v>Ground Floor</v>
      </c>
      <c r="H281" s="109"/>
      <c r="I281" s="33"/>
      <c r="J281" s="57"/>
      <c r="K281" s="57"/>
      <c r="L281" s="57"/>
      <c r="M281" s="57"/>
      <c r="N281" s="33"/>
    </row>
    <row r="282" spans="1:14" s="34" customFormat="1" ht="15.75" hidden="1" customHeight="1" x14ac:dyDescent="0.35">
      <c r="A282" s="108">
        <f t="shared" ref="A282:A284" si="9">A281+1</f>
        <v>2</v>
      </c>
      <c r="B282" s="109"/>
      <c r="C282" s="46"/>
      <c r="D282" s="39"/>
      <c r="E282" s="39">
        <v>0</v>
      </c>
      <c r="F282" s="39" t="e">
        <f>D282*((#REF!)+1)+(IF(E282&lt;101,E282,IF(E282&lt;201,E282/2,IF(E282&lt;=301,E282/3,E282/4))))</f>
        <v>#REF!</v>
      </c>
      <c r="G282" s="108" t="str">
        <f t="shared" ref="G282:G284" si="10">G281</f>
        <v>Ground Floor</v>
      </c>
      <c r="H282" s="109"/>
      <c r="I282" s="33"/>
      <c r="J282" s="57"/>
      <c r="K282" s="57"/>
      <c r="L282" s="57"/>
      <c r="M282" s="57"/>
      <c r="N282" s="33"/>
    </row>
    <row r="283" spans="1:14" s="34" customFormat="1" ht="15.75" hidden="1" customHeight="1" x14ac:dyDescent="0.35">
      <c r="A283" s="108">
        <f t="shared" si="9"/>
        <v>3</v>
      </c>
      <c r="B283" s="109"/>
      <c r="C283" s="46"/>
      <c r="D283" s="39"/>
      <c r="E283" s="39">
        <v>0</v>
      </c>
      <c r="F283" s="39" t="e">
        <f>D283*((#REF!)+1)+(IF(E283&lt;101,E283,IF(E283&lt;201,E283/2,IF(E283&lt;=301,E283/3,E283/4))))</f>
        <v>#REF!</v>
      </c>
      <c r="G283" s="108" t="str">
        <f t="shared" si="10"/>
        <v>Ground Floor</v>
      </c>
      <c r="H283" s="109"/>
      <c r="I283" s="33"/>
      <c r="J283" s="57"/>
      <c r="K283" s="57"/>
      <c r="L283" s="57"/>
      <c r="M283" s="57"/>
      <c r="N283" s="33"/>
    </row>
    <row r="284" spans="1:14" s="34" customFormat="1" ht="15.75" hidden="1" customHeight="1" x14ac:dyDescent="0.35">
      <c r="A284" s="108">
        <f t="shared" si="9"/>
        <v>4</v>
      </c>
      <c r="B284" s="109"/>
      <c r="C284" s="46"/>
      <c r="D284" s="39"/>
      <c r="E284" s="39">
        <v>0</v>
      </c>
      <c r="F284" s="39" t="e">
        <f>D284*((#REF!)+1)+(IF(E284&lt;101,E284,IF(E284&lt;201,E284/2,IF(E284&lt;=301,E284/3,E284/4))))</f>
        <v>#REF!</v>
      </c>
      <c r="G284" s="108" t="str">
        <f t="shared" si="10"/>
        <v>Ground Floor</v>
      </c>
      <c r="H284" s="109"/>
      <c r="I284" s="33"/>
      <c r="J284" s="57"/>
      <c r="K284" s="57"/>
      <c r="L284" s="57"/>
      <c r="M284" s="57"/>
      <c r="N284" s="33"/>
    </row>
    <row r="285" spans="1:14" s="34" customFormat="1" ht="15.75" hidden="1" customHeight="1" x14ac:dyDescent="0.35">
      <c r="A285" s="143" t="s">
        <v>118</v>
      </c>
      <c r="B285" s="143"/>
      <c r="C285" s="143"/>
      <c r="D285" s="143"/>
      <c r="E285" s="143"/>
      <c r="F285" s="143"/>
      <c r="G285" s="143"/>
      <c r="H285" s="143"/>
      <c r="I285" s="33"/>
      <c r="J285" s="57"/>
      <c r="K285" s="57"/>
      <c r="L285" s="57"/>
      <c r="M285" s="57"/>
    </row>
    <row r="286" spans="1:14" s="34" customFormat="1" ht="15.75" hidden="1" customHeight="1" x14ac:dyDescent="0.35">
      <c r="A286" s="118">
        <f>LEFT(A285,SUM(LEN(A285)-LEN(SUBSTITUTE(A285,{"0","1","2","3","4","5","6","7","8","9"},""))))*100+1</f>
        <v>201</v>
      </c>
      <c r="B286" s="118"/>
      <c r="C286" s="46"/>
      <c r="D286" s="39"/>
      <c r="E286" s="39">
        <v>0</v>
      </c>
      <c r="F286" s="39" t="e">
        <f>D286*((#REF!)+1)+(IF(E286&lt;101,E286,IF(E286&lt;201,E286/2,IF(E286&lt;=301,E286/3,E286/4))))</f>
        <v>#REF!</v>
      </c>
      <c r="G286" s="118" t="str">
        <f>A285</f>
        <v>2nd Floor</v>
      </c>
      <c r="H286" s="118"/>
      <c r="I286" s="33"/>
      <c r="J286" s="57"/>
      <c r="K286" s="57"/>
      <c r="L286" s="57"/>
      <c r="M286" s="57"/>
      <c r="N286" s="33"/>
    </row>
    <row r="287" spans="1:14" s="34" customFormat="1" ht="15.75" hidden="1" customHeight="1" x14ac:dyDescent="0.35">
      <c r="A287" s="118">
        <f>A286+1</f>
        <v>202</v>
      </c>
      <c r="B287" s="118"/>
      <c r="C287" s="46"/>
      <c r="D287" s="39"/>
      <c r="E287" s="39">
        <v>0</v>
      </c>
      <c r="F287" s="39" t="e">
        <f>D287*((#REF!)+1)+(IF(E287&lt;101,E287,IF(E287&lt;201,E287/2,IF(E287&lt;=301,E287/3,E287/4))))</f>
        <v>#REF!</v>
      </c>
      <c r="G287" s="118" t="str">
        <f>G286</f>
        <v>2nd Floor</v>
      </c>
      <c r="H287" s="118"/>
      <c r="I287" s="33"/>
      <c r="J287" s="57"/>
      <c r="K287" s="57"/>
      <c r="L287" s="57"/>
      <c r="M287" s="57"/>
      <c r="N287" s="33"/>
    </row>
    <row r="288" spans="1:14" s="34" customFormat="1" ht="15.75" hidden="1" customHeight="1" x14ac:dyDescent="0.35">
      <c r="A288" s="118">
        <f>A287+1</f>
        <v>203</v>
      </c>
      <c r="B288" s="118"/>
      <c r="C288" s="46"/>
      <c r="D288" s="39"/>
      <c r="E288" s="39">
        <v>0</v>
      </c>
      <c r="F288" s="39" t="e">
        <f>D288*((#REF!)+1)+(IF(E288&lt;101,E288,IF(E288&lt;201,E288/2,IF(E288&lt;=301,E288/3,E288/4))))</f>
        <v>#REF!</v>
      </c>
      <c r="G288" s="118" t="str">
        <f>G287</f>
        <v>2nd Floor</v>
      </c>
      <c r="H288" s="118"/>
      <c r="I288" s="33"/>
      <c r="J288" s="57"/>
      <c r="K288" s="57"/>
      <c r="L288" s="57"/>
      <c r="M288" s="57"/>
      <c r="N288" s="33"/>
    </row>
    <row r="289" spans="1:14" s="34" customFormat="1" ht="15.75" hidden="1" customHeight="1" x14ac:dyDescent="0.35">
      <c r="A289" s="118">
        <f>A288+1</f>
        <v>204</v>
      </c>
      <c r="B289" s="118"/>
      <c r="C289" s="46"/>
      <c r="D289" s="39"/>
      <c r="E289" s="39">
        <v>0</v>
      </c>
      <c r="F289" s="39" t="e">
        <f>D289*((#REF!)+1)+(IF(E289&lt;101,E289,IF(E289&lt;201,E289/2,IF(E289&lt;=301,E289/3,E289/4))))</f>
        <v>#REF!</v>
      </c>
      <c r="G289" s="118" t="str">
        <f>G288</f>
        <v>2nd Floor</v>
      </c>
      <c r="H289" s="118"/>
      <c r="I289" s="33"/>
      <c r="J289" s="57"/>
      <c r="K289" s="57"/>
      <c r="L289" s="57"/>
      <c r="M289" s="57"/>
      <c r="N289" s="33"/>
    </row>
    <row r="290" spans="1:14" s="34" customFormat="1" ht="15.75" hidden="1" customHeight="1" x14ac:dyDescent="0.35">
      <c r="A290" s="118">
        <f>A289+1</f>
        <v>205</v>
      </c>
      <c r="B290" s="118"/>
      <c r="C290" s="46"/>
      <c r="D290" s="39"/>
      <c r="E290" s="39">
        <v>0</v>
      </c>
      <c r="F290" s="39" t="e">
        <f>D290*((#REF!)+1)+(IF(E290&lt;101,E290,IF(E290&lt;201,E290/2,IF(E290&lt;=301,E290/3,E290/4))))</f>
        <v>#REF!</v>
      </c>
      <c r="G290" s="118" t="str">
        <f>G289</f>
        <v>2nd Floor</v>
      </c>
      <c r="H290" s="118"/>
      <c r="I290" s="33"/>
      <c r="J290" s="57"/>
      <c r="K290" s="57"/>
      <c r="L290" s="57"/>
      <c r="M290" s="57"/>
      <c r="N290" s="33"/>
    </row>
    <row r="291" spans="1:14" s="34" customFormat="1" ht="15.75" hidden="1" customHeight="1" x14ac:dyDescent="0.35">
      <c r="A291" s="110" t="s">
        <v>154</v>
      </c>
      <c r="B291" s="111"/>
      <c r="C291" s="111"/>
      <c r="D291" s="111"/>
      <c r="E291" s="111"/>
      <c r="F291" s="111"/>
      <c r="G291" s="111"/>
      <c r="H291" s="112"/>
      <c r="I291" s="33"/>
      <c r="J291" s="57"/>
      <c r="K291" s="57"/>
      <c r="L291" s="57"/>
      <c r="M291" s="57"/>
    </row>
    <row r="292" spans="1:14" s="34" customFormat="1" ht="15.75" hidden="1" customHeight="1" x14ac:dyDescent="0.35">
      <c r="A292" s="108" t="str">
        <f ca="1">(SUMPRODUCT(MID(0&amp;(LEFT(A291,SUM(LEN(A291)-LEN(SUBSTITUTE(A291,{"0","1","2"},""))))), LARGE(INDEX(ISNUMBER(--MID((LEFT(A291,SUM(LEN(A291)-LEN(SUBSTITUTE(A291,{"0","1","2"},""))))), ROW(INDIRECT("1:"&amp;LEN((LEFT(A291,SUM(LEN(A291)-LEN(SUBSTITUTE(A291,{"0","1","2"},"")))))))), 1)) * ROW(INDIRECT("1:"&amp;LEN((LEFT(A291,SUM(LEN(A291)-LEN(SUBSTITUTE(A291,{"0","1","2"},"")))))))), 0), ROW(INDIRECT("1:"&amp;LEN((LEFT(A291,SUM(LEN(A291)-LEN(SUBSTITUTE(A291,{"0","1","2"},"")))))))))+1, 1) * 10^ROW(INDIRECT("1:"&amp;LEN((LEFT(A291,SUM(LEN(A291)-LEN(SUBSTITUTE(A291,{"0","1","2"},""))))))))/10))*100+1&amp;""&amp;" ,.., "&amp;""&amp;(SUMPRODUCT(MID(0&amp;(--TRIM(RIGHT(SUBSTITUTE(LEFT(A291,_xlfn.AGGREGATE(16,6,FIND({0,1,2,3,4,5,6,7,8,9},A291,ROW(INDIRECT("1:"&amp;LEN(A291)))),1))," ",REPT(" ",LEN(A291))),LEN(A291)))), LARGE(INDEX(ISNUMBER(--MID((--TRIM(RIGHT(SUBSTITUTE(LEFT(A291,_xlfn.AGGREGATE(16,6,FIND({0,1,2,3,4,5,6,7,8,9},A291,ROW(INDIRECT("1:"&amp;LEN(A291)))),1))," ",REPT(" ",LEN(A291))),LEN(A291)))), ROW(INDIRECT("1:"&amp;LEN((--TRIM(RIGHT(SUBSTITUTE(LEFT(A291,_xlfn.AGGREGATE(16,6,FIND({0,1,2,3,4,5,6,7,8,9},A291,ROW(INDIRECT("1:"&amp;LEN(A291)))),1))," ",REPT(" ",LEN(A291))),LEN(A291))))))), 1)) * ROW(INDIRECT("1:"&amp;LEN((--TRIM(RIGHT(SUBSTITUTE(LEFT(A291,_xlfn.AGGREGATE(16,6,FIND({0,1,2,3,4,5,6,7,8,9},A291,ROW(INDIRECT("1:"&amp;LEN(A291)))),1))," ",REPT(" ",LEN(A291))),LEN(A291))))))), 0), ROW(INDIRECT("1:"&amp;LEN((--TRIM(RIGHT(SUBSTITUTE(LEFT(A291,_xlfn.AGGREGATE(16,6,FIND({0,1,2,3,4,5,6,7,8,9},A291,ROW(INDIRECT("1:"&amp;LEN(A291)))),1))," ",REPT(" ",LEN(A291))),LEN(A291))))))))+1, 1) * 10^ROW(INDIRECT("1:"&amp;LEN((--TRIM(RIGHT(SUBSTITUTE(LEFT(A291,_xlfn.AGGREGATE(16,6,FIND({0,1,2,3,4,5,6,7,8,9},A291,ROW(INDIRECT("1:"&amp;LEN(A291)))),1))," ",REPT(" ",LEN(A291))),LEN(A291)))))))/10))*100+1</f>
        <v>301 ,.., 1501</v>
      </c>
      <c r="B292" s="109"/>
      <c r="C292" s="46"/>
      <c r="D292" s="39"/>
      <c r="E292" s="39">
        <v>0</v>
      </c>
      <c r="F292" s="39" t="e">
        <f>D292*((#REF!)+1)+(IF(E292&lt;101,E292,IF(E292&lt;201,E292/2,IF(E292&lt;=301,E292/3,E292/4))))</f>
        <v>#REF!</v>
      </c>
      <c r="G292" s="108" t="str">
        <f>A291</f>
        <v>3rd, 5th, 7th, 9th, 11th, 13th, 15th Floor</v>
      </c>
      <c r="H292" s="109"/>
      <c r="I292" s="33"/>
      <c r="J292" s="57"/>
      <c r="K292" s="57"/>
      <c r="L292" s="57"/>
      <c r="M292" s="57"/>
    </row>
    <row r="293" spans="1:14" s="34" customFormat="1" ht="15.75" hidden="1" customHeight="1" x14ac:dyDescent="0.35">
      <c r="A293" s="108"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10^ROW(INDIRECT("1:"&amp;LEN((LEFT(A292,SUM(LEN(A292)-LEN(SUBSTITUTE(A292,{"0","1","2"},""))))))))/10))*1+1&amp;""&amp;" ,..,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",LEN(A292))),LEN(A292)))))))/10))*1+1</f>
        <v>302 ,.., 1502</v>
      </c>
      <c r="B293" s="109"/>
      <c r="C293" s="46"/>
      <c r="D293" s="39"/>
      <c r="E293" s="39">
        <v>0</v>
      </c>
      <c r="F293" s="39" t="e">
        <f>D293*((#REF!)+1)+(IF(E293&lt;101,E293,IF(E293&lt;201,E293/2,IF(E293&lt;=301,E293/3,E293/4))))</f>
        <v>#REF!</v>
      </c>
      <c r="G293" s="108" t="str">
        <f>G292</f>
        <v>3rd, 5th, 7th, 9th, 11th, 13th, 15th Floor</v>
      </c>
      <c r="H293" s="109"/>
      <c r="I293" s="33"/>
      <c r="J293" s="57"/>
      <c r="K293" s="57"/>
      <c r="L293" s="57"/>
      <c r="M293" s="57"/>
    </row>
    <row r="294" spans="1:14" s="34" customFormat="1" ht="15.75" hidden="1" customHeight="1" x14ac:dyDescent="0.35">
      <c r="A294" s="108"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10^ROW(INDIRECT("1:"&amp;LEN((LEFT(A293,SUM(LEN(A293)-LEN(SUBSTITUTE(A293,{"0","1","2"},""))))))))/10))*1+1&amp;""&amp;" ,..,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",LEN(A293))),LEN(A293)))))))/10))*1+1</f>
        <v>303 ,.., 1503</v>
      </c>
      <c r="B294" s="109"/>
      <c r="C294" s="46"/>
      <c r="D294" s="39"/>
      <c r="E294" s="39">
        <v>0</v>
      </c>
      <c r="F294" s="39" t="e">
        <f>D294*((#REF!)+1)+(IF(E294&lt;101,E294,IF(E294&lt;201,E294/2,IF(E294&lt;=301,E294/3,E294/4))))</f>
        <v>#REF!</v>
      </c>
      <c r="G294" s="108" t="str">
        <f>G293</f>
        <v>3rd, 5th, 7th, 9th, 11th, 13th, 15th Floor</v>
      </c>
      <c r="H294" s="109"/>
      <c r="I294" s="33"/>
      <c r="J294" s="57"/>
      <c r="K294" s="57"/>
      <c r="L294" s="57"/>
      <c r="M294" s="57"/>
    </row>
    <row r="295" spans="1:14" s="34" customFormat="1" ht="15.75" hidden="1" customHeight="1" x14ac:dyDescent="0.35">
      <c r="A295" s="108"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10^ROW(INDIRECT("1:"&amp;LEN((LEFT(A294,SUM(LEN(A294)-LEN(SUBSTITUTE(A294,{"0","1","2"},""))))))))/10))*1+1&amp;""&amp;" ,..,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",LEN(A294))),LEN(A294)))))))/10))*1+1</f>
        <v>304 ,.., 1504</v>
      </c>
      <c r="B295" s="109"/>
      <c r="C295" s="46"/>
      <c r="D295" s="39"/>
      <c r="E295" s="39">
        <v>0</v>
      </c>
      <c r="F295" s="39" t="e">
        <f>D295*((#REF!)+1)+(IF(E295&lt;101,E295,IF(E295&lt;201,E295/2,IF(E295&lt;=301,E295/3,E295/4))))</f>
        <v>#REF!</v>
      </c>
      <c r="G295" s="108" t="str">
        <f>G294</f>
        <v>3rd, 5th, 7th, 9th, 11th, 13th, 15th Floor</v>
      </c>
      <c r="H295" s="109"/>
      <c r="I295" s="33"/>
      <c r="J295" s="57"/>
      <c r="K295" s="57"/>
      <c r="L295" s="57"/>
      <c r="M295" s="57"/>
    </row>
    <row r="296" spans="1:14" s="34" customFormat="1" ht="15.75" hidden="1" customHeight="1" x14ac:dyDescent="0.35">
      <c r="A296" s="108" t="str">
        <f ca="1">(SUMPRODUCT(MID(0&amp;(LEFT(A295,SUM(LEN(A295)-LEN(SUBSTITUTE(A295,{"0","1","2"},""))))), LARGE(INDEX(ISNUMBER(--MID((LEFT(A295,SUM(LEN(A295)-LEN(SUBSTITUTE(A295,{"0","1","2"},""))))), ROW(INDIRECT("1:"&amp;LEN((LEFT(A295,SUM(LEN(A295)-LEN(SUBSTITUTE(A295,{"0","1","2"},"")))))))), 1)) * ROW(INDIRECT("1:"&amp;LEN((LEFT(A295,SUM(LEN(A295)-LEN(SUBSTITUTE(A295,{"0","1","2"},"")))))))), 0), ROW(INDIRECT("1:"&amp;LEN((LEFT(A295,SUM(LEN(A295)-LEN(SUBSTITUTE(A295,{"0","1","2"},"")))))))))+1, 1) * 10^ROW(INDIRECT("1:"&amp;LEN((LEFT(A295,SUM(LEN(A295)-LEN(SUBSTITUTE(A295,{"0","1","2"},""))))))))/10))*1+1&amp;""&amp;" ,.., "&amp;""&amp;(SUMPRODUCT(MID(0&amp;(--TRIM(RIGHT(SUBSTITUTE(LEFT(A295,_xlfn.AGGREGATE(16,6,FIND({0,1,2,3,4,5,6,7,8,9},A295,ROW(INDIRECT("1:"&amp;LEN(A295)))),1))," ",REPT(" ",LEN(A295))),LEN(A295)))), LARGE(INDEX(ISNUMBER(--MID((--TRIM(RIGHT(SUBSTITUTE(LEFT(A295,_xlfn.AGGREGATE(16,6,FIND({0,1,2,3,4,5,6,7,8,9},A295,ROW(INDIRECT("1:"&amp;LEN(A295)))),1))," ",REPT(" ",LEN(A295))),LEN(A295)))), ROW(INDIRECT("1:"&amp;LEN((--TRIM(RIGHT(SUBSTITUTE(LEFT(A295,_xlfn.AGGREGATE(16,6,FIND({0,1,2,3,4,5,6,7,8,9},A295,ROW(INDIRECT("1:"&amp;LEN(A295)))),1))," ",REPT(" ",LEN(A295))),LEN(A295))))))), 1)) * ROW(INDIRECT("1:"&amp;LEN((--TRIM(RIGHT(SUBSTITUTE(LEFT(A295,_xlfn.AGGREGATE(16,6,FIND({0,1,2,3,4,5,6,7,8,9},A295,ROW(INDIRECT("1:"&amp;LEN(A295)))),1))," ",REPT(" ",LEN(A295))),LEN(A295))))))), 0), ROW(INDIRECT("1:"&amp;LEN((--TRIM(RIGHT(SUBSTITUTE(LEFT(A295,_xlfn.AGGREGATE(16,6,FIND({0,1,2,3,4,5,6,7,8,9},A295,ROW(INDIRECT("1:"&amp;LEN(A295)))),1))," ",REPT(" ",LEN(A295))),LEN(A295))))))))+1, 1) * 10^ROW(INDIRECT("1:"&amp;LEN((--TRIM(RIGHT(SUBSTITUTE(LEFT(A295,_xlfn.AGGREGATE(16,6,FIND({0,1,2,3,4,5,6,7,8,9},A295,ROW(INDIRECT("1:"&amp;LEN(A295)))),1))," ",REPT(" ",LEN(A295))),LEN(A295)))))))/10))*1+1</f>
        <v>305 ,.., 1505</v>
      </c>
      <c r="B296" s="109"/>
      <c r="C296" s="46"/>
      <c r="D296" s="39"/>
      <c r="E296" s="39">
        <v>0</v>
      </c>
      <c r="F296" s="39" t="e">
        <f>D296*((#REF!)+1)+(IF(E296&lt;101,E296,IF(E296&lt;201,E296/2,IF(E296&lt;=301,E296/3,E296/4))))</f>
        <v>#REF!</v>
      </c>
      <c r="G296" s="108" t="str">
        <f>G295</f>
        <v>3rd, 5th, 7th, 9th, 11th, 13th, 15th Floor</v>
      </c>
      <c r="H296" s="109"/>
      <c r="I296" s="33"/>
      <c r="J296" s="57"/>
      <c r="K296" s="57"/>
      <c r="L296" s="57"/>
      <c r="M296" s="57"/>
    </row>
    <row r="297" spans="1:14" s="34" customFormat="1" ht="15.75" hidden="1" customHeight="1" x14ac:dyDescent="0.35">
      <c r="A297" s="110" t="s">
        <v>148</v>
      </c>
      <c r="B297" s="111"/>
      <c r="C297" s="111"/>
      <c r="D297" s="111"/>
      <c r="E297" s="111"/>
      <c r="F297" s="111"/>
      <c r="G297" s="111"/>
      <c r="H297" s="112"/>
      <c r="I297" s="33"/>
      <c r="J297" s="57"/>
      <c r="K297" s="57"/>
      <c r="L297" s="57"/>
      <c r="M297" s="57"/>
    </row>
    <row r="298" spans="1:14" s="34" customFormat="1" ht="15.75" hidden="1" customHeight="1" x14ac:dyDescent="0.35">
      <c r="A298" s="108" t="str">
        <f ca="1">(SUMPRODUCT(MID(0&amp;(LEFT(A297,SUM(LEN(A297)-LEN(SUBSTITUTE(A297,{"0","1","2"},""))))), LARGE(INDEX(ISNUMBER(--MID((LEFT(A297,SUM(LEN(A297)-LEN(SUBSTITUTE(A297,{"0","1","2"},""))))), ROW(INDIRECT("1:"&amp;LEN((LEFT(A297,SUM(LEN(A297)-LEN(SUBSTITUTE(A297,{"0","1","2"},"")))))))), 1)) * ROW(INDIRECT("1:"&amp;LEN((LEFT(A297,SUM(LEN(A297)-LEN(SUBSTITUTE(A297,{"0","1","2"},"")))))))), 0), ROW(INDIRECT("1:"&amp;LEN((LEFT(A297,SUM(LEN(A297)-LEN(SUBSTITUTE(A297,{"0","1","2"},"")))))))))+1, 1) * 10^ROW(INDIRECT("1:"&amp;LEN((LEFT(A297,SUM(LEN(A297)-LEN(SUBSTITUTE(A297,{"0","1","2"},""))))))))/10))*100+1&amp;""&amp;" to "&amp;""&amp;(SUMPRODUCT(MID(0&amp;(--TRIM(RIGHT(SUBSTITUTE(LEFT(A297,_xlfn.AGGREGATE(16,6,FIND({0,1,2,3,4,5,6,7,8,9},A297,ROW(INDIRECT("1:"&amp;LEN(A297)))),1))," ",REPT(" ",LEN(A297))),LEN(A297)))), LARGE(INDEX(ISNUMBER(--MID((--TRIM(RIGHT(SUBSTITUTE(LEFT(A297,_xlfn.AGGREGATE(16,6,FIND({0,1,2,3,4,5,6,7,8,9},A297,ROW(INDIRECT("1:"&amp;LEN(A297)))),1))," ",REPT(" ",LEN(A297))),LEN(A297)))), ROW(INDIRECT("1:"&amp;LEN((--TRIM(RIGHT(SUBSTITUTE(LEFT(A297,_xlfn.AGGREGATE(16,6,FIND({0,1,2,3,4,5,6,7,8,9},A297,ROW(INDIRECT("1:"&amp;LEN(A297)))),1))," ",REPT(" ",LEN(A297))),LEN(A297))))))), 1)) * ROW(INDIRECT("1:"&amp;LEN((--TRIM(RIGHT(SUBSTITUTE(LEFT(A297,_xlfn.AGGREGATE(16,6,FIND({0,1,2,3,4,5,6,7,8,9},A297,ROW(INDIRECT("1:"&amp;LEN(A297)))),1))," ",REPT(" ",LEN(A297))),LEN(A297))))))), 0), ROW(INDIRECT("1:"&amp;LEN((--TRIM(RIGHT(SUBSTITUTE(LEFT(A297,_xlfn.AGGREGATE(16,6,FIND({0,1,2,3,4,5,6,7,8,9},A297,ROW(INDIRECT("1:"&amp;LEN(A297)))),1))," ",REPT(" ",LEN(A297))),LEN(A297))))))))+1, 1) * 10^ROW(INDIRECT("1:"&amp;LEN((--TRIM(RIGHT(SUBSTITUTE(LEFT(A297,_xlfn.AGGREGATE(16,6,FIND({0,1,2,3,4,5,6,7,8,9},A297,ROW(INDIRECT("1:"&amp;LEN(A297)))),1))," ",REPT(" ",LEN(A297))),LEN(A297)))))))/10))*100+1</f>
        <v>201 to 501</v>
      </c>
      <c r="B298" s="109"/>
      <c r="C298" s="46"/>
      <c r="D298" s="39"/>
      <c r="E298" s="39">
        <v>0</v>
      </c>
      <c r="F298" s="39" t="e">
        <f>D298*((#REF!)+1)+(IF(E298&lt;101,E298,IF(E298&lt;201,E298/2,IF(E298&lt;=301,E298/3,E298/4))))</f>
        <v>#REF!</v>
      </c>
      <c r="G298" s="108" t="str">
        <f>A297</f>
        <v>2nd to 5th Floor</v>
      </c>
      <c r="H298" s="109"/>
      <c r="I298" s="33"/>
      <c r="J298" s="57"/>
      <c r="K298" s="57"/>
      <c r="L298" s="57"/>
      <c r="M298" s="57"/>
    </row>
    <row r="299" spans="1:14" s="34" customFormat="1" ht="15.75" hidden="1" customHeight="1" x14ac:dyDescent="0.35">
      <c r="A299" s="108" t="str">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10^ROW(INDIRECT("1:"&amp;LEN((LEFT(A298,SUM(LEN(A298)-LEN(SUBSTITUTE(A298,{"0","1","2"},""))))))))/10))*1+1&amp;""&amp;" to "&amp;""&amp;(SUMPRODUCT(MID(0&amp;(--TRIM(RIGHT(SUBSTITUTE(LEFT(A298,_xlfn.AGGREGATE(16,6,FIND({0,1,2,3,4,5,6,7,8,9},A298,ROW(INDIRECT("1:"&amp;LEN(A298)))),1)),"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",LEN(A298))),LEN(A298)))))))/10))*1+1</f>
        <v>202 to 502</v>
      </c>
      <c r="B299" s="109"/>
      <c r="C299" s="46"/>
      <c r="D299" s="39"/>
      <c r="E299" s="39">
        <v>0</v>
      </c>
      <c r="F299" s="39" t="e">
        <f>D299*((#REF!)+1)+(IF(E299&lt;101,E299,IF(E299&lt;201,E299/2,IF(E299&lt;=301,E299/3,E299/4))))</f>
        <v>#REF!</v>
      </c>
      <c r="G299" s="108" t="str">
        <f>G298</f>
        <v>2nd to 5th Floor</v>
      </c>
      <c r="H299" s="109"/>
      <c r="I299" s="33"/>
      <c r="J299" s="57"/>
      <c r="K299" s="57"/>
      <c r="L299" s="57"/>
      <c r="M299" s="57"/>
    </row>
    <row r="300" spans="1:14" s="34" customFormat="1" ht="15.75" hidden="1" customHeight="1" x14ac:dyDescent="0.35">
      <c r="A300" s="108" t="str">
        <f ca="1">(SUMPRODUCT(MID(0&amp;(LEFT(A299,SUM(LEN(A299)-LEN(SUBSTITUTE(A299,{"0","1","2"},""))))), LARGE(INDEX(ISNUMBER(--MID((LEFT(A299,SUM(LEN(A299)-LEN(SUBSTITUTE(A299,{"0","1","2"},""))))), ROW(INDIRECT("1:"&amp;LEN((LEFT(A299,SUM(LEN(A299)-LEN(SUBSTITUTE(A299,{"0","1","2"},"")))))))), 1)) * ROW(INDIRECT("1:"&amp;LEN((LEFT(A299,SUM(LEN(A299)-LEN(SUBSTITUTE(A299,{"0","1","2"},"")))))))), 0), ROW(INDIRECT("1:"&amp;LEN((LEFT(A299,SUM(LEN(A299)-LEN(SUBSTITUTE(A299,{"0","1","2"},"")))))))))+1, 1) * 10^ROW(INDIRECT("1:"&amp;LEN((LEFT(A299,SUM(LEN(A299)-LEN(SUBSTITUTE(A299,{"0","1","2"},""))))))))/10))*1+1&amp;""&amp;" to "&amp;""&amp;(SUMPRODUCT(MID(0&amp;(--TRIM(RIGHT(SUBSTITUTE(LEFT(A299,_xlfn.AGGREGATE(16,6,FIND({0,1,2,3,4,5,6,7,8,9},A299,ROW(INDIRECT("1:"&amp;LEN(A299)))),1))," ",REPT(" ",LEN(A299))),LEN(A299)))), LARGE(INDEX(ISNUMBER(--MID((--TRIM(RIGHT(SUBSTITUTE(LEFT(A299,_xlfn.AGGREGATE(16,6,FIND({0,1,2,3,4,5,6,7,8,9},A299,ROW(INDIRECT("1:"&amp;LEN(A299)))),1))," ",REPT(" ",LEN(A299))),LEN(A299)))), ROW(INDIRECT("1:"&amp;LEN((--TRIM(RIGHT(SUBSTITUTE(LEFT(A299,_xlfn.AGGREGATE(16,6,FIND({0,1,2,3,4,5,6,7,8,9},A299,ROW(INDIRECT("1:"&amp;LEN(A299)))),1))," ",REPT(" ",LEN(A299))),LEN(A299))))))), 1)) * ROW(INDIRECT("1:"&amp;LEN((--TRIM(RIGHT(SUBSTITUTE(LEFT(A299,_xlfn.AGGREGATE(16,6,FIND({0,1,2,3,4,5,6,7,8,9},A299,ROW(INDIRECT("1:"&amp;LEN(A299)))),1))," ",REPT(" ",LEN(A299))),LEN(A299))))))), 0), ROW(INDIRECT("1:"&amp;LEN((--TRIM(RIGHT(SUBSTITUTE(LEFT(A299,_xlfn.AGGREGATE(16,6,FIND({0,1,2,3,4,5,6,7,8,9},A299,ROW(INDIRECT("1:"&amp;LEN(A299)))),1))," ",REPT(" ",LEN(A299))),LEN(A299))))))))+1, 1) * 10^ROW(INDIRECT("1:"&amp;LEN((--TRIM(RIGHT(SUBSTITUTE(LEFT(A299,_xlfn.AGGREGATE(16,6,FIND({0,1,2,3,4,5,6,7,8,9},A299,ROW(INDIRECT("1:"&amp;LEN(A299)))),1))," ",REPT(" ",LEN(A299))),LEN(A299)))))))/10))*1+1</f>
        <v>203 to 503</v>
      </c>
      <c r="B300" s="109"/>
      <c r="C300" s="46"/>
      <c r="D300" s="39"/>
      <c r="E300" s="39">
        <v>0</v>
      </c>
      <c r="F300" s="39" t="e">
        <f>D300*((#REF!)+1)+(IF(E300&lt;101,E300,IF(E300&lt;201,E300/2,IF(E300&lt;=301,E300/3,E300/4))))</f>
        <v>#REF!</v>
      </c>
      <c r="G300" s="108" t="str">
        <f>G299</f>
        <v>2nd to 5th Floor</v>
      </c>
      <c r="H300" s="109"/>
      <c r="I300" s="33"/>
      <c r="J300" s="57"/>
      <c r="K300" s="57"/>
      <c r="L300" s="57"/>
      <c r="M300" s="57"/>
    </row>
    <row r="301" spans="1:14" s="34" customFormat="1" ht="15.75" hidden="1" customHeight="1" x14ac:dyDescent="0.35">
      <c r="A301" s="108"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10^ROW(INDIRECT("1:"&amp;LEN((LEFT(A300,SUM(LEN(A300)-LEN(SUBSTITUTE(A300,{"0","1","2"},""))))))))/10))*1+1&amp;""&amp;" to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",LEN(A300))),LEN(A300)))))))/10))*1+1</f>
        <v>204 to 504</v>
      </c>
      <c r="B301" s="109"/>
      <c r="C301" s="46"/>
      <c r="D301" s="39"/>
      <c r="E301" s="39">
        <v>0</v>
      </c>
      <c r="F301" s="39" t="e">
        <f>D301*((#REF!)+1)+(IF(E301&lt;101,E301,IF(E301&lt;201,E301/2,IF(E301&lt;=301,E301/3,E301/4))))</f>
        <v>#REF!</v>
      </c>
      <c r="G301" s="108" t="str">
        <f>G300</f>
        <v>2nd to 5th Floor</v>
      </c>
      <c r="H301" s="109"/>
      <c r="I301" s="33"/>
      <c r="J301" s="57"/>
      <c r="K301" s="57"/>
      <c r="L301" s="57"/>
      <c r="M301" s="57"/>
    </row>
    <row r="302" spans="1:14" s="34" customFormat="1" ht="15.75" hidden="1" customHeight="1" x14ac:dyDescent="0.35">
      <c r="A302" s="108" t="str">
        <f ca="1">(SUMPRODUCT(MID(0&amp;(LEFT(A301,SUM(LEN(A301)-LEN(SUBSTITUTE(A301,{"0","1","2"},""))))), LARGE(INDEX(ISNUMBER(--MID((LEFT(A301,SUM(LEN(A301)-LEN(SUBSTITUTE(A301,{"0","1","2"},""))))), ROW(INDIRECT("1:"&amp;LEN((LEFT(A301,SUM(LEN(A301)-LEN(SUBSTITUTE(A301,{"0","1","2"},"")))))))), 1)) * ROW(INDIRECT("1:"&amp;LEN((LEFT(A301,SUM(LEN(A301)-LEN(SUBSTITUTE(A301,{"0","1","2"},"")))))))), 0), ROW(INDIRECT("1:"&amp;LEN((LEFT(A301,SUM(LEN(A301)-LEN(SUBSTITUTE(A301,{"0","1","2"},"")))))))))+1, 1) * 10^ROW(INDIRECT("1:"&amp;LEN((LEFT(A301,SUM(LEN(A301)-LEN(SUBSTITUTE(A301,{"0","1","2"},""))))))))/10))*1+1&amp;""&amp;" to "&amp;""&amp;(SUMPRODUCT(MID(0&amp;(--TRIM(RIGHT(SUBSTITUTE(LEFT(A301,_xlfn.AGGREGATE(16,6,FIND({0,1,2,3,4,5,6,7,8,9},A301,ROW(INDIRECT("1:"&amp;LEN(A301)))),1))," ",REPT(" ",LEN(A301))),LEN(A301)))), LARGE(INDEX(ISNUMBER(--MID((--TRIM(RIGHT(SUBSTITUTE(LEFT(A301,_xlfn.AGGREGATE(16,6,FIND({0,1,2,3,4,5,6,7,8,9},A301,ROW(INDIRECT("1:"&amp;LEN(A301)))),1))," ",REPT(" ",LEN(A301))),LEN(A301)))), ROW(INDIRECT("1:"&amp;LEN((--TRIM(RIGHT(SUBSTITUTE(LEFT(A301,_xlfn.AGGREGATE(16,6,FIND({0,1,2,3,4,5,6,7,8,9},A301,ROW(INDIRECT("1:"&amp;LEN(A301)))),1))," ",REPT(" ",LEN(A301))),LEN(A301))))))), 1)) * ROW(INDIRECT("1:"&amp;LEN((--TRIM(RIGHT(SUBSTITUTE(LEFT(A301,_xlfn.AGGREGATE(16,6,FIND({0,1,2,3,4,5,6,7,8,9},A301,ROW(INDIRECT("1:"&amp;LEN(A301)))),1))," ",REPT(" ",LEN(A301))),LEN(A301))))))), 0), ROW(INDIRECT("1:"&amp;LEN((--TRIM(RIGHT(SUBSTITUTE(LEFT(A301,_xlfn.AGGREGATE(16,6,FIND({0,1,2,3,4,5,6,7,8,9},A301,ROW(INDIRECT("1:"&amp;LEN(A301)))),1))," ",REPT(" ",LEN(A301))),LEN(A301))))))))+1, 1) * 10^ROW(INDIRECT("1:"&amp;LEN((--TRIM(RIGHT(SUBSTITUTE(LEFT(A301,_xlfn.AGGREGATE(16,6,FIND({0,1,2,3,4,5,6,7,8,9},A301,ROW(INDIRECT("1:"&amp;LEN(A301)))),1))," ",REPT(" ",LEN(A301))),LEN(A301)))))))/10))*1+1</f>
        <v>205 to 505</v>
      </c>
      <c r="B302" s="109"/>
      <c r="C302" s="46"/>
      <c r="D302" s="39"/>
      <c r="E302" s="39">
        <v>0</v>
      </c>
      <c r="F302" s="39" t="e">
        <f>D302*((#REF!)+1)+(IF(E302&lt;101,E302,IF(E302&lt;201,E302/2,IF(E302&lt;=301,E302/3,E302/4))))</f>
        <v>#REF!</v>
      </c>
      <c r="G302" s="108" t="str">
        <f>G301</f>
        <v>2nd to 5th Floor</v>
      </c>
      <c r="H302" s="109"/>
      <c r="I302" s="33"/>
      <c r="J302" s="57"/>
      <c r="K302" s="57"/>
      <c r="L302" s="57"/>
      <c r="M302" s="57"/>
    </row>
    <row r="303" spans="1:14" s="34" customFormat="1" ht="15.75" hidden="1" customHeight="1" x14ac:dyDescent="0.35">
      <c r="A303" s="110" t="s">
        <v>149</v>
      </c>
      <c r="B303" s="111"/>
      <c r="C303" s="111"/>
      <c r="D303" s="111"/>
      <c r="E303" s="111"/>
      <c r="F303" s="111"/>
      <c r="G303" s="111"/>
      <c r="H303" s="112"/>
      <c r="I303" s="33"/>
      <c r="J303" s="57"/>
      <c r="K303" s="57"/>
      <c r="L303" s="57"/>
      <c r="M303" s="57"/>
    </row>
    <row r="304" spans="1:14" s="34" customFormat="1" ht="15.75" hidden="1" customHeight="1" x14ac:dyDescent="0.35">
      <c r="A304" s="108" t="str">
        <f ca="1">(SUMPRODUCT(MID(0&amp;(LEFT(A303,SUM(LEN(A303)-LEN(SUBSTITUTE(A303,{"0","1","2"},""))))), LARGE(INDEX(ISNUMBER(--MID((LEFT(A303,SUM(LEN(A303)-LEN(SUBSTITUTE(A303,{"0","1","2"},""))))), ROW(INDIRECT("1:"&amp;LEN((LEFT(A303,SUM(LEN(A303)-LEN(SUBSTITUTE(A303,{"0","1","2"},"")))))))), 1)) * ROW(INDIRECT("1:"&amp;LEN((LEFT(A303,SUM(LEN(A303)-LEN(SUBSTITUTE(A303,{"0","1","2"},"")))))))), 0), ROW(INDIRECT("1:"&amp;LEN((LEFT(A303,SUM(LEN(A303)-LEN(SUBSTITUTE(A303,{"0","1","2"},"")))))))))+1, 1) * 10^ROW(INDIRECT("1:"&amp;LEN((LEFT(A303,SUM(LEN(A303)-LEN(SUBSTITUTE(A303,{"0","1","2"},""))))))))/10))*100+1&amp;""&amp;" &amp; "&amp;""&amp;(SUMPRODUCT(MID(0&amp;(--TRIM(RIGHT(SUBSTITUTE(LEFT(A303,_xlfn.AGGREGATE(16,6,FIND({0,1,2,3,4,5,6,7,8,9},A303,ROW(INDIRECT("1:"&amp;LEN(A303)))),1))," ",REPT(" ",LEN(A303))),LEN(A303)))), LARGE(INDEX(ISNUMBER(--MID((--TRIM(RIGHT(SUBSTITUTE(LEFT(A303,_xlfn.AGGREGATE(16,6,FIND({0,1,2,3,4,5,6,7,8,9},A303,ROW(INDIRECT("1:"&amp;LEN(A303)))),1))," ",REPT(" ",LEN(A303))),LEN(A303)))), ROW(INDIRECT("1:"&amp;LEN((--TRIM(RIGHT(SUBSTITUTE(LEFT(A303,_xlfn.AGGREGATE(16,6,FIND({0,1,2,3,4,5,6,7,8,9},A303,ROW(INDIRECT("1:"&amp;LEN(A303)))),1))," ",REPT(" ",LEN(A303))),LEN(A303))))))), 1)) * ROW(INDIRECT("1:"&amp;LEN((--TRIM(RIGHT(SUBSTITUTE(LEFT(A303,_xlfn.AGGREGATE(16,6,FIND({0,1,2,3,4,5,6,7,8,9},A303,ROW(INDIRECT("1:"&amp;LEN(A303)))),1))," ",REPT(" ",LEN(A303))),LEN(A303))))))), 0), ROW(INDIRECT("1:"&amp;LEN((--TRIM(RIGHT(SUBSTITUTE(LEFT(A303,_xlfn.AGGREGATE(16,6,FIND({0,1,2,3,4,5,6,7,8,9},A303,ROW(INDIRECT("1:"&amp;LEN(A303)))),1))," ",REPT(" ",LEN(A303))),LEN(A303))))))))+1, 1) * 10^ROW(INDIRECT("1:"&amp;LEN((--TRIM(RIGHT(SUBSTITUTE(LEFT(A303,_xlfn.AGGREGATE(16,6,FIND({0,1,2,3,4,5,6,7,8,9},A303,ROW(INDIRECT("1:"&amp;LEN(A303)))),1))," ",REPT(" ",LEN(A303))),LEN(A303)))))))/10))*100+1</f>
        <v>201 &amp; 501</v>
      </c>
      <c r="B304" s="109"/>
      <c r="C304" s="46"/>
      <c r="D304" s="39"/>
      <c r="E304" s="39">
        <v>0</v>
      </c>
      <c r="F304" s="39" t="e">
        <f>D304*((#REF!)+1)+(IF(E304&lt;101,E304,IF(E304&lt;201,E304/2,IF(E304&lt;=301,E304/3,E304/4))))</f>
        <v>#REF!</v>
      </c>
      <c r="G304" s="108" t="str">
        <f>A303</f>
        <v>2nd &amp; 5th Floor</v>
      </c>
      <c r="H304" s="109"/>
      <c r="I304" s="33"/>
      <c r="J304" s="57"/>
      <c r="K304" s="57"/>
      <c r="L304" s="57"/>
      <c r="M304" s="57"/>
    </row>
    <row r="305" spans="1:13" s="34" customFormat="1" ht="15.75" hidden="1" customHeight="1" x14ac:dyDescent="0.35">
      <c r="A305" s="108" t="str">
        <f ca="1">(SUMPRODUCT(MID(0&amp;(LEFT(A304,SUM(LEN(A304)-LEN(SUBSTITUTE(A304,{"0","1","2"},""))))), LARGE(INDEX(ISNUMBER(--MID((LEFT(A304,SUM(LEN(A304)-LEN(SUBSTITUTE(A304,{"0","1","2"},""))))), ROW(INDIRECT("1:"&amp;LEN((LEFT(A304,SUM(LEN(A304)-LEN(SUBSTITUTE(A304,{"0","1","2"},"")))))))), 1)) * ROW(INDIRECT("1:"&amp;LEN((LEFT(A304,SUM(LEN(A304)-LEN(SUBSTITUTE(A304,{"0","1","2"},"")))))))), 0), ROW(INDIRECT("1:"&amp;LEN((LEFT(A304,SUM(LEN(A304)-LEN(SUBSTITUTE(A304,{"0","1","2"},"")))))))))+1, 1) * 10^ROW(INDIRECT("1:"&amp;LEN((LEFT(A304,SUM(LEN(A304)-LEN(SUBSTITUTE(A304,{"0","1","2"},""))))))))/10))*1+1&amp;""&amp;" &amp; "&amp;""&amp;(SUMPRODUCT(MID(0&amp;(--TRIM(RIGHT(SUBSTITUTE(LEFT(A304,_xlfn.AGGREGATE(16,6,FIND({0,1,2,3,4,5,6,7,8,9},A304,ROW(INDIRECT("1:"&amp;LEN(A304)))),1))," ",REPT(" ",LEN(A304))),LEN(A304)))), LARGE(INDEX(ISNUMBER(--MID((--TRIM(RIGHT(SUBSTITUTE(LEFT(A304,_xlfn.AGGREGATE(16,6,FIND({0,1,2,3,4,5,6,7,8,9},A304,ROW(INDIRECT("1:"&amp;LEN(A304)))),1))," ",REPT(" ",LEN(A304))),LEN(A304)))), ROW(INDIRECT("1:"&amp;LEN((--TRIM(RIGHT(SUBSTITUTE(LEFT(A304,_xlfn.AGGREGATE(16,6,FIND({0,1,2,3,4,5,6,7,8,9},A304,ROW(INDIRECT("1:"&amp;LEN(A304)))),1))," ",REPT(" ",LEN(A304))),LEN(A304))))))), 1)) * ROW(INDIRECT("1:"&amp;LEN((--TRIM(RIGHT(SUBSTITUTE(LEFT(A304,_xlfn.AGGREGATE(16,6,FIND({0,1,2,3,4,5,6,7,8,9},A304,ROW(INDIRECT("1:"&amp;LEN(A304)))),1))," ",REPT(" ",LEN(A304))),LEN(A304))))))), 0), ROW(INDIRECT("1:"&amp;LEN((--TRIM(RIGHT(SUBSTITUTE(LEFT(A304,_xlfn.AGGREGATE(16,6,FIND({0,1,2,3,4,5,6,7,8,9},A304,ROW(INDIRECT("1:"&amp;LEN(A304)))),1))," ",REPT(" ",LEN(A304))),LEN(A304))))))))+1, 1) * 10^ROW(INDIRECT("1:"&amp;LEN((--TRIM(RIGHT(SUBSTITUTE(LEFT(A304,_xlfn.AGGREGATE(16,6,FIND({0,1,2,3,4,5,6,7,8,9},A304,ROW(INDIRECT("1:"&amp;LEN(A304)))),1))," ",REPT(" ",LEN(A304))),LEN(A304)))))))/10))*1+1</f>
        <v>202 &amp; 502</v>
      </c>
      <c r="B305" s="109"/>
      <c r="C305" s="46"/>
      <c r="D305" s="39"/>
      <c r="E305" s="39">
        <v>0</v>
      </c>
      <c r="F305" s="39" t="e">
        <f>D305*((#REF!)+1)+(IF(E305&lt;101,E305,IF(E305&lt;201,E305/2,IF(E305&lt;=301,E305/3,E305/4))))</f>
        <v>#REF!</v>
      </c>
      <c r="G305" s="108" t="str">
        <f t="shared" ref="G305:G308" si="11">G304</f>
        <v>2nd &amp; 5th Floor</v>
      </c>
      <c r="H305" s="109"/>
      <c r="I305" s="33"/>
      <c r="J305" s="57"/>
      <c r="K305" s="57"/>
      <c r="L305" s="57"/>
      <c r="M305" s="57"/>
    </row>
    <row r="306" spans="1:13" s="34" customFormat="1" ht="15.75" hidden="1" customHeight="1" x14ac:dyDescent="0.35">
      <c r="A306" s="108" t="str">
        <f ca="1">(SUMPRODUCT(MID(0&amp;(LEFT(A305,SUM(LEN(A305)-LEN(SUBSTITUTE(A305,{"0","1","2"},""))))), LARGE(INDEX(ISNUMBER(--MID((LEFT(A305,SUM(LEN(A305)-LEN(SUBSTITUTE(A305,{"0","1","2"},""))))), ROW(INDIRECT("1:"&amp;LEN((LEFT(A305,SUM(LEN(A305)-LEN(SUBSTITUTE(A305,{"0","1","2"},"")))))))), 1)) * ROW(INDIRECT("1:"&amp;LEN((LEFT(A305,SUM(LEN(A305)-LEN(SUBSTITUTE(A305,{"0","1","2"},"")))))))), 0), ROW(INDIRECT("1:"&amp;LEN((LEFT(A305,SUM(LEN(A305)-LEN(SUBSTITUTE(A305,{"0","1","2"},"")))))))))+1, 1) * 10^ROW(INDIRECT("1:"&amp;LEN((LEFT(A305,SUM(LEN(A305)-LEN(SUBSTITUTE(A305,{"0","1","2"},""))))))))/10))*1+1&amp;""&amp;" &amp; "&amp;""&amp;(SUMPRODUCT(MID(0&amp;(--TRIM(RIGHT(SUBSTITUTE(LEFT(A305,_xlfn.AGGREGATE(16,6,FIND({0,1,2,3,4,5,6,7,8,9},A305,ROW(INDIRECT("1:"&amp;LEN(A305)))),1))," ",REPT(" ",LEN(A305))),LEN(A305)))), LARGE(INDEX(ISNUMBER(--MID((--TRIM(RIGHT(SUBSTITUTE(LEFT(A305,_xlfn.AGGREGATE(16,6,FIND({0,1,2,3,4,5,6,7,8,9},A305,ROW(INDIRECT("1:"&amp;LEN(A305)))),1))," ",REPT(" ",LEN(A305))),LEN(A305)))), ROW(INDIRECT("1:"&amp;LEN((--TRIM(RIGHT(SUBSTITUTE(LEFT(A305,_xlfn.AGGREGATE(16,6,FIND({0,1,2,3,4,5,6,7,8,9},A305,ROW(INDIRECT("1:"&amp;LEN(A305)))),1))," ",REPT(" ",LEN(A305))),LEN(A305))))))), 1)) * ROW(INDIRECT("1:"&amp;LEN((--TRIM(RIGHT(SUBSTITUTE(LEFT(A305,_xlfn.AGGREGATE(16,6,FIND({0,1,2,3,4,5,6,7,8,9},A305,ROW(INDIRECT("1:"&amp;LEN(A305)))),1))," ",REPT(" ",LEN(A305))),LEN(A305))))))), 0), ROW(INDIRECT("1:"&amp;LEN((--TRIM(RIGHT(SUBSTITUTE(LEFT(A305,_xlfn.AGGREGATE(16,6,FIND({0,1,2,3,4,5,6,7,8,9},A305,ROW(INDIRECT("1:"&amp;LEN(A305)))),1))," ",REPT(" ",LEN(A305))),LEN(A305))))))))+1, 1) * 10^ROW(INDIRECT("1:"&amp;LEN((--TRIM(RIGHT(SUBSTITUTE(LEFT(A305,_xlfn.AGGREGATE(16,6,FIND({0,1,2,3,4,5,6,7,8,9},A305,ROW(INDIRECT("1:"&amp;LEN(A305)))),1))," ",REPT(" ",LEN(A305))),LEN(A305)))))))/10))*1+1</f>
        <v>203 &amp; 503</v>
      </c>
      <c r="B306" s="109"/>
      <c r="C306" s="46"/>
      <c r="D306" s="39"/>
      <c r="E306" s="39">
        <v>0</v>
      </c>
      <c r="F306" s="39" t="e">
        <f>D306*((#REF!)+1)+(IF(E306&lt;101,E306,IF(E306&lt;201,E306/2,IF(E306&lt;=301,E306/3,E306/4))))</f>
        <v>#REF!</v>
      </c>
      <c r="G306" s="108" t="str">
        <f t="shared" si="11"/>
        <v>2nd &amp; 5th Floor</v>
      </c>
      <c r="H306" s="109"/>
      <c r="I306" s="33"/>
      <c r="J306" s="57"/>
      <c r="K306" s="57"/>
      <c r="L306" s="57"/>
      <c r="M306" s="57"/>
    </row>
    <row r="307" spans="1:13" s="34" customFormat="1" ht="15.75" hidden="1" customHeight="1" x14ac:dyDescent="0.35">
      <c r="A307" s="108" t="str">
        <f ca="1">(SUMPRODUCT(MID(0&amp;(LEFT(A306,SUM(LEN(A306)-LEN(SUBSTITUTE(A306,{"0","1","2"},""))))), LARGE(INDEX(ISNUMBER(--MID((LEFT(A306,SUM(LEN(A306)-LEN(SUBSTITUTE(A306,{"0","1","2"},""))))), ROW(INDIRECT("1:"&amp;LEN((LEFT(A306,SUM(LEN(A306)-LEN(SUBSTITUTE(A306,{"0","1","2"},"")))))))), 1)) * ROW(INDIRECT("1:"&amp;LEN((LEFT(A306,SUM(LEN(A306)-LEN(SUBSTITUTE(A306,{"0","1","2"},"")))))))), 0), ROW(INDIRECT("1:"&amp;LEN((LEFT(A306,SUM(LEN(A306)-LEN(SUBSTITUTE(A306,{"0","1","2"},"")))))))))+1, 1) * 10^ROW(INDIRECT("1:"&amp;LEN((LEFT(A306,SUM(LEN(A306)-LEN(SUBSTITUTE(A306,{"0","1","2"},""))))))))/10))*1+1&amp;""&amp;" &amp; "&amp;""&amp;(SUMPRODUCT(MID(0&amp;(--TRIM(RIGHT(SUBSTITUTE(LEFT(A306,_xlfn.AGGREGATE(16,6,FIND({0,1,2,3,4,5,6,7,8,9},A306,ROW(INDIRECT("1:"&amp;LEN(A306)))),1))," ",REPT(" ",LEN(A306))),LEN(A306)))), LARGE(INDEX(ISNUMBER(--MID((--TRIM(RIGHT(SUBSTITUTE(LEFT(A306,_xlfn.AGGREGATE(16,6,FIND({0,1,2,3,4,5,6,7,8,9},A306,ROW(INDIRECT("1:"&amp;LEN(A306)))),1))," ",REPT(" ",LEN(A306))),LEN(A306)))), ROW(INDIRECT("1:"&amp;LEN((--TRIM(RIGHT(SUBSTITUTE(LEFT(A306,_xlfn.AGGREGATE(16,6,FIND({0,1,2,3,4,5,6,7,8,9},A306,ROW(INDIRECT("1:"&amp;LEN(A306)))),1))," ",REPT(" ",LEN(A306))),LEN(A306))))))), 1)) * ROW(INDIRECT("1:"&amp;LEN((--TRIM(RIGHT(SUBSTITUTE(LEFT(A306,_xlfn.AGGREGATE(16,6,FIND({0,1,2,3,4,5,6,7,8,9},A306,ROW(INDIRECT("1:"&amp;LEN(A306)))),1))," ",REPT(" ",LEN(A306))),LEN(A306))))))), 0), ROW(INDIRECT("1:"&amp;LEN((--TRIM(RIGHT(SUBSTITUTE(LEFT(A306,_xlfn.AGGREGATE(16,6,FIND({0,1,2,3,4,5,6,7,8,9},A306,ROW(INDIRECT("1:"&amp;LEN(A306)))),1))," ",REPT(" ",LEN(A306))),LEN(A306))))))))+1, 1) * 10^ROW(INDIRECT("1:"&amp;LEN((--TRIM(RIGHT(SUBSTITUTE(LEFT(A306,_xlfn.AGGREGATE(16,6,FIND({0,1,2,3,4,5,6,7,8,9},A306,ROW(INDIRECT("1:"&amp;LEN(A306)))),1))," ",REPT(" ",LEN(A306))),LEN(A306)))))))/10))*1+1</f>
        <v>204 &amp; 504</v>
      </c>
      <c r="B307" s="109"/>
      <c r="C307" s="46"/>
      <c r="D307" s="39"/>
      <c r="E307" s="39">
        <v>0</v>
      </c>
      <c r="F307" s="39" t="e">
        <f>D307*((#REF!)+1)+(IF(E307&lt;101,E307,IF(E307&lt;201,E307/2,IF(E307&lt;=301,E307/3,E307/4))))</f>
        <v>#REF!</v>
      </c>
      <c r="G307" s="108" t="str">
        <f t="shared" si="11"/>
        <v>2nd &amp; 5th Floor</v>
      </c>
      <c r="H307" s="109"/>
      <c r="I307" s="33"/>
      <c r="J307" s="57"/>
      <c r="K307" s="57"/>
      <c r="L307" s="57"/>
      <c r="M307" s="57"/>
    </row>
    <row r="308" spans="1:13" s="34" customFormat="1" ht="15.75" hidden="1" customHeight="1" x14ac:dyDescent="0.35">
      <c r="A308" s="108" t="str">
        <f ca="1">(SUMPRODUCT(MID(0&amp;(LEFT(A307,SUM(LEN(A307)-LEN(SUBSTITUTE(A307,{"0","1","2"},""))))), LARGE(INDEX(ISNUMBER(--MID((LEFT(A307,SUM(LEN(A307)-LEN(SUBSTITUTE(A307,{"0","1","2"},""))))), ROW(INDIRECT("1:"&amp;LEN((LEFT(A307,SUM(LEN(A307)-LEN(SUBSTITUTE(A307,{"0","1","2"},"")))))))), 1)) * ROW(INDIRECT("1:"&amp;LEN((LEFT(A307,SUM(LEN(A307)-LEN(SUBSTITUTE(A307,{"0","1","2"},"")))))))), 0), ROW(INDIRECT("1:"&amp;LEN((LEFT(A307,SUM(LEN(A307)-LEN(SUBSTITUTE(A307,{"0","1","2"},"")))))))))+1, 1) * 10^ROW(INDIRECT("1:"&amp;LEN((LEFT(A307,SUM(LEN(A307)-LEN(SUBSTITUTE(A307,{"0","1","2"},""))))))))/10))*1+1&amp;""&amp;" &amp; "&amp;""&amp;(SUMPRODUCT(MID(0&amp;(--TRIM(RIGHT(SUBSTITUTE(LEFT(A307,_xlfn.AGGREGATE(16,6,FIND({0,1,2,3,4,5,6,7,8,9},A307,ROW(INDIRECT("1:"&amp;LEN(A307)))),1))," ",REPT(" ",LEN(A307))),LEN(A307)))), LARGE(INDEX(ISNUMBER(--MID((--TRIM(RIGHT(SUBSTITUTE(LEFT(A307,_xlfn.AGGREGATE(16,6,FIND({0,1,2,3,4,5,6,7,8,9},A307,ROW(INDIRECT("1:"&amp;LEN(A307)))),1))," ",REPT(" ",LEN(A307))),LEN(A307)))), ROW(INDIRECT("1:"&amp;LEN((--TRIM(RIGHT(SUBSTITUTE(LEFT(A307,_xlfn.AGGREGATE(16,6,FIND({0,1,2,3,4,5,6,7,8,9},A307,ROW(INDIRECT("1:"&amp;LEN(A307)))),1))," ",REPT(" ",LEN(A307))),LEN(A307))))))), 1)) * ROW(INDIRECT("1:"&amp;LEN((--TRIM(RIGHT(SUBSTITUTE(LEFT(A307,_xlfn.AGGREGATE(16,6,FIND({0,1,2,3,4,5,6,7,8,9},A307,ROW(INDIRECT("1:"&amp;LEN(A307)))),1))," ",REPT(" ",LEN(A307))),LEN(A307))))))), 0), ROW(INDIRECT("1:"&amp;LEN((--TRIM(RIGHT(SUBSTITUTE(LEFT(A307,_xlfn.AGGREGATE(16,6,FIND({0,1,2,3,4,5,6,7,8,9},A307,ROW(INDIRECT("1:"&amp;LEN(A307)))),1))," ",REPT(" ",LEN(A307))),LEN(A307))))))))+1, 1) * 10^ROW(INDIRECT("1:"&amp;LEN((--TRIM(RIGHT(SUBSTITUTE(LEFT(A307,_xlfn.AGGREGATE(16,6,FIND({0,1,2,3,4,5,6,7,8,9},A307,ROW(INDIRECT("1:"&amp;LEN(A307)))),1))," ",REPT(" ",LEN(A307))),LEN(A307)))))))/10))*1+1</f>
        <v>205 &amp; 505</v>
      </c>
      <c r="B308" s="109"/>
      <c r="C308" s="46"/>
      <c r="D308" s="39"/>
      <c r="E308" s="39">
        <v>0</v>
      </c>
      <c r="F308" s="39" t="e">
        <f>D308*((#REF!)+1)+(IF(E308&lt;101,E308,IF(E308&lt;201,E308/2,IF(E308&lt;=301,E308/3,E308/4))))</f>
        <v>#REF!</v>
      </c>
      <c r="G308" s="108" t="str">
        <f t="shared" si="11"/>
        <v>2nd &amp; 5th Floor</v>
      </c>
      <c r="H308" s="109"/>
      <c r="I308" s="33"/>
      <c r="J308" s="57"/>
      <c r="K308" s="57"/>
      <c r="L308" s="57"/>
      <c r="M308" s="57"/>
    </row>
    <row r="309" spans="1:13" s="32" customFormat="1" x14ac:dyDescent="0.35">
      <c r="A309" s="117" t="s">
        <v>69</v>
      </c>
      <c r="B309" s="117"/>
      <c r="C309" s="117"/>
      <c r="D309" s="117"/>
      <c r="E309" s="117"/>
      <c r="F309" s="117"/>
      <c r="G309" s="117"/>
      <c r="H309" s="117"/>
      <c r="J309" s="57"/>
      <c r="K309" s="57"/>
      <c r="L309" s="57"/>
      <c r="M309" s="57"/>
    </row>
    <row r="310" spans="1:13" s="32" customFormat="1" x14ac:dyDescent="0.35">
      <c r="A310" s="40" t="s">
        <v>158</v>
      </c>
      <c r="B310" s="81" t="s">
        <v>267</v>
      </c>
      <c r="C310" s="82"/>
      <c r="D310" s="82"/>
      <c r="E310" s="82"/>
      <c r="F310" s="82"/>
      <c r="G310" s="82"/>
      <c r="H310" s="83"/>
      <c r="J310" s="57"/>
      <c r="K310" s="57"/>
      <c r="L310" s="57"/>
      <c r="M310" s="57"/>
    </row>
    <row r="311" spans="1:13" s="32" customFormat="1" x14ac:dyDescent="0.35">
      <c r="A311" s="40" t="s">
        <v>158</v>
      </c>
      <c r="B311" s="81" t="str">
        <f>(IF(F158="Saleable area Loading :","We have considered Saleable area of Flats as per our Calculation.","We considered Saleable area of Flat as per Builder area Sheet."))</f>
        <v>We considered Saleable area of Flat as per Builder area Sheet.</v>
      </c>
      <c r="C311" s="82"/>
      <c r="D311" s="82"/>
      <c r="E311" s="82"/>
      <c r="F311" s="82"/>
      <c r="G311" s="82"/>
      <c r="H311" s="83"/>
      <c r="J311" s="57"/>
      <c r="K311" s="57"/>
      <c r="L311" s="57"/>
      <c r="M311" s="57"/>
    </row>
    <row r="312" spans="1:13" s="32" customFormat="1" x14ac:dyDescent="0.35">
      <c r="A312" s="40" t="s">
        <v>158</v>
      </c>
      <c r="B312" s="81" t="str">
        <f>(IF(F150="Saleable area Loading :","We have considered Saleable area of Commercial as per our Calculation.","We considered Saleable area of Commercial as per Builder area Sheet."))</f>
        <v>We have considered Saleable area of Commercial as per our Calculation.</v>
      </c>
      <c r="C312" s="82"/>
      <c r="D312" s="82"/>
      <c r="E312" s="82"/>
      <c r="F312" s="82"/>
      <c r="G312" s="82"/>
      <c r="H312" s="83"/>
      <c r="J312" s="57"/>
      <c r="K312" s="57"/>
      <c r="L312" s="57"/>
      <c r="M312" s="57"/>
    </row>
    <row r="313" spans="1:13" s="32" customFormat="1" x14ac:dyDescent="0.35">
      <c r="A313" s="40" t="s">
        <v>158</v>
      </c>
      <c r="B313" s="114" t="s">
        <v>125</v>
      </c>
      <c r="C313" s="115"/>
      <c r="D313" s="115"/>
      <c r="E313" s="115"/>
      <c r="F313" s="115"/>
      <c r="G313" s="115"/>
      <c r="H313" s="116"/>
      <c r="J313" s="57"/>
      <c r="K313" s="57"/>
      <c r="L313" s="57"/>
      <c r="M313" s="57"/>
    </row>
    <row r="314" spans="1:13" s="32" customFormat="1" x14ac:dyDescent="0.35">
      <c r="A314" s="40" t="s">
        <v>158</v>
      </c>
      <c r="B314" s="114" t="s">
        <v>191</v>
      </c>
      <c r="C314" s="115"/>
      <c r="D314" s="115"/>
      <c r="E314" s="115"/>
      <c r="F314" s="115"/>
      <c r="G314" s="115"/>
      <c r="H314" s="116"/>
      <c r="J314" s="57"/>
      <c r="K314" s="57"/>
      <c r="L314" s="57"/>
      <c r="M314" s="57"/>
    </row>
    <row r="315" spans="1:13" s="32" customFormat="1" x14ac:dyDescent="0.35">
      <c r="A315" s="40" t="s">
        <v>158</v>
      </c>
      <c r="B315" s="114" t="s">
        <v>157</v>
      </c>
      <c r="C315" s="115"/>
      <c r="D315" s="115"/>
      <c r="E315" s="115"/>
      <c r="F315" s="115"/>
      <c r="G315" s="115"/>
      <c r="H315" s="116"/>
      <c r="J315" s="57"/>
      <c r="K315" s="57"/>
      <c r="L315" s="57"/>
      <c r="M315" s="57"/>
    </row>
    <row r="316" spans="1:13" s="32" customFormat="1" x14ac:dyDescent="0.35">
      <c r="A316" s="40" t="s">
        <v>158</v>
      </c>
      <c r="B316" s="114" t="s">
        <v>126</v>
      </c>
      <c r="C316" s="115"/>
      <c r="D316" s="115"/>
      <c r="E316" s="115"/>
      <c r="F316" s="115"/>
      <c r="G316" s="115"/>
      <c r="H316" s="116"/>
      <c r="J316" s="57"/>
      <c r="K316" s="57"/>
      <c r="L316" s="57"/>
      <c r="M316" s="57"/>
    </row>
    <row r="317" spans="1:13" s="32" customFormat="1" ht="34.5" customHeight="1" x14ac:dyDescent="0.35">
      <c r="A317" s="40" t="s">
        <v>158</v>
      </c>
      <c r="B317" s="114" t="s">
        <v>159</v>
      </c>
      <c r="C317" s="115"/>
      <c r="D317" s="115"/>
      <c r="E317" s="115"/>
      <c r="F317" s="115"/>
      <c r="G317" s="115"/>
      <c r="H317" s="116"/>
      <c r="J317" s="57"/>
      <c r="K317" s="57"/>
      <c r="L317" s="57"/>
      <c r="M317" s="57"/>
    </row>
    <row r="318" spans="1:13" s="32" customFormat="1" x14ac:dyDescent="0.35">
      <c r="A318" s="40" t="s">
        <v>158</v>
      </c>
      <c r="B318" s="114" t="s">
        <v>127</v>
      </c>
      <c r="C318" s="115"/>
      <c r="D318" s="115"/>
      <c r="E318" s="115"/>
      <c r="F318" s="115"/>
      <c r="G318" s="115"/>
      <c r="H318" s="116"/>
      <c r="J318" s="57"/>
      <c r="K318" s="57"/>
      <c r="L318" s="57"/>
      <c r="M318" s="57"/>
    </row>
    <row r="319" spans="1:13" s="32" customFormat="1" x14ac:dyDescent="0.35">
      <c r="A319" s="40" t="s">
        <v>158</v>
      </c>
      <c r="B319" s="81" t="s">
        <v>218</v>
      </c>
      <c r="C319" s="82"/>
      <c r="D319" s="82"/>
      <c r="E319" s="82"/>
      <c r="F319" s="82"/>
      <c r="G319" s="82"/>
      <c r="H319" s="83"/>
      <c r="J319" s="57"/>
      <c r="K319" s="57"/>
      <c r="L319" s="57"/>
      <c r="M319" s="57"/>
    </row>
    <row r="320" spans="1:13" s="32" customFormat="1" ht="31.5" customHeight="1" x14ac:dyDescent="0.35">
      <c r="A320" s="40" t="s">
        <v>158</v>
      </c>
      <c r="B320" s="81" t="s">
        <v>220</v>
      </c>
      <c r="C320" s="82"/>
      <c r="D320" s="82"/>
      <c r="E320" s="82"/>
      <c r="F320" s="82"/>
      <c r="G320" s="82"/>
      <c r="H320" s="83"/>
      <c r="J320" s="57"/>
      <c r="K320" s="57"/>
      <c r="L320" s="57"/>
      <c r="M320" s="57"/>
    </row>
    <row r="321" spans="1:13" s="32" customFormat="1" ht="48.75" customHeight="1" x14ac:dyDescent="0.35">
      <c r="A321" s="40" t="s">
        <v>158</v>
      </c>
      <c r="B321" s="81" t="s">
        <v>250</v>
      </c>
      <c r="C321" s="82"/>
      <c r="D321" s="82"/>
      <c r="E321" s="82"/>
      <c r="F321" s="82"/>
      <c r="G321" s="82"/>
      <c r="H321" s="83"/>
      <c r="J321" s="57"/>
      <c r="K321" s="57"/>
      <c r="L321" s="57"/>
      <c r="M321" s="57"/>
    </row>
    <row r="322" spans="1:13" s="32" customFormat="1" ht="48" customHeight="1" x14ac:dyDescent="0.35">
      <c r="A322" s="40" t="s">
        <v>158</v>
      </c>
      <c r="B322" s="81" t="s">
        <v>221</v>
      </c>
      <c r="C322" s="82"/>
      <c r="D322" s="82"/>
      <c r="E322" s="82"/>
      <c r="F322" s="82"/>
      <c r="G322" s="82"/>
      <c r="H322" s="83"/>
      <c r="J322" s="57"/>
      <c r="K322" s="57"/>
      <c r="L322" s="57"/>
      <c r="M322" s="57"/>
    </row>
    <row r="323" spans="1:13" s="32" customFormat="1" x14ac:dyDescent="0.35">
      <c r="A323" s="70" t="s">
        <v>158</v>
      </c>
      <c r="B323" s="81" t="s">
        <v>219</v>
      </c>
      <c r="C323" s="82"/>
      <c r="D323" s="82"/>
      <c r="E323" s="82"/>
      <c r="F323" s="82"/>
      <c r="G323" s="82"/>
      <c r="H323" s="83"/>
      <c r="J323" s="57"/>
      <c r="K323" s="57"/>
      <c r="L323" s="57"/>
      <c r="M323" s="57"/>
    </row>
    <row r="324" spans="1:13" hidden="1" x14ac:dyDescent="0.35">
      <c r="A324" s="70" t="s">
        <v>158</v>
      </c>
      <c r="B324" s="81" t="s">
        <v>271</v>
      </c>
      <c r="C324" s="82"/>
      <c r="D324" s="82"/>
      <c r="E324" s="82"/>
      <c r="F324" s="82"/>
      <c r="G324" s="82"/>
      <c r="H324" s="83"/>
      <c r="J324" s="57"/>
      <c r="K324" s="57"/>
      <c r="L324" s="57"/>
      <c r="M324" s="57"/>
    </row>
    <row r="325" spans="1:13" x14ac:dyDescent="0.35">
      <c r="A325" s="204" t="s">
        <v>62</v>
      </c>
      <c r="B325" s="204"/>
      <c r="C325" s="204"/>
      <c r="D325" s="204"/>
      <c r="E325" s="204"/>
      <c r="F325" s="204"/>
      <c r="G325" s="204"/>
      <c r="H325" s="204"/>
      <c r="J325" s="57"/>
      <c r="K325" s="57"/>
      <c r="L325" s="57"/>
      <c r="M325" s="57"/>
    </row>
    <row r="326" spans="1:13" ht="15.75" customHeight="1" x14ac:dyDescent="0.35">
      <c r="A326" s="129" t="s">
        <v>63</v>
      </c>
      <c r="B326" s="129"/>
      <c r="C326" s="129"/>
      <c r="D326" s="129"/>
      <c r="E326" s="129"/>
      <c r="F326" s="129"/>
      <c r="G326" s="129"/>
      <c r="H326" s="129"/>
      <c r="J326" s="57"/>
      <c r="K326" s="57"/>
      <c r="L326" s="57"/>
      <c r="M326" s="57"/>
    </row>
    <row r="327" spans="1:13" x14ac:dyDescent="0.35">
      <c r="A327" s="201" t="s">
        <v>64</v>
      </c>
      <c r="B327" s="201"/>
      <c r="C327" s="201"/>
      <c r="D327" s="201"/>
      <c r="E327" s="201"/>
      <c r="F327" s="201"/>
      <c r="G327" s="201"/>
      <c r="H327" s="201"/>
      <c r="J327" s="57"/>
      <c r="K327" s="57"/>
      <c r="L327" s="57"/>
      <c r="M327" s="57"/>
    </row>
    <row r="328" spans="1:13" x14ac:dyDescent="0.35">
      <c r="A328" s="129" t="s">
        <v>65</v>
      </c>
      <c r="B328" s="129"/>
      <c r="C328" s="129"/>
      <c r="D328" s="129"/>
      <c r="E328" s="129"/>
      <c r="F328" s="129"/>
      <c r="G328" s="129"/>
      <c r="H328" s="129"/>
    </row>
    <row r="329" spans="1:13" hidden="1" x14ac:dyDescent="0.35">
      <c r="A329" s="129" t="s">
        <v>66</v>
      </c>
      <c r="B329" s="129"/>
      <c r="C329" s="129"/>
      <c r="D329" s="129"/>
      <c r="E329" s="129"/>
      <c r="F329" s="129"/>
      <c r="G329" s="129"/>
      <c r="H329" s="129"/>
    </row>
    <row r="330" spans="1:13" ht="35.25" hidden="1" customHeight="1" x14ac:dyDescent="0.35">
      <c r="A330" s="129" t="s">
        <v>128</v>
      </c>
      <c r="B330" s="129"/>
      <c r="C330" s="129"/>
      <c r="D330" s="129"/>
      <c r="E330" s="129"/>
      <c r="F330" s="129"/>
      <c r="G330" s="129"/>
      <c r="H330" s="129"/>
    </row>
    <row r="331" spans="1:13" x14ac:dyDescent="0.35">
      <c r="A331" s="151" t="s">
        <v>129</v>
      </c>
      <c r="B331" s="151"/>
      <c r="C331" s="151"/>
      <c r="D331" s="151"/>
      <c r="E331" s="151"/>
      <c r="F331" s="151"/>
      <c r="G331" s="151"/>
      <c r="H331" s="151"/>
    </row>
    <row r="332" spans="1:13" x14ac:dyDescent="0.35">
      <c r="A332" s="179" t="s">
        <v>77</v>
      </c>
      <c r="B332" s="179"/>
      <c r="C332" s="179" t="s">
        <v>266</v>
      </c>
      <c r="D332" s="179"/>
      <c r="E332" s="179" t="s">
        <v>104</v>
      </c>
      <c r="F332" s="179"/>
      <c r="G332" s="179" t="s">
        <v>270</v>
      </c>
      <c r="H332" s="179"/>
    </row>
    <row r="333" spans="1:13" x14ac:dyDescent="0.35">
      <c r="A333" s="178" t="s">
        <v>79</v>
      </c>
      <c r="B333" s="178"/>
      <c r="C333" s="178"/>
      <c r="D333" s="178"/>
      <c r="E333" s="178"/>
      <c r="F333" s="178"/>
      <c r="G333" s="178"/>
      <c r="H333" s="178"/>
    </row>
    <row r="334" spans="1:13" x14ac:dyDescent="0.35">
      <c r="A334" s="178"/>
      <c r="B334" s="178"/>
      <c r="C334" s="178"/>
      <c r="D334" s="178"/>
      <c r="E334" s="178"/>
      <c r="F334" s="178"/>
      <c r="G334" s="178"/>
      <c r="H334" s="178"/>
    </row>
    <row r="335" spans="1:13" x14ac:dyDescent="0.35">
      <c r="A335" s="178"/>
      <c r="B335" s="178"/>
      <c r="C335" s="178"/>
      <c r="D335" s="178"/>
      <c r="E335" s="178"/>
      <c r="F335" s="178"/>
      <c r="G335" s="178"/>
      <c r="H335" s="178"/>
    </row>
    <row r="336" spans="1:13" x14ac:dyDescent="0.35">
      <c r="A336" s="178"/>
      <c r="B336" s="178"/>
      <c r="C336" s="178"/>
      <c r="D336" s="178"/>
      <c r="E336" s="178"/>
      <c r="F336" s="178"/>
      <c r="G336" s="178"/>
      <c r="H336" s="178"/>
    </row>
    <row r="337" spans="1:8" x14ac:dyDescent="0.35">
      <c r="A337" s="35" t="s">
        <v>67</v>
      </c>
      <c r="B337" s="36"/>
      <c r="C337" s="36"/>
      <c r="D337" s="35" t="str">
        <f>E8</f>
        <v>L and T Seawoods - West Square</v>
      </c>
      <c r="F337" s="36"/>
      <c r="G337" s="36"/>
      <c r="H337" s="36"/>
    </row>
    <row r="338" spans="1:8" x14ac:dyDescent="0.35">
      <c r="A338" s="36"/>
      <c r="B338" s="36"/>
      <c r="C338" s="36"/>
      <c r="D338" s="36"/>
      <c r="E338" s="36"/>
      <c r="F338" s="36"/>
      <c r="G338" s="36"/>
      <c r="H338" s="36"/>
    </row>
    <row r="339" spans="1:8" ht="15" customHeight="1" x14ac:dyDescent="0.35">
      <c r="A339" s="36"/>
      <c r="B339" s="36"/>
      <c r="C339" s="36"/>
      <c r="D339" s="36"/>
      <c r="E339" s="36"/>
      <c r="F339" s="36"/>
      <c r="G339" s="36"/>
      <c r="H339" s="36"/>
    </row>
    <row r="356" spans="9:9" x14ac:dyDescent="0.35">
      <c r="I356"/>
    </row>
    <row r="381" spans="1:1" x14ac:dyDescent="0.35">
      <c r="A381" s="38" t="s">
        <v>68</v>
      </c>
    </row>
  </sheetData>
  <mergeCells count="535">
    <mergeCell ref="G261:H264"/>
    <mergeCell ref="G207:H209"/>
    <mergeCell ref="G204:H206"/>
    <mergeCell ref="G188:H194"/>
    <mergeCell ref="G179:H186"/>
    <mergeCell ref="G170:H177"/>
    <mergeCell ref="B319:H319"/>
    <mergeCell ref="A278:B278"/>
    <mergeCell ref="A279:B279"/>
    <mergeCell ref="G276:H279"/>
    <mergeCell ref="A260:H260"/>
    <mergeCell ref="A262:B262"/>
    <mergeCell ref="A263:B263"/>
    <mergeCell ref="A264:B264"/>
    <mergeCell ref="A255:B255"/>
    <mergeCell ref="A256:B256"/>
    <mergeCell ref="A257:B257"/>
    <mergeCell ref="A258:B258"/>
    <mergeCell ref="A259:H259"/>
    <mergeCell ref="A261:B261"/>
    <mergeCell ref="C261:F261"/>
    <mergeCell ref="G252:H258"/>
    <mergeCell ref="A277:B277"/>
    <mergeCell ref="A269:B269"/>
    <mergeCell ref="A270:H270"/>
    <mergeCell ref="A271:B271"/>
    <mergeCell ref="A272:B272"/>
    <mergeCell ref="A265:H265"/>
    <mergeCell ref="A266:B266"/>
    <mergeCell ref="A267:B267"/>
    <mergeCell ref="A268:B268"/>
    <mergeCell ref="C277:F277"/>
    <mergeCell ref="A273:B273"/>
    <mergeCell ref="A274:B274"/>
    <mergeCell ref="A275:H275"/>
    <mergeCell ref="A276:B276"/>
    <mergeCell ref="G271:H274"/>
    <mergeCell ref="G266:H269"/>
    <mergeCell ref="A230:B230"/>
    <mergeCell ref="A240:B240"/>
    <mergeCell ref="A241:B241"/>
    <mergeCell ref="A242:H242"/>
    <mergeCell ref="A243:B243"/>
    <mergeCell ref="G225:H232"/>
    <mergeCell ref="A252:B252"/>
    <mergeCell ref="A253:B253"/>
    <mergeCell ref="A254:B254"/>
    <mergeCell ref="G246:H250"/>
    <mergeCell ref="A245:B245"/>
    <mergeCell ref="A246:B246"/>
    <mergeCell ref="A247:B247"/>
    <mergeCell ref="A248:B248"/>
    <mergeCell ref="A249:B249"/>
    <mergeCell ref="G243:H245"/>
    <mergeCell ref="A244:B244"/>
    <mergeCell ref="G47:H47"/>
    <mergeCell ref="G49:H49"/>
    <mergeCell ref="D60:H60"/>
    <mergeCell ref="A57:C60"/>
    <mergeCell ref="A159:H159"/>
    <mergeCell ref="A48:B48"/>
    <mergeCell ref="A53:H53"/>
    <mergeCell ref="A54:C54"/>
    <mergeCell ref="A55:C55"/>
    <mergeCell ref="D55:H55"/>
    <mergeCell ref="G51:H51"/>
    <mergeCell ref="G153:H153"/>
    <mergeCell ref="G154:H154"/>
    <mergeCell ref="G156:H156"/>
    <mergeCell ref="A148:H148"/>
    <mergeCell ref="C150:C151"/>
    <mergeCell ref="A145:B145"/>
    <mergeCell ref="C145:D145"/>
    <mergeCell ref="E145:F145"/>
    <mergeCell ref="G145:H145"/>
    <mergeCell ref="A146:B146"/>
    <mergeCell ref="C146:D146"/>
    <mergeCell ref="E146:F146"/>
    <mergeCell ref="G146:H146"/>
    <mergeCell ref="A297:H297"/>
    <mergeCell ref="L161:M161"/>
    <mergeCell ref="A162:B162"/>
    <mergeCell ref="L162:M162"/>
    <mergeCell ref="A163:B163"/>
    <mergeCell ref="L163:M163"/>
    <mergeCell ref="A164:B164"/>
    <mergeCell ref="L164:M164"/>
    <mergeCell ref="G161:H168"/>
    <mergeCell ref="L165:M165"/>
    <mergeCell ref="A166:B166"/>
    <mergeCell ref="L166:M166"/>
    <mergeCell ref="A167:B167"/>
    <mergeCell ref="A197:B197"/>
    <mergeCell ref="L167:M167"/>
    <mergeCell ref="A168:B168"/>
    <mergeCell ref="L168:M168"/>
    <mergeCell ref="A176:B176"/>
    <mergeCell ref="A177:B177"/>
    <mergeCell ref="A178:H178"/>
    <mergeCell ref="A179:B179"/>
    <mergeCell ref="A180:B180"/>
    <mergeCell ref="G234:H241"/>
    <mergeCell ref="A235:B235"/>
    <mergeCell ref="G288:H288"/>
    <mergeCell ref="A222:B222"/>
    <mergeCell ref="A224:H224"/>
    <mergeCell ref="A225:B225"/>
    <mergeCell ref="G218:H222"/>
    <mergeCell ref="A215:B215"/>
    <mergeCell ref="A216:B216"/>
    <mergeCell ref="A217:H217"/>
    <mergeCell ref="A218:B218"/>
    <mergeCell ref="A219:B219"/>
    <mergeCell ref="G211:H216"/>
    <mergeCell ref="A231:B231"/>
    <mergeCell ref="A232:B232"/>
    <mergeCell ref="A223:H223"/>
    <mergeCell ref="A236:B236"/>
    <mergeCell ref="A237:B237"/>
    <mergeCell ref="A238:B238"/>
    <mergeCell ref="A239:B239"/>
    <mergeCell ref="A250:B250"/>
    <mergeCell ref="A251:H251"/>
    <mergeCell ref="A226:B226"/>
    <mergeCell ref="A227:B227"/>
    <mergeCell ref="A228:B228"/>
    <mergeCell ref="A229:B229"/>
    <mergeCell ref="B316:H316"/>
    <mergeCell ref="B312:H312"/>
    <mergeCell ref="A306:B306"/>
    <mergeCell ref="G306:H306"/>
    <mergeCell ref="G305:H305"/>
    <mergeCell ref="A303:H303"/>
    <mergeCell ref="A304:B304"/>
    <mergeCell ref="A305:B305"/>
    <mergeCell ref="A308:B308"/>
    <mergeCell ref="E40:H40"/>
    <mergeCell ref="A40:D40"/>
    <mergeCell ref="A330:H330"/>
    <mergeCell ref="A327:H327"/>
    <mergeCell ref="G301:H301"/>
    <mergeCell ref="A286:B286"/>
    <mergeCell ref="A142:B142"/>
    <mergeCell ref="G158:H158"/>
    <mergeCell ref="A90:B90"/>
    <mergeCell ref="A91:B91"/>
    <mergeCell ref="A92:B92"/>
    <mergeCell ref="A82:B82"/>
    <mergeCell ref="C82:H82"/>
    <mergeCell ref="A106:B106"/>
    <mergeCell ref="A77:B77"/>
    <mergeCell ref="F125:H125"/>
    <mergeCell ref="A47:B47"/>
    <mergeCell ref="C47:E47"/>
    <mergeCell ref="A325:H325"/>
    <mergeCell ref="A326:H326"/>
    <mergeCell ref="E142:F142"/>
    <mergeCell ref="B318:H318"/>
    <mergeCell ref="B322:H322"/>
    <mergeCell ref="G155:H155"/>
    <mergeCell ref="D59:H59"/>
    <mergeCell ref="A51:B52"/>
    <mergeCell ref="C52:H52"/>
    <mergeCell ref="D54:H54"/>
    <mergeCell ref="D57:H57"/>
    <mergeCell ref="D58:H58"/>
    <mergeCell ref="C51:E51"/>
    <mergeCell ref="G138:H138"/>
    <mergeCell ref="A109:B109"/>
    <mergeCell ref="A65:C65"/>
    <mergeCell ref="D65:H65"/>
    <mergeCell ref="A66:C66"/>
    <mergeCell ref="D66:H66"/>
    <mergeCell ref="A72:B72"/>
    <mergeCell ref="G71:H71"/>
    <mergeCell ref="A98:B98"/>
    <mergeCell ref="C98:H98"/>
    <mergeCell ref="E137:F137"/>
    <mergeCell ref="A75:B75"/>
    <mergeCell ref="E71:F71"/>
    <mergeCell ref="A64:C64"/>
    <mergeCell ref="D64:H64"/>
    <mergeCell ref="A67:C67"/>
    <mergeCell ref="D67:H67"/>
    <mergeCell ref="A157:H157"/>
    <mergeCell ref="A290:B290"/>
    <mergeCell ref="A287:B287"/>
    <mergeCell ref="A288:B288"/>
    <mergeCell ref="A298:B298"/>
    <mergeCell ref="A299:B299"/>
    <mergeCell ref="A208:B208"/>
    <mergeCell ref="A291:H291"/>
    <mergeCell ref="B150:B151"/>
    <mergeCell ref="A160:H160"/>
    <mergeCell ref="A161:B161"/>
    <mergeCell ref="A165:B165"/>
    <mergeCell ref="A198:B198"/>
    <mergeCell ref="A199:B199"/>
    <mergeCell ref="A182:B182"/>
    <mergeCell ref="A200:B200"/>
    <mergeCell ref="A201:B201"/>
    <mergeCell ref="A202:B202"/>
    <mergeCell ref="A181:B181"/>
    <mergeCell ref="A172:B172"/>
    <mergeCell ref="A173:B173"/>
    <mergeCell ref="A174:B174"/>
    <mergeCell ref="A175:B175"/>
    <mergeCell ref="A171:B171"/>
    <mergeCell ref="A191:B191"/>
    <mergeCell ref="A192:B192"/>
    <mergeCell ref="A206:B206"/>
    <mergeCell ref="A207:B207"/>
    <mergeCell ref="A193:B193"/>
    <mergeCell ref="A189:B189"/>
    <mergeCell ref="A190:B190"/>
    <mergeCell ref="G197:H202"/>
    <mergeCell ref="A194:B194"/>
    <mergeCell ref="A205:B205"/>
    <mergeCell ref="A203:H203"/>
    <mergeCell ref="A204:B204"/>
    <mergeCell ref="A333:H336"/>
    <mergeCell ref="A332:B332"/>
    <mergeCell ref="E332:F332"/>
    <mergeCell ref="C332:D332"/>
    <mergeCell ref="G332:H332"/>
    <mergeCell ref="A136:H136"/>
    <mergeCell ref="A134:E134"/>
    <mergeCell ref="F134:H134"/>
    <mergeCell ref="A135:E135"/>
    <mergeCell ref="F135:H135"/>
    <mergeCell ref="A285:H285"/>
    <mergeCell ref="A143:B143"/>
    <mergeCell ref="A294:B294"/>
    <mergeCell ref="A138:B138"/>
    <mergeCell ref="A328:H328"/>
    <mergeCell ref="A141:H141"/>
    <mergeCell ref="A331:H331"/>
    <mergeCell ref="A209:B209"/>
    <mergeCell ref="A155:B155"/>
    <mergeCell ref="G299:H299"/>
    <mergeCell ref="A293:B293"/>
    <mergeCell ref="G308:H308"/>
    <mergeCell ref="A307:B307"/>
    <mergeCell ref="G307:H307"/>
    <mergeCell ref="A99:B99"/>
    <mergeCell ref="A329:H329"/>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5:B15"/>
    <mergeCell ref="E24:H24"/>
    <mergeCell ref="A26:D26"/>
    <mergeCell ref="E26:H26"/>
    <mergeCell ref="A23:D23"/>
    <mergeCell ref="E23:H23"/>
    <mergeCell ref="A27:D27"/>
    <mergeCell ref="E27:H27"/>
    <mergeCell ref="A24:D24"/>
    <mergeCell ref="C15:H15"/>
    <mergeCell ref="A20:D21"/>
    <mergeCell ref="E20:H21"/>
    <mergeCell ref="A33:B33"/>
    <mergeCell ref="C33:E33"/>
    <mergeCell ref="A28:D28"/>
    <mergeCell ref="E28:H28"/>
    <mergeCell ref="A29:D29"/>
    <mergeCell ref="E29:H29"/>
    <mergeCell ref="A25:D25"/>
    <mergeCell ref="E25:H25"/>
    <mergeCell ref="C30:E30"/>
    <mergeCell ref="F33:H33"/>
    <mergeCell ref="F30:H30"/>
    <mergeCell ref="A31:B31"/>
    <mergeCell ref="A30:B30"/>
    <mergeCell ref="C31:E31"/>
    <mergeCell ref="A32:B32"/>
    <mergeCell ref="C32:E32"/>
    <mergeCell ref="A35:H35"/>
    <mergeCell ref="A34:B34"/>
    <mergeCell ref="C34:E34"/>
    <mergeCell ref="A39:D39"/>
    <mergeCell ref="E39:H39"/>
    <mergeCell ref="F31:H31"/>
    <mergeCell ref="F32:H32"/>
    <mergeCell ref="A38:H38"/>
    <mergeCell ref="A61:C61"/>
    <mergeCell ref="F34:H34"/>
    <mergeCell ref="A36:B36"/>
    <mergeCell ref="E36:F36"/>
    <mergeCell ref="C36:D36"/>
    <mergeCell ref="G36:H36"/>
    <mergeCell ref="A43:D43"/>
    <mergeCell ref="A44:D44"/>
    <mergeCell ref="A45:H45"/>
    <mergeCell ref="D56:H56"/>
    <mergeCell ref="A56:C56"/>
    <mergeCell ref="G48:H48"/>
    <mergeCell ref="A49:B50"/>
    <mergeCell ref="C50:H50"/>
    <mergeCell ref="C49:E49"/>
    <mergeCell ref="C48:E48"/>
    <mergeCell ref="A62:C62"/>
    <mergeCell ref="D61:H61"/>
    <mergeCell ref="E72:F81"/>
    <mergeCell ref="G72:H81"/>
    <mergeCell ref="A80:B80"/>
    <mergeCell ref="A81:B81"/>
    <mergeCell ref="D62:H62"/>
    <mergeCell ref="A41:D41"/>
    <mergeCell ref="E41:H41"/>
    <mergeCell ref="E42:H42"/>
    <mergeCell ref="E43:H43"/>
    <mergeCell ref="E44:H44"/>
    <mergeCell ref="A42:D42"/>
    <mergeCell ref="A78:B78"/>
    <mergeCell ref="A71:B71"/>
    <mergeCell ref="A74:B74"/>
    <mergeCell ref="A70:B70"/>
    <mergeCell ref="A68:B68"/>
    <mergeCell ref="C68:H68"/>
    <mergeCell ref="A76:B76"/>
    <mergeCell ref="A63:C63"/>
    <mergeCell ref="D63:H63"/>
    <mergeCell ref="C70:H70"/>
    <mergeCell ref="A73:B73"/>
    <mergeCell ref="L156:M156"/>
    <mergeCell ref="L155:M155"/>
    <mergeCell ref="L154:M154"/>
    <mergeCell ref="L153:M153"/>
    <mergeCell ref="A79:B79"/>
    <mergeCell ref="C143:D143"/>
    <mergeCell ref="E143:F143"/>
    <mergeCell ref="G143:H143"/>
    <mergeCell ref="F129:H129"/>
    <mergeCell ref="A125:E125"/>
    <mergeCell ref="A96:B96"/>
    <mergeCell ref="C96:H96"/>
    <mergeCell ref="A152:H152"/>
    <mergeCell ref="E150:E151"/>
    <mergeCell ref="G150:H151"/>
    <mergeCell ref="A86:B86"/>
    <mergeCell ref="E86:F95"/>
    <mergeCell ref="A93:B93"/>
    <mergeCell ref="A94:B94"/>
    <mergeCell ref="A95:B95"/>
    <mergeCell ref="A100:B100"/>
    <mergeCell ref="A108:B108"/>
    <mergeCell ref="F126:H126"/>
    <mergeCell ref="G99:H99"/>
    <mergeCell ref="A295:B295"/>
    <mergeCell ref="A292:B292"/>
    <mergeCell ref="G284:H284"/>
    <mergeCell ref="A281:B281"/>
    <mergeCell ref="A156:B156"/>
    <mergeCell ref="A300:B300"/>
    <mergeCell ref="A289:B289"/>
    <mergeCell ref="G290:H290"/>
    <mergeCell ref="G296:H296"/>
    <mergeCell ref="G295:H295"/>
    <mergeCell ref="G281:H281"/>
    <mergeCell ref="A282:B282"/>
    <mergeCell ref="G282:H282"/>
    <mergeCell ref="A283:B283"/>
    <mergeCell ref="G283:H283"/>
    <mergeCell ref="G298:H298"/>
    <mergeCell ref="A195:H195"/>
    <mergeCell ref="A196:H196"/>
    <mergeCell ref="A183:B183"/>
    <mergeCell ref="A184:B184"/>
    <mergeCell ref="A185:B185"/>
    <mergeCell ref="A188:B188"/>
    <mergeCell ref="A284:B284"/>
    <mergeCell ref="G294:H294"/>
    <mergeCell ref="F127:H127"/>
    <mergeCell ref="F133:H133"/>
    <mergeCell ref="F131:H131"/>
    <mergeCell ref="G137:H137"/>
    <mergeCell ref="A132:E132"/>
    <mergeCell ref="C138:D138"/>
    <mergeCell ref="E138:F138"/>
    <mergeCell ref="F132:H132"/>
    <mergeCell ref="A139:B139"/>
    <mergeCell ref="F128:H128"/>
    <mergeCell ref="A128:E128"/>
    <mergeCell ref="A127:E127"/>
    <mergeCell ref="A169:H169"/>
    <mergeCell ref="A170:B170"/>
    <mergeCell ref="A280:H280"/>
    <mergeCell ref="A84:B84"/>
    <mergeCell ref="C84:H84"/>
    <mergeCell ref="A85:B85"/>
    <mergeCell ref="E85:F85"/>
    <mergeCell ref="G85:H85"/>
    <mergeCell ref="A103:B103"/>
    <mergeCell ref="A104:B104"/>
    <mergeCell ref="A105:B105"/>
    <mergeCell ref="A107:B107"/>
    <mergeCell ref="A124:E124"/>
    <mergeCell ref="G100:H109"/>
    <mergeCell ref="E99:F99"/>
    <mergeCell ref="A150:A151"/>
    <mergeCell ref="C147:D147"/>
    <mergeCell ref="A149:H149"/>
    <mergeCell ref="A147:B147"/>
    <mergeCell ref="A137:B137"/>
    <mergeCell ref="C137:D137"/>
    <mergeCell ref="E147:F147"/>
    <mergeCell ref="E100:F109"/>
    <mergeCell ref="F124:H124"/>
    <mergeCell ref="C139:D139"/>
    <mergeCell ref="E139:F139"/>
    <mergeCell ref="G139:H139"/>
    <mergeCell ref="A140:B140"/>
    <mergeCell ref="C140:D140"/>
    <mergeCell ref="E140:F140"/>
    <mergeCell ref="G140:H140"/>
    <mergeCell ref="A144:B144"/>
    <mergeCell ref="C144:D144"/>
    <mergeCell ref="E144:F144"/>
    <mergeCell ref="G144:H144"/>
    <mergeCell ref="C142:D142"/>
    <mergeCell ref="G142:H142"/>
    <mergeCell ref="A37:B37"/>
    <mergeCell ref="C37:H37"/>
    <mergeCell ref="B317:H317"/>
    <mergeCell ref="A46:B46"/>
    <mergeCell ref="C46:H46"/>
    <mergeCell ref="B315:H315"/>
    <mergeCell ref="A101:B101"/>
    <mergeCell ref="A102:B102"/>
    <mergeCell ref="G86:H95"/>
    <mergeCell ref="A87:B87"/>
    <mergeCell ref="A88:B88"/>
    <mergeCell ref="A89:B89"/>
    <mergeCell ref="G293:H293"/>
    <mergeCell ref="G289:H289"/>
    <mergeCell ref="G286:H286"/>
    <mergeCell ref="D150:D151"/>
    <mergeCell ref="A126:E126"/>
    <mergeCell ref="A153:B153"/>
    <mergeCell ref="A154:B154"/>
    <mergeCell ref="A186:B186"/>
    <mergeCell ref="A187:H187"/>
    <mergeCell ref="G292:H292"/>
    <mergeCell ref="A133:E133"/>
    <mergeCell ref="G147:H147"/>
    <mergeCell ref="B323:H323"/>
    <mergeCell ref="B320:H320"/>
    <mergeCell ref="G300:H300"/>
    <mergeCell ref="A210:H210"/>
    <mergeCell ref="A211:B211"/>
    <mergeCell ref="A212:B212"/>
    <mergeCell ref="A213:B213"/>
    <mergeCell ref="A214:B214"/>
    <mergeCell ref="B310:H310"/>
    <mergeCell ref="B311:H311"/>
    <mergeCell ref="B313:H313"/>
    <mergeCell ref="B314:H314"/>
    <mergeCell ref="G304:H304"/>
    <mergeCell ref="G302:H302"/>
    <mergeCell ref="A309:H309"/>
    <mergeCell ref="A301:B301"/>
    <mergeCell ref="A302:B302"/>
    <mergeCell ref="G287:H287"/>
    <mergeCell ref="A296:B296"/>
    <mergeCell ref="A220:B220"/>
    <mergeCell ref="A221:B221"/>
    <mergeCell ref="B321:H321"/>
    <mergeCell ref="A233:H233"/>
    <mergeCell ref="A234:B234"/>
    <mergeCell ref="B324:H324"/>
    <mergeCell ref="A110:B110"/>
    <mergeCell ref="C110:H110"/>
    <mergeCell ref="A112:B112"/>
    <mergeCell ref="C112:H112"/>
    <mergeCell ref="A113:B113"/>
    <mergeCell ref="E113:F113"/>
    <mergeCell ref="G113:H113"/>
    <mergeCell ref="A114:B114"/>
    <mergeCell ref="E114:F123"/>
    <mergeCell ref="G114:H123"/>
    <mergeCell ref="A115:B115"/>
    <mergeCell ref="A116:B116"/>
    <mergeCell ref="A117:B117"/>
    <mergeCell ref="A118:B118"/>
    <mergeCell ref="A119:B119"/>
    <mergeCell ref="A120:B120"/>
    <mergeCell ref="A121:B121"/>
    <mergeCell ref="A122:B122"/>
    <mergeCell ref="A123:B123"/>
    <mergeCell ref="A131:E131"/>
    <mergeCell ref="F130:H130"/>
    <mergeCell ref="A130:E130"/>
    <mergeCell ref="A129:E129"/>
  </mergeCells>
  <hyperlinks>
    <hyperlink ref="C37" r:id="rId1"/>
  </hyperlinks>
  <printOptions horizontalCentered="1"/>
  <pageMargins left="0.39370078740157483" right="0.39370078740157483" top="0.82677165354330717" bottom="0.78740157480314965" header="0.15748031496062992" footer="0.19685039370078741"/>
  <pageSetup paperSize="2" scale="95" fitToHeight="0" orientation="portrait" r:id="rId2"/>
  <headerFooter>
    <oddHeader>&amp;C&amp;G</oddHeader>
    <oddFooter>&amp;L&amp;"Times New Roman,Bold"&amp;12Ref No: &amp;F&amp;C&amp;G&amp;R&amp;"Times New Roman,Bold"&amp;12&amp;P</oddFooter>
  </headerFooter>
  <rowBreaks count="4" manualBreakCount="4">
    <brk id="95" max="7" man="1"/>
    <brk id="269" max="7" man="1"/>
    <brk id="336" max="7" man="1"/>
    <brk id="37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223" t="s">
        <v>105</v>
      </c>
      <c r="C3" s="223"/>
      <c r="D3" s="223"/>
      <c r="E3" s="223"/>
      <c r="F3" s="223"/>
      <c r="G3" s="223"/>
      <c r="H3" s="223"/>
    </row>
    <row r="4" spans="1:9" x14ac:dyDescent="0.35">
      <c r="A4" s="2"/>
      <c r="B4" s="3" t="s">
        <v>106</v>
      </c>
      <c r="C4" s="3" t="s">
        <v>107</v>
      </c>
      <c r="D4" s="3" t="s">
        <v>70</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2025-09-12T12:55:37Z</cp:lastPrinted>
  <dcterms:created xsi:type="dcterms:W3CDTF">2019-07-16T09:29:46Z</dcterms:created>
  <dcterms:modified xsi:type="dcterms:W3CDTF">2025-09-12T12:57:30Z</dcterms:modified>
</cp:coreProperties>
</file>