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10-09-2025\"/>
    </mc:Choice>
  </mc:AlternateContent>
  <bookViews>
    <workbookView xWindow="0" yWindow="0" windowWidth="19200" windowHeight="6640"/>
  </bookViews>
  <sheets>
    <sheet name="Sheet1" sheetId="1" r:id="rId1"/>
    <sheet name="A,B, C" sheetId="14" r:id="rId2"/>
    <sheet name="D,E" sheetId="16" r:id="rId3"/>
    <sheet name="E" sheetId="17" r:id="rId4"/>
    <sheet name="Wing A" sheetId="11" r:id="rId5"/>
    <sheet name="Wing B" sheetId="12" r:id="rId6"/>
    <sheet name="Wing C" sheetId="13" r:id="rId7"/>
  </sheets>
  <definedNames>
    <definedName name="_xlnm.Print_Area" localSheetId="0">Sheet1!$A$1:$J$320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6" i="1" l="1"/>
  <c r="F3" i="1" l="1"/>
  <c r="L81" i="1" l="1"/>
  <c r="L80" i="1"/>
  <c r="L79" i="1"/>
  <c r="L78" i="1"/>
  <c r="L67" i="1"/>
  <c r="L66" i="1"/>
  <c r="L65" i="1"/>
  <c r="L64" i="1"/>
  <c r="I71" i="1"/>
  <c r="I55" i="1"/>
  <c r="D76" i="1" l="1"/>
  <c r="D83" i="1"/>
  <c r="D79" i="1"/>
  <c r="L75" i="1"/>
  <c r="C74" i="1" s="1"/>
  <c r="L73" i="1"/>
  <c r="L76" i="1"/>
  <c r="L77" i="1" s="1"/>
  <c r="L82" i="1" s="1"/>
  <c r="L83" i="1" s="1"/>
  <c r="C75" i="1" s="1"/>
  <c r="D82" i="1"/>
  <c r="D78" i="1"/>
  <c r="L74" i="1"/>
  <c r="D81" i="1"/>
  <c r="D77" i="1"/>
  <c r="D80" i="1"/>
  <c r="D69" i="1"/>
  <c r="D65" i="1"/>
  <c r="L61" i="1"/>
  <c r="C60" i="1" s="1"/>
  <c r="D60" i="1" s="1"/>
  <c r="L59" i="1"/>
  <c r="L60" i="1"/>
  <c r="D68" i="1"/>
  <c r="D64" i="1"/>
  <c r="C62" i="1"/>
  <c r="D62" i="1" s="1"/>
  <c r="D67" i="1"/>
  <c r="D63" i="1"/>
  <c r="L62" i="1"/>
  <c r="L63" i="1" s="1"/>
  <c r="L68" i="1" s="1"/>
  <c r="L69" i="1" s="1"/>
  <c r="C61" i="1" s="1"/>
  <c r="D66" i="1"/>
  <c r="M82" i="1"/>
  <c r="M81" i="1"/>
  <c r="M80" i="1"/>
  <c r="M79" i="1"/>
  <c r="M77" i="1"/>
  <c r="M76" i="1"/>
  <c r="M68" i="1"/>
  <c r="M67" i="1"/>
  <c r="M66" i="1"/>
  <c r="M65" i="1"/>
  <c r="M63" i="1"/>
  <c r="M62" i="1"/>
  <c r="G130" i="1"/>
  <c r="G150" i="1"/>
  <c r="G148" i="1"/>
  <c r="G147" i="1"/>
  <c r="G145" i="1"/>
  <c r="G143" i="1"/>
  <c r="G142" i="1"/>
  <c r="G140" i="1"/>
  <c r="G139" i="1"/>
  <c r="G138" i="1"/>
  <c r="G137" i="1"/>
  <c r="G135" i="1"/>
  <c r="G134" i="1"/>
  <c r="G133" i="1"/>
  <c r="G132" i="1"/>
  <c r="V108" i="1"/>
  <c r="H192" i="1"/>
  <c r="F129" i="1"/>
  <c r="G129" i="1" s="1"/>
  <c r="H129" i="1"/>
  <c r="B16" i="17"/>
  <c r="O6" i="17" s="1"/>
  <c r="G19" i="17" s="1"/>
  <c r="B14" i="17"/>
  <c r="B12" i="17"/>
  <c r="B10" i="17"/>
  <c r="B8" i="17"/>
  <c r="K7" i="17" s="1"/>
  <c r="H15" i="17" s="1"/>
  <c r="B6" i="17"/>
  <c r="M50" i="1"/>
  <c r="L50" i="1"/>
  <c r="N50" i="1" s="1"/>
  <c r="F204" i="1"/>
  <c r="G204" i="1" s="1"/>
  <c r="F205" i="1"/>
  <c r="G205" i="1" s="1"/>
  <c r="O204" i="1"/>
  <c r="P204" i="1" s="1"/>
  <c r="R225" i="1"/>
  <c r="F225" i="1" s="1"/>
  <c r="Q225" i="1"/>
  <c r="D225" i="1" s="1"/>
  <c r="R224" i="1"/>
  <c r="Q224" i="1"/>
  <c r="R223" i="1"/>
  <c r="F223" i="1" s="1"/>
  <c r="Q223" i="1"/>
  <c r="D223" i="1" s="1"/>
  <c r="R222" i="1"/>
  <c r="F222" i="1" s="1"/>
  <c r="Q222" i="1"/>
  <c r="D222" i="1" s="1"/>
  <c r="H222" i="1"/>
  <c r="R220" i="1"/>
  <c r="F220" i="1" s="1"/>
  <c r="Q220" i="1"/>
  <c r="D220" i="1" s="1"/>
  <c r="G220" i="1" s="1"/>
  <c r="R219" i="1"/>
  <c r="Q219" i="1"/>
  <c r="R218" i="1"/>
  <c r="F218" i="1" s="1"/>
  <c r="Q218" i="1"/>
  <c r="D218" i="1" s="1"/>
  <c r="R217" i="1"/>
  <c r="F217" i="1" s="1"/>
  <c r="Q217" i="1"/>
  <c r="D217" i="1" s="1"/>
  <c r="H217" i="1"/>
  <c r="R215" i="1"/>
  <c r="F215" i="1" s="1"/>
  <c r="Q215" i="1"/>
  <c r="D215" i="1" s="1"/>
  <c r="R214" i="1"/>
  <c r="F214" i="1" s="1"/>
  <c r="Q214" i="1"/>
  <c r="D214" i="1" s="1"/>
  <c r="R213" i="1"/>
  <c r="F213" i="1" s="1"/>
  <c r="Q213" i="1"/>
  <c r="D213" i="1" s="1"/>
  <c r="R212" i="1"/>
  <c r="F212" i="1" s="1"/>
  <c r="Q212" i="1"/>
  <c r="D212" i="1" s="1"/>
  <c r="H212" i="1"/>
  <c r="R210" i="1"/>
  <c r="F210" i="1" s="1"/>
  <c r="Q210" i="1"/>
  <c r="D210" i="1" s="1"/>
  <c r="R209" i="1"/>
  <c r="F209" i="1" s="1"/>
  <c r="Q209" i="1"/>
  <c r="D209" i="1" s="1"/>
  <c r="R208" i="1"/>
  <c r="F208" i="1"/>
  <c r="Q208" i="1"/>
  <c r="D208" i="1" s="1"/>
  <c r="R207" i="1"/>
  <c r="F207" i="1" s="1"/>
  <c r="Q207" i="1"/>
  <c r="D207" i="1" s="1"/>
  <c r="H207" i="1"/>
  <c r="H204" i="1"/>
  <c r="R200" i="1"/>
  <c r="F200" i="1" s="1"/>
  <c r="Q200" i="1"/>
  <c r="D200" i="1" s="1"/>
  <c r="R199" i="1"/>
  <c r="Q199" i="1"/>
  <c r="R198" i="1"/>
  <c r="F198" i="1" s="1"/>
  <c r="Q198" i="1"/>
  <c r="D198" i="1" s="1"/>
  <c r="R197" i="1"/>
  <c r="F197" i="1" s="1"/>
  <c r="Q197" i="1"/>
  <c r="D197" i="1" s="1"/>
  <c r="H197" i="1"/>
  <c r="R195" i="1"/>
  <c r="F195" i="1" s="1"/>
  <c r="Q195" i="1"/>
  <c r="D195" i="1" s="1"/>
  <c r="R194" i="1"/>
  <c r="Q194" i="1"/>
  <c r="R193" i="1"/>
  <c r="F193" i="1" s="1"/>
  <c r="Q193" i="1"/>
  <c r="D193" i="1" s="1"/>
  <c r="R192" i="1"/>
  <c r="F192" i="1" s="1"/>
  <c r="Q192" i="1"/>
  <c r="D192" i="1" s="1"/>
  <c r="I192" i="1"/>
  <c r="R190" i="1"/>
  <c r="F190" i="1" s="1"/>
  <c r="Q190" i="1"/>
  <c r="D190" i="1" s="1"/>
  <c r="R189" i="1"/>
  <c r="F189" i="1" s="1"/>
  <c r="Q189" i="1"/>
  <c r="D189" i="1" s="1"/>
  <c r="R188" i="1"/>
  <c r="F188" i="1" s="1"/>
  <c r="Q188" i="1"/>
  <c r="D188" i="1" s="1"/>
  <c r="R187" i="1"/>
  <c r="F187" i="1" s="1"/>
  <c r="Q187" i="1"/>
  <c r="D187" i="1" s="1"/>
  <c r="H187" i="1"/>
  <c r="R185" i="1"/>
  <c r="F185" i="1" s="1"/>
  <c r="Q185" i="1"/>
  <c r="D185" i="1" s="1"/>
  <c r="R184" i="1"/>
  <c r="F184" i="1" s="1"/>
  <c r="Q184" i="1"/>
  <c r="D184" i="1" s="1"/>
  <c r="R183" i="1"/>
  <c r="F183" i="1" s="1"/>
  <c r="Q183" i="1"/>
  <c r="D183" i="1" s="1"/>
  <c r="R182" i="1"/>
  <c r="F182" i="1" s="1"/>
  <c r="Q182" i="1"/>
  <c r="D182" i="1" s="1"/>
  <c r="H182" i="1"/>
  <c r="R180" i="1"/>
  <c r="F180" i="1" s="1"/>
  <c r="Q180" i="1"/>
  <c r="D180" i="1" s="1"/>
  <c r="R179" i="1"/>
  <c r="F179" i="1" s="1"/>
  <c r="Q179" i="1"/>
  <c r="D179" i="1" s="1"/>
  <c r="H179" i="1"/>
  <c r="R175" i="1"/>
  <c r="Q175" i="1"/>
  <c r="R174" i="1"/>
  <c r="Q174" i="1"/>
  <c r="R173" i="1"/>
  <c r="F173" i="1" s="1"/>
  <c r="Q173" i="1"/>
  <c r="D173" i="1" s="1"/>
  <c r="R172" i="1"/>
  <c r="F172" i="1" s="1"/>
  <c r="Q172" i="1"/>
  <c r="D172" i="1" s="1"/>
  <c r="H172" i="1"/>
  <c r="R170" i="1"/>
  <c r="Q170" i="1"/>
  <c r="R169" i="1"/>
  <c r="Q169" i="1"/>
  <c r="R168" i="1"/>
  <c r="F168" i="1" s="1"/>
  <c r="Q168" i="1"/>
  <c r="D168" i="1" s="1"/>
  <c r="R167" i="1"/>
  <c r="F167" i="1" s="1"/>
  <c r="Q167" i="1"/>
  <c r="D167" i="1" s="1"/>
  <c r="H167" i="1"/>
  <c r="R165" i="1"/>
  <c r="F165" i="1" s="1"/>
  <c r="Q165" i="1"/>
  <c r="D165" i="1" s="1"/>
  <c r="R164" i="1"/>
  <c r="F164" i="1" s="1"/>
  <c r="Q164" i="1"/>
  <c r="D164" i="1" s="1"/>
  <c r="R163" i="1"/>
  <c r="F163" i="1" s="1"/>
  <c r="Q163" i="1"/>
  <c r="D163" i="1" s="1"/>
  <c r="R162" i="1"/>
  <c r="F162" i="1" s="1"/>
  <c r="Q162" i="1"/>
  <c r="D162" i="1" s="1"/>
  <c r="H162" i="1"/>
  <c r="R160" i="1"/>
  <c r="F160" i="1" s="1"/>
  <c r="Q160" i="1"/>
  <c r="D160" i="1" s="1"/>
  <c r="R159" i="1"/>
  <c r="F159" i="1" s="1"/>
  <c r="Q159" i="1"/>
  <c r="D159" i="1" s="1"/>
  <c r="R158" i="1"/>
  <c r="F158" i="1" s="1"/>
  <c r="Q158" i="1"/>
  <c r="D158" i="1" s="1"/>
  <c r="R157" i="1"/>
  <c r="F157" i="1" s="1"/>
  <c r="Q157" i="1"/>
  <c r="D157" i="1" s="1"/>
  <c r="H157" i="1"/>
  <c r="F154" i="1"/>
  <c r="R150" i="1"/>
  <c r="Q150" i="1"/>
  <c r="R149" i="1"/>
  <c r="Q149" i="1"/>
  <c r="R148" i="1"/>
  <c r="Q148" i="1"/>
  <c r="R147" i="1"/>
  <c r="Q147" i="1"/>
  <c r="H147" i="1"/>
  <c r="R145" i="1"/>
  <c r="Q145" i="1"/>
  <c r="R144" i="1"/>
  <c r="Q144" i="1"/>
  <c r="R143" i="1"/>
  <c r="Q143" i="1"/>
  <c r="R142" i="1"/>
  <c r="Q142" i="1"/>
  <c r="H142" i="1"/>
  <c r="R140" i="1"/>
  <c r="Q140" i="1"/>
  <c r="R139" i="1"/>
  <c r="Q139" i="1"/>
  <c r="R138" i="1"/>
  <c r="Q138" i="1"/>
  <c r="R137" i="1"/>
  <c r="Q137" i="1"/>
  <c r="H137" i="1"/>
  <c r="R135" i="1"/>
  <c r="Q135" i="1"/>
  <c r="R134" i="1"/>
  <c r="Q134" i="1"/>
  <c r="R133" i="1"/>
  <c r="Q133" i="1"/>
  <c r="R132" i="1"/>
  <c r="Q132" i="1"/>
  <c r="H132" i="1"/>
  <c r="Q129" i="1"/>
  <c r="R130" i="1"/>
  <c r="Q130" i="1"/>
  <c r="R129" i="1"/>
  <c r="R125" i="1"/>
  <c r="Q125" i="1"/>
  <c r="R124" i="1"/>
  <c r="Q124" i="1"/>
  <c r="F124" i="1"/>
  <c r="D124" i="1"/>
  <c r="R123" i="1"/>
  <c r="Q123" i="1"/>
  <c r="F123" i="1"/>
  <c r="D123" i="1"/>
  <c r="R122" i="1"/>
  <c r="Q122" i="1"/>
  <c r="H122" i="1"/>
  <c r="F122" i="1"/>
  <c r="D122" i="1"/>
  <c r="R120" i="1"/>
  <c r="Q120" i="1"/>
  <c r="R119" i="1"/>
  <c r="Q119" i="1"/>
  <c r="F119" i="1"/>
  <c r="D119" i="1"/>
  <c r="R118" i="1"/>
  <c r="Q118" i="1"/>
  <c r="F118" i="1"/>
  <c r="D118" i="1"/>
  <c r="R117" i="1"/>
  <c r="Q117" i="1"/>
  <c r="H117" i="1"/>
  <c r="F117" i="1"/>
  <c r="D117" i="1"/>
  <c r="D114" i="1"/>
  <c r="R115" i="1"/>
  <c r="Q115" i="1"/>
  <c r="R114" i="1"/>
  <c r="Q114" i="1"/>
  <c r="R113" i="1"/>
  <c r="Q113" i="1"/>
  <c r="R112" i="1"/>
  <c r="Q112" i="1"/>
  <c r="R108" i="1"/>
  <c r="R109" i="1"/>
  <c r="R110" i="1"/>
  <c r="R107" i="1"/>
  <c r="Q108" i="1"/>
  <c r="Q109" i="1"/>
  <c r="Q110" i="1"/>
  <c r="Q107" i="1"/>
  <c r="H107" i="1"/>
  <c r="H112" i="1"/>
  <c r="F110" i="1"/>
  <c r="D110" i="1"/>
  <c r="D115" i="1"/>
  <c r="F114" i="1"/>
  <c r="F113" i="1"/>
  <c r="D113" i="1"/>
  <c r="F112" i="1"/>
  <c r="D112" i="1"/>
  <c r="D107" i="1"/>
  <c r="F115" i="1"/>
  <c r="F109" i="1"/>
  <c r="D109" i="1"/>
  <c r="F108" i="1"/>
  <c r="D108" i="1"/>
  <c r="F107" i="1"/>
  <c r="F155" i="1"/>
  <c r="D155" i="1"/>
  <c r="D154" i="1"/>
  <c r="H154" i="1"/>
  <c r="H104" i="1"/>
  <c r="F105" i="1"/>
  <c r="G105" i="1" s="1"/>
  <c r="F104" i="1"/>
  <c r="G104" i="1" s="1"/>
  <c r="E9" i="17"/>
  <c r="L7" i="17"/>
  <c r="H16" i="17" s="1"/>
  <c r="E8" i="17"/>
  <c r="M7" i="17"/>
  <c r="H17" i="17" s="1"/>
  <c r="M6" i="17"/>
  <c r="G17" i="17" s="1"/>
  <c r="L6" i="17"/>
  <c r="G16" i="17" s="1"/>
  <c r="I6" i="17"/>
  <c r="G13" i="17" s="1"/>
  <c r="J6" i="17"/>
  <c r="G14" i="17" s="1"/>
  <c r="J7" i="17"/>
  <c r="H14" i="17" s="1"/>
  <c r="E4" i="17"/>
  <c r="B16" i="16"/>
  <c r="E10" i="16" s="1"/>
  <c r="B14" i="16"/>
  <c r="E9" i="16" s="1"/>
  <c r="B12" i="16"/>
  <c r="M7" i="16"/>
  <c r="H17" i="16" s="1"/>
  <c r="B10" i="16"/>
  <c r="L7" i="16" s="1"/>
  <c r="H16" i="16" s="1"/>
  <c r="E8" i="16"/>
  <c r="B8" i="16"/>
  <c r="E6" i="16" s="1"/>
  <c r="O7" i="16"/>
  <c r="H19" i="16" s="1"/>
  <c r="I6" i="16"/>
  <c r="G13" i="16" s="1"/>
  <c r="B6" i="16"/>
  <c r="J7" i="16" s="1"/>
  <c r="H14" i="16" s="1"/>
  <c r="E4" i="16"/>
  <c r="D231" i="1"/>
  <c r="B16" i="14"/>
  <c r="E10" i="14" s="1"/>
  <c r="O6" i="14"/>
  <c r="G19" i="14" s="1"/>
  <c r="B14" i="14"/>
  <c r="N6" i="14" s="1"/>
  <c r="G18" i="14" s="1"/>
  <c r="B12" i="14"/>
  <c r="E8" i="14" s="1"/>
  <c r="B10" i="14"/>
  <c r="E7" i="14" s="1"/>
  <c r="B8" i="14"/>
  <c r="K7" i="14" s="1"/>
  <c r="H15" i="14" s="1"/>
  <c r="I6" i="14"/>
  <c r="I7" i="14" s="1"/>
  <c r="H13" i="14" s="1"/>
  <c r="B6" i="14"/>
  <c r="J7" i="14" s="1"/>
  <c r="H14" i="14" s="1"/>
  <c r="E4" i="14"/>
  <c r="D50" i="1"/>
  <c r="F7" i="1"/>
  <c r="D48" i="1"/>
  <c r="G97"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J6" i="14"/>
  <c r="G14" i="14" s="1"/>
  <c r="E5" i="17"/>
  <c r="N6" i="17"/>
  <c r="G18" i="17" s="1"/>
  <c r="N7" i="17"/>
  <c r="H18" i="17" s="1"/>
  <c r="E7" i="17"/>
  <c r="M6" i="14"/>
  <c r="G17" i="14" s="1"/>
  <c r="M6" i="16"/>
  <c r="G17" i="16" s="1"/>
  <c r="O6" i="16"/>
  <c r="G19" i="16" s="1"/>
  <c r="I7" i="16"/>
  <c r="H13" i="16" s="1"/>
  <c r="M34" i="11" l="1"/>
  <c r="L34" i="11" s="1"/>
  <c r="E5" i="16"/>
  <c r="G225" i="1"/>
  <c r="G114" i="1"/>
  <c r="R104" i="1" s="1"/>
  <c r="N7" i="16"/>
  <c r="H18" i="16" s="1"/>
  <c r="N6" i="16"/>
  <c r="G18" i="16" s="1"/>
  <c r="O7" i="14"/>
  <c r="H19" i="14" s="1"/>
  <c r="J6" i="16"/>
  <c r="G14" i="16" s="1"/>
  <c r="N35" i="13"/>
  <c r="M35" i="13" s="1"/>
  <c r="F34" i="11"/>
  <c r="E34" i="11" s="1"/>
  <c r="G35" i="13"/>
  <c r="F35" i="13" s="1"/>
  <c r="K35" i="13"/>
  <c r="J35" i="13" s="1"/>
  <c r="E7" i="16"/>
  <c r="J35" i="12"/>
  <c r="I35" i="12" s="1"/>
  <c r="K6" i="14"/>
  <c r="G15" i="14" s="1"/>
  <c r="L6" i="14"/>
  <c r="G16" i="14" s="1"/>
  <c r="E9" i="14"/>
  <c r="M35" i="12"/>
  <c r="L35" i="12" s="1"/>
  <c r="O7" i="17"/>
  <c r="H19" i="17" s="1"/>
  <c r="G112" i="1"/>
  <c r="S112" i="1" s="1"/>
  <c r="G158" i="1"/>
  <c r="E6" i="17"/>
  <c r="E10" i="17"/>
  <c r="N7" i="14"/>
  <c r="H18" i="14" s="1"/>
  <c r="J34" i="11"/>
  <c r="I34" i="11" s="1"/>
  <c r="F35" i="12"/>
  <c r="E35" i="12" s="1"/>
  <c r="E5" i="14"/>
  <c r="E6" i="14"/>
  <c r="G155" i="1"/>
  <c r="G179" i="1"/>
  <c r="K6" i="17"/>
  <c r="G15" i="17" s="1"/>
  <c r="G20" i="17" s="1"/>
  <c r="L7" i="14"/>
  <c r="H16" i="14" s="1"/>
  <c r="M7" i="14"/>
  <c r="H17" i="14" s="1"/>
  <c r="G154" i="1"/>
  <c r="I7" i="17"/>
  <c r="H13" i="17" s="1"/>
  <c r="H20" i="17" s="1"/>
  <c r="G107" i="1"/>
  <c r="G13" i="14"/>
  <c r="K7" i="16"/>
  <c r="H15" i="16" s="1"/>
  <c r="K6" i="16"/>
  <c r="G15" i="16" s="1"/>
  <c r="L6" i="16"/>
  <c r="G16" i="16" s="1"/>
  <c r="G20" i="16" s="1"/>
  <c r="G118" i="1"/>
  <c r="G212" i="1"/>
  <c r="G189" i="1"/>
  <c r="G110" i="1"/>
  <c r="G172" i="1"/>
  <c r="G200" i="1"/>
  <c r="G117" i="1"/>
  <c r="G162" i="1"/>
  <c r="G180" i="1"/>
  <c r="G197" i="1"/>
  <c r="G163" i="1"/>
  <c r="G123" i="1"/>
  <c r="G213" i="1"/>
  <c r="G108" i="1"/>
  <c r="T108" i="1" s="1"/>
  <c r="G113" i="1"/>
  <c r="S113" i="1" s="1"/>
  <c r="G168" i="1"/>
  <c r="G214" i="1"/>
  <c r="F74" i="1"/>
  <c r="D75" i="1"/>
  <c r="H74" i="1"/>
  <c r="D74" i="1"/>
  <c r="F60" i="1"/>
  <c r="K54" i="1" s="1"/>
  <c r="D61" i="1"/>
  <c r="H60" i="1"/>
  <c r="G182" i="1"/>
  <c r="G109" i="1"/>
  <c r="G115" i="1"/>
  <c r="G119" i="1"/>
  <c r="G124" i="1"/>
  <c r="G173" i="1"/>
  <c r="G188" i="1"/>
  <c r="G192" i="1"/>
  <c r="G207" i="1"/>
  <c r="G210" i="1"/>
  <c r="G195" i="1"/>
  <c r="G222" i="1"/>
  <c r="S222" i="1" s="1"/>
  <c r="G183" i="1"/>
  <c r="G208" i="1"/>
  <c r="G167" i="1"/>
  <c r="G215" i="1"/>
  <c r="G164" i="1"/>
  <c r="G184" i="1"/>
  <c r="G187" i="1"/>
  <c r="G193" i="1"/>
  <c r="G223" i="1"/>
  <c r="G159" i="1"/>
  <c r="G165" i="1"/>
  <c r="G190" i="1"/>
  <c r="G217" i="1"/>
  <c r="S217" i="1" s="1"/>
  <c r="G157" i="1"/>
  <c r="G122" i="1"/>
  <c r="G160" i="1"/>
  <c r="G185" i="1"/>
  <c r="G218" i="1"/>
  <c r="G209" i="1"/>
  <c r="G198" i="1"/>
  <c r="H20" i="16" l="1"/>
  <c r="G20" i="14"/>
  <c r="U108" i="1"/>
  <c r="S108" i="1"/>
  <c r="H20" i="14"/>
  <c r="W108" i="1"/>
  <c r="X108" i="1" s="1"/>
  <c r="Y108" i="1" s="1"/>
  <c r="K70" i="1"/>
  <c r="C72" i="1" s="1"/>
</calcChain>
</file>

<file path=xl/sharedStrings.xml><?xml version="1.0" encoding="utf-8"?>
<sst xmlns="http://schemas.openxmlformats.org/spreadsheetml/2006/main" count="799" uniqueCount="254">
  <si>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</si>
  <si>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</si>
  <si>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</si>
  <si>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</si>
  <si>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</si>
  <si>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</si>
  <si>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</si>
  <si>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</si>
  <si>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</si>
  <si>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</si>
  <si>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</si>
  <si>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</si>
  <si>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</si>
  <si>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</si>
  <si>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</si>
  <si>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</si>
  <si>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</si>
  <si>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</si>
  <si>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</si>
  <si>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</si>
  <si>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</si>
  <si>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</si>
  <si>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</si>
  <si>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</si>
  <si>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</si>
  <si>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</si>
  <si>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Quality of infrastructure in vicinity</t>
  </si>
  <si>
    <t>Type of Work</t>
  </si>
  <si>
    <t>Plinth</t>
  </si>
  <si>
    <t>RCC</t>
  </si>
  <si>
    <t>Plaster</t>
  </si>
  <si>
    <t xml:space="preserve">Latitude &amp; Longitude </t>
  </si>
  <si>
    <t>Flooring</t>
  </si>
  <si>
    <t>Finishing</t>
  </si>
  <si>
    <t xml:space="preserve">Valuation Report </t>
  </si>
  <si>
    <t>Yes</t>
  </si>
  <si>
    <t xml:space="preserve">Residential </t>
  </si>
  <si>
    <t>Type of Structure : RCC Framed Structure</t>
  </si>
  <si>
    <t>Expiry date:NA</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</si>
  <si>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</si>
  <si>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</si>
  <si>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</si>
  <si>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</si>
  <si>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</si>
  <si>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</si>
  <si>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</si>
  <si>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</si>
  <si>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</si>
  <si>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</si>
  <si>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</si>
  <si>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</si>
  <si>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</si>
  <si>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</si>
  <si>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</si>
  <si>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</si>
  <si>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</si>
  <si>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</si>
  <si>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</si>
  <si>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</si>
  <si>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</si>
  <si>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</si>
  <si>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</si>
  <si>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</si>
  <si>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</si>
  <si>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</si>
  <si>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Distress valuation of the property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</si>
  <si>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</si>
  <si>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</si>
  <si>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</si>
  <si>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</si>
  <si>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</si>
  <si>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</si>
  <si>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</si>
  <si>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</si>
  <si>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</si>
  <si>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</si>
  <si>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</si>
  <si>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</si>
  <si>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</si>
  <si>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</si>
  <si>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</si>
  <si>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</si>
  <si>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</si>
  <si>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</si>
  <si>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</si>
  <si>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</si>
  <si>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</si>
  <si>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</si>
  <si>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</si>
  <si>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</si>
  <si>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</si>
  <si>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</si>
  <si>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</si>
  <si>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</si>
  <si>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</si>
  <si>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</si>
  <si>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</si>
  <si>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</si>
  <si>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</si>
  <si>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</si>
  <si>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</si>
  <si>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</si>
  <si>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</si>
  <si>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</si>
  <si>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</si>
  <si>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</si>
  <si>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</si>
  <si>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</si>
  <si>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</si>
  <si>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</si>
  <si>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</si>
  <si>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</si>
  <si>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</si>
  <si>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</si>
  <si>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</si>
  <si>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Photographs of Property :</t>
  </si>
  <si>
    <t>Google Map :</t>
  </si>
  <si>
    <t xml:space="preserve">totaL floor </t>
  </si>
  <si>
    <t>Approved no of units</t>
  </si>
  <si>
    <t>Name &amp; No of Buildings</t>
  </si>
  <si>
    <t>Authorized Signatory
Name &amp; Seal of the agency</t>
  </si>
  <si>
    <t>Approved usage of the Property: Residential
(Restrictive convenants in regards to land use , if any)</t>
  </si>
  <si>
    <t>Axis Sanpada</t>
  </si>
  <si>
    <t>Contact Number</t>
  </si>
  <si>
    <t>Prajapati Magnum</t>
  </si>
  <si>
    <t>9870066333/022 -67912327/28</t>
  </si>
  <si>
    <t>A to E Wing</t>
  </si>
  <si>
    <t>Prajapati Magnum, Plot No. 46B, Sector No. 47, Dronagiri, Navi Mumbai, Panvel, Raigad - 400702</t>
  </si>
  <si>
    <t>Dronagiri</t>
  </si>
  <si>
    <t xml:space="preserve">Raigad </t>
  </si>
  <si>
    <t xml:space="preserve"> 46B, Sector No. 47</t>
  </si>
  <si>
    <t>Plot No.</t>
  </si>
  <si>
    <t>Navi Mumbai</t>
  </si>
  <si>
    <t>Internal Road</t>
  </si>
  <si>
    <t>CIDCO/(BP/ATPO/2141</t>
  </si>
  <si>
    <t>31/12/2013.</t>
  </si>
  <si>
    <t>RERA No.</t>
  </si>
  <si>
    <t>Legal Charges</t>
  </si>
  <si>
    <t>200000/-</t>
  </si>
  <si>
    <t>Conveyance Deed</t>
  </si>
  <si>
    <t>Safety Grill</t>
  </si>
  <si>
    <t>Club Membership</t>
  </si>
  <si>
    <t>260000/-</t>
  </si>
  <si>
    <t>Akshar Estonia</t>
  </si>
  <si>
    <t>Open Plot No</t>
  </si>
  <si>
    <t>Building</t>
  </si>
  <si>
    <t>About 1.8Km from Uran Railway tation</t>
  </si>
  <si>
    <t>Building details Floor Wise</t>
  </si>
  <si>
    <t xml:space="preserve">Details of Flats in Building   </t>
  </si>
  <si>
    <t>Flat No.</t>
  </si>
  <si>
    <t>Description</t>
  </si>
  <si>
    <t>Carpet area</t>
  </si>
  <si>
    <t>Attached Terrace area</t>
  </si>
  <si>
    <t>Saleable area</t>
  </si>
  <si>
    <t>Floor</t>
  </si>
  <si>
    <t xml:space="preserve">Ground Floor for Parking </t>
  </si>
  <si>
    <t>A Wing</t>
  </si>
  <si>
    <t>1st Floor For Residential &amp; Amenities</t>
  </si>
  <si>
    <t>3BHK</t>
  </si>
  <si>
    <t>2BHK</t>
  </si>
  <si>
    <t>B Wing</t>
  </si>
  <si>
    <t>C Wing</t>
  </si>
  <si>
    <t>D Wing</t>
  </si>
  <si>
    <t>E Wing</t>
  </si>
  <si>
    <t>3rd, 5th, 7th, 9th, 11th, 15th 17th &amp; 19th Floor</t>
  </si>
  <si>
    <t>2nd, 4th, 6th, 10th, 12th, 14th, 16th Floor</t>
  </si>
  <si>
    <t>CA</t>
  </si>
  <si>
    <t>TER</t>
  </si>
  <si>
    <t>TCA</t>
  </si>
  <si>
    <t>TERR</t>
  </si>
  <si>
    <t>13th Floor (Part Refuge Area)</t>
  </si>
  <si>
    <t>8th &amp; 18th Floor  (Part Refuge Area)</t>
  </si>
  <si>
    <t>201,…, 1601</t>
  </si>
  <si>
    <t>202,…, 1602</t>
  </si>
  <si>
    <t>203,…, 1603</t>
  </si>
  <si>
    <t>204,…, 1604</t>
  </si>
  <si>
    <t>301,….,1901</t>
  </si>
  <si>
    <t>302,….,1902</t>
  </si>
  <si>
    <t>303,….,1903</t>
  </si>
  <si>
    <t>304,….,1904</t>
  </si>
  <si>
    <t>801 &amp; 1801</t>
  </si>
  <si>
    <t>802 &amp; 1802</t>
  </si>
  <si>
    <t>803 &amp; 1803</t>
  </si>
  <si>
    <t>804 &amp; 1804</t>
  </si>
  <si>
    <t>Refuge Area</t>
  </si>
  <si>
    <t>CIDCO/BP/ATPO/2141</t>
  </si>
  <si>
    <t>M/s. Prajapati Developers</t>
  </si>
  <si>
    <t>Approved Plans &amp; CC</t>
  </si>
  <si>
    <t>Maintenance Charges</t>
  </si>
  <si>
    <t>3,00,000/-</t>
  </si>
  <si>
    <t>2,00,000/-</t>
  </si>
  <si>
    <t>1,00,000/-</t>
  </si>
  <si>
    <t>1,40,000/-</t>
  </si>
  <si>
    <r>
      <t xml:space="preserve">Proposed Amenities : 1.  Vitrified tiles flooring 2. Granite Kitchen Platform  3. Decorative Enternace  etc.
</t>
    </r>
    <r>
      <rPr>
        <sz val="11"/>
        <rFont val="Times New Roman"/>
        <family val="1"/>
      </rPr>
      <t xml:space="preserve">   </t>
    </r>
    <r>
      <rPr>
        <b/>
        <sz val="11"/>
        <rFont val="Times New Roman"/>
        <family val="1"/>
      </rPr>
      <t xml:space="preserve">                                               </t>
    </r>
  </si>
  <si>
    <t>Floor rise rate  Per Sq. Ft.(From 1st Floor)</t>
  </si>
  <si>
    <t>Ground</t>
  </si>
  <si>
    <t>Podium</t>
  </si>
  <si>
    <t>Floors</t>
  </si>
  <si>
    <t xml:space="preserve">Stage of construction: </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</si>
  <si>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</si>
  <si>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</si>
  <si>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</si>
  <si>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</si>
  <si>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</si>
  <si>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</si>
  <si>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</si>
  <si>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</si>
  <si>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</si>
  <si>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</si>
  <si>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</si>
  <si>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</si>
  <si>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</si>
  <si>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</si>
  <si>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</si>
  <si>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</si>
  <si>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</si>
  <si>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</si>
  <si>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</si>
  <si>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</si>
  <si>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</si>
  <si>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 xml:space="preserve"> A to E wing = Gr + 1st to 19th floor</t>
  </si>
  <si>
    <t>CIDCO/BP-12267/TPO/(NM &amp; K)/2016/133                                                                                                                                 Valid Up to: A to E wing = Gr + 1st to 19th floor</t>
  </si>
  <si>
    <t>Construction details:</t>
  </si>
  <si>
    <t>Basement</t>
  </si>
  <si>
    <t>Piling Work in process</t>
  </si>
  <si>
    <t>RCC (Including podiums)</t>
  </si>
  <si>
    <t>Basement 1</t>
  </si>
  <si>
    <t>Basement 2</t>
  </si>
  <si>
    <t>Basement 3</t>
  </si>
  <si>
    <t>Basement 4</t>
  </si>
  <si>
    <t>Wing A, B &amp; C = Gr + 1st to 19th floor</t>
  </si>
  <si>
    <t>Wing D &amp; E = Gr + 1st to 19th floor</t>
  </si>
  <si>
    <t>Wing A, B, C = P52000001121
Wing D &amp; E = P52000001425</t>
  </si>
  <si>
    <t>4,00,000/-</t>
  </si>
  <si>
    <t xml:space="preserve">50/-        </t>
  </si>
  <si>
    <t>6500 to 6700</t>
  </si>
  <si>
    <t>30 to 50</t>
  </si>
  <si>
    <t>Cost sheet</t>
  </si>
  <si>
    <t>Smit Pal</t>
  </si>
  <si>
    <t>5 Wings</t>
  </si>
  <si>
    <t>Location Link</t>
  </si>
  <si>
    <t>https://goo.gl/maps/dqYzov5sxbKidUvM9</t>
  </si>
  <si>
    <t xml:space="preserve">O. Certificate No.: </t>
  </si>
  <si>
    <t>BP-12267/1/10625
Approved upto : Wing A, B &amp; C = Gr/Stilt + 1st to 19th Floor</t>
  </si>
  <si>
    <t>Office No. 1031, Wing J, Akshar Business Park, Plot No. 03 Sector 25, Near APMC Market,
Vashi, Navi Mumbai, Maharashtra 400703 TEL: 022-46090378/79/80                                                                                                                                               E mail : vsjcapf@gmail.com. Web site : www.vsjadon.com</t>
  </si>
  <si>
    <t>Site Meet Person Name &amp; Contact Number</t>
  </si>
  <si>
    <t>Recommended rate of the flat Per Sq. Ft. ( on Saleable area)</t>
  </si>
  <si>
    <t>18.8773778,72.9603856</t>
  </si>
  <si>
    <t xml:space="preserve">Remarks:
1. Wing A, B &amp; C = All work Completed. OC Received.
2. Wing D &amp; E = All work Completed. Please provide OC.
3. Car parking is subjected to authentic documentation.
4. We have considered rate by verifying it from market inquire.
5. Recommended rate should be considered as all inclusive rate if other charges are not mentioned. (Excluding GST &amp; other government Taxes)
6. We have updated OC from Rera for WIng A, B &amp; C (On 15/06/2023).
6. On site, we meet Mr. Pramod - 8097293438.
</t>
  </si>
  <si>
    <t>Completed</t>
  </si>
  <si>
    <t>Material laying at Site: :Nothing</t>
  </si>
  <si>
    <t>Wheather the construction is as per approved Building plan : Yes</t>
  </si>
  <si>
    <t>Projected life of the structure: Wing A to C = 58 Years
                                            Wing D &amp; E = 60 Years</t>
  </si>
  <si>
    <t>Mr. Dubey : 9870066333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</si>
</sst>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b/>
      <sz val="12"/>
      <color indexed="8"/>
      <name val="Times New Roman"/>
      <family val="1"/>
    </font>
    <font>
      <b/>
      <sz val="14"/>
      <color indexed="8"/>
      <name val="Times New Roman"/>
      <family val="1"/>
    </font>
    <font>
      <b/>
      <sz val="10"/>
      <color indexed="8"/>
      <name val="Times New Roman"/>
      <family val="1"/>
    </font>
    <font>
      <sz val="12"/>
      <color indexed="8"/>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sz val="11"/>
      <color rgb="FF000000"/>
      <name val="Times New Roman"/>
      <family val="1"/>
    </font>
    <font>
      <sz val="11"/>
      <color rgb="FFFF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5">
    <xf numFmtId="0" fontId="0" fillId="0" borderId="0"/>
    <xf numFmtId="0" fontId="1" fillId="0" borderId="0"/>
    <xf numFmtId="0" fontId="12" fillId="0" borderId="0"/>
    <xf numFmtId="0" fontId="12" fillId="0" borderId="0"/>
    <xf numFmtId="0" fontId="21" fillId="0" borderId="0" applyNumberFormat="0" applyFill="0" applyBorder="0" applyAlignment="0" applyProtection="0"/>
  </cellStyleXfs>
  <cellXfs count="193">
    <xf numFmtId="0" fontId="0" fillId="0" borderId="0" xfId="0"/>
    <xf numFmtId="0" fontId="0" fillId="0" borderId="1" xfId="0" applyBorder="1"/>
    <xf numFmtId="0" fontId="13" fillId="0" borderId="1" xfId="0" applyFont="1" applyBorder="1"/>
    <xf numFmtId="0" fontId="0" fillId="0" borderId="2" xfId="0" applyBorder="1"/>
    <xf numFmtId="0" fontId="0" fillId="2" borderId="1" xfId="0" applyFill="1" applyBorder="1"/>
    <xf numFmtId="0" fontId="13" fillId="0" borderId="1" xfId="0" applyFont="1" applyBorder="1" applyAlignment="1">
      <alignment horizontal="center"/>
    </xf>
    <xf numFmtId="0" fontId="12" fillId="0" borderId="0" xfId="2"/>
    <xf numFmtId="0" fontId="13" fillId="2" borderId="1" xfId="2" applyFont="1" applyFill="1" applyBorder="1"/>
    <xf numFmtId="0" fontId="12" fillId="0" borderId="1" xfId="2" applyBorder="1"/>
    <xf numFmtId="0" fontId="12" fillId="0" borderId="3" xfId="2" applyBorder="1"/>
    <xf numFmtId="0" fontId="12" fillId="0" borderId="0" xfId="2" applyAlignment="1">
      <alignment wrapText="1"/>
    </xf>
    <xf numFmtId="0" fontId="12" fillId="0" borderId="1" xfId="2" applyBorder="1" applyAlignment="1">
      <alignment wrapText="1"/>
    </xf>
    <xf numFmtId="0" fontId="14" fillId="0" borderId="0" xfId="2" applyFont="1"/>
    <xf numFmtId="1" fontId="6"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9" fillId="0" borderId="5" xfId="0" applyNumberFormat="1" applyFont="1" applyBorder="1" applyAlignment="1">
      <alignment horizontal="center" vertical="center" wrapText="1"/>
    </xf>
    <xf numFmtId="0" fontId="18" fillId="0" borderId="6" xfId="3" applyFont="1" applyBorder="1" applyProtection="1">
      <protection hidden="1"/>
    </xf>
    <xf numFmtId="0" fontId="18" fillId="0" borderId="0" xfId="3" applyFont="1" applyProtection="1">
      <protection hidden="1"/>
    </xf>
    <xf numFmtId="0" fontId="19" fillId="0" borderId="0" xfId="0" applyFont="1" applyProtection="1">
      <protection hidden="1"/>
    </xf>
    <xf numFmtId="0" fontId="19" fillId="0" borderId="9" xfId="0" applyFont="1" applyBorder="1" applyProtection="1">
      <protection hidden="1"/>
    </xf>
    <xf numFmtId="0" fontId="18" fillId="0" borderId="0" xfId="3" applyFont="1" applyAlignment="1" applyProtection="1">
      <alignment horizontal="center" vertical="center"/>
      <protection hidden="1"/>
    </xf>
    <xf numFmtId="0" fontId="10" fillId="0" borderId="1" xfId="3" applyFont="1" applyBorder="1" applyAlignment="1" applyProtection="1">
      <alignment horizontal="center" vertical="top"/>
      <protection locked="0"/>
    </xf>
    <xf numFmtId="0" fontId="10" fillId="0" borderId="1" xfId="3" applyFont="1" applyBorder="1" applyAlignment="1" applyProtection="1">
      <alignment horizontal="center" vertical="top" wrapText="1"/>
      <protection locked="0"/>
    </xf>
    <xf numFmtId="0" fontId="10" fillId="0" borderId="23" xfId="3" applyFont="1" applyBorder="1" applyAlignment="1" applyProtection="1">
      <alignment horizontal="center" vertical="top"/>
      <protection locked="0"/>
    </xf>
    <xf numFmtId="0" fontId="10" fillId="0" borderId="4" xfId="3" applyFont="1" applyBorder="1" applyAlignment="1" applyProtection="1">
      <alignment horizontal="center" vertical="top"/>
      <protection locked="0"/>
    </xf>
    <xf numFmtId="1" fontId="9" fillId="0" borderId="1" xfId="0" applyNumberFormat="1" applyFont="1" applyBorder="1" applyAlignment="1">
      <alignment horizontal="center" vertical="center" wrapText="1"/>
    </xf>
    <xf numFmtId="0" fontId="16" fillId="0" borderId="0" xfId="0" applyFont="1"/>
    <xf numFmtId="0" fontId="17" fillId="0" borderId="0" xfId="0" applyFont="1"/>
    <xf numFmtId="0" fontId="3" fillId="0" borderId="1" xfId="0" applyFont="1" applyBorder="1" applyAlignment="1">
      <alignment vertical="top"/>
    </xf>
    <xf numFmtId="0" fontId="18" fillId="0" borderId="7" xfId="3" applyFont="1" applyBorder="1" applyProtection="1">
      <protection hidden="1"/>
    </xf>
    <xf numFmtId="0" fontId="18" fillId="0" borderId="8" xfId="3" applyFont="1" applyBorder="1" applyProtection="1">
      <protection hidden="1"/>
    </xf>
    <xf numFmtId="0" fontId="18" fillId="0" borderId="8" xfId="3" applyFont="1" applyBorder="1" applyAlignment="1" applyProtection="1">
      <alignment horizontal="center" vertical="center"/>
      <protection hidden="1"/>
    </xf>
    <xf numFmtId="0" fontId="16" fillId="0" borderId="0" xfId="0" applyFont="1" applyAlignment="1">
      <alignment horizontal="center" vertical="center"/>
    </xf>
    <xf numFmtId="0" fontId="17" fillId="0" borderId="0" xfId="0" applyFont="1" applyAlignment="1">
      <alignment horizontal="center" vertical="center"/>
    </xf>
    <xf numFmtId="0" fontId="18" fillId="0" borderId="8" xfId="3" applyFont="1" applyBorder="1"/>
    <xf numFmtId="0" fontId="10" fillId="0" borderId="1" xfId="3" applyFont="1" applyBorder="1" applyAlignment="1" applyProtection="1">
      <alignment horizontal="center"/>
      <protection locked="0"/>
    </xf>
    <xf numFmtId="0" fontId="19" fillId="0" borderId="8" xfId="0" applyFont="1" applyBorder="1" applyProtection="1">
      <protection hidden="1"/>
    </xf>
    <xf numFmtId="1" fontId="10" fillId="0" borderId="1" xfId="3" applyNumberFormat="1" applyFont="1" applyBorder="1" applyAlignment="1" applyProtection="1">
      <alignment horizontal="center"/>
      <protection locked="0"/>
    </xf>
    <xf numFmtId="1" fontId="0" fillId="0" borderId="8" xfId="0" applyNumberFormat="1" applyBorder="1"/>
    <xf numFmtId="1" fontId="0" fillId="0" borderId="8" xfId="0" applyNumberFormat="1" applyBorder="1" applyAlignment="1">
      <alignment horizontal="right"/>
    </xf>
    <xf numFmtId="0" fontId="10" fillId="0" borderId="3" xfId="3" applyFont="1" applyBorder="1" applyAlignment="1" applyProtection="1">
      <alignment horizontal="center"/>
      <protection locked="0"/>
    </xf>
    <xf numFmtId="1" fontId="0" fillId="0" borderId="10" xfId="0" applyNumberFormat="1" applyBorder="1"/>
    <xf numFmtId="0" fontId="0" fillId="0" borderId="10" xfId="0" applyBorder="1"/>
    <xf numFmtId="0" fontId="10" fillId="0" borderId="1" xfId="3" applyFont="1" applyBorder="1" applyAlignment="1" applyProtection="1">
      <alignment horizontal="center" wrapText="1"/>
      <protection locked="0"/>
    </xf>
    <xf numFmtId="1" fontId="10" fillId="0" borderId="1" xfId="3" applyNumberFormat="1" applyFont="1" applyBorder="1" applyAlignment="1" applyProtection="1">
      <alignment horizontal="center" wrapText="1"/>
      <protection locked="0"/>
    </xf>
    <xf numFmtId="0" fontId="10" fillId="0" borderId="26" xfId="3" applyFont="1" applyBorder="1" applyAlignment="1" applyProtection="1">
      <alignment horizontal="center" wrapText="1"/>
      <protection locked="0"/>
    </xf>
    <xf numFmtId="0" fontId="3" fillId="0" borderId="0" xfId="1" applyFont="1"/>
    <xf numFmtId="0" fontId="2" fillId="0" borderId="0" xfId="1" applyFont="1"/>
    <xf numFmtId="1" fontId="16" fillId="0" borderId="0" xfId="0" applyNumberFormat="1" applyFont="1"/>
    <xf numFmtId="0" fontId="15" fillId="0" borderId="0" xfId="0" applyFont="1"/>
    <xf numFmtId="0" fontId="17" fillId="2" borderId="0" xfId="0" applyFont="1" applyFill="1"/>
    <xf numFmtId="0" fontId="16" fillId="2" borderId="0" xfId="0" applyFont="1" applyFill="1"/>
    <xf numFmtId="14" fontId="16" fillId="2" borderId="0" xfId="0" applyNumberFormat="1" applyFont="1" applyFill="1"/>
    <xf numFmtId="1" fontId="9" fillId="0" borderId="1" xfId="0" applyNumberFormat="1" applyFont="1" applyBorder="1" applyAlignment="1">
      <alignment horizontal="center" vertical="center" wrapText="1"/>
    </xf>
    <xf numFmtId="0" fontId="2" fillId="0" borderId="1" xfId="0" applyFont="1" applyBorder="1" applyAlignment="1">
      <alignment horizontal="left" vertical="top"/>
    </xf>
    <xf numFmtId="1" fontId="9" fillId="0" borderId="1" xfId="0" applyNumberFormat="1" applyFont="1" applyBorder="1" applyAlignment="1">
      <alignment horizontal="center" vertical="center" wrapText="1"/>
    </xf>
    <xf numFmtId="0" fontId="3" fillId="0" borderId="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2" xfId="0" applyFont="1" applyBorder="1" applyAlignment="1">
      <alignment horizontal="left" vertical="top"/>
    </xf>
    <xf numFmtId="0" fontId="3" fillId="0" borderId="16" xfId="0" applyFont="1" applyBorder="1" applyAlignment="1">
      <alignment horizontal="left"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4" xfId="0" applyFont="1" applyBorder="1" applyAlignment="1">
      <alignment horizontal="left" vertical="top"/>
    </xf>
    <xf numFmtId="0" fontId="3" fillId="0" borderId="11" xfId="0" applyFont="1" applyBorder="1" applyAlignment="1">
      <alignment horizontal="left" vertical="top"/>
    </xf>
    <xf numFmtId="0" fontId="3" fillId="0" borderId="17" xfId="0" applyFont="1" applyBorder="1" applyAlignment="1">
      <alignment horizontal="left" vertical="top"/>
    </xf>
    <xf numFmtId="0" fontId="3" fillId="0" borderId="1" xfId="0" applyFont="1" applyBorder="1" applyAlignment="1">
      <alignment vertical="top" wrapText="1"/>
    </xf>
    <xf numFmtId="0" fontId="5" fillId="0" borderId="11" xfId="0" applyFont="1" applyBorder="1" applyAlignment="1">
      <alignment vertical="top" wrapText="1"/>
    </xf>
    <xf numFmtId="0" fontId="5" fillId="0" borderId="17" xfId="0" applyFont="1" applyBorder="1" applyAlignment="1">
      <alignment vertical="top" wrapText="1"/>
    </xf>
    <xf numFmtId="0" fontId="5" fillId="0" borderId="11" xfId="0" applyFont="1" applyBorder="1" applyAlignment="1">
      <alignment horizontal="left" vertical="top" wrapText="1"/>
    </xf>
    <xf numFmtId="0" fontId="5" fillId="0" borderId="17" xfId="0" applyFont="1" applyBorder="1" applyAlignment="1">
      <alignment horizontal="left" vertical="top" wrapText="1"/>
    </xf>
    <xf numFmtId="1" fontId="9" fillId="0" borderId="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18" xfId="0" applyNumberFormat="1" applyFont="1" applyBorder="1" applyAlignment="1">
      <alignment horizontal="center" vertical="center" wrapText="1"/>
    </xf>
    <xf numFmtId="1" fontId="9" fillId="0" borderId="0" xfId="0" applyNumberFormat="1" applyFont="1" applyAlignment="1">
      <alignment horizontal="center" vertical="center" wrapText="1"/>
    </xf>
    <xf numFmtId="1" fontId="9" fillId="0" borderId="19"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16"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14" xfId="0" applyNumberFormat="1" applyFont="1" applyBorder="1" applyAlignment="1">
      <alignment horizontal="center" vertical="center" wrapText="1"/>
    </xf>
    <xf numFmtId="0" fontId="2" fillId="0" borderId="4" xfId="0" applyFont="1" applyBorder="1" applyAlignment="1">
      <alignment horizontal="center" vertical="top" wrapText="1"/>
    </xf>
    <xf numFmtId="0" fontId="2" fillId="0" borderId="11" xfId="0" applyFont="1" applyBorder="1" applyAlignment="1">
      <alignment horizontal="center" vertical="top" wrapText="1"/>
    </xf>
    <xf numFmtId="0" fontId="2" fillId="0" borderId="17" xfId="0" applyFont="1" applyBorder="1" applyAlignment="1">
      <alignment horizontal="center" vertical="top" wrapText="1"/>
    </xf>
    <xf numFmtId="0" fontId="3" fillId="0" borderId="11" xfId="0" applyFont="1" applyBorder="1" applyAlignment="1">
      <alignment horizontal="center" vertical="top" wrapText="1"/>
    </xf>
    <xf numFmtId="0" fontId="3" fillId="0" borderId="17" xfId="0" applyFont="1" applyBorder="1" applyAlignment="1">
      <alignment horizontal="center" vertical="top" wrapText="1"/>
    </xf>
    <xf numFmtId="0" fontId="3" fillId="0" borderId="1" xfId="0" applyFont="1" applyBorder="1" applyAlignment="1">
      <alignment horizontal="left" vertical="top"/>
    </xf>
    <xf numFmtId="0" fontId="16" fillId="0" borderId="1" xfId="0" applyFont="1" applyBorder="1" applyAlignment="1">
      <alignment horizontal="left"/>
    </xf>
    <xf numFmtId="0" fontId="5" fillId="0" borderId="1" xfId="0" applyFont="1" applyBorder="1" applyAlignment="1">
      <alignment horizontal="left" vertical="top" wrapText="1"/>
    </xf>
    <xf numFmtId="0" fontId="3" fillId="0" borderId="4" xfId="0" applyFont="1" applyBorder="1" applyAlignment="1">
      <alignment vertical="top" wrapText="1"/>
    </xf>
    <xf numFmtId="0" fontId="3" fillId="0" borderId="11" xfId="0" applyFont="1" applyBorder="1" applyAlignment="1">
      <alignment vertical="top" wrapText="1"/>
    </xf>
    <xf numFmtId="0" fontId="3" fillId="0" borderId="17" xfId="0" applyFont="1" applyBorder="1" applyAlignment="1">
      <alignment vertical="top" wrapText="1"/>
    </xf>
    <xf numFmtId="14" fontId="3" fillId="0" borderId="4" xfId="0" applyNumberFormat="1" applyFont="1" applyBorder="1" applyAlignment="1">
      <alignment horizontal="left" vertical="top"/>
    </xf>
    <xf numFmtId="14" fontId="3" fillId="0" borderId="11" xfId="0" applyNumberFormat="1" applyFont="1" applyBorder="1" applyAlignment="1">
      <alignment horizontal="left" vertical="top"/>
    </xf>
    <xf numFmtId="14" fontId="3" fillId="0" borderId="17" xfId="0" applyNumberFormat="1" applyFont="1" applyBorder="1" applyAlignment="1">
      <alignment horizontal="left" vertical="top"/>
    </xf>
    <xf numFmtId="0" fontId="2" fillId="0" borderId="4" xfId="0" applyFont="1" applyBorder="1" applyAlignment="1">
      <alignment horizontal="center" vertical="top"/>
    </xf>
    <xf numFmtId="0" fontId="2" fillId="0" borderId="11" xfId="0" applyFont="1" applyBorder="1" applyAlignment="1">
      <alignment horizontal="center" vertical="top"/>
    </xf>
    <xf numFmtId="0" fontId="2" fillId="0" borderId="17" xfId="0" applyFont="1" applyBorder="1" applyAlignment="1">
      <alignment horizontal="center" vertical="top"/>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8" xfId="0" applyFont="1" applyBorder="1" applyAlignment="1">
      <alignment horizontal="center" vertical="top" wrapText="1"/>
    </xf>
    <xf numFmtId="0" fontId="2" fillId="0" borderId="0" xfId="0" applyFont="1" applyAlignment="1">
      <alignment horizontal="center" vertical="top" wrapText="1"/>
    </xf>
    <xf numFmtId="0" fontId="2" fillId="0" borderId="19"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top" wrapText="1"/>
    </xf>
    <xf numFmtId="0" fontId="2" fillId="0" borderId="16" xfId="0" applyFont="1" applyBorder="1" applyAlignment="1">
      <alignment horizontal="center" vertical="top" wrapText="1"/>
    </xf>
    <xf numFmtId="0" fontId="2" fillId="0" borderId="4" xfId="0" applyFont="1" applyBorder="1" applyAlignment="1">
      <alignment horizontal="left" vertical="top"/>
    </xf>
    <xf numFmtId="0" fontId="2" fillId="0" borderId="11" xfId="0" applyFont="1" applyBorder="1" applyAlignment="1">
      <alignment horizontal="left" vertical="top"/>
    </xf>
    <xf numFmtId="0" fontId="2" fillId="0" borderId="17" xfId="0" applyFont="1" applyBorder="1" applyAlignment="1">
      <alignment horizontal="left" vertical="top"/>
    </xf>
    <xf numFmtId="0" fontId="3" fillId="0" borderId="5" xfId="0" applyFont="1" applyBorder="1" applyAlignment="1">
      <alignment horizontal="left" vertical="top"/>
    </xf>
    <xf numFmtId="0" fontId="10" fillId="0" borderId="1" xfId="3" applyFont="1" applyBorder="1" applyAlignment="1" applyProtection="1">
      <alignment horizontal="center" vertical="top" wrapText="1"/>
      <protection locked="0"/>
    </xf>
    <xf numFmtId="9" fontId="10" fillId="0" borderId="1" xfId="3" applyNumberFormat="1" applyFont="1" applyBorder="1" applyAlignment="1" applyProtection="1">
      <alignment horizontal="center" vertical="center" wrapText="1"/>
      <protection hidden="1"/>
    </xf>
    <xf numFmtId="9" fontId="10" fillId="0" borderId="26" xfId="3" applyNumberFormat="1" applyFont="1" applyBorder="1" applyAlignment="1" applyProtection="1">
      <alignment horizontal="center" vertical="center" wrapText="1"/>
      <protection hidden="1"/>
    </xf>
    <xf numFmtId="9" fontId="10" fillId="0" borderId="28" xfId="3" applyNumberFormat="1" applyFont="1" applyBorder="1" applyAlignment="1" applyProtection="1">
      <alignment horizontal="center" vertical="center" wrapText="1"/>
      <protection hidden="1"/>
    </xf>
    <xf numFmtId="9" fontId="10" fillId="0" borderId="29" xfId="3" applyNumberFormat="1" applyFont="1" applyBorder="1" applyAlignment="1" applyProtection="1">
      <alignment horizontal="center" vertical="center" wrapText="1"/>
      <protection hidden="1"/>
    </xf>
    <xf numFmtId="0" fontId="10" fillId="0" borderId="23" xfId="3" applyFont="1" applyBorder="1" applyAlignment="1" applyProtection="1">
      <alignment horizontal="center" vertical="top" wrapText="1"/>
      <protection locked="0"/>
    </xf>
    <xf numFmtId="0" fontId="10" fillId="0" borderId="23" xfId="3" applyFont="1" applyBorder="1" applyAlignment="1" applyProtection="1">
      <alignment horizontal="center" vertical="top"/>
      <protection locked="0"/>
    </xf>
    <xf numFmtId="0" fontId="10" fillId="0" borderId="1" xfId="3" applyFont="1" applyBorder="1" applyAlignment="1" applyProtection="1">
      <alignment horizontal="center" vertical="top"/>
      <protection locked="0"/>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3" fillId="0" borderId="4" xfId="0" applyFont="1" applyBorder="1" applyAlignment="1">
      <alignment horizontal="left" vertical="top" wrapText="1"/>
    </xf>
    <xf numFmtId="0" fontId="3" fillId="0" borderId="11"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1" fillId="0" borderId="4" xfId="4"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vertical="top" wrapText="1"/>
    </xf>
    <xf numFmtId="0" fontId="3" fillId="0" borderId="16" xfId="0" applyFont="1" applyBorder="1" applyAlignment="1">
      <alignment horizontal="left" vertical="top" wrapText="1"/>
    </xf>
    <xf numFmtId="0" fontId="10" fillId="0" borderId="28" xfId="3" applyFont="1" applyBorder="1" applyAlignment="1" applyProtection="1">
      <alignment horizontal="center" vertical="top" wrapText="1"/>
      <protection locked="0"/>
    </xf>
    <xf numFmtId="0" fontId="10" fillId="0" borderId="28" xfId="3" applyFont="1" applyBorder="1" applyAlignment="1" applyProtection="1">
      <alignment horizontal="center" vertical="top"/>
      <protection locked="0"/>
    </xf>
    <xf numFmtId="9" fontId="10" fillId="0" borderId="1" xfId="3" applyNumberFormat="1" applyFont="1" applyBorder="1" applyAlignment="1" applyProtection="1">
      <alignment horizontal="center" vertical="center"/>
      <protection hidden="1"/>
    </xf>
    <xf numFmtId="9" fontId="10" fillId="0" borderId="28" xfId="3" applyNumberFormat="1" applyFont="1" applyBorder="1" applyAlignment="1" applyProtection="1">
      <alignment horizontal="center" vertical="center"/>
      <protection hidden="1"/>
    </xf>
    <xf numFmtId="9" fontId="10" fillId="0" borderId="3" xfId="3" applyNumberFormat="1" applyFont="1" applyBorder="1" applyAlignment="1" applyProtection="1">
      <alignment horizontal="center" vertical="center"/>
      <protection hidden="1"/>
    </xf>
    <xf numFmtId="9" fontId="10" fillId="0" borderId="31" xfId="3" applyNumberFormat="1" applyFont="1" applyBorder="1" applyAlignment="1" applyProtection="1">
      <alignment horizontal="center" vertical="center"/>
      <protection hidden="1"/>
    </xf>
    <xf numFmtId="0" fontId="10" fillId="0" borderId="4" xfId="3" applyFont="1" applyBorder="1" applyAlignment="1" applyProtection="1">
      <alignment horizontal="center" vertical="top"/>
      <protection locked="0"/>
    </xf>
    <xf numFmtId="14" fontId="2" fillId="0" borderId="4" xfId="0" applyNumberFormat="1" applyFont="1" applyBorder="1" applyAlignment="1">
      <alignment horizontal="left" vertical="top"/>
    </xf>
    <xf numFmtId="0" fontId="10" fillId="0" borderId="4" xfId="3" applyFont="1" applyBorder="1" applyAlignment="1" applyProtection="1">
      <alignment horizontal="center" vertical="top" wrapText="1"/>
      <protection locked="0"/>
    </xf>
    <xf numFmtId="0" fontId="10" fillId="0" borderId="30" xfId="3" applyFont="1" applyBorder="1" applyAlignment="1" applyProtection="1">
      <alignment horizontal="center" vertical="top"/>
      <protection locked="0"/>
    </xf>
    <xf numFmtId="0" fontId="10" fillId="0" borderId="12" xfId="3" applyFont="1" applyBorder="1" applyAlignment="1" applyProtection="1">
      <alignment horizontal="center" vertical="top"/>
      <protection locked="0"/>
    </xf>
    <xf numFmtId="0" fontId="11" fillId="0" borderId="23" xfId="3" applyFont="1" applyBorder="1" applyAlignment="1" applyProtection="1">
      <alignment horizontal="left" vertical="top"/>
      <protection locked="0"/>
    </xf>
    <xf numFmtId="0" fontId="11" fillId="0" borderId="1" xfId="3" applyFont="1" applyBorder="1" applyAlignment="1" applyProtection="1">
      <alignment horizontal="left" vertical="top"/>
      <protection locked="0"/>
    </xf>
    <xf numFmtId="0" fontId="11" fillId="0" borderId="1" xfId="3" applyFont="1" applyBorder="1" applyAlignment="1" applyProtection="1">
      <alignment horizontal="left" vertical="top" wrapText="1"/>
      <protection locked="0"/>
    </xf>
    <xf numFmtId="0" fontId="11" fillId="0" borderId="28" xfId="3" applyFont="1" applyBorder="1" applyAlignment="1" applyProtection="1">
      <alignment horizontal="left" vertical="top" wrapText="1"/>
      <protection locked="0"/>
    </xf>
    <xf numFmtId="0" fontId="11" fillId="0" borderId="32" xfId="3" applyFont="1" applyBorder="1" applyAlignment="1" applyProtection="1">
      <alignment horizontal="center" vertical="top" wrapText="1"/>
      <protection locked="0"/>
    </xf>
    <xf numFmtId="0" fontId="11" fillId="0" borderId="22" xfId="3" applyFont="1" applyBorder="1" applyAlignment="1" applyProtection="1">
      <alignment horizontal="center" vertical="top" wrapText="1"/>
      <protection locked="0"/>
    </xf>
    <xf numFmtId="0" fontId="11" fillId="0" borderId="20" xfId="3" applyFont="1" applyBorder="1" applyAlignment="1" applyProtection="1">
      <alignment horizontal="center" vertical="top" wrapText="1"/>
      <protection locked="0"/>
    </xf>
    <xf numFmtId="0" fontId="11" fillId="0" borderId="21" xfId="3" applyFont="1" applyBorder="1" applyAlignment="1" applyProtection="1">
      <alignment horizontal="center" vertical="top" wrapText="1"/>
      <protection locked="0"/>
    </xf>
    <xf numFmtId="0" fontId="11" fillId="0" borderId="22" xfId="3" applyFont="1" applyBorder="1" applyAlignment="1" applyProtection="1">
      <alignment horizontal="left" vertical="top" wrapText="1"/>
      <protection locked="0"/>
    </xf>
    <xf numFmtId="0" fontId="11" fillId="0" borderId="27" xfId="3"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10" fillId="0" borderId="25" xfId="3" applyFont="1" applyBorder="1" applyAlignment="1" applyProtection="1">
      <alignment horizontal="center" vertical="top" wrapText="1"/>
      <protection locked="0"/>
    </xf>
    <xf numFmtId="0" fontId="10" fillId="0" borderId="26" xfId="3" applyFont="1" applyBorder="1" applyAlignment="1" applyProtection="1">
      <alignment horizontal="center" vertical="top" wrapText="1"/>
      <protection locked="0"/>
    </xf>
    <xf numFmtId="0" fontId="11" fillId="0" borderId="4" xfId="3" applyFont="1" applyBorder="1" applyAlignment="1" applyProtection="1">
      <alignment horizontal="left" vertical="top"/>
      <protection locked="0"/>
    </xf>
    <xf numFmtId="0" fontId="10" fillId="0" borderId="24" xfId="3" applyFont="1" applyBorder="1" applyAlignment="1" applyProtection="1">
      <alignment horizontal="center" vertical="top"/>
      <protection locked="0"/>
    </xf>
    <xf numFmtId="0" fontId="10" fillId="0" borderId="11" xfId="3" applyFont="1" applyBorder="1" applyAlignment="1" applyProtection="1">
      <alignment horizontal="center" vertical="top"/>
      <protection locked="0"/>
    </xf>
    <xf numFmtId="0" fontId="11" fillId="0" borderId="33" xfId="3" applyFont="1" applyBorder="1" applyAlignment="1" applyProtection="1">
      <alignment horizontal="center" vertical="center"/>
      <protection locked="0"/>
    </xf>
    <xf numFmtId="0" fontId="11" fillId="0" borderId="14" xfId="3" applyFont="1" applyBorder="1" applyAlignment="1" applyProtection="1">
      <alignment horizontal="center" vertical="center"/>
      <protection locked="0"/>
    </xf>
    <xf numFmtId="0" fontId="11" fillId="0" borderId="34" xfId="3" applyFont="1" applyBorder="1" applyAlignment="1" applyProtection="1">
      <alignment horizontal="center" vertical="center"/>
      <protection locked="0"/>
    </xf>
    <xf numFmtId="0" fontId="11" fillId="0" borderId="16" xfId="3" applyFont="1" applyBorder="1" applyAlignment="1" applyProtection="1">
      <alignment horizontal="center" vertical="center"/>
      <protection locked="0"/>
    </xf>
    <xf numFmtId="9" fontId="11" fillId="0" borderId="12" xfId="3" applyNumberFormat="1" applyFont="1" applyBorder="1" applyAlignment="1" applyProtection="1">
      <alignment horizontal="center" vertical="center" wrapText="1"/>
      <protection locked="0"/>
    </xf>
    <xf numFmtId="0" fontId="11" fillId="0" borderId="13" xfId="3" applyFont="1" applyBorder="1" applyAlignment="1" applyProtection="1">
      <alignment horizontal="center" vertical="center" wrapText="1"/>
      <protection locked="0"/>
    </xf>
    <xf numFmtId="0" fontId="11" fillId="0" borderId="14" xfId="3" applyFont="1" applyBorder="1" applyAlignment="1" applyProtection="1">
      <alignment horizontal="center" vertical="center" wrapText="1"/>
      <protection locked="0"/>
    </xf>
    <xf numFmtId="0" fontId="11" fillId="0" borderId="15" xfId="3" applyFont="1" applyBorder="1" applyAlignment="1" applyProtection="1">
      <alignment horizontal="center" vertical="center" wrapText="1"/>
      <protection locked="0"/>
    </xf>
    <xf numFmtId="0" fontId="11" fillId="0" borderId="2" xfId="3" applyFont="1" applyBorder="1" applyAlignment="1" applyProtection="1">
      <alignment horizontal="center" vertical="center" wrapText="1"/>
      <protection locked="0"/>
    </xf>
    <xf numFmtId="0" fontId="11" fillId="0" borderId="16" xfId="3" applyFont="1" applyBorder="1" applyAlignment="1" applyProtection="1">
      <alignment horizontal="center" vertical="center" wrapText="1"/>
      <protection locked="0"/>
    </xf>
    <xf numFmtId="0" fontId="11" fillId="0" borderId="12" xfId="3" applyFont="1" applyBorder="1" applyAlignment="1" applyProtection="1">
      <alignment horizontal="center" vertical="center" wrapText="1"/>
      <protection locked="0"/>
    </xf>
    <xf numFmtId="0" fontId="11" fillId="0" borderId="35" xfId="3" applyFont="1" applyBorder="1" applyAlignment="1" applyProtection="1">
      <alignment horizontal="center" vertical="center" wrapText="1"/>
      <protection locked="0"/>
    </xf>
    <xf numFmtId="0" fontId="11" fillId="0" borderId="36" xfId="3" applyFont="1" applyBorder="1" applyAlignment="1" applyProtection="1">
      <alignment horizontal="center" vertical="center" wrapText="1"/>
      <protection locked="0"/>
    </xf>
    <xf numFmtId="0" fontId="0" fillId="2" borderId="1" xfId="0" applyFill="1" applyBorder="1" applyAlignment="1">
      <alignment horizontal="center" wrapText="1"/>
    </xf>
    <xf numFmtId="0" fontId="13" fillId="0" borderId="1" xfId="0" applyFont="1" applyBorder="1" applyAlignment="1">
      <alignment horizontal="center"/>
    </xf>
    <xf numFmtId="0" fontId="2" fillId="0" borderId="1" xfId="0" applyFont="1" applyBorder="1" applyAlignment="1">
      <alignment horizontal="left" vertical="top"/>
    </xf>
    <xf numFmtId="0" fontId="20" fillId="0" borderId="1" xfId="0" applyFont="1" applyBorder="1" applyAlignment="1">
      <alignment horizontal="left" vertical="top"/>
    </xf>
    <xf numFmtId="0" fontId="20" fillId="0" borderId="1" xfId="0" applyFont="1" applyBorder="1" applyAlignment="1">
      <alignment horizontal="left" vertical="top" wrapText="1"/>
    </xf>
    <xf numFmtId="0" fontId="7" fillId="0" borderId="1" xfId="0" applyFont="1" applyBorder="1" applyAlignment="1">
      <alignment horizontal="center" vertical="top"/>
    </xf>
    <xf numFmtId="0" fontId="2" fillId="0" borderId="1" xfId="0" applyFont="1" applyBorder="1" applyAlignment="1">
      <alignment horizontal="center" vertical="top"/>
    </xf>
    <xf numFmtId="1" fontId="6"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cellXfs>
  <cellStyles count="5">
    <cellStyle name="Excel Built-in Normal" xfId="1"/>
    <cellStyle name="Hyperlink" xfId="4"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546100</xdr:colOff>
      <xdr:row>276</xdr:row>
      <xdr:rowOff>0</xdr:rowOff>
    </xdr:from>
    <xdr:to>
      <xdr:col>8</xdr:col>
      <xdr:colOff>618938</xdr:colOff>
      <xdr:row>294</xdr:row>
      <xdr:rowOff>171450</xdr:rowOff>
    </xdr:to>
    <xdr:pic>
      <xdr:nvPicPr>
        <xdr:cNvPr id="5283" name="Picture 1">
          <a:extLst>
            <a:ext uri="{FF2B5EF4-FFF2-40B4-BE49-F238E27FC236}">
              <a16:creationId xmlns:a16="http://schemas.microsoft.com/office/drawing/2014/main" id="{00000000-0008-0000-0000-0000A3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46100" y="53238400"/>
          <a:ext cx="5552888" cy="3371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546100</xdr:colOff>
      <xdr:row>295</xdr:row>
      <xdr:rowOff>142875</xdr:rowOff>
    </xdr:from>
    <xdr:to>
      <xdr:col>8</xdr:col>
      <xdr:colOff>618938</xdr:colOff>
      <xdr:row>314</xdr:row>
      <xdr:rowOff>123825</xdr:rowOff>
    </xdr:to>
    <xdr:pic>
      <xdr:nvPicPr>
        <xdr:cNvPr id="5284" name="Picture 2">
          <a:extLst>
            <a:ext uri="{FF2B5EF4-FFF2-40B4-BE49-F238E27FC236}">
              <a16:creationId xmlns:a16="http://schemas.microsoft.com/office/drawing/2014/main" id="{00000000-0008-0000-0000-0000A4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46100" y="56759475"/>
          <a:ext cx="5552888" cy="335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238125</xdr:colOff>
      <xdr:row>230</xdr:row>
      <xdr:rowOff>142875</xdr:rowOff>
    </xdr:from>
    <xdr:to>
      <xdr:col>27</xdr:col>
      <xdr:colOff>95250</xdr:colOff>
      <xdr:row>271</xdr:row>
      <xdr:rowOff>57150</xdr:rowOff>
    </xdr:to>
    <xdr:grpSp>
      <xdr:nvGrpSpPr>
        <xdr:cNvPr id="12" name="Group 11"/>
        <xdr:cNvGrpSpPr/>
      </xdr:nvGrpSpPr>
      <xdr:grpSpPr>
        <a:xfrm>
          <a:off x="7400925" y="44935775"/>
          <a:ext cx="6810375" cy="7216775"/>
          <a:chOff x="181633" y="120134"/>
          <a:chExt cx="6435355" cy="8593266"/>
        </a:xfrm>
      </xdr:grpSpPr>
      <xdr:pic>
        <xdr:nvPicPr>
          <xdr:cNvPr id="13" name="Picture 12"/>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114826" y="7093400"/>
            <a:ext cx="1216266" cy="162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470061" y="7093400"/>
            <a:ext cx="1213734" cy="162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466657" y="180500"/>
            <a:ext cx="1888031" cy="252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453326" y="180500"/>
            <a:ext cx="1891969" cy="252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43933" y="180500"/>
            <a:ext cx="1888031" cy="2520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343607" y="2844800"/>
            <a:ext cx="1621688" cy="2160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588466" y="2844800"/>
            <a:ext cx="1618312" cy="216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833325" y="2844800"/>
            <a:ext cx="1618312" cy="216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81633" y="5149100"/>
            <a:ext cx="2397778" cy="180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219210" y="5149100"/>
            <a:ext cx="2397778" cy="180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735757" y="5149100"/>
            <a:ext cx="1348593" cy="1800000"/>
          </a:xfrm>
          <a:prstGeom prst="rect">
            <a:avLst/>
          </a:prstGeom>
          <a:ln>
            <a:solidFill>
              <a:schemeClr val="tx1"/>
            </a:solidFill>
          </a:ln>
        </xdr:spPr>
      </xdr:pic>
      <xdr:sp macro="" textlink="">
        <xdr:nvSpPr>
          <xdr:cNvPr id="24" name="TextBox 21"/>
          <xdr:cNvSpPr txBox="1"/>
        </xdr:nvSpPr>
        <xdr:spPr>
          <a:xfrm>
            <a:off x="4697198" y="4581880"/>
            <a:ext cx="975419" cy="4156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C</a:t>
            </a:r>
            <a:endParaRPr lang="en-IN" b="1">
              <a:solidFill>
                <a:srgbClr val="FFFF00"/>
              </a:solidFill>
            </a:endParaRPr>
          </a:p>
        </xdr:txBody>
      </xdr:sp>
      <xdr:sp macro="" textlink="">
        <xdr:nvSpPr>
          <xdr:cNvPr id="25" name="TextBox 22"/>
          <xdr:cNvSpPr txBox="1"/>
        </xdr:nvSpPr>
        <xdr:spPr>
          <a:xfrm>
            <a:off x="3012808" y="4604434"/>
            <a:ext cx="975419" cy="4156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B</a:t>
            </a:r>
            <a:endParaRPr lang="en-IN" b="1">
              <a:solidFill>
                <a:srgbClr val="FFFF00"/>
              </a:solidFill>
            </a:endParaRPr>
          </a:p>
        </xdr:txBody>
      </xdr:sp>
      <xdr:sp macro="" textlink="">
        <xdr:nvSpPr>
          <xdr:cNvPr id="26" name="TextBox 23"/>
          <xdr:cNvSpPr txBox="1"/>
        </xdr:nvSpPr>
        <xdr:spPr>
          <a:xfrm>
            <a:off x="1083615" y="4649434"/>
            <a:ext cx="975419" cy="4156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A</a:t>
            </a:r>
            <a:endParaRPr lang="en-IN" b="1">
              <a:solidFill>
                <a:srgbClr val="FFFF00"/>
              </a:solidFill>
            </a:endParaRPr>
          </a:p>
        </xdr:txBody>
      </xdr:sp>
      <xdr:sp macro="" textlink="">
        <xdr:nvSpPr>
          <xdr:cNvPr id="27" name="TextBox 24"/>
          <xdr:cNvSpPr txBox="1"/>
        </xdr:nvSpPr>
        <xdr:spPr>
          <a:xfrm>
            <a:off x="2385272" y="120134"/>
            <a:ext cx="945059" cy="4156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E</a:t>
            </a:r>
            <a:endParaRPr lang="en-IN" b="1"/>
          </a:p>
        </xdr:txBody>
      </xdr:sp>
      <xdr:sp macro="" textlink="">
        <xdr:nvSpPr>
          <xdr:cNvPr id="28" name="TextBox 25"/>
          <xdr:cNvSpPr txBox="1"/>
        </xdr:nvSpPr>
        <xdr:spPr>
          <a:xfrm>
            <a:off x="930696" y="2218652"/>
            <a:ext cx="982563" cy="4156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D</a:t>
            </a:r>
            <a:endParaRPr lang="en-IN" b="1"/>
          </a:p>
        </xdr:txBody>
      </xdr:sp>
    </xdr:grpSp>
    <xdr:clientData/>
  </xdr:twoCellAnchor>
  <xdr:twoCellAnchor>
    <xdr:from>
      <xdr:col>0</xdr:col>
      <xdr:colOff>152400</xdr:colOff>
      <xdr:row>231</xdr:row>
      <xdr:rowOff>88900</xdr:rowOff>
    </xdr:from>
    <xdr:to>
      <xdr:col>9</xdr:col>
      <xdr:colOff>638066</xdr:colOff>
      <xdr:row>273</xdr:row>
      <xdr:rowOff>70932</xdr:rowOff>
    </xdr:to>
    <xdr:grpSp>
      <xdr:nvGrpSpPr>
        <xdr:cNvPr id="3" name="Group 2"/>
        <xdr:cNvGrpSpPr/>
      </xdr:nvGrpSpPr>
      <xdr:grpSpPr>
        <a:xfrm>
          <a:off x="152400" y="45072300"/>
          <a:ext cx="6683266" cy="7449632"/>
          <a:chOff x="152400" y="44894500"/>
          <a:chExt cx="6683266" cy="7449632"/>
        </a:xfrm>
      </xdr:grpSpPr>
      <xdr:pic>
        <xdr:nvPicPr>
          <xdr:cNvPr id="34" name="Picture 3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487072" y="50544132"/>
            <a:ext cx="1348594" cy="18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619840" y="47719316"/>
            <a:ext cx="2049863" cy="2736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619841" y="44894500"/>
            <a:ext cx="2049863" cy="2736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624481" y="50544132"/>
            <a:ext cx="2267023" cy="180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417436" y="44894500"/>
            <a:ext cx="2049863" cy="2736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15031" y="44894500"/>
            <a:ext cx="2049863"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52400" y="50544132"/>
            <a:ext cx="1348594" cy="180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014991" y="50544132"/>
            <a:ext cx="1348594" cy="180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15030" y="47719316"/>
            <a:ext cx="2049863" cy="273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417435" y="47719316"/>
            <a:ext cx="2049863" cy="2736000"/>
          </a:xfrm>
          <a:prstGeom prst="rect">
            <a:avLst/>
          </a:prstGeom>
          <a:ln>
            <a:solidFill>
              <a:schemeClr val="tx1"/>
            </a:solidFill>
          </a:ln>
        </xdr:spPr>
      </xdr:pic>
      <xdr:sp macro="" textlink="">
        <xdr:nvSpPr>
          <xdr:cNvPr id="56" name="TextBox 23"/>
          <xdr:cNvSpPr txBox="1"/>
        </xdr:nvSpPr>
        <xdr:spPr>
          <a:xfrm>
            <a:off x="850031" y="46621700"/>
            <a:ext cx="1032261" cy="3491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A</a:t>
            </a:r>
            <a:endParaRPr lang="en-IN" b="1">
              <a:solidFill>
                <a:srgbClr val="FFFF00"/>
              </a:solidFill>
            </a:endParaRPr>
          </a:p>
        </xdr:txBody>
      </xdr:sp>
      <xdr:sp macro="" textlink="">
        <xdr:nvSpPr>
          <xdr:cNvPr id="57" name="TextBox 23"/>
          <xdr:cNvSpPr txBox="1"/>
        </xdr:nvSpPr>
        <xdr:spPr>
          <a:xfrm>
            <a:off x="2963536" y="46786800"/>
            <a:ext cx="1032261" cy="3491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B</a:t>
            </a:r>
            <a:endParaRPr lang="en-IN" b="1">
              <a:solidFill>
                <a:srgbClr val="FFFF00"/>
              </a:solidFill>
            </a:endParaRPr>
          </a:p>
        </xdr:txBody>
      </xdr:sp>
      <xdr:sp macro="" textlink="">
        <xdr:nvSpPr>
          <xdr:cNvPr id="58" name="TextBox 23"/>
          <xdr:cNvSpPr txBox="1"/>
        </xdr:nvSpPr>
        <xdr:spPr>
          <a:xfrm>
            <a:off x="5337391" y="46805850"/>
            <a:ext cx="1032261" cy="3491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C</a:t>
            </a:r>
            <a:endParaRPr lang="en-IN" b="1">
              <a:solidFill>
                <a:srgbClr val="FFFF00"/>
              </a:solidFill>
            </a:endParaRPr>
          </a:p>
        </xdr:txBody>
      </xdr:sp>
      <xdr:sp macro="" textlink="">
        <xdr:nvSpPr>
          <xdr:cNvPr id="59" name="TextBox 23"/>
          <xdr:cNvSpPr txBox="1"/>
        </xdr:nvSpPr>
        <xdr:spPr>
          <a:xfrm>
            <a:off x="850030" y="49579866"/>
            <a:ext cx="1032261" cy="3491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D</a:t>
            </a:r>
            <a:endParaRPr lang="en-IN" b="1">
              <a:solidFill>
                <a:srgbClr val="FFFF00"/>
              </a:solidFill>
            </a:endParaRPr>
          </a:p>
        </xdr:txBody>
      </xdr:sp>
      <xdr:sp macro="" textlink="">
        <xdr:nvSpPr>
          <xdr:cNvPr id="60" name="TextBox 23"/>
          <xdr:cNvSpPr txBox="1"/>
        </xdr:nvSpPr>
        <xdr:spPr>
          <a:xfrm>
            <a:off x="2861935" y="49668766"/>
            <a:ext cx="1032261" cy="3491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Wing E</a:t>
            </a:r>
            <a:endParaRPr lang="en-IN" b="1">
              <a:solidFill>
                <a:srgbClr val="FFFF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400050</xdr:colOff>
      <xdr:row>21</xdr:row>
      <xdr:rowOff>57150</xdr:rowOff>
    </xdr:to>
    <xdr:pic>
      <xdr:nvPicPr>
        <xdr:cNvPr id="2267" name="Picture 1">
          <a:extLst>
            <a:ext uri="{FF2B5EF4-FFF2-40B4-BE49-F238E27FC236}">
              <a16:creationId xmlns:a16="http://schemas.microsoft.com/office/drawing/2014/main" id="{00000000-0008-0000-0100-0000DB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76200</xdr:colOff>
      <xdr:row>12</xdr:row>
      <xdr:rowOff>0</xdr:rowOff>
    </xdr:from>
    <xdr:to>
      <xdr:col>14</xdr:col>
      <xdr:colOff>476250</xdr:colOff>
      <xdr:row>21</xdr:row>
      <xdr:rowOff>57150</xdr:rowOff>
    </xdr:to>
    <xdr:pic>
      <xdr:nvPicPr>
        <xdr:cNvPr id="2268" name="Picture 2">
          <a:extLst>
            <a:ext uri="{FF2B5EF4-FFF2-40B4-BE49-F238E27FC236}">
              <a16:creationId xmlns:a16="http://schemas.microsoft.com/office/drawing/2014/main" id="{00000000-0008-0000-0100-0000DC0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6285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qYzov5sxbKidUvM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5"/>
  <sheetViews>
    <sheetView tabSelected="1" view="pageBreakPreview" zoomScaleNormal="100" zoomScaleSheetLayoutView="100" zoomScalePageLayoutView="85" workbookViewId="0">
      <selection activeCell="F9" sqref="F9:J9"/>
    </sheetView>
  </sheetViews>
  <sheetFormatPr defaultColWidth="9.1796875" defaultRowHeight="14" x14ac:dyDescent="0.3"/>
  <cols>
    <col min="1" max="1" width="8.7265625" style="26" customWidth="1"/>
    <col min="2" max="3" width="14.453125" style="26" customWidth="1"/>
    <col min="4" max="4" width="7.26953125" style="26" customWidth="1"/>
    <col min="5" max="5" width="6.81640625" style="26" customWidth="1"/>
    <col min="6" max="7" width="9" style="26" customWidth="1"/>
    <col min="8" max="8" width="8.7265625" style="26" customWidth="1"/>
    <col min="9" max="10" width="10.26953125" style="26" customWidth="1"/>
    <col min="11" max="11" width="3.54296875" style="26" customWidth="1"/>
    <col min="12" max="16" width="9.1796875" style="26" hidden="1" customWidth="1"/>
    <col min="17" max="17" width="9.1796875" style="27" hidden="1" customWidth="1"/>
    <col min="18" max="18" width="14.81640625" style="27" customWidth="1"/>
    <col min="19" max="20" width="9.1796875" style="26"/>
    <col min="21" max="21" width="11.26953125" style="26" bestFit="1" customWidth="1"/>
    <col min="22" max="16384" width="9.1796875" style="26"/>
  </cols>
  <sheetData>
    <row r="1" spans="1:10" ht="43.9" customHeight="1" x14ac:dyDescent="0.3">
      <c r="A1" s="90" t="s">
        <v>244</v>
      </c>
      <c r="B1" s="91"/>
      <c r="C1" s="91"/>
      <c r="D1" s="91"/>
      <c r="E1" s="91"/>
      <c r="F1" s="91"/>
      <c r="G1" s="91"/>
      <c r="H1" s="91"/>
      <c r="I1" s="91"/>
      <c r="J1" s="92"/>
    </row>
    <row r="2" spans="1:10" x14ac:dyDescent="0.3">
      <c r="A2" s="104" t="s">
        <v>34</v>
      </c>
      <c r="B2" s="105"/>
      <c r="C2" s="105"/>
      <c r="D2" s="105"/>
      <c r="E2" s="105"/>
      <c r="F2" s="105"/>
      <c r="G2" s="105"/>
      <c r="H2" s="105"/>
      <c r="I2" s="105"/>
      <c r="J2" s="106"/>
    </row>
    <row r="3" spans="1:10" x14ac:dyDescent="0.3">
      <c r="A3" s="65" t="s">
        <v>0</v>
      </c>
      <c r="B3" s="66"/>
      <c r="C3" s="66"/>
      <c r="D3" s="66"/>
      <c r="E3" s="67"/>
      <c r="F3" s="101" t="str">
        <f ca="1">TEXT(TODAY(),"DD/MM/YYYY")</f>
        <v>10/09/2025</v>
      </c>
      <c r="G3" s="102"/>
      <c r="H3" s="102"/>
      <c r="I3" s="102"/>
      <c r="J3" s="103"/>
    </row>
    <row r="4" spans="1:10" x14ac:dyDescent="0.3">
      <c r="A4" s="65" t="s">
        <v>1</v>
      </c>
      <c r="B4" s="66"/>
      <c r="C4" s="66"/>
      <c r="D4" s="66"/>
      <c r="E4" s="67"/>
      <c r="F4" s="65" t="s">
        <v>122</v>
      </c>
      <c r="G4" s="66"/>
      <c r="H4" s="66"/>
      <c r="I4" s="66"/>
      <c r="J4" s="67"/>
    </row>
    <row r="5" spans="1:10" x14ac:dyDescent="0.3">
      <c r="A5" s="65" t="s">
        <v>2</v>
      </c>
      <c r="B5" s="66"/>
      <c r="C5" s="66"/>
      <c r="D5" s="66"/>
      <c r="E5" s="67"/>
      <c r="F5" s="101">
        <v>45909</v>
      </c>
      <c r="G5" s="102"/>
      <c r="H5" s="102"/>
      <c r="I5" s="102"/>
      <c r="J5" s="103"/>
    </row>
    <row r="6" spans="1:10" ht="16.5" customHeight="1" x14ac:dyDescent="0.3">
      <c r="A6" s="65" t="s">
        <v>3</v>
      </c>
      <c r="B6" s="66"/>
      <c r="C6" s="66"/>
      <c r="D6" s="66"/>
      <c r="E6" s="67"/>
      <c r="F6" s="131" t="s">
        <v>186</v>
      </c>
      <c r="G6" s="132"/>
      <c r="H6" s="132"/>
      <c r="I6" s="132"/>
      <c r="J6" s="133"/>
    </row>
    <row r="7" spans="1:10" ht="15" customHeight="1" x14ac:dyDescent="0.3">
      <c r="A7" s="65" t="s">
        <v>4</v>
      </c>
      <c r="B7" s="66"/>
      <c r="C7" s="66"/>
      <c r="D7" s="66"/>
      <c r="E7" s="67"/>
      <c r="F7" s="131" t="str">
        <f>F6</f>
        <v>M/s. Prajapati Developers</v>
      </c>
      <c r="G7" s="132"/>
      <c r="H7" s="132"/>
      <c r="I7" s="132"/>
      <c r="J7" s="133"/>
    </row>
    <row r="8" spans="1:10" x14ac:dyDescent="0.3">
      <c r="A8" s="65" t="s">
        <v>5</v>
      </c>
      <c r="B8" s="66"/>
      <c r="C8" s="66"/>
      <c r="D8" s="66"/>
      <c r="E8" s="67"/>
      <c r="F8" s="116" t="s">
        <v>124</v>
      </c>
      <c r="G8" s="117"/>
      <c r="H8" s="117"/>
      <c r="I8" s="117"/>
      <c r="J8" s="118"/>
    </row>
    <row r="9" spans="1:10" x14ac:dyDescent="0.3">
      <c r="A9" s="65" t="s">
        <v>123</v>
      </c>
      <c r="B9" s="66"/>
      <c r="C9" s="66"/>
      <c r="D9" s="66"/>
      <c r="E9" s="67"/>
      <c r="F9" s="65" t="s">
        <v>125</v>
      </c>
      <c r="G9" s="66"/>
      <c r="H9" s="66"/>
      <c r="I9" s="66"/>
      <c r="J9" s="67"/>
    </row>
    <row r="10" spans="1:10" x14ac:dyDescent="0.3">
      <c r="A10" s="65" t="s">
        <v>245</v>
      </c>
      <c r="B10" s="66"/>
      <c r="C10" s="66"/>
      <c r="D10" s="66"/>
      <c r="E10" s="67"/>
      <c r="F10" s="65" t="s">
        <v>253</v>
      </c>
      <c r="G10" s="66"/>
      <c r="H10" s="66"/>
      <c r="I10" s="66"/>
      <c r="J10" s="67"/>
    </row>
    <row r="11" spans="1:10" x14ac:dyDescent="0.3">
      <c r="A11" s="65" t="s">
        <v>119</v>
      </c>
      <c r="B11" s="66"/>
      <c r="C11" s="66"/>
      <c r="D11" s="66"/>
      <c r="E11" s="67"/>
      <c r="F11" s="65" t="s">
        <v>126</v>
      </c>
      <c r="G11" s="66"/>
      <c r="H11" s="66"/>
      <c r="I11" s="66"/>
      <c r="J11" s="67"/>
    </row>
    <row r="12" spans="1:10" ht="30" customHeight="1" x14ac:dyDescent="0.3">
      <c r="A12" s="65" t="s">
        <v>136</v>
      </c>
      <c r="B12" s="66"/>
      <c r="C12" s="66"/>
      <c r="D12" s="66"/>
      <c r="E12" s="67"/>
      <c r="F12" s="131" t="s">
        <v>232</v>
      </c>
      <c r="G12" s="66"/>
      <c r="H12" s="66"/>
      <c r="I12" s="66"/>
      <c r="J12" s="67"/>
    </row>
    <row r="13" spans="1:10" x14ac:dyDescent="0.3">
      <c r="A13" s="65" t="s">
        <v>6</v>
      </c>
      <c r="B13" s="66"/>
      <c r="C13" s="66"/>
      <c r="D13" s="66"/>
      <c r="E13" s="67"/>
      <c r="F13" s="65" t="s">
        <v>187</v>
      </c>
      <c r="G13" s="66"/>
      <c r="H13" s="66"/>
      <c r="I13" s="66"/>
      <c r="J13" s="67"/>
    </row>
    <row r="14" spans="1:10" ht="31.5" customHeight="1" x14ac:dyDescent="0.3">
      <c r="A14" s="68" t="s">
        <v>51</v>
      </c>
      <c r="B14" s="68"/>
      <c r="C14" s="98" t="s">
        <v>127</v>
      </c>
      <c r="D14" s="99"/>
      <c r="E14" s="99"/>
      <c r="F14" s="99"/>
      <c r="G14" s="99"/>
      <c r="H14" s="99"/>
      <c r="I14" s="99"/>
      <c r="J14" s="100"/>
    </row>
    <row r="15" spans="1:10" ht="15" customHeight="1" x14ac:dyDescent="0.3">
      <c r="A15" s="68" t="s">
        <v>131</v>
      </c>
      <c r="B15" s="68"/>
      <c r="C15" s="68" t="s">
        <v>130</v>
      </c>
      <c r="D15" s="68"/>
      <c r="E15" s="68"/>
      <c r="F15" s="68" t="s">
        <v>52</v>
      </c>
      <c r="G15" s="68"/>
      <c r="H15" s="69" t="s">
        <v>128</v>
      </c>
      <c r="I15" s="69"/>
      <c r="J15" s="70"/>
    </row>
    <row r="16" spans="1:10" x14ac:dyDescent="0.3">
      <c r="A16" s="68" t="s">
        <v>7</v>
      </c>
      <c r="B16" s="68"/>
      <c r="C16" s="68" t="s">
        <v>133</v>
      </c>
      <c r="D16" s="68"/>
      <c r="E16" s="68"/>
      <c r="F16" s="68" t="s">
        <v>53</v>
      </c>
      <c r="G16" s="68"/>
      <c r="H16" s="69" t="s">
        <v>129</v>
      </c>
      <c r="I16" s="69"/>
      <c r="J16" s="70"/>
    </row>
    <row r="17" spans="1:10" x14ac:dyDescent="0.3">
      <c r="A17" s="68" t="s">
        <v>8</v>
      </c>
      <c r="B17" s="68"/>
      <c r="C17" s="68" t="s">
        <v>132</v>
      </c>
      <c r="D17" s="68"/>
      <c r="E17" s="68"/>
      <c r="F17" s="68" t="s">
        <v>54</v>
      </c>
      <c r="G17" s="68"/>
      <c r="H17" s="71">
        <v>400702</v>
      </c>
      <c r="I17" s="71"/>
      <c r="J17" s="72"/>
    </row>
    <row r="18" spans="1:10" ht="32.25" customHeight="1" x14ac:dyDescent="0.3">
      <c r="A18" s="68" t="s">
        <v>55</v>
      </c>
      <c r="B18" s="68"/>
      <c r="C18" s="68" t="s">
        <v>143</v>
      </c>
      <c r="D18" s="68"/>
      <c r="E18" s="68"/>
      <c r="F18" s="68" t="s">
        <v>44</v>
      </c>
      <c r="G18" s="68"/>
      <c r="H18" s="69" t="s">
        <v>146</v>
      </c>
      <c r="I18" s="69"/>
      <c r="J18" s="70"/>
    </row>
    <row r="19" spans="1:10" ht="15" customHeight="1" x14ac:dyDescent="0.3">
      <c r="A19" s="138" t="s">
        <v>46</v>
      </c>
      <c r="B19" s="139"/>
      <c r="C19" s="139"/>
      <c r="D19" s="139"/>
      <c r="E19" s="140"/>
      <c r="F19" s="57" t="s">
        <v>49</v>
      </c>
      <c r="G19" s="58"/>
      <c r="H19" s="58"/>
      <c r="I19" s="58"/>
      <c r="J19" s="59"/>
    </row>
    <row r="20" spans="1:10" x14ac:dyDescent="0.3">
      <c r="A20" s="141"/>
      <c r="B20" s="142"/>
      <c r="C20" s="142"/>
      <c r="D20" s="142"/>
      <c r="E20" s="143"/>
      <c r="F20" s="60"/>
      <c r="G20" s="61"/>
      <c r="H20" s="61"/>
      <c r="I20" s="61"/>
      <c r="J20" s="62"/>
    </row>
    <row r="21" spans="1:10" ht="15" customHeight="1" x14ac:dyDescent="0.3">
      <c r="A21" s="138" t="s">
        <v>9</v>
      </c>
      <c r="B21" s="139"/>
      <c r="C21" s="139"/>
      <c r="D21" s="139"/>
      <c r="E21" s="140"/>
      <c r="F21" s="138" t="s">
        <v>35</v>
      </c>
      <c r="G21" s="139"/>
      <c r="H21" s="139"/>
      <c r="I21" s="139"/>
      <c r="J21" s="140"/>
    </row>
    <row r="22" spans="1:10" x14ac:dyDescent="0.3">
      <c r="A22" s="141"/>
      <c r="B22" s="142"/>
      <c r="C22" s="142"/>
      <c r="D22" s="142"/>
      <c r="E22" s="143"/>
      <c r="F22" s="141"/>
      <c r="G22" s="142"/>
      <c r="H22" s="142"/>
      <c r="I22" s="142"/>
      <c r="J22" s="143"/>
    </row>
    <row r="23" spans="1:10" x14ac:dyDescent="0.3">
      <c r="A23" s="65" t="s">
        <v>10</v>
      </c>
      <c r="B23" s="66"/>
      <c r="C23" s="66"/>
      <c r="D23" s="66"/>
      <c r="E23" s="67"/>
      <c r="F23" s="65" t="s">
        <v>94</v>
      </c>
      <c r="G23" s="66"/>
      <c r="H23" s="66"/>
      <c r="I23" s="66"/>
      <c r="J23" s="67"/>
    </row>
    <row r="24" spans="1:10" x14ac:dyDescent="0.3">
      <c r="A24" s="65" t="s">
        <v>11</v>
      </c>
      <c r="B24" s="66"/>
      <c r="C24" s="66"/>
      <c r="D24" s="66"/>
      <c r="E24" s="67"/>
      <c r="F24" s="65" t="s">
        <v>45</v>
      </c>
      <c r="G24" s="66"/>
      <c r="H24" s="66"/>
      <c r="I24" s="66"/>
      <c r="J24" s="67"/>
    </row>
    <row r="25" spans="1:10" x14ac:dyDescent="0.3">
      <c r="A25" s="65" t="s">
        <v>12</v>
      </c>
      <c r="B25" s="66"/>
      <c r="C25" s="66"/>
      <c r="D25" s="66"/>
      <c r="E25" s="67"/>
      <c r="F25" s="65" t="s">
        <v>36</v>
      </c>
      <c r="G25" s="66"/>
      <c r="H25" s="66"/>
      <c r="I25" s="66"/>
      <c r="J25" s="67"/>
    </row>
    <row r="26" spans="1:10" x14ac:dyDescent="0.3">
      <c r="A26" s="65" t="s">
        <v>26</v>
      </c>
      <c r="B26" s="66"/>
      <c r="C26" s="66"/>
      <c r="D26" s="66"/>
      <c r="E26" s="67"/>
      <c r="F26" s="65" t="s">
        <v>56</v>
      </c>
      <c r="G26" s="66"/>
      <c r="H26" s="66"/>
      <c r="I26" s="66"/>
      <c r="J26" s="67"/>
    </row>
    <row r="27" spans="1:10" x14ac:dyDescent="0.3">
      <c r="A27" s="63" t="s">
        <v>13</v>
      </c>
      <c r="B27" s="64"/>
      <c r="C27" s="63" t="s">
        <v>14</v>
      </c>
      <c r="D27" s="64"/>
      <c r="E27" s="63" t="s">
        <v>15</v>
      </c>
      <c r="F27" s="64"/>
      <c r="G27" s="63" t="s">
        <v>43</v>
      </c>
      <c r="H27" s="64"/>
      <c r="I27" s="63" t="s">
        <v>16</v>
      </c>
      <c r="J27" s="64"/>
    </row>
    <row r="28" spans="1:10" x14ac:dyDescent="0.3">
      <c r="A28" s="63" t="s">
        <v>17</v>
      </c>
      <c r="B28" s="64"/>
      <c r="C28" s="63" t="s">
        <v>42</v>
      </c>
      <c r="D28" s="64"/>
      <c r="E28" s="63" t="s">
        <v>42</v>
      </c>
      <c r="F28" s="64"/>
      <c r="G28" s="63" t="s">
        <v>42</v>
      </c>
      <c r="H28" s="64"/>
      <c r="I28" s="63" t="s">
        <v>42</v>
      </c>
      <c r="J28" s="64"/>
    </row>
    <row r="29" spans="1:10" x14ac:dyDescent="0.3">
      <c r="A29" s="63" t="s">
        <v>18</v>
      </c>
      <c r="B29" s="64"/>
      <c r="C29" s="63" t="s">
        <v>144</v>
      </c>
      <c r="D29" s="64"/>
      <c r="E29" s="63" t="s">
        <v>145</v>
      </c>
      <c r="F29" s="64"/>
      <c r="G29" s="63" t="s">
        <v>133</v>
      </c>
      <c r="H29" s="64"/>
      <c r="I29" s="63" t="s">
        <v>143</v>
      </c>
      <c r="J29" s="64"/>
    </row>
    <row r="30" spans="1:10" x14ac:dyDescent="0.3">
      <c r="A30" s="65" t="s">
        <v>48</v>
      </c>
      <c r="B30" s="66"/>
      <c r="C30" s="66"/>
      <c r="D30" s="66"/>
      <c r="E30" s="66"/>
      <c r="F30" s="66"/>
      <c r="G30" s="66"/>
      <c r="H30" s="66"/>
      <c r="I30" s="66"/>
      <c r="J30" s="67"/>
    </row>
    <row r="31" spans="1:10" x14ac:dyDescent="0.3">
      <c r="A31" s="65" t="s">
        <v>37</v>
      </c>
      <c r="B31" s="66"/>
      <c r="C31" s="66"/>
      <c r="D31" s="66"/>
      <c r="E31" s="66"/>
      <c r="F31" s="66"/>
      <c r="G31" s="66"/>
      <c r="H31" s="66"/>
      <c r="I31" s="66"/>
      <c r="J31" s="67"/>
    </row>
    <row r="32" spans="1:10" x14ac:dyDescent="0.3">
      <c r="A32" s="65" t="s">
        <v>31</v>
      </c>
      <c r="B32" s="67"/>
      <c r="C32" s="116" t="s">
        <v>247</v>
      </c>
      <c r="D32" s="117"/>
      <c r="E32" s="117"/>
      <c r="F32" s="117"/>
      <c r="G32" s="117"/>
      <c r="H32" s="117"/>
      <c r="I32" s="117"/>
      <c r="J32" s="118"/>
    </row>
    <row r="33" spans="1:10" ht="14.5" x14ac:dyDescent="0.3">
      <c r="A33" s="65" t="s">
        <v>240</v>
      </c>
      <c r="B33" s="67"/>
      <c r="C33" s="137" t="s">
        <v>241</v>
      </c>
      <c r="D33" s="66"/>
      <c r="E33" s="66"/>
      <c r="F33" s="66"/>
      <c r="G33" s="66"/>
      <c r="H33" s="66"/>
      <c r="I33" s="66"/>
      <c r="J33" s="67"/>
    </row>
    <row r="34" spans="1:10" x14ac:dyDescent="0.3">
      <c r="A34" s="116" t="s">
        <v>19</v>
      </c>
      <c r="B34" s="117"/>
      <c r="C34" s="117"/>
      <c r="D34" s="117"/>
      <c r="E34" s="117"/>
      <c r="F34" s="117"/>
      <c r="G34" s="117"/>
      <c r="H34" s="117"/>
      <c r="I34" s="117"/>
      <c r="J34" s="118"/>
    </row>
    <row r="35" spans="1:10" ht="15" customHeight="1" x14ac:dyDescent="0.3">
      <c r="A35" s="134" t="s">
        <v>121</v>
      </c>
      <c r="B35" s="134"/>
      <c r="C35" s="134"/>
      <c r="D35" s="134"/>
      <c r="E35" s="134"/>
      <c r="F35" s="134"/>
      <c r="G35" s="134"/>
      <c r="H35" s="134"/>
      <c r="I35" s="134"/>
      <c r="J35" s="134"/>
    </row>
    <row r="36" spans="1:10" x14ac:dyDescent="0.3">
      <c r="A36" s="134"/>
      <c r="B36" s="134"/>
      <c r="C36" s="134"/>
      <c r="D36" s="134"/>
      <c r="E36" s="134"/>
      <c r="F36" s="134"/>
      <c r="G36" s="134"/>
      <c r="H36" s="134"/>
      <c r="I36" s="134"/>
      <c r="J36" s="134"/>
    </row>
    <row r="37" spans="1:10" x14ac:dyDescent="0.3">
      <c r="A37" s="95" t="s">
        <v>57</v>
      </c>
      <c r="B37" s="95"/>
      <c r="C37" s="95"/>
      <c r="D37" s="95"/>
      <c r="E37" s="95"/>
      <c r="F37" s="95">
        <v>12099.8</v>
      </c>
      <c r="G37" s="95"/>
      <c r="H37" s="95"/>
      <c r="I37" s="95"/>
      <c r="J37" s="95"/>
    </row>
    <row r="38" spans="1:10" x14ac:dyDescent="0.3">
      <c r="A38" s="95" t="s">
        <v>20</v>
      </c>
      <c r="B38" s="95"/>
      <c r="C38" s="95"/>
      <c r="D38" s="95"/>
      <c r="E38" s="95"/>
      <c r="F38" s="95">
        <v>1.5</v>
      </c>
      <c r="G38" s="95"/>
      <c r="H38" s="95"/>
      <c r="I38" s="95"/>
      <c r="J38" s="95"/>
    </row>
    <row r="39" spans="1:10" x14ac:dyDescent="0.3">
      <c r="A39" s="95" t="s">
        <v>21</v>
      </c>
      <c r="B39" s="95"/>
      <c r="C39" s="95"/>
      <c r="D39" s="95"/>
      <c r="E39" s="95"/>
      <c r="F39" s="95">
        <v>0</v>
      </c>
      <c r="G39" s="95"/>
      <c r="H39" s="95"/>
      <c r="I39" s="95"/>
      <c r="J39" s="95"/>
    </row>
    <row r="40" spans="1:10" x14ac:dyDescent="0.3">
      <c r="A40" s="95" t="s">
        <v>22</v>
      </c>
      <c r="B40" s="95"/>
      <c r="C40" s="95"/>
      <c r="D40" s="95"/>
      <c r="E40" s="95"/>
      <c r="F40" s="95">
        <v>1.5</v>
      </c>
      <c r="G40" s="95"/>
      <c r="H40" s="95"/>
      <c r="I40" s="95"/>
      <c r="J40" s="95"/>
    </row>
    <row r="41" spans="1:10" x14ac:dyDescent="0.3">
      <c r="A41" s="95" t="s">
        <v>58</v>
      </c>
      <c r="B41" s="95"/>
      <c r="C41" s="95"/>
      <c r="D41" s="95"/>
      <c r="E41" s="95"/>
      <c r="F41" s="95">
        <v>18149.07</v>
      </c>
      <c r="G41" s="95"/>
      <c r="H41" s="95"/>
      <c r="I41" s="95"/>
      <c r="J41" s="95"/>
    </row>
    <row r="42" spans="1:10" x14ac:dyDescent="0.3">
      <c r="A42" s="95" t="s">
        <v>23</v>
      </c>
      <c r="B42" s="95"/>
      <c r="C42" s="95"/>
      <c r="D42" s="95"/>
      <c r="E42" s="95"/>
      <c r="F42" s="95" t="s">
        <v>239</v>
      </c>
      <c r="G42" s="95"/>
      <c r="H42" s="95"/>
      <c r="I42" s="95"/>
      <c r="J42" s="95"/>
    </row>
    <row r="43" spans="1:10" x14ac:dyDescent="0.3">
      <c r="A43" s="186" t="s">
        <v>60</v>
      </c>
      <c r="B43" s="186"/>
      <c r="C43" s="186"/>
      <c r="D43" s="186"/>
      <c r="E43" s="186"/>
      <c r="F43" s="186"/>
      <c r="G43" s="186"/>
      <c r="H43" s="186"/>
      <c r="I43" s="186"/>
      <c r="J43" s="186"/>
    </row>
    <row r="44" spans="1:10" ht="16.5" customHeight="1" x14ac:dyDescent="0.3">
      <c r="A44" s="134" t="s">
        <v>59</v>
      </c>
      <c r="B44" s="134"/>
      <c r="C44" s="95" t="s">
        <v>134</v>
      </c>
      <c r="D44" s="95"/>
      <c r="E44" s="95"/>
      <c r="F44" s="95"/>
      <c r="G44" s="56" t="s">
        <v>50</v>
      </c>
      <c r="H44" s="95" t="s">
        <v>135</v>
      </c>
      <c r="I44" s="95"/>
      <c r="J44" s="95"/>
    </row>
    <row r="45" spans="1:10" x14ac:dyDescent="0.3">
      <c r="A45" s="134" t="s">
        <v>61</v>
      </c>
      <c r="B45" s="134"/>
      <c r="C45" s="95" t="s">
        <v>185</v>
      </c>
      <c r="D45" s="95"/>
      <c r="E45" s="95"/>
      <c r="F45" s="95"/>
      <c r="G45" s="56" t="s">
        <v>50</v>
      </c>
      <c r="H45" s="95" t="s">
        <v>135</v>
      </c>
      <c r="I45" s="95" t="s">
        <v>38</v>
      </c>
      <c r="J45" s="95"/>
    </row>
    <row r="46" spans="1:10" ht="47.25" customHeight="1" x14ac:dyDescent="0.3">
      <c r="A46" s="134" t="s">
        <v>62</v>
      </c>
      <c r="B46" s="134"/>
      <c r="C46" s="134" t="s">
        <v>221</v>
      </c>
      <c r="D46" s="134"/>
      <c r="E46" s="134"/>
      <c r="F46" s="134"/>
      <c r="G46" s="28" t="s">
        <v>50</v>
      </c>
      <c r="H46" s="95" t="s">
        <v>135</v>
      </c>
      <c r="I46" s="95"/>
      <c r="J46" s="95"/>
    </row>
    <row r="47" spans="1:10" ht="47.25" customHeight="1" x14ac:dyDescent="0.3">
      <c r="A47" s="135" t="s">
        <v>242</v>
      </c>
      <c r="B47" s="136"/>
      <c r="C47" s="135" t="s">
        <v>243</v>
      </c>
      <c r="D47" s="117"/>
      <c r="E47" s="117"/>
      <c r="F47" s="118" t="s">
        <v>39</v>
      </c>
      <c r="G47" s="54" t="s">
        <v>50</v>
      </c>
      <c r="H47" s="151">
        <v>45042</v>
      </c>
      <c r="I47" s="117" t="s">
        <v>47</v>
      </c>
      <c r="J47" s="118"/>
    </row>
    <row r="48" spans="1:10" x14ac:dyDescent="0.3">
      <c r="A48" s="95" t="s">
        <v>66</v>
      </c>
      <c r="B48" s="95"/>
      <c r="C48" s="95"/>
      <c r="D48" s="95" t="str">
        <f>H46</f>
        <v>31/12/2013.</v>
      </c>
      <c r="E48" s="95"/>
      <c r="F48" s="95" t="s">
        <v>63</v>
      </c>
      <c r="G48" s="96"/>
      <c r="H48" s="101" t="s">
        <v>249</v>
      </c>
      <c r="I48" s="66"/>
      <c r="J48" s="67"/>
    </row>
    <row r="49" spans="1:18" x14ac:dyDescent="0.3">
      <c r="A49" s="116" t="s">
        <v>24</v>
      </c>
      <c r="B49" s="117"/>
      <c r="C49" s="117"/>
      <c r="D49" s="117"/>
      <c r="E49" s="117"/>
      <c r="F49" s="117"/>
      <c r="G49" s="117"/>
      <c r="H49" s="117"/>
      <c r="I49" s="117"/>
      <c r="J49" s="118"/>
    </row>
    <row r="50" spans="1:18" x14ac:dyDescent="0.3">
      <c r="A50" s="65" t="s">
        <v>93</v>
      </c>
      <c r="B50" s="66"/>
      <c r="C50" s="67"/>
      <c r="D50" s="65">
        <f>F41</f>
        <v>18149.07</v>
      </c>
      <c r="E50" s="67"/>
      <c r="F50" s="97" t="s">
        <v>118</v>
      </c>
      <c r="G50" s="97"/>
      <c r="H50" s="97"/>
      <c r="I50" s="97">
        <v>352</v>
      </c>
      <c r="J50" s="97"/>
      <c r="L50" s="26">
        <f>2+15*4+3*3</f>
        <v>71</v>
      </c>
      <c r="M50" s="26">
        <f>2+15*4+2*3</f>
        <v>68</v>
      </c>
      <c r="N50" s="26">
        <f>L50*4+M50</f>
        <v>352</v>
      </c>
    </row>
    <row r="51" spans="1:18" x14ac:dyDescent="0.3">
      <c r="A51" s="63" t="s">
        <v>64</v>
      </c>
      <c r="B51" s="64"/>
      <c r="C51" s="65" t="s">
        <v>220</v>
      </c>
      <c r="D51" s="66"/>
      <c r="E51" s="66"/>
      <c r="F51" s="66"/>
      <c r="G51" s="66"/>
      <c r="H51" s="66"/>
      <c r="I51" s="66"/>
      <c r="J51" s="67"/>
    </row>
    <row r="52" spans="1:18" ht="29" customHeight="1" x14ac:dyDescent="0.3">
      <c r="A52" s="65" t="s">
        <v>40</v>
      </c>
      <c r="B52" s="66"/>
      <c r="C52" s="66"/>
      <c r="D52" s="67"/>
      <c r="E52" s="93" t="s">
        <v>252</v>
      </c>
      <c r="F52" s="93"/>
      <c r="G52" s="93"/>
      <c r="H52" s="93"/>
      <c r="I52" s="93"/>
      <c r="J52" s="94"/>
    </row>
    <row r="53" spans="1:18" ht="14.5" thickBot="1" x14ac:dyDescent="0.35">
      <c r="A53" s="57" t="s">
        <v>250</v>
      </c>
      <c r="B53" s="58"/>
      <c r="C53" s="58"/>
      <c r="D53" s="58"/>
      <c r="E53" s="58"/>
      <c r="F53" s="58"/>
      <c r="G53" s="58"/>
      <c r="H53" s="58"/>
      <c r="I53" s="58"/>
      <c r="J53" s="59"/>
    </row>
    <row r="54" spans="1:18" ht="15" customHeight="1" x14ac:dyDescent="0.35">
      <c r="A54" s="161" t="s">
        <v>222</v>
      </c>
      <c r="B54" s="162"/>
      <c r="C54" s="163" t="s">
        <v>230</v>
      </c>
      <c r="D54" s="163"/>
      <c r="E54" s="163"/>
      <c r="F54" s="163"/>
      <c r="G54" s="163"/>
      <c r="H54" s="163"/>
      <c r="I54" s="163"/>
      <c r="J54" s="164"/>
      <c r="K54" s="16"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completed","0")))))))))))&amp;(IF(C62=(D55+G55+I55),", RCC Slab",IF(C62&gt;0,", RCC upto "&amp;C62&amp;" Slab",""))&amp;(IF(C63=I55,", Brickwork",IF(C63&gt;0,", Brickwork upto "&amp;C63&amp;" Floor",""))&amp;(IF(C64=I55,", Internal Plaster",IF(C64&gt;0,", Internal Plaster upto "&amp;C64&amp;" Floor",""))&amp;(IF(C65=I55,", External Plaster",IF(C65&gt;0,", External Plaster upto "&amp;C65&amp;" Floor",""))&amp;(IF(C66=I55,", Flooring",IF(C66&gt;0,", Flooring upto "&amp;C66&amp;" Floor",""))&amp;(IF(C67=I55,", Painting",IF(C67&gt;0,", Painting upto "&amp;C67&amp;" Floor",""))&amp;(IF(C68&gt;0,", Finishing upto "&amp;C68&amp;" Floor","")&amp;(IF(C62&gt;0.5," Completed",""))))))))))))))</f>
        <v>All work completed. Please provide OC.</v>
      </c>
      <c r="L54" s="29"/>
      <c r="M54" s="29"/>
    </row>
    <row r="55" spans="1:18" ht="15.75" customHeight="1" x14ac:dyDescent="0.35">
      <c r="A55" s="23" t="s">
        <v>223</v>
      </c>
      <c r="B55" s="24">
        <v>0</v>
      </c>
      <c r="C55" s="21" t="s">
        <v>195</v>
      </c>
      <c r="D55" s="21">
        <v>1</v>
      </c>
      <c r="E55" s="127" t="s">
        <v>196</v>
      </c>
      <c r="F55" s="127"/>
      <c r="G55" s="21">
        <v>0</v>
      </c>
      <c r="H55" s="24" t="s">
        <v>197</v>
      </c>
      <c r="I55" s="127">
        <f ca="1">--TRIM(RIGHT(SUBSTITUTE(LEFT(C54,_xlfn.AGGREGATE(16,6,FIND({0,1,2,3,4,5,6,7,8,9},C54,ROW(INDIRECT("1:"&amp;LEN(C54)))),1))," ",REPT(" ",LEN(C54))),LEN(C54)))</f>
        <v>19</v>
      </c>
      <c r="J55" s="145"/>
      <c r="K55" s="17"/>
      <c r="L55" s="30"/>
      <c r="M55" s="30"/>
    </row>
    <row r="56" spans="1:18" ht="15.5" x14ac:dyDescent="0.35">
      <c r="A56" s="155" t="s">
        <v>198</v>
      </c>
      <c r="B56" s="168"/>
      <c r="C56" s="157" t="str">
        <f>K56</f>
        <v>All work Completed. OC Received.</v>
      </c>
      <c r="D56" s="157"/>
      <c r="E56" s="157"/>
      <c r="F56" s="157"/>
      <c r="G56" s="157"/>
      <c r="H56" s="157"/>
      <c r="I56" s="157"/>
      <c r="J56" s="158"/>
      <c r="K56" s="17" t="s">
        <v>203</v>
      </c>
      <c r="L56" s="30"/>
      <c r="M56" s="30"/>
    </row>
    <row r="57" spans="1:18" s="32" customFormat="1" ht="15.5" x14ac:dyDescent="0.35">
      <c r="A57" s="171" t="s">
        <v>201</v>
      </c>
      <c r="B57" s="172"/>
      <c r="C57" s="175">
        <v>1</v>
      </c>
      <c r="D57" s="176"/>
      <c r="E57" s="177"/>
      <c r="F57" s="181" t="s">
        <v>202</v>
      </c>
      <c r="G57" s="177"/>
      <c r="H57" s="175">
        <v>1</v>
      </c>
      <c r="I57" s="176"/>
      <c r="J57" s="182"/>
      <c r="K57" s="20"/>
      <c r="L57" s="31"/>
      <c r="M57" s="31"/>
      <c r="Q57" s="33"/>
      <c r="R57" s="33"/>
    </row>
    <row r="58" spans="1:18" s="32" customFormat="1" ht="16" thickBot="1" x14ac:dyDescent="0.4">
      <c r="A58" s="173"/>
      <c r="B58" s="174"/>
      <c r="C58" s="178"/>
      <c r="D58" s="179"/>
      <c r="E58" s="180"/>
      <c r="F58" s="178"/>
      <c r="G58" s="180"/>
      <c r="H58" s="178"/>
      <c r="I58" s="179"/>
      <c r="J58" s="183"/>
      <c r="K58" s="20"/>
      <c r="L58" s="31"/>
      <c r="M58" s="31"/>
      <c r="Q58" s="33"/>
      <c r="R58" s="33"/>
    </row>
    <row r="59" spans="1:18" ht="15.75" hidden="1" customHeight="1" x14ac:dyDescent="0.35">
      <c r="A59" s="169" t="s">
        <v>27</v>
      </c>
      <c r="B59" s="170"/>
      <c r="C59" s="21" t="s">
        <v>199</v>
      </c>
      <c r="D59" s="127" t="s">
        <v>200</v>
      </c>
      <c r="E59" s="127"/>
      <c r="F59" s="127" t="s">
        <v>201</v>
      </c>
      <c r="G59" s="127"/>
      <c r="H59" s="127" t="s">
        <v>202</v>
      </c>
      <c r="I59" s="127"/>
      <c r="J59" s="145"/>
      <c r="K59" s="18" t="s">
        <v>224</v>
      </c>
      <c r="L59" s="34">
        <f ca="1">I55*25%</f>
        <v>4.75</v>
      </c>
      <c r="M59" s="34"/>
    </row>
    <row r="60" spans="1:18" ht="15.75" hidden="1" customHeight="1" x14ac:dyDescent="0.35">
      <c r="A60" s="126" t="s">
        <v>204</v>
      </c>
      <c r="B60" s="150"/>
      <c r="C60" s="35">
        <f ca="1">L61</f>
        <v>19</v>
      </c>
      <c r="D60" s="146">
        <f ca="1">((100/I55)*C60)/100</f>
        <v>1</v>
      </c>
      <c r="E60" s="146"/>
      <c r="F60" s="146">
        <f ca="1">(((C61/I55*10)+(40/(D55+G55+I55)*C62)+(7.5/(I55)*C63)+(7.5/(I55)*C64)+(10/I55*C65)+(10/I55*C66)+(5/I55*C67)+(5/I55*C68)+(5/I55*C69))/100)</f>
        <v>1</v>
      </c>
      <c r="G60" s="146"/>
      <c r="H60" s="146">
        <f ca="1">((((C60/I55)*20)+((C61/I55)*25)+(30/(I55+G55+D55)*C62)+(5/I55*C63)+(5/I55*C64)+(5/I55*C65)+(5/I55*C66)+(0/I55*C67)+(0/I55*C68)+(5/I55*C69))/100)</f>
        <v>1</v>
      </c>
      <c r="I60" s="146"/>
      <c r="J60" s="147"/>
      <c r="K60" s="18" t="s">
        <v>205</v>
      </c>
      <c r="L60" s="36">
        <f ca="1">I55*50%</f>
        <v>9.5</v>
      </c>
      <c r="M60" s="34"/>
    </row>
    <row r="61" spans="1:18" ht="15.75" hidden="1" customHeight="1" x14ac:dyDescent="0.35">
      <c r="A61" s="126" t="s">
        <v>28</v>
      </c>
      <c r="B61" s="150"/>
      <c r="C61" s="37">
        <f ca="1">L69</f>
        <v>19</v>
      </c>
      <c r="D61" s="146">
        <f ca="1">((100/I55)*C61)/100</f>
        <v>1</v>
      </c>
      <c r="E61" s="146"/>
      <c r="F61" s="146"/>
      <c r="G61" s="146"/>
      <c r="H61" s="146"/>
      <c r="I61" s="146"/>
      <c r="J61" s="147"/>
      <c r="K61" s="18" t="s">
        <v>208</v>
      </c>
      <c r="L61" s="36">
        <f ca="1">I55</f>
        <v>19</v>
      </c>
      <c r="M61" s="34"/>
    </row>
    <row r="62" spans="1:18" ht="15.5" hidden="1" x14ac:dyDescent="0.35">
      <c r="A62" s="126" t="s">
        <v>225</v>
      </c>
      <c r="B62" s="150"/>
      <c r="C62" s="37">
        <f ca="1">D55+I55</f>
        <v>20</v>
      </c>
      <c r="D62" s="146">
        <f ca="1">((100/(D55+G55+I55))*C62)/100</f>
        <v>1</v>
      </c>
      <c r="E62" s="146"/>
      <c r="F62" s="146"/>
      <c r="G62" s="146"/>
      <c r="H62" s="146"/>
      <c r="I62" s="146"/>
      <c r="J62" s="147"/>
      <c r="K62" s="18" t="s">
        <v>212</v>
      </c>
      <c r="L62" s="38">
        <f ca="1">(IF(B55&gt;1,(I55/(B55+2)),I55/4))</f>
        <v>4.75</v>
      </c>
      <c r="M62" s="36">
        <f ca="1">I55*50%</f>
        <v>9.5</v>
      </c>
    </row>
    <row r="63" spans="1:18" ht="15.75" hidden="1" customHeight="1" x14ac:dyDescent="0.35">
      <c r="A63" s="126" t="s">
        <v>206</v>
      </c>
      <c r="B63" s="150" t="s">
        <v>207</v>
      </c>
      <c r="C63" s="37">
        <v>19</v>
      </c>
      <c r="D63" s="146">
        <f ca="1">((100/I55)*C63)/100</f>
        <v>1</v>
      </c>
      <c r="E63" s="146"/>
      <c r="F63" s="146"/>
      <c r="G63" s="146"/>
      <c r="H63" s="146"/>
      <c r="I63" s="146"/>
      <c r="J63" s="147"/>
      <c r="K63" s="18" t="s">
        <v>214</v>
      </c>
      <c r="L63" s="38">
        <f ca="1">(IF(B55&gt;1,(I55/(B55+2)+L62),I55/4+L62))</f>
        <v>9.5</v>
      </c>
      <c r="M63" s="36">
        <f ca="1">I55</f>
        <v>19</v>
      </c>
    </row>
    <row r="64" spans="1:18" ht="15" hidden="1" customHeight="1" x14ac:dyDescent="0.35">
      <c r="A64" s="126" t="s">
        <v>209</v>
      </c>
      <c r="B64" s="150" t="s">
        <v>207</v>
      </c>
      <c r="C64" s="37">
        <v>19</v>
      </c>
      <c r="D64" s="146">
        <f ca="1">((100/I55)*C64)/100</f>
        <v>1</v>
      </c>
      <c r="E64" s="146"/>
      <c r="F64" s="146"/>
      <c r="G64" s="146"/>
      <c r="H64" s="146"/>
      <c r="I64" s="146"/>
      <c r="J64" s="147"/>
      <c r="K64" s="18" t="s">
        <v>226</v>
      </c>
      <c r="L64" s="38">
        <f>(IF(B55&gt;1,(I55/(B55+2)+L63),0))</f>
        <v>0</v>
      </c>
      <c r="M64" s="36"/>
    </row>
    <row r="65" spans="1:13" ht="15.75" hidden="1" customHeight="1" x14ac:dyDescent="0.35">
      <c r="A65" s="126" t="s">
        <v>210</v>
      </c>
      <c r="B65" s="150" t="s">
        <v>211</v>
      </c>
      <c r="C65" s="37">
        <v>19</v>
      </c>
      <c r="D65" s="146">
        <f ca="1">((100/(I55))*C65)/100</f>
        <v>1</v>
      </c>
      <c r="E65" s="146"/>
      <c r="F65" s="146"/>
      <c r="G65" s="146"/>
      <c r="H65" s="146"/>
      <c r="I65" s="146"/>
      <c r="J65" s="147"/>
      <c r="K65" s="18" t="s">
        <v>227</v>
      </c>
      <c r="L65" s="38">
        <f>(IF(B55&gt;2,(I55/(B55+2)+L64),0))</f>
        <v>0</v>
      </c>
      <c r="M65" s="36">
        <f ca="1">I55*25%</f>
        <v>4.75</v>
      </c>
    </row>
    <row r="66" spans="1:13" ht="15.75" hidden="1" customHeight="1" x14ac:dyDescent="0.35">
      <c r="A66" s="126" t="s">
        <v>213</v>
      </c>
      <c r="B66" s="150" t="s">
        <v>213</v>
      </c>
      <c r="C66" s="35">
        <v>19</v>
      </c>
      <c r="D66" s="146">
        <f ca="1">((100/I55)*C66)/100</f>
        <v>1</v>
      </c>
      <c r="E66" s="146"/>
      <c r="F66" s="146"/>
      <c r="G66" s="146"/>
      <c r="H66" s="146"/>
      <c r="I66" s="146"/>
      <c r="J66" s="147"/>
      <c r="K66" s="18" t="s">
        <v>228</v>
      </c>
      <c r="L66" s="39">
        <f>(IF(B55&gt;3,(I55/(B55+2)+L65),0))</f>
        <v>0</v>
      </c>
      <c r="M66" s="36">
        <f ca="1">I55*50%</f>
        <v>9.5</v>
      </c>
    </row>
    <row r="67" spans="1:13" ht="15.75" hidden="1" customHeight="1" x14ac:dyDescent="0.35">
      <c r="A67" s="126" t="s">
        <v>215</v>
      </c>
      <c r="B67" s="150"/>
      <c r="C67" s="35">
        <v>19</v>
      </c>
      <c r="D67" s="146">
        <f ca="1">((100/I55)*C67)/100</f>
        <v>1</v>
      </c>
      <c r="E67" s="146"/>
      <c r="F67" s="146"/>
      <c r="G67" s="146"/>
      <c r="H67" s="146"/>
      <c r="I67" s="146"/>
      <c r="J67" s="147"/>
      <c r="K67" s="18" t="s">
        <v>229</v>
      </c>
      <c r="L67" s="38">
        <f>(IF(B55&gt;4,(I55/(B55+2)+L66),0))</f>
        <v>0</v>
      </c>
      <c r="M67" s="36">
        <f ca="1">I55*75%</f>
        <v>14.25</v>
      </c>
    </row>
    <row r="68" spans="1:13" ht="15" hidden="1" customHeight="1" x14ac:dyDescent="0.35">
      <c r="A68" s="125" t="s">
        <v>217</v>
      </c>
      <c r="B68" s="152" t="s">
        <v>217</v>
      </c>
      <c r="C68" s="35">
        <v>19</v>
      </c>
      <c r="D68" s="146">
        <f ca="1">((100/(I55))*C68)/100</f>
        <v>1</v>
      </c>
      <c r="E68" s="146"/>
      <c r="F68" s="146"/>
      <c r="G68" s="146"/>
      <c r="H68" s="146"/>
      <c r="I68" s="146"/>
      <c r="J68" s="147"/>
      <c r="K68" s="18" t="s">
        <v>216</v>
      </c>
      <c r="L68" s="38">
        <f ca="1">(IF(B55=1,(I55/(B55+3)+L63),IF(B55=0,(I55/4+L63),IF(B55&gt;1,0))))</f>
        <v>14.25</v>
      </c>
      <c r="M68" s="36">
        <f ca="1">I55</f>
        <v>19</v>
      </c>
    </row>
    <row r="69" spans="1:13" ht="16.5" hidden="1" customHeight="1" thickBot="1" x14ac:dyDescent="0.4">
      <c r="A69" s="153" t="s">
        <v>219</v>
      </c>
      <c r="B69" s="154"/>
      <c r="C69" s="40">
        <v>19</v>
      </c>
      <c r="D69" s="148">
        <f ca="1">((100/(I55))*C69)/100</f>
        <v>1</v>
      </c>
      <c r="E69" s="148"/>
      <c r="F69" s="148"/>
      <c r="G69" s="148"/>
      <c r="H69" s="148"/>
      <c r="I69" s="148"/>
      <c r="J69" s="149"/>
      <c r="K69" s="19" t="s">
        <v>218</v>
      </c>
      <c r="L69" s="41">
        <f ca="1">(IF(B55&gt;1.5,(I55/(B55+2)+L63+MAX(0,L64-L63)+MAX(0,L65-L64)+MAX(0,L66-L65)+MAX(0,L67-L66)+MAX(0,L68-L67)),IF(B55=1,(I55/(B55+3)+L68),IF(B55=0,I55/4+L68))))</f>
        <v>19</v>
      </c>
      <c r="M69" s="42"/>
    </row>
    <row r="70" spans="1:13" ht="15" customHeight="1" x14ac:dyDescent="0.35">
      <c r="A70" s="159" t="s">
        <v>222</v>
      </c>
      <c r="B70" s="160"/>
      <c r="C70" s="163" t="s">
        <v>231</v>
      </c>
      <c r="D70" s="163"/>
      <c r="E70" s="163"/>
      <c r="F70" s="163"/>
      <c r="G70" s="163"/>
      <c r="H70" s="163"/>
      <c r="I70" s="163"/>
      <c r="J70" s="164"/>
      <c r="K70" s="16"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All work completed. Please provide OC.</v>
      </c>
      <c r="L70" s="29"/>
      <c r="M70" s="29"/>
    </row>
    <row r="71" spans="1:13" ht="15.5" x14ac:dyDescent="0.35">
      <c r="A71" s="23" t="s">
        <v>223</v>
      </c>
      <c r="B71" s="21">
        <v>0</v>
      </c>
      <c r="C71" s="21" t="s">
        <v>195</v>
      </c>
      <c r="D71" s="21">
        <v>1</v>
      </c>
      <c r="E71" s="127" t="s">
        <v>196</v>
      </c>
      <c r="F71" s="127"/>
      <c r="G71" s="21">
        <v>0</v>
      </c>
      <c r="H71" s="21" t="s">
        <v>197</v>
      </c>
      <c r="I71" s="127">
        <f ca="1">--TRIM(RIGHT(SUBSTITUTE(LEFT(C70,_xlfn.AGGREGATE(16,6,FIND({0,1,2,3,4,5,6,7,8,9},C70,ROW(INDIRECT("1:"&amp;LEN(C70)))),1))," ",REPT(" ",LEN(C70))),LEN(C70)))</f>
        <v>19</v>
      </c>
      <c r="J71" s="145"/>
      <c r="K71" s="17"/>
      <c r="L71" s="30"/>
      <c r="M71" s="30"/>
    </row>
    <row r="72" spans="1:13" ht="15.5" x14ac:dyDescent="0.35">
      <c r="A72" s="155" t="s">
        <v>198</v>
      </c>
      <c r="B72" s="156"/>
      <c r="C72" s="157" t="str">
        <f ca="1">K70</f>
        <v>All work completed. Please provide OC.</v>
      </c>
      <c r="D72" s="157"/>
      <c r="E72" s="157"/>
      <c r="F72" s="157"/>
      <c r="G72" s="157"/>
      <c r="H72" s="157"/>
      <c r="I72" s="157"/>
      <c r="J72" s="158"/>
      <c r="K72" s="17" t="s">
        <v>203</v>
      </c>
      <c r="L72" s="30"/>
      <c r="M72" s="30"/>
    </row>
    <row r="73" spans="1:13" ht="15.75" customHeight="1" x14ac:dyDescent="0.35">
      <c r="A73" s="125" t="s">
        <v>27</v>
      </c>
      <c r="B73" s="120"/>
      <c r="C73" s="22" t="s">
        <v>199</v>
      </c>
      <c r="D73" s="120" t="s">
        <v>200</v>
      </c>
      <c r="E73" s="120"/>
      <c r="F73" s="120" t="s">
        <v>201</v>
      </c>
      <c r="G73" s="120"/>
      <c r="H73" s="120" t="s">
        <v>202</v>
      </c>
      <c r="I73" s="120"/>
      <c r="J73" s="144"/>
      <c r="K73" s="18" t="s">
        <v>224</v>
      </c>
      <c r="L73" s="34">
        <f ca="1">I71*25%</f>
        <v>4.75</v>
      </c>
      <c r="M73" s="34"/>
    </row>
    <row r="74" spans="1:13" ht="15.75" customHeight="1" x14ac:dyDescent="0.35">
      <c r="A74" s="125" t="s">
        <v>204</v>
      </c>
      <c r="B74" s="120"/>
      <c r="C74" s="43">
        <f ca="1">L75</f>
        <v>19</v>
      </c>
      <c r="D74" s="121">
        <f ca="1">((100/I71)*C74)/100</f>
        <v>1</v>
      </c>
      <c r="E74" s="121"/>
      <c r="F74" s="121">
        <f ca="1">(((C75/I71*10)+(40/(D71+G71+I71)*C76)+(7.5/(I71)*C77)+(7.5/(I71)*C78)+(10/I71*C79)+(10/I71*C80)+(5/I71*C81)+(5/I71*C82)+(5/I71*C83))/100)</f>
        <v>1</v>
      </c>
      <c r="G74" s="121"/>
      <c r="H74" s="121">
        <f ca="1">((((C74/I71)*20)+((C75/I71)*25)+(30/(I71+G71+D71)*C76)+(5/I71*C77)+(5/I71*C78)+(5/I71*C79)+(5/I71*C80)+(0/I71*C81)+(0/I71*C82)+(5/I71*C83))/100)</f>
        <v>1</v>
      </c>
      <c r="I74" s="121"/>
      <c r="J74" s="123"/>
      <c r="K74" s="18" t="s">
        <v>205</v>
      </c>
      <c r="L74" s="36">
        <f ca="1">I71*50%</f>
        <v>9.5</v>
      </c>
      <c r="M74" s="34"/>
    </row>
    <row r="75" spans="1:13" ht="15.5" x14ac:dyDescent="0.35">
      <c r="A75" s="125" t="s">
        <v>28</v>
      </c>
      <c r="B75" s="120"/>
      <c r="C75" s="44">
        <f ca="1">L83</f>
        <v>19</v>
      </c>
      <c r="D75" s="121">
        <f ca="1">((100/I71)*C75)/100</f>
        <v>1</v>
      </c>
      <c r="E75" s="121"/>
      <c r="F75" s="121"/>
      <c r="G75" s="121"/>
      <c r="H75" s="121"/>
      <c r="I75" s="121"/>
      <c r="J75" s="123"/>
      <c r="K75" s="18" t="s">
        <v>208</v>
      </c>
      <c r="L75" s="36">
        <f ca="1">I71</f>
        <v>19</v>
      </c>
      <c r="M75" s="34"/>
    </row>
    <row r="76" spans="1:13" ht="15.5" x14ac:dyDescent="0.35">
      <c r="A76" s="126" t="s">
        <v>225</v>
      </c>
      <c r="B76" s="127"/>
      <c r="C76" s="44">
        <v>20</v>
      </c>
      <c r="D76" s="121">
        <f ca="1">((100/(D71+G71+I71))*C76)/100</f>
        <v>1</v>
      </c>
      <c r="E76" s="121"/>
      <c r="F76" s="121"/>
      <c r="G76" s="121"/>
      <c r="H76" s="121"/>
      <c r="I76" s="121"/>
      <c r="J76" s="123"/>
      <c r="K76" s="18" t="s">
        <v>212</v>
      </c>
      <c r="L76" s="38">
        <f ca="1">(IF(B71&gt;1,(I71/(B71+2)),I71/4))</f>
        <v>4.75</v>
      </c>
      <c r="M76" s="36">
        <f ca="1">I71*50%</f>
        <v>9.5</v>
      </c>
    </row>
    <row r="77" spans="1:13" ht="15.75" customHeight="1" x14ac:dyDescent="0.35">
      <c r="A77" s="125" t="s">
        <v>206</v>
      </c>
      <c r="B77" s="120" t="s">
        <v>207</v>
      </c>
      <c r="C77" s="44">
        <v>19</v>
      </c>
      <c r="D77" s="121">
        <f ca="1">((100/I71)*C77)/100</f>
        <v>1</v>
      </c>
      <c r="E77" s="121"/>
      <c r="F77" s="121"/>
      <c r="G77" s="121"/>
      <c r="H77" s="121"/>
      <c r="I77" s="121"/>
      <c r="J77" s="123"/>
      <c r="K77" s="18" t="s">
        <v>214</v>
      </c>
      <c r="L77" s="38">
        <f ca="1">(IF(B71&gt;1,(I71/(B71+2)+L76),I71/4+L76))</f>
        <v>9.5</v>
      </c>
      <c r="M77" s="36">
        <f ca="1">I71</f>
        <v>19</v>
      </c>
    </row>
    <row r="78" spans="1:13" ht="15" customHeight="1" x14ac:dyDescent="0.35">
      <c r="A78" s="125" t="s">
        <v>209</v>
      </c>
      <c r="B78" s="120" t="s">
        <v>207</v>
      </c>
      <c r="C78" s="44">
        <v>19</v>
      </c>
      <c r="D78" s="121">
        <f ca="1">((100/I71)*C78)/100</f>
        <v>1</v>
      </c>
      <c r="E78" s="121"/>
      <c r="F78" s="121"/>
      <c r="G78" s="121"/>
      <c r="H78" s="121"/>
      <c r="I78" s="121"/>
      <c r="J78" s="123"/>
      <c r="K78" s="18" t="s">
        <v>226</v>
      </c>
      <c r="L78" s="38">
        <f>(IF(B71&gt;1,(I71/(B71+2)+L77),0))</f>
        <v>0</v>
      </c>
      <c r="M78" s="36"/>
    </row>
    <row r="79" spans="1:13" ht="15.5" x14ac:dyDescent="0.35">
      <c r="A79" s="125" t="s">
        <v>210</v>
      </c>
      <c r="B79" s="120" t="s">
        <v>211</v>
      </c>
      <c r="C79" s="44">
        <v>19</v>
      </c>
      <c r="D79" s="121">
        <f ca="1">((100/(I71))*C79)/100</f>
        <v>1</v>
      </c>
      <c r="E79" s="121"/>
      <c r="F79" s="121"/>
      <c r="G79" s="121"/>
      <c r="H79" s="121"/>
      <c r="I79" s="121"/>
      <c r="J79" s="123"/>
      <c r="K79" s="18" t="s">
        <v>227</v>
      </c>
      <c r="L79" s="38">
        <f>(IF(B71&gt;2,(I71/(B71+2)+L78),0))</f>
        <v>0</v>
      </c>
      <c r="M79" s="36">
        <f ca="1">I71*25%</f>
        <v>4.75</v>
      </c>
    </row>
    <row r="80" spans="1:13" ht="15.75" customHeight="1" x14ac:dyDescent="0.35">
      <c r="A80" s="125" t="s">
        <v>213</v>
      </c>
      <c r="B80" s="120" t="s">
        <v>213</v>
      </c>
      <c r="C80" s="43">
        <v>19</v>
      </c>
      <c r="D80" s="121">
        <f ca="1">((100/I71)*C80)/100</f>
        <v>1</v>
      </c>
      <c r="E80" s="121"/>
      <c r="F80" s="121"/>
      <c r="G80" s="121"/>
      <c r="H80" s="121"/>
      <c r="I80" s="121"/>
      <c r="J80" s="123"/>
      <c r="K80" s="18" t="s">
        <v>228</v>
      </c>
      <c r="L80" s="39">
        <f>(IF(B71&gt;3,(I71/(B71+2)+L79),0))</f>
        <v>0</v>
      </c>
      <c r="M80" s="36">
        <f ca="1">I71*50%</f>
        <v>9.5</v>
      </c>
    </row>
    <row r="81" spans="1:21" ht="15.75" customHeight="1" x14ac:dyDescent="0.35">
      <c r="A81" s="125" t="s">
        <v>215</v>
      </c>
      <c r="B81" s="120"/>
      <c r="C81" s="43">
        <v>19</v>
      </c>
      <c r="D81" s="121">
        <f ca="1">((100/I71)*C81)/100</f>
        <v>1</v>
      </c>
      <c r="E81" s="121"/>
      <c r="F81" s="121"/>
      <c r="G81" s="121"/>
      <c r="H81" s="121"/>
      <c r="I81" s="121"/>
      <c r="J81" s="123"/>
      <c r="K81" s="18" t="s">
        <v>229</v>
      </c>
      <c r="L81" s="38">
        <f>(IF(B71&gt;4,(I71/(B71+2)+L80),0))</f>
        <v>0</v>
      </c>
      <c r="M81" s="36">
        <f ca="1">I71*75%</f>
        <v>14.25</v>
      </c>
    </row>
    <row r="82" spans="1:21" ht="15" customHeight="1" x14ac:dyDescent="0.35">
      <c r="A82" s="125" t="s">
        <v>217</v>
      </c>
      <c r="B82" s="120" t="s">
        <v>217</v>
      </c>
      <c r="C82" s="43">
        <v>19</v>
      </c>
      <c r="D82" s="121">
        <f ca="1">((100/(I71))*C82)/100</f>
        <v>1</v>
      </c>
      <c r="E82" s="121"/>
      <c r="F82" s="121"/>
      <c r="G82" s="121"/>
      <c r="H82" s="121"/>
      <c r="I82" s="121"/>
      <c r="J82" s="123"/>
      <c r="K82" s="18" t="s">
        <v>216</v>
      </c>
      <c r="L82" s="38">
        <f ca="1">(IF(B71=1,(I71/(B71+3)+L77),IF(B71=0,(I71/4+L77),IF(B71&gt;1,0))))</f>
        <v>14.25</v>
      </c>
      <c r="M82" s="36">
        <f ca="1">I71</f>
        <v>19</v>
      </c>
    </row>
    <row r="83" spans="1:21" ht="16.5" customHeight="1" thickBot="1" x14ac:dyDescent="0.4">
      <c r="A83" s="166" t="s">
        <v>219</v>
      </c>
      <c r="B83" s="167"/>
      <c r="C83" s="45">
        <v>19</v>
      </c>
      <c r="D83" s="122">
        <f ca="1">((100/(I71))*C83)/100</f>
        <v>1</v>
      </c>
      <c r="E83" s="122"/>
      <c r="F83" s="122"/>
      <c r="G83" s="122"/>
      <c r="H83" s="122"/>
      <c r="I83" s="122"/>
      <c r="J83" s="124"/>
      <c r="K83" s="19" t="s">
        <v>218</v>
      </c>
      <c r="L83" s="41">
        <f ca="1">(IF(B71&gt;1.5,(I71/(B71+2)+L77+MAX(0,L78-L77)+MAX(0,L79-L78)+MAX(0,L80-L79)+MAX(0,L81-L80)+MAX(0,L82-L81)),IF(B71=1,(I71/(B71+3)+L82),IF(B71=0,I71/4+L82))))</f>
        <v>19</v>
      </c>
      <c r="M83" s="42"/>
    </row>
    <row r="84" spans="1:21" x14ac:dyDescent="0.3">
      <c r="A84" s="119" t="s">
        <v>251</v>
      </c>
      <c r="B84" s="119"/>
      <c r="C84" s="119"/>
      <c r="D84" s="119"/>
      <c r="E84" s="119"/>
      <c r="F84" s="119"/>
      <c r="G84" s="119"/>
      <c r="H84" s="119"/>
      <c r="I84" s="119"/>
      <c r="J84" s="119"/>
    </row>
    <row r="85" spans="1:21" x14ac:dyDescent="0.3">
      <c r="A85" s="95" t="s">
        <v>41</v>
      </c>
      <c r="B85" s="95"/>
      <c r="C85" s="95"/>
      <c r="D85" s="95"/>
      <c r="E85" s="95"/>
      <c r="F85" s="95"/>
      <c r="G85" s="95"/>
      <c r="H85" s="95"/>
      <c r="I85" s="95"/>
      <c r="J85" s="95"/>
    </row>
    <row r="86" spans="1:21" ht="15" hidden="1" customHeight="1" x14ac:dyDescent="0.3">
      <c r="A86" s="165" t="s">
        <v>193</v>
      </c>
      <c r="B86" s="165"/>
      <c r="C86" s="165"/>
      <c r="D86" s="165"/>
      <c r="E86" s="165"/>
      <c r="F86" s="165"/>
      <c r="G86" s="165"/>
      <c r="H86" s="165"/>
      <c r="I86" s="165"/>
      <c r="J86" s="165"/>
    </row>
    <row r="87" spans="1:21" x14ac:dyDescent="0.3">
      <c r="A87" s="186" t="s">
        <v>25</v>
      </c>
      <c r="B87" s="186"/>
      <c r="C87" s="186"/>
      <c r="D87" s="186"/>
      <c r="E87" s="186"/>
      <c r="F87" s="186"/>
      <c r="G87" s="186"/>
      <c r="H87" s="186"/>
      <c r="I87" s="186"/>
      <c r="J87" s="186"/>
    </row>
    <row r="88" spans="1:21" x14ac:dyDescent="0.3">
      <c r="A88" s="95" t="s">
        <v>246</v>
      </c>
      <c r="B88" s="95"/>
      <c r="C88" s="95"/>
      <c r="D88" s="95"/>
      <c r="E88" s="95"/>
      <c r="F88" s="95"/>
      <c r="G88" s="186">
        <v>6700</v>
      </c>
      <c r="H88" s="186"/>
      <c r="I88" s="186"/>
      <c r="J88" s="186"/>
      <c r="R88" s="50" t="s">
        <v>235</v>
      </c>
      <c r="S88" s="51" t="s">
        <v>237</v>
      </c>
      <c r="T88" s="51" t="s">
        <v>238</v>
      </c>
      <c r="U88" s="52">
        <v>44865</v>
      </c>
    </row>
    <row r="89" spans="1:21" x14ac:dyDescent="0.3">
      <c r="A89" s="95" t="s">
        <v>194</v>
      </c>
      <c r="B89" s="95"/>
      <c r="C89" s="95"/>
      <c r="D89" s="95"/>
      <c r="E89" s="95"/>
      <c r="F89" s="95"/>
      <c r="G89" s="134" t="s">
        <v>234</v>
      </c>
      <c r="H89" s="134"/>
      <c r="I89" s="134"/>
      <c r="J89" s="134"/>
      <c r="R89" s="50" t="s">
        <v>236</v>
      </c>
    </row>
    <row r="90" spans="1:21" x14ac:dyDescent="0.3">
      <c r="A90" s="95" t="s">
        <v>67</v>
      </c>
      <c r="B90" s="95"/>
      <c r="C90" s="95"/>
      <c r="D90" s="95"/>
      <c r="E90" s="95"/>
      <c r="F90" s="95"/>
      <c r="G90" s="134" t="s">
        <v>192</v>
      </c>
      <c r="H90" s="134"/>
      <c r="I90" s="134"/>
      <c r="J90" s="134"/>
    </row>
    <row r="91" spans="1:21" hidden="1" x14ac:dyDescent="0.3">
      <c r="A91" s="187" t="s">
        <v>137</v>
      </c>
      <c r="B91" s="187"/>
      <c r="C91" s="187"/>
      <c r="D91" s="187"/>
      <c r="E91" s="187"/>
      <c r="F91" s="187"/>
      <c r="G91" s="188" t="s">
        <v>138</v>
      </c>
      <c r="H91" s="188"/>
      <c r="I91" s="188"/>
      <c r="J91" s="188"/>
    </row>
    <row r="92" spans="1:21" x14ac:dyDescent="0.3">
      <c r="A92" s="95" t="s">
        <v>139</v>
      </c>
      <c r="B92" s="95"/>
      <c r="C92" s="95"/>
      <c r="D92" s="95"/>
      <c r="E92" s="95"/>
      <c r="F92" s="95"/>
      <c r="G92" s="134" t="s">
        <v>189</v>
      </c>
      <c r="H92" s="134"/>
      <c r="I92" s="134"/>
      <c r="J92" s="134"/>
    </row>
    <row r="93" spans="1:21" hidden="1" x14ac:dyDescent="0.3">
      <c r="A93" s="187" t="s">
        <v>140</v>
      </c>
      <c r="B93" s="187"/>
      <c r="C93" s="187"/>
      <c r="D93" s="187"/>
      <c r="E93" s="187"/>
      <c r="F93" s="187"/>
      <c r="G93" s="188" t="s">
        <v>142</v>
      </c>
      <c r="H93" s="188"/>
      <c r="I93" s="188"/>
      <c r="J93" s="188"/>
    </row>
    <row r="94" spans="1:21" x14ac:dyDescent="0.3">
      <c r="A94" s="95" t="s">
        <v>141</v>
      </c>
      <c r="B94" s="95"/>
      <c r="C94" s="95"/>
      <c r="D94" s="95"/>
      <c r="E94" s="95"/>
      <c r="F94" s="95"/>
      <c r="G94" s="134" t="s">
        <v>190</v>
      </c>
      <c r="H94" s="134"/>
      <c r="I94" s="134"/>
      <c r="J94" s="134"/>
    </row>
    <row r="95" spans="1:21" x14ac:dyDescent="0.3">
      <c r="A95" s="95" t="s">
        <v>188</v>
      </c>
      <c r="B95" s="95"/>
      <c r="C95" s="95"/>
      <c r="D95" s="95"/>
      <c r="E95" s="95"/>
      <c r="F95" s="95"/>
      <c r="G95" s="134" t="s">
        <v>191</v>
      </c>
      <c r="H95" s="134"/>
      <c r="I95" s="134"/>
      <c r="J95" s="134"/>
    </row>
    <row r="96" spans="1:21" x14ac:dyDescent="0.3">
      <c r="A96" s="95" t="s">
        <v>89</v>
      </c>
      <c r="B96" s="95"/>
      <c r="C96" s="95"/>
      <c r="D96" s="95"/>
      <c r="E96" s="95"/>
      <c r="F96" s="95"/>
      <c r="G96" s="134" t="s">
        <v>233</v>
      </c>
      <c r="H96" s="134"/>
      <c r="I96" s="134"/>
      <c r="J96" s="134"/>
    </row>
    <row r="97" spans="1:25" s="46" customFormat="1" ht="14.5" customHeight="1" x14ac:dyDescent="0.3">
      <c r="A97" s="186" t="s">
        <v>65</v>
      </c>
      <c r="B97" s="186"/>
      <c r="C97" s="186"/>
      <c r="D97" s="186"/>
      <c r="E97" s="186"/>
      <c r="F97" s="186"/>
      <c r="G97" s="95">
        <f>G88*0.8</f>
        <v>5360</v>
      </c>
      <c r="H97" s="95"/>
      <c r="I97" s="95"/>
      <c r="J97" s="95"/>
      <c r="Q97" s="47"/>
      <c r="R97" s="47"/>
    </row>
    <row r="98" spans="1:25" ht="17.5" x14ac:dyDescent="0.3">
      <c r="A98" s="189" t="s">
        <v>147</v>
      </c>
      <c r="B98" s="189"/>
      <c r="C98" s="189"/>
      <c r="D98" s="189"/>
      <c r="E98" s="189"/>
      <c r="F98" s="189"/>
      <c r="G98" s="189"/>
      <c r="H98" s="189"/>
      <c r="I98" s="189"/>
      <c r="J98" s="189"/>
    </row>
    <row r="99" spans="1:25" x14ac:dyDescent="0.3">
      <c r="A99" s="190" t="s">
        <v>148</v>
      </c>
      <c r="B99" s="190"/>
      <c r="C99" s="190"/>
      <c r="D99" s="190"/>
      <c r="E99" s="190"/>
      <c r="F99" s="190"/>
      <c r="G99" s="190"/>
      <c r="H99" s="190"/>
      <c r="I99" s="190"/>
      <c r="J99" s="190"/>
    </row>
    <row r="100" spans="1:25" ht="39" x14ac:dyDescent="0.3">
      <c r="A100" s="191" t="s">
        <v>149</v>
      </c>
      <c r="B100" s="191"/>
      <c r="C100" s="13" t="s">
        <v>150</v>
      </c>
      <c r="D100" s="192" t="s">
        <v>151</v>
      </c>
      <c r="E100" s="192"/>
      <c r="F100" s="14" t="s">
        <v>152</v>
      </c>
      <c r="G100" s="13" t="s">
        <v>153</v>
      </c>
      <c r="H100" s="191" t="s">
        <v>154</v>
      </c>
      <c r="I100" s="191"/>
      <c r="J100" s="191"/>
    </row>
    <row r="101" spans="1:25" ht="15" x14ac:dyDescent="0.3">
      <c r="A101" s="87" t="s">
        <v>156</v>
      </c>
      <c r="B101" s="88"/>
      <c r="C101" s="88"/>
      <c r="D101" s="88"/>
      <c r="E101" s="88"/>
      <c r="F101" s="88"/>
      <c r="G101" s="88"/>
      <c r="H101" s="88"/>
      <c r="I101" s="88"/>
      <c r="J101" s="89"/>
    </row>
    <row r="102" spans="1:25" ht="15" x14ac:dyDescent="0.3">
      <c r="A102" s="87" t="s">
        <v>155</v>
      </c>
      <c r="B102" s="88"/>
      <c r="C102" s="88"/>
      <c r="D102" s="88"/>
      <c r="E102" s="88"/>
      <c r="F102" s="88"/>
      <c r="G102" s="88"/>
      <c r="H102" s="88"/>
      <c r="I102" s="88"/>
      <c r="J102" s="89"/>
    </row>
    <row r="103" spans="1:25" ht="15" x14ac:dyDescent="0.3">
      <c r="A103" s="87" t="s">
        <v>157</v>
      </c>
      <c r="B103" s="88"/>
      <c r="C103" s="88"/>
      <c r="D103" s="88"/>
      <c r="E103" s="88"/>
      <c r="F103" s="88"/>
      <c r="G103" s="88"/>
      <c r="H103" s="88"/>
      <c r="I103" s="88"/>
      <c r="J103" s="89"/>
    </row>
    <row r="104" spans="1:25" ht="15.75" customHeight="1" x14ac:dyDescent="0.3">
      <c r="A104" s="84">
        <v>103</v>
      </c>
      <c r="B104" s="85"/>
      <c r="C104" s="25" t="s">
        <v>158</v>
      </c>
      <c r="D104" s="84">
        <v>953</v>
      </c>
      <c r="E104" s="85"/>
      <c r="F104" s="25">
        <f>54</f>
        <v>54</v>
      </c>
      <c r="G104" s="25">
        <f>D104*1.55+F104</f>
        <v>1531.15</v>
      </c>
      <c r="H104" s="74" t="str">
        <f>A103</f>
        <v>1st Floor For Residential &amp; Amenities</v>
      </c>
      <c r="I104" s="75"/>
      <c r="J104" s="76"/>
      <c r="R104" s="27">
        <f>G114*6500+140000+300000+20000+400000+30*5*G114</f>
        <v>11130996.50213</v>
      </c>
    </row>
    <row r="105" spans="1:25" ht="15.5" x14ac:dyDescent="0.3">
      <c r="A105" s="84">
        <v>104</v>
      </c>
      <c r="B105" s="85"/>
      <c r="C105" s="25" t="s">
        <v>159</v>
      </c>
      <c r="D105" s="84">
        <v>681</v>
      </c>
      <c r="E105" s="85"/>
      <c r="F105" s="25">
        <f>88</f>
        <v>88</v>
      </c>
      <c r="G105" s="25">
        <f>D105*1.55+F105</f>
        <v>1143.55</v>
      </c>
      <c r="H105" s="80"/>
      <c r="I105" s="81"/>
      <c r="J105" s="82"/>
    </row>
    <row r="106" spans="1:25" ht="15" x14ac:dyDescent="0.3">
      <c r="A106" s="83" t="s">
        <v>165</v>
      </c>
      <c r="B106" s="83"/>
      <c r="C106" s="83"/>
      <c r="D106" s="83"/>
      <c r="E106" s="83"/>
      <c r="F106" s="83"/>
      <c r="G106" s="83"/>
      <c r="H106" s="83"/>
      <c r="I106" s="83"/>
      <c r="J106" s="83"/>
      <c r="L106" s="32" t="s">
        <v>166</v>
      </c>
      <c r="M106" s="32" t="s">
        <v>90</v>
      </c>
      <c r="N106" s="32" t="s">
        <v>91</v>
      </c>
      <c r="O106" s="32" t="s">
        <v>167</v>
      </c>
      <c r="P106" s="32"/>
      <c r="Q106" s="33" t="s">
        <v>168</v>
      </c>
      <c r="R106" s="27" t="s">
        <v>169</v>
      </c>
    </row>
    <row r="107" spans="1:25" ht="15.75" customHeight="1" x14ac:dyDescent="0.3">
      <c r="A107" s="80" t="s">
        <v>172</v>
      </c>
      <c r="B107" s="82"/>
      <c r="C107" s="15" t="s">
        <v>159</v>
      </c>
      <c r="D107" s="80">
        <f>(51.937+4.01+7.2)*10.764</f>
        <v>679.71430799999996</v>
      </c>
      <c r="E107" s="82"/>
      <c r="F107" s="15">
        <f>8.7*10.764</f>
        <v>93.646799999999985</v>
      </c>
      <c r="G107" s="25">
        <f>D107*1.55+F107</f>
        <v>1147.2039774</v>
      </c>
      <c r="H107" s="74" t="str">
        <f>A106</f>
        <v>2nd, 4th, 6th, 10th, 12th, 14th, 16th Floor</v>
      </c>
      <c r="I107" s="75"/>
      <c r="J107" s="76"/>
      <c r="L107" s="26">
        <v>51.936999999999998</v>
      </c>
      <c r="M107" s="26">
        <v>7.2</v>
      </c>
      <c r="N107" s="26">
        <v>4.0119999999999996</v>
      </c>
      <c r="O107" s="26">
        <v>8.6999999999999993</v>
      </c>
      <c r="P107" s="26">
        <v>10.763999999999999</v>
      </c>
      <c r="Q107" s="27">
        <f>(L107+M107+N107)*P107</f>
        <v>679.73583599999995</v>
      </c>
      <c r="R107" s="27">
        <f>O107*P107</f>
        <v>93.646799999999985</v>
      </c>
    </row>
    <row r="108" spans="1:25" ht="15.5" x14ac:dyDescent="0.3">
      <c r="A108" s="80" t="s">
        <v>173</v>
      </c>
      <c r="B108" s="82"/>
      <c r="C108" s="25" t="s">
        <v>158</v>
      </c>
      <c r="D108" s="84">
        <f>(72.839+6.19+6.862)*10.764</f>
        <v>924.53072399999985</v>
      </c>
      <c r="E108" s="85"/>
      <c r="F108" s="25">
        <f>10.65*10.764</f>
        <v>114.6366</v>
      </c>
      <c r="G108" s="25">
        <f t="shared" ref="G108:G119" si="0">D108*1.55+F108</f>
        <v>1547.6592221999999</v>
      </c>
      <c r="H108" s="77"/>
      <c r="I108" s="78"/>
      <c r="J108" s="79"/>
      <c r="L108" s="26">
        <v>72.838999999999999</v>
      </c>
      <c r="M108" s="26">
        <v>6.19</v>
      </c>
      <c r="N108" s="26">
        <v>6.8620000000000001</v>
      </c>
      <c r="O108" s="26">
        <v>10.65</v>
      </c>
      <c r="P108" s="26">
        <v>10.763999999999999</v>
      </c>
      <c r="Q108" s="27">
        <f>(L108+M108+N108)*P108</f>
        <v>924.53072399999985</v>
      </c>
      <c r="R108" s="27">
        <f>O108*P108</f>
        <v>114.6366</v>
      </c>
      <c r="S108" s="48">
        <f>10800000/G108</f>
        <v>6978.2803895600373</v>
      </c>
      <c r="T108" s="48">
        <f>11400000/G108</f>
        <v>7365.962633424484</v>
      </c>
      <c r="U108" s="48">
        <f>(6500*G108+G108*25*5+140000+250000+200000+300000+260000+200000)/G108</f>
        <v>7497.2850486950056</v>
      </c>
      <c r="V108" s="26">
        <f>140000+250000+200000+300000+260000+200000</f>
        <v>1350000</v>
      </c>
      <c r="W108" s="26">
        <f>G108*6500</f>
        <v>10059784.9443</v>
      </c>
      <c r="X108" s="26">
        <f>W108+V108</f>
        <v>11409784.9443</v>
      </c>
      <c r="Y108" s="48">
        <f>X108/G108</f>
        <v>7372.2850486950047</v>
      </c>
    </row>
    <row r="109" spans="1:25" ht="15.5" x14ac:dyDescent="0.3">
      <c r="A109" s="80" t="s">
        <v>174</v>
      </c>
      <c r="B109" s="82"/>
      <c r="C109" s="25" t="s">
        <v>158</v>
      </c>
      <c r="D109" s="84">
        <f>(72.839+6.19+6.862)*10.764</f>
        <v>924.53072399999985</v>
      </c>
      <c r="E109" s="85"/>
      <c r="F109" s="25">
        <f>10.65*10.764</f>
        <v>114.6366</v>
      </c>
      <c r="G109" s="25">
        <f t="shared" si="0"/>
        <v>1547.6592221999999</v>
      </c>
      <c r="H109" s="77"/>
      <c r="I109" s="78"/>
      <c r="J109" s="79"/>
      <c r="L109" s="26">
        <v>72.838999999999999</v>
      </c>
      <c r="M109" s="26">
        <v>6.19</v>
      </c>
      <c r="N109" s="26">
        <v>6.8620000000000001</v>
      </c>
      <c r="O109" s="26">
        <v>10.65</v>
      </c>
      <c r="P109" s="26">
        <v>10.763999999999999</v>
      </c>
      <c r="Q109" s="27">
        <f>(L109+M109+N109)*P109</f>
        <v>924.53072399999985</v>
      </c>
      <c r="R109" s="27">
        <f>O109*P109</f>
        <v>114.6366</v>
      </c>
    </row>
    <row r="110" spans="1:25" ht="15.5" x14ac:dyDescent="0.3">
      <c r="A110" s="80" t="s">
        <v>175</v>
      </c>
      <c r="B110" s="82"/>
      <c r="C110" s="25" t="s">
        <v>159</v>
      </c>
      <c r="D110" s="80">
        <f>(51.937+4.01+7.2)*10.764</f>
        <v>679.71430799999996</v>
      </c>
      <c r="E110" s="82"/>
      <c r="F110" s="15">
        <f>8.25*10.764</f>
        <v>88.802999999999997</v>
      </c>
      <c r="G110" s="25">
        <f t="shared" si="0"/>
        <v>1142.3601773999999</v>
      </c>
      <c r="H110" s="80"/>
      <c r="I110" s="81"/>
      <c r="J110" s="82"/>
      <c r="L110" s="26">
        <v>51.936999999999998</v>
      </c>
      <c r="M110" s="26">
        <v>7.2</v>
      </c>
      <c r="N110" s="26">
        <v>4.0119999999999996</v>
      </c>
      <c r="O110" s="26">
        <v>8.6999999999999993</v>
      </c>
      <c r="P110" s="26">
        <v>10.763999999999999</v>
      </c>
      <c r="Q110" s="27">
        <f>(L110+M110+N110)*P110</f>
        <v>679.73583599999995</v>
      </c>
      <c r="R110" s="27">
        <f>O110*P110</f>
        <v>93.646799999999985</v>
      </c>
    </row>
    <row r="111" spans="1:25" ht="15" x14ac:dyDescent="0.3">
      <c r="A111" s="83" t="s">
        <v>164</v>
      </c>
      <c r="B111" s="83"/>
      <c r="C111" s="83"/>
      <c r="D111" s="83"/>
      <c r="E111" s="83"/>
      <c r="F111" s="83"/>
      <c r="G111" s="83"/>
      <c r="H111" s="83"/>
      <c r="I111" s="83"/>
      <c r="J111" s="83"/>
      <c r="L111" s="32" t="s">
        <v>166</v>
      </c>
      <c r="M111" s="32" t="s">
        <v>90</v>
      </c>
      <c r="N111" s="32" t="s">
        <v>91</v>
      </c>
      <c r="O111" s="32" t="s">
        <v>167</v>
      </c>
      <c r="P111" s="32"/>
      <c r="Q111" s="33" t="s">
        <v>168</v>
      </c>
      <c r="R111" s="27" t="s">
        <v>169</v>
      </c>
    </row>
    <row r="112" spans="1:25" ht="15.75" customHeight="1" x14ac:dyDescent="0.3">
      <c r="A112" s="73" t="s">
        <v>176</v>
      </c>
      <c r="B112" s="73"/>
      <c r="C112" s="25" t="s">
        <v>159</v>
      </c>
      <c r="D112" s="73">
        <f>(51.937+4.237+7.2)*10.764</f>
        <v>682.157736</v>
      </c>
      <c r="E112" s="73"/>
      <c r="F112" s="25">
        <f>8.25*10.764</f>
        <v>88.802999999999997</v>
      </c>
      <c r="G112" s="25">
        <f t="shared" si="0"/>
        <v>1146.1474908</v>
      </c>
      <c r="H112" s="74" t="str">
        <f>A111</f>
        <v>3rd, 5th, 7th, 9th, 11th, 15th 17th &amp; 19th Floor</v>
      </c>
      <c r="I112" s="75"/>
      <c r="J112" s="76"/>
      <c r="L112" s="26">
        <v>51.936999999999998</v>
      </c>
      <c r="M112" s="26">
        <v>7.2</v>
      </c>
      <c r="N112" s="26">
        <v>4.2370000000000001</v>
      </c>
      <c r="O112" s="26">
        <v>8.25</v>
      </c>
      <c r="P112" s="26">
        <v>10.763999999999999</v>
      </c>
      <c r="Q112" s="27">
        <f>(L112+M112+N112)*P112</f>
        <v>682.157736</v>
      </c>
      <c r="R112" s="27">
        <f>O112*P112</f>
        <v>88.802999999999997</v>
      </c>
      <c r="S112" s="26">
        <f>(8100000-300000-140000-300000-200000-100000)/G112</f>
        <v>6159.7656991528966</v>
      </c>
    </row>
    <row r="113" spans="1:21" ht="15.5" x14ac:dyDescent="0.3">
      <c r="A113" s="80" t="s">
        <v>177</v>
      </c>
      <c r="B113" s="82"/>
      <c r="C113" s="25" t="s">
        <v>158</v>
      </c>
      <c r="D113" s="84">
        <f>(72.839+6.19+7.012)*10.764</f>
        <v>926.14532399999996</v>
      </c>
      <c r="E113" s="85"/>
      <c r="F113" s="25">
        <f>10.125*10.764</f>
        <v>108.98549999999999</v>
      </c>
      <c r="G113" s="25">
        <f t="shared" si="0"/>
        <v>1544.5107522000001</v>
      </c>
      <c r="H113" s="77"/>
      <c r="I113" s="78"/>
      <c r="J113" s="79"/>
      <c r="L113" s="26">
        <v>72.838999999999999</v>
      </c>
      <c r="M113" s="26">
        <v>6.19</v>
      </c>
      <c r="N113" s="26">
        <v>7.0119999999999996</v>
      </c>
      <c r="O113" s="26">
        <v>10.125</v>
      </c>
      <c r="P113" s="26">
        <v>10.763999999999999</v>
      </c>
      <c r="Q113" s="27">
        <f>(L113+M113+N113)*P113</f>
        <v>926.14532399999996</v>
      </c>
      <c r="R113" s="27">
        <f>O113*P113</f>
        <v>108.98549999999999</v>
      </c>
      <c r="S113" s="26">
        <f>10400000/G113</f>
        <v>6733.5238587275917</v>
      </c>
      <c r="U113" s="48"/>
    </row>
    <row r="114" spans="1:21" ht="15.5" x14ac:dyDescent="0.3">
      <c r="A114" s="80" t="s">
        <v>178</v>
      </c>
      <c r="B114" s="82"/>
      <c r="C114" s="25" t="s">
        <v>158</v>
      </c>
      <c r="D114" s="84">
        <f>(72.839+6.19+7.012)*10.764</f>
        <v>926.14532399999996</v>
      </c>
      <c r="E114" s="85"/>
      <c r="F114" s="25">
        <f>10.125*10.764</f>
        <v>108.98549999999999</v>
      </c>
      <c r="G114" s="25">
        <f t="shared" si="0"/>
        <v>1544.5107522000001</v>
      </c>
      <c r="H114" s="77"/>
      <c r="I114" s="78"/>
      <c r="J114" s="79"/>
      <c r="L114" s="26">
        <v>72.838999999999999</v>
      </c>
      <c r="M114" s="26">
        <v>6.19</v>
      </c>
      <c r="N114" s="26">
        <v>7.0119999999999996</v>
      </c>
      <c r="O114" s="26">
        <v>10.125</v>
      </c>
      <c r="P114" s="26">
        <v>10.763999999999999</v>
      </c>
      <c r="Q114" s="27">
        <f>(L114+M114+N114)*P114</f>
        <v>926.14532399999996</v>
      </c>
      <c r="R114" s="27">
        <f>O114*P114</f>
        <v>108.98549999999999</v>
      </c>
    </row>
    <row r="115" spans="1:21" ht="15.5" x14ac:dyDescent="0.3">
      <c r="A115" s="80" t="s">
        <v>179</v>
      </c>
      <c r="B115" s="82"/>
      <c r="C115" s="25" t="s">
        <v>159</v>
      </c>
      <c r="D115" s="80">
        <f>(51.937+7.2+4.237)*10.764</f>
        <v>682.157736</v>
      </c>
      <c r="E115" s="82"/>
      <c r="F115" s="15">
        <f>8.7*10.764</f>
        <v>93.646799999999985</v>
      </c>
      <c r="G115" s="25">
        <f t="shared" si="0"/>
        <v>1150.9912908000001</v>
      </c>
      <c r="H115" s="80"/>
      <c r="I115" s="81"/>
      <c r="J115" s="82"/>
      <c r="L115" s="26">
        <v>51.936999999999998</v>
      </c>
      <c r="M115" s="26">
        <v>7.2</v>
      </c>
      <c r="N115" s="26">
        <v>4.2370000000000001</v>
      </c>
      <c r="O115" s="26">
        <v>8.25</v>
      </c>
      <c r="P115" s="26">
        <v>10.763999999999999</v>
      </c>
      <c r="Q115" s="27">
        <f>(L115+M115+N115)*P115</f>
        <v>682.157736</v>
      </c>
      <c r="R115" s="27">
        <f>O115*P115</f>
        <v>88.802999999999997</v>
      </c>
    </row>
    <row r="116" spans="1:21" ht="15" x14ac:dyDescent="0.3">
      <c r="A116" s="83" t="s">
        <v>171</v>
      </c>
      <c r="B116" s="83"/>
      <c r="C116" s="83"/>
      <c r="D116" s="83"/>
      <c r="E116" s="83"/>
      <c r="F116" s="83"/>
      <c r="G116" s="83"/>
      <c r="H116" s="83"/>
      <c r="I116" s="83"/>
      <c r="J116" s="83"/>
      <c r="L116" s="32" t="s">
        <v>166</v>
      </c>
      <c r="M116" s="32" t="s">
        <v>90</v>
      </c>
      <c r="N116" s="32" t="s">
        <v>91</v>
      </c>
      <c r="O116" s="32" t="s">
        <v>167</v>
      </c>
      <c r="P116" s="32"/>
      <c r="Q116" s="33" t="s">
        <v>168</v>
      </c>
      <c r="R116" s="27" t="s">
        <v>169</v>
      </c>
    </row>
    <row r="117" spans="1:21" ht="15.75" customHeight="1" x14ac:dyDescent="0.3">
      <c r="A117" s="73" t="s">
        <v>180</v>
      </c>
      <c r="B117" s="73"/>
      <c r="C117" s="25" t="s">
        <v>159</v>
      </c>
      <c r="D117" s="73">
        <f>(51.937+4.01+7.2)*10.764</f>
        <v>679.71430799999996</v>
      </c>
      <c r="E117" s="73"/>
      <c r="F117" s="25">
        <f>8.7*10.764</f>
        <v>93.646799999999985</v>
      </c>
      <c r="G117" s="25">
        <f t="shared" si="0"/>
        <v>1147.2039774</v>
      </c>
      <c r="H117" s="75" t="str">
        <f>A116</f>
        <v>8th &amp; 18th Floor  (Part Refuge Area)</v>
      </c>
      <c r="I117" s="75"/>
      <c r="J117" s="76"/>
      <c r="L117" s="26">
        <v>51.936999999999998</v>
      </c>
      <c r="M117" s="26">
        <v>7.2</v>
      </c>
      <c r="N117" s="26">
        <v>4.0119999999999996</v>
      </c>
      <c r="O117" s="26">
        <v>8.6999999999999993</v>
      </c>
      <c r="P117" s="26">
        <v>10.763999999999999</v>
      </c>
      <c r="Q117" s="27">
        <f>(L117+M117+N117)*P117</f>
        <v>679.73583599999995</v>
      </c>
      <c r="R117" s="27">
        <f>O117*P117</f>
        <v>93.646799999999985</v>
      </c>
    </row>
    <row r="118" spans="1:21" ht="15.5" x14ac:dyDescent="0.3">
      <c r="A118" s="73" t="s">
        <v>181</v>
      </c>
      <c r="B118" s="73"/>
      <c r="C118" s="25" t="s">
        <v>158</v>
      </c>
      <c r="D118" s="73">
        <f>(72.839+6.19+6.862)*10.764</f>
        <v>924.53072399999985</v>
      </c>
      <c r="E118" s="73"/>
      <c r="F118" s="25">
        <f>10.65*10.764</f>
        <v>114.6366</v>
      </c>
      <c r="G118" s="25">
        <f t="shared" si="0"/>
        <v>1547.6592221999999</v>
      </c>
      <c r="H118" s="78"/>
      <c r="I118" s="78"/>
      <c r="J118" s="79"/>
      <c r="L118" s="26">
        <v>72.838999999999999</v>
      </c>
      <c r="M118" s="26">
        <v>6.19</v>
      </c>
      <c r="N118" s="26">
        <v>6.8620000000000001</v>
      </c>
      <c r="O118" s="26">
        <v>10.65</v>
      </c>
      <c r="P118" s="26">
        <v>10.763999999999999</v>
      </c>
      <c r="Q118" s="27">
        <f>(L118+M118+N118)*P118</f>
        <v>924.53072399999985</v>
      </c>
      <c r="R118" s="27">
        <f>O118*P118</f>
        <v>114.6366</v>
      </c>
    </row>
    <row r="119" spans="1:21" ht="15.5" x14ac:dyDescent="0.3">
      <c r="A119" s="73" t="s">
        <v>182</v>
      </c>
      <c r="B119" s="73"/>
      <c r="C119" s="25" t="s">
        <v>158</v>
      </c>
      <c r="D119" s="73">
        <f>(72.839+6.19+6.862)*10.764</f>
        <v>924.53072399999985</v>
      </c>
      <c r="E119" s="73"/>
      <c r="F119" s="25">
        <f>10.65*10.764</f>
        <v>114.6366</v>
      </c>
      <c r="G119" s="25">
        <f t="shared" si="0"/>
        <v>1547.6592221999999</v>
      </c>
      <c r="H119" s="78"/>
      <c r="I119" s="78"/>
      <c r="J119" s="79"/>
      <c r="L119" s="26">
        <v>72.838999999999999</v>
      </c>
      <c r="M119" s="26">
        <v>6.19</v>
      </c>
      <c r="N119" s="26">
        <v>6.8620000000000001</v>
      </c>
      <c r="O119" s="26">
        <v>10.65</v>
      </c>
      <c r="P119" s="26">
        <v>10.763999999999999</v>
      </c>
      <c r="Q119" s="27">
        <f>(L119+M119+N119)*P119</f>
        <v>924.53072399999985</v>
      </c>
      <c r="R119" s="27">
        <f>O119*P119</f>
        <v>114.6366</v>
      </c>
    </row>
    <row r="120" spans="1:21" ht="15.5" x14ac:dyDescent="0.3">
      <c r="A120" s="73" t="s">
        <v>183</v>
      </c>
      <c r="B120" s="73"/>
      <c r="C120" s="73" t="s">
        <v>184</v>
      </c>
      <c r="D120" s="73"/>
      <c r="E120" s="73"/>
      <c r="F120" s="73"/>
      <c r="G120" s="73"/>
      <c r="H120" s="81"/>
      <c r="I120" s="81"/>
      <c r="J120" s="82"/>
      <c r="L120" s="26">
        <v>51.936999999999998</v>
      </c>
      <c r="M120" s="26">
        <v>7.2</v>
      </c>
      <c r="N120" s="26">
        <v>4.0119999999999996</v>
      </c>
      <c r="O120" s="26">
        <v>8.6999999999999993</v>
      </c>
      <c r="P120" s="26">
        <v>10.763999999999999</v>
      </c>
      <c r="Q120" s="27">
        <f>(L120+M120+N120)*P120</f>
        <v>679.73583599999995</v>
      </c>
      <c r="R120" s="27">
        <f>O120*P120</f>
        <v>93.646799999999985</v>
      </c>
    </row>
    <row r="121" spans="1:21" ht="15" x14ac:dyDescent="0.3">
      <c r="A121" s="83" t="s">
        <v>170</v>
      </c>
      <c r="B121" s="83"/>
      <c r="C121" s="83"/>
      <c r="D121" s="83"/>
      <c r="E121" s="83"/>
      <c r="F121" s="83"/>
      <c r="G121" s="83"/>
      <c r="H121" s="83"/>
      <c r="I121" s="83"/>
      <c r="J121" s="83"/>
      <c r="L121" s="32" t="s">
        <v>166</v>
      </c>
      <c r="M121" s="32" t="s">
        <v>90</v>
      </c>
      <c r="N121" s="32" t="s">
        <v>91</v>
      </c>
      <c r="O121" s="32" t="s">
        <v>167</v>
      </c>
      <c r="P121" s="32"/>
      <c r="Q121" s="33" t="s">
        <v>168</v>
      </c>
      <c r="R121" s="27" t="s">
        <v>169</v>
      </c>
    </row>
    <row r="122" spans="1:21" ht="15.75" customHeight="1" x14ac:dyDescent="0.3">
      <c r="A122" s="80">
        <v>1301</v>
      </c>
      <c r="B122" s="82"/>
      <c r="C122" s="15" t="s">
        <v>159</v>
      </c>
      <c r="D122" s="80">
        <f>(51.937+4.237+7.2)*10.764</f>
        <v>682.157736</v>
      </c>
      <c r="E122" s="82"/>
      <c r="F122" s="15">
        <f>8.25*10.764</f>
        <v>88.802999999999997</v>
      </c>
      <c r="G122" s="25">
        <f>D122*1.55+F122</f>
        <v>1146.1474908</v>
      </c>
      <c r="H122" s="75" t="str">
        <f>A121</f>
        <v>13th Floor (Part Refuge Area)</v>
      </c>
      <c r="I122" s="75"/>
      <c r="J122" s="76"/>
      <c r="L122" s="26">
        <v>51.936999999999998</v>
      </c>
      <c r="M122" s="26">
        <v>7.2</v>
      </c>
      <c r="N122" s="26">
        <v>4.2370000000000001</v>
      </c>
      <c r="O122" s="26">
        <v>8.25</v>
      </c>
      <c r="P122" s="26">
        <v>10.763999999999999</v>
      </c>
      <c r="Q122" s="27">
        <f>(L122+M122+N122)*P122</f>
        <v>682.157736</v>
      </c>
      <c r="R122" s="27">
        <f>O122*P122</f>
        <v>88.802999999999997</v>
      </c>
    </row>
    <row r="123" spans="1:21" ht="15.5" x14ac:dyDescent="0.3">
      <c r="A123" s="84">
        <v>1302</v>
      </c>
      <c r="B123" s="85"/>
      <c r="C123" s="25" t="s">
        <v>158</v>
      </c>
      <c r="D123" s="84">
        <f>(72.839+6.19+7.012)*10.764</f>
        <v>926.14532399999996</v>
      </c>
      <c r="E123" s="85"/>
      <c r="F123" s="25">
        <f>10.125*10.764</f>
        <v>108.98549999999999</v>
      </c>
      <c r="G123" s="25">
        <f>D123*1.55+F123</f>
        <v>1544.5107522000001</v>
      </c>
      <c r="H123" s="78"/>
      <c r="I123" s="78"/>
      <c r="J123" s="79"/>
      <c r="L123" s="26">
        <v>72.838999999999999</v>
      </c>
      <c r="M123" s="26">
        <v>6.19</v>
      </c>
      <c r="N123" s="26">
        <v>7.0119999999999996</v>
      </c>
      <c r="O123" s="26">
        <v>10.125</v>
      </c>
      <c r="P123" s="26">
        <v>10.763999999999999</v>
      </c>
      <c r="Q123" s="27">
        <f>(L123+M123+N123)*P123</f>
        <v>926.14532399999996</v>
      </c>
      <c r="R123" s="27">
        <f>O123*P123</f>
        <v>108.98549999999999</v>
      </c>
    </row>
    <row r="124" spans="1:21" ht="15.5" x14ac:dyDescent="0.3">
      <c r="A124" s="80">
        <v>1303</v>
      </c>
      <c r="B124" s="82"/>
      <c r="C124" s="25" t="s">
        <v>158</v>
      </c>
      <c r="D124" s="84">
        <f>(72.839+6.19+7.012)*10.764</f>
        <v>926.14532399999996</v>
      </c>
      <c r="E124" s="85"/>
      <c r="F124" s="25">
        <f>10.125*10.764</f>
        <v>108.98549999999999</v>
      </c>
      <c r="G124" s="25">
        <f>D124*1.55+F124</f>
        <v>1544.5107522000001</v>
      </c>
      <c r="H124" s="78"/>
      <c r="I124" s="78"/>
      <c r="J124" s="79"/>
      <c r="L124" s="26">
        <v>72.838999999999999</v>
      </c>
      <c r="M124" s="26">
        <v>6.19</v>
      </c>
      <c r="N124" s="26">
        <v>7.0119999999999996</v>
      </c>
      <c r="O124" s="26">
        <v>10.125</v>
      </c>
      <c r="P124" s="26">
        <v>10.763999999999999</v>
      </c>
      <c r="Q124" s="27">
        <f>(L124+M124+N124)*P124</f>
        <v>926.14532399999996</v>
      </c>
      <c r="R124" s="27">
        <f>O124*P124</f>
        <v>108.98549999999999</v>
      </c>
    </row>
    <row r="125" spans="1:21" ht="15.5" x14ac:dyDescent="0.3">
      <c r="A125" s="84">
        <v>1304</v>
      </c>
      <c r="B125" s="85"/>
      <c r="C125" s="84" t="s">
        <v>184</v>
      </c>
      <c r="D125" s="86"/>
      <c r="E125" s="86"/>
      <c r="F125" s="86"/>
      <c r="G125" s="85"/>
      <c r="H125" s="81"/>
      <c r="I125" s="81"/>
      <c r="J125" s="82"/>
      <c r="L125" s="26">
        <v>51.936999999999998</v>
      </c>
      <c r="M125" s="26">
        <v>7.2</v>
      </c>
      <c r="N125" s="26">
        <v>4.2370000000000001</v>
      </c>
      <c r="O125" s="26">
        <v>8.25</v>
      </c>
      <c r="P125" s="26">
        <v>10.763999999999999</v>
      </c>
      <c r="Q125" s="27">
        <f>(L125+M125+N125)*P125</f>
        <v>682.157736</v>
      </c>
      <c r="R125" s="27">
        <f>O125*P125</f>
        <v>88.802999999999997</v>
      </c>
    </row>
    <row r="126" spans="1:21" ht="15" x14ac:dyDescent="0.3">
      <c r="A126" s="87" t="s">
        <v>160</v>
      </c>
      <c r="B126" s="88"/>
      <c r="C126" s="88"/>
      <c r="D126" s="88"/>
      <c r="E126" s="88"/>
      <c r="F126" s="88"/>
      <c r="G126" s="88"/>
      <c r="H126" s="88"/>
      <c r="I126" s="88"/>
      <c r="J126" s="89"/>
    </row>
    <row r="127" spans="1:21" ht="15" x14ac:dyDescent="0.3">
      <c r="A127" s="87" t="s">
        <v>155</v>
      </c>
      <c r="B127" s="88"/>
      <c r="C127" s="88"/>
      <c r="D127" s="88"/>
      <c r="E127" s="88"/>
      <c r="F127" s="88"/>
      <c r="G127" s="88"/>
      <c r="H127" s="88"/>
      <c r="I127" s="88"/>
      <c r="J127" s="89"/>
    </row>
    <row r="128" spans="1:21" ht="15" x14ac:dyDescent="0.3">
      <c r="A128" s="87" t="s">
        <v>157</v>
      </c>
      <c r="B128" s="88"/>
      <c r="C128" s="88"/>
      <c r="D128" s="88"/>
      <c r="E128" s="88"/>
      <c r="F128" s="88"/>
      <c r="G128" s="88"/>
      <c r="H128" s="88"/>
      <c r="I128" s="88"/>
      <c r="J128" s="89"/>
      <c r="L128" s="32" t="s">
        <v>166</v>
      </c>
      <c r="M128" s="32" t="s">
        <v>90</v>
      </c>
      <c r="N128" s="32" t="s">
        <v>91</v>
      </c>
      <c r="O128" s="32" t="s">
        <v>167</v>
      </c>
      <c r="P128" s="32"/>
      <c r="Q128" s="33" t="s">
        <v>168</v>
      </c>
      <c r="R128" s="27" t="s">
        <v>169</v>
      </c>
    </row>
    <row r="129" spans="1:18" ht="15.75" customHeight="1" x14ac:dyDescent="0.3">
      <c r="A129" s="84">
        <v>103</v>
      </c>
      <c r="B129" s="85"/>
      <c r="C129" s="25" t="s">
        <v>159</v>
      </c>
      <c r="D129" s="84">
        <v>680.97369600000002</v>
      </c>
      <c r="E129" s="85"/>
      <c r="F129" s="25">
        <f>88</f>
        <v>88</v>
      </c>
      <c r="G129" s="25">
        <f>D129*1.55+F129</f>
        <v>1143.5092288000001</v>
      </c>
      <c r="H129" s="74" t="str">
        <f>A128</f>
        <v>1st Floor For Residential &amp; Amenities</v>
      </c>
      <c r="I129" s="75"/>
      <c r="J129" s="76"/>
      <c r="L129" s="26">
        <v>51.936999999999998</v>
      </c>
      <c r="M129" s="26">
        <v>7.09</v>
      </c>
      <c r="N129" s="26">
        <v>4.2370000000000001</v>
      </c>
      <c r="O129" s="26">
        <v>8.25</v>
      </c>
      <c r="P129" s="26">
        <v>10.763999999999999</v>
      </c>
      <c r="Q129" s="27">
        <f>(L129+M129+N129)*P129</f>
        <v>680.97369600000002</v>
      </c>
      <c r="R129" s="27">
        <f>O129*P129</f>
        <v>88.802999999999997</v>
      </c>
    </row>
    <row r="130" spans="1:18" ht="15.5" x14ac:dyDescent="0.3">
      <c r="A130" s="84">
        <v>104</v>
      </c>
      <c r="B130" s="85"/>
      <c r="C130" s="25" t="s">
        <v>159</v>
      </c>
      <c r="D130" s="84">
        <v>638.48818799999992</v>
      </c>
      <c r="E130" s="85"/>
      <c r="F130" s="25">
        <v>84</v>
      </c>
      <c r="G130" s="25">
        <f>D130*1.55+F130</f>
        <v>1073.6566914</v>
      </c>
      <c r="H130" s="80"/>
      <c r="I130" s="81"/>
      <c r="J130" s="82"/>
      <c r="L130" s="26">
        <v>48.341999999999999</v>
      </c>
      <c r="M130" s="26">
        <v>6.85</v>
      </c>
      <c r="N130" s="26">
        <v>4.125</v>
      </c>
      <c r="O130" s="26">
        <v>7.8</v>
      </c>
      <c r="P130" s="26">
        <v>10.763999999999999</v>
      </c>
      <c r="Q130" s="27">
        <f>(L130+M130+N130)*P130</f>
        <v>638.48818799999992</v>
      </c>
      <c r="R130" s="27">
        <f>O130*P130</f>
        <v>83.959199999999996</v>
      </c>
    </row>
    <row r="131" spans="1:18" ht="15" x14ac:dyDescent="0.3">
      <c r="A131" s="83" t="s">
        <v>165</v>
      </c>
      <c r="B131" s="83"/>
      <c r="C131" s="83"/>
      <c r="D131" s="83"/>
      <c r="E131" s="83"/>
      <c r="F131" s="83"/>
      <c r="G131" s="83"/>
      <c r="H131" s="83"/>
      <c r="I131" s="83"/>
      <c r="J131" s="83"/>
      <c r="L131" s="32" t="s">
        <v>166</v>
      </c>
      <c r="M131" s="32" t="s">
        <v>90</v>
      </c>
      <c r="N131" s="32" t="s">
        <v>91</v>
      </c>
      <c r="O131" s="32" t="s">
        <v>167</v>
      </c>
      <c r="P131" s="32"/>
      <c r="Q131" s="33" t="s">
        <v>168</v>
      </c>
      <c r="R131" s="27" t="s">
        <v>169</v>
      </c>
    </row>
    <row r="132" spans="1:18" ht="15.75" customHeight="1" x14ac:dyDescent="0.3">
      <c r="A132" s="73" t="s">
        <v>172</v>
      </c>
      <c r="B132" s="73"/>
      <c r="C132" s="25" t="s">
        <v>159</v>
      </c>
      <c r="D132" s="73">
        <v>636.033996</v>
      </c>
      <c r="E132" s="73"/>
      <c r="F132" s="25">
        <v>91.224899999999991</v>
      </c>
      <c r="G132" s="25">
        <f>D132*1.55+F132</f>
        <v>1077.0775937999999</v>
      </c>
      <c r="H132" s="74" t="str">
        <f>A131</f>
        <v>2nd, 4th, 6th, 10th, 12th, 14th, 16th Floor</v>
      </c>
      <c r="I132" s="75"/>
      <c r="J132" s="76"/>
      <c r="L132" s="26">
        <v>48.341999999999999</v>
      </c>
      <c r="M132" s="26">
        <v>6.96</v>
      </c>
      <c r="N132" s="26">
        <v>3.7869999999999999</v>
      </c>
      <c r="O132" s="26">
        <v>8.4749999999999996</v>
      </c>
      <c r="P132" s="26">
        <v>10.763999999999999</v>
      </c>
      <c r="Q132" s="27">
        <f>(L132+M132+N132)*P132</f>
        <v>636.033996</v>
      </c>
      <c r="R132" s="27">
        <f>O132*P132</f>
        <v>91.224899999999991</v>
      </c>
    </row>
    <row r="133" spans="1:18" ht="15.5" x14ac:dyDescent="0.3">
      <c r="A133" s="73" t="s">
        <v>173</v>
      </c>
      <c r="B133" s="73"/>
      <c r="C133" s="25" t="s">
        <v>159</v>
      </c>
      <c r="D133" s="73">
        <v>680.91987599999993</v>
      </c>
      <c r="E133" s="73"/>
      <c r="F133" s="25">
        <v>93.646799999999985</v>
      </c>
      <c r="G133" s="25">
        <f>D133*1.55+F133</f>
        <v>1149.0726078</v>
      </c>
      <c r="H133" s="77"/>
      <c r="I133" s="78"/>
      <c r="J133" s="79"/>
      <c r="L133" s="26">
        <v>51.936999999999998</v>
      </c>
      <c r="M133" s="26">
        <v>7.31</v>
      </c>
      <c r="N133" s="26">
        <v>4.0119999999999996</v>
      </c>
      <c r="O133" s="26">
        <v>8.6999999999999993</v>
      </c>
      <c r="P133" s="26">
        <v>10.763999999999999</v>
      </c>
      <c r="Q133" s="27">
        <f>(L133+M133+N133)*P133</f>
        <v>680.91987599999993</v>
      </c>
      <c r="R133" s="27">
        <f>O133*P133</f>
        <v>93.646799999999985</v>
      </c>
    </row>
    <row r="134" spans="1:18" ht="15.5" x14ac:dyDescent="0.3">
      <c r="A134" s="73" t="s">
        <v>174</v>
      </c>
      <c r="B134" s="73"/>
      <c r="C134" s="25" t="s">
        <v>159</v>
      </c>
      <c r="D134" s="73">
        <v>680.91987599999993</v>
      </c>
      <c r="E134" s="73"/>
      <c r="F134" s="25">
        <v>93.646799999999985</v>
      </c>
      <c r="G134" s="25">
        <f>D134*1.55+F134</f>
        <v>1149.0726078</v>
      </c>
      <c r="H134" s="77"/>
      <c r="I134" s="78"/>
      <c r="J134" s="79"/>
      <c r="L134" s="26">
        <v>51.936999999999998</v>
      </c>
      <c r="M134" s="26">
        <v>7.31</v>
      </c>
      <c r="N134" s="26">
        <v>4.0119999999999996</v>
      </c>
      <c r="O134" s="26">
        <v>8.6999999999999993</v>
      </c>
      <c r="P134" s="26">
        <v>10.763999999999999</v>
      </c>
      <c r="Q134" s="27">
        <f>(L134+M134+N134)*P134</f>
        <v>680.91987599999993</v>
      </c>
      <c r="R134" s="27">
        <f>O134*P134</f>
        <v>93.646799999999985</v>
      </c>
    </row>
    <row r="135" spans="1:18" ht="15.5" x14ac:dyDescent="0.3">
      <c r="A135" s="73" t="s">
        <v>175</v>
      </c>
      <c r="B135" s="73"/>
      <c r="C135" s="25" t="s">
        <v>159</v>
      </c>
      <c r="D135" s="73">
        <v>636.033996</v>
      </c>
      <c r="E135" s="73"/>
      <c r="F135" s="25">
        <v>91.224899999999991</v>
      </c>
      <c r="G135" s="25">
        <f>D135*1.55+F135</f>
        <v>1077.0775937999999</v>
      </c>
      <c r="H135" s="80"/>
      <c r="I135" s="81"/>
      <c r="J135" s="82"/>
      <c r="L135" s="26">
        <v>48.341999999999999</v>
      </c>
      <c r="M135" s="26">
        <v>6.96</v>
      </c>
      <c r="N135" s="26">
        <v>3.7869999999999999</v>
      </c>
      <c r="O135" s="26">
        <v>8.4749999999999996</v>
      </c>
      <c r="P135" s="26">
        <v>10.763999999999999</v>
      </c>
      <c r="Q135" s="27">
        <f>(L135+M135+N135)*P135</f>
        <v>636.033996</v>
      </c>
      <c r="R135" s="27">
        <f>O135*P135</f>
        <v>91.224899999999991</v>
      </c>
    </row>
    <row r="136" spans="1:18" ht="15" x14ac:dyDescent="0.3">
      <c r="A136" s="83" t="s">
        <v>164</v>
      </c>
      <c r="B136" s="83"/>
      <c r="C136" s="83"/>
      <c r="D136" s="83"/>
      <c r="E136" s="83"/>
      <c r="F136" s="83"/>
      <c r="G136" s="83"/>
      <c r="H136" s="83"/>
      <c r="I136" s="83"/>
      <c r="J136" s="83"/>
      <c r="L136" s="32" t="s">
        <v>166</v>
      </c>
      <c r="M136" s="32" t="s">
        <v>90</v>
      </c>
      <c r="N136" s="32" t="s">
        <v>91</v>
      </c>
      <c r="O136" s="32" t="s">
        <v>167</v>
      </c>
      <c r="P136" s="32"/>
      <c r="Q136" s="33" t="s">
        <v>168</v>
      </c>
      <c r="R136" s="27" t="s">
        <v>169</v>
      </c>
    </row>
    <row r="137" spans="1:18" ht="15.75" customHeight="1" x14ac:dyDescent="0.3">
      <c r="A137" s="73" t="s">
        <v>176</v>
      </c>
      <c r="B137" s="73"/>
      <c r="C137" s="25" t="s">
        <v>159</v>
      </c>
      <c r="D137" s="73">
        <v>643.46115599999996</v>
      </c>
      <c r="E137" s="73"/>
      <c r="F137" s="25">
        <v>88.802999999999997</v>
      </c>
      <c r="G137" s="25">
        <f>D137*1.55+F137</f>
        <v>1086.1677918</v>
      </c>
      <c r="H137" s="74" t="str">
        <f>A136</f>
        <v>3rd, 5th, 7th, 9th, 11th, 15th 17th &amp; 19th Floor</v>
      </c>
      <c r="I137" s="75"/>
      <c r="J137" s="76"/>
      <c r="L137" s="26">
        <v>48.341999999999999</v>
      </c>
      <c r="M137" s="26">
        <v>7.2</v>
      </c>
      <c r="N137" s="26">
        <v>4.2370000000000001</v>
      </c>
      <c r="O137" s="26">
        <v>8.25</v>
      </c>
      <c r="P137" s="26">
        <v>10.763999999999999</v>
      </c>
      <c r="Q137" s="27">
        <f>(L137+M137+N137)*P137</f>
        <v>643.46115599999996</v>
      </c>
      <c r="R137" s="27">
        <f>O137*P137</f>
        <v>88.802999999999997</v>
      </c>
    </row>
    <row r="138" spans="1:18" ht="15.5" x14ac:dyDescent="0.3">
      <c r="A138" s="73" t="s">
        <v>177</v>
      </c>
      <c r="B138" s="73"/>
      <c r="C138" s="25" t="s">
        <v>159</v>
      </c>
      <c r="D138" s="73">
        <v>701.15619599999991</v>
      </c>
      <c r="E138" s="73"/>
      <c r="F138" s="25">
        <v>108.98549999999999</v>
      </c>
      <c r="G138" s="25">
        <f>D138*1.55+F138</f>
        <v>1195.7776038</v>
      </c>
      <c r="H138" s="77"/>
      <c r="I138" s="78"/>
      <c r="J138" s="79"/>
      <c r="L138" s="26">
        <v>51.936999999999998</v>
      </c>
      <c r="M138" s="26">
        <v>6.19</v>
      </c>
      <c r="N138" s="26">
        <v>7.0119999999999996</v>
      </c>
      <c r="O138" s="26">
        <v>10.125</v>
      </c>
      <c r="P138" s="26">
        <v>10.763999999999999</v>
      </c>
      <c r="Q138" s="27">
        <f>(L138+M138+N138)*P138</f>
        <v>701.15619599999991</v>
      </c>
      <c r="R138" s="27">
        <f>O138*P138</f>
        <v>108.98549999999999</v>
      </c>
    </row>
    <row r="139" spans="1:18" ht="15.5" x14ac:dyDescent="0.3">
      <c r="A139" s="73" t="s">
        <v>178</v>
      </c>
      <c r="B139" s="73"/>
      <c r="C139" s="25" t="s">
        <v>159</v>
      </c>
      <c r="D139" s="73">
        <v>701.15619599999991</v>
      </c>
      <c r="E139" s="73"/>
      <c r="F139" s="25">
        <v>108.98549999999999</v>
      </c>
      <c r="G139" s="25">
        <f>D139*1.55+F139</f>
        <v>1195.7776038</v>
      </c>
      <c r="H139" s="77"/>
      <c r="I139" s="78"/>
      <c r="J139" s="79"/>
      <c r="L139" s="26">
        <v>51.936999999999998</v>
      </c>
      <c r="M139" s="26">
        <v>6.19</v>
      </c>
      <c r="N139" s="26">
        <v>7.0119999999999996</v>
      </c>
      <c r="O139" s="26">
        <v>10.125</v>
      </c>
      <c r="P139" s="26">
        <v>10.763999999999999</v>
      </c>
      <c r="Q139" s="27">
        <f>(L139+M139+N139)*P139</f>
        <v>701.15619599999991</v>
      </c>
      <c r="R139" s="27">
        <f>O139*P139</f>
        <v>108.98549999999999</v>
      </c>
    </row>
    <row r="140" spans="1:18" ht="15.5" x14ac:dyDescent="0.3">
      <c r="A140" s="73" t="s">
        <v>179</v>
      </c>
      <c r="B140" s="73"/>
      <c r="C140" s="25" t="s">
        <v>159</v>
      </c>
      <c r="D140" s="73">
        <v>643.46115599999996</v>
      </c>
      <c r="E140" s="73"/>
      <c r="F140" s="25">
        <v>88.802999999999997</v>
      </c>
      <c r="G140" s="25">
        <f>D140*1.55+F140</f>
        <v>1086.1677918</v>
      </c>
      <c r="H140" s="80"/>
      <c r="I140" s="81"/>
      <c r="J140" s="82"/>
      <c r="L140" s="26">
        <v>48.341999999999999</v>
      </c>
      <c r="M140" s="26">
        <v>7.2</v>
      </c>
      <c r="N140" s="26">
        <v>4.2370000000000001</v>
      </c>
      <c r="O140" s="26">
        <v>8.25</v>
      </c>
      <c r="P140" s="26">
        <v>10.763999999999999</v>
      </c>
      <c r="Q140" s="27">
        <f>(L140+M140+N140)*P140</f>
        <v>643.46115599999996</v>
      </c>
      <c r="R140" s="27">
        <f>O140*P140</f>
        <v>88.802999999999997</v>
      </c>
    </row>
    <row r="141" spans="1:18" ht="15" x14ac:dyDescent="0.3">
      <c r="A141" s="83" t="s">
        <v>171</v>
      </c>
      <c r="B141" s="83"/>
      <c r="C141" s="83"/>
      <c r="D141" s="83"/>
      <c r="E141" s="83"/>
      <c r="F141" s="83"/>
      <c r="G141" s="83"/>
      <c r="H141" s="83"/>
      <c r="I141" s="83"/>
      <c r="J141" s="83"/>
      <c r="L141" s="32" t="s">
        <v>166</v>
      </c>
      <c r="M141" s="32" t="s">
        <v>90</v>
      </c>
      <c r="N141" s="32" t="s">
        <v>91</v>
      </c>
      <c r="O141" s="32" t="s">
        <v>167</v>
      </c>
      <c r="P141" s="32"/>
      <c r="Q141" s="33" t="s">
        <v>168</v>
      </c>
      <c r="R141" s="27" t="s">
        <v>169</v>
      </c>
    </row>
    <row r="142" spans="1:18" ht="15.75" customHeight="1" x14ac:dyDescent="0.3">
      <c r="A142" s="80" t="s">
        <v>180</v>
      </c>
      <c r="B142" s="82"/>
      <c r="C142" s="25" t="s">
        <v>159</v>
      </c>
      <c r="D142" s="73">
        <v>636.033996</v>
      </c>
      <c r="E142" s="73"/>
      <c r="F142" s="25">
        <v>91.224899999999991</v>
      </c>
      <c r="G142" s="25">
        <f>D142*1.55+F142</f>
        <v>1077.0775937999999</v>
      </c>
      <c r="H142" s="75" t="str">
        <f>A141</f>
        <v>8th &amp; 18th Floor  (Part Refuge Area)</v>
      </c>
      <c r="I142" s="75"/>
      <c r="J142" s="76"/>
      <c r="L142" s="26">
        <v>48.341999999999999</v>
      </c>
      <c r="M142" s="26">
        <v>6.96</v>
      </c>
      <c r="N142" s="26">
        <v>3.7869999999999999</v>
      </c>
      <c r="O142" s="26">
        <v>8.4749999999999996</v>
      </c>
      <c r="P142" s="26">
        <v>10.763999999999999</v>
      </c>
      <c r="Q142" s="27">
        <f>(L142+M142+N142)*P142</f>
        <v>636.033996</v>
      </c>
      <c r="R142" s="27">
        <f>O142*P142</f>
        <v>91.224899999999991</v>
      </c>
    </row>
    <row r="143" spans="1:18" ht="15.75" customHeight="1" x14ac:dyDescent="0.3">
      <c r="A143" s="80" t="s">
        <v>181</v>
      </c>
      <c r="B143" s="82"/>
      <c r="C143" s="25" t="s">
        <v>159</v>
      </c>
      <c r="D143" s="73">
        <v>680.91987599999993</v>
      </c>
      <c r="E143" s="73"/>
      <c r="F143" s="25">
        <v>93.646799999999985</v>
      </c>
      <c r="G143" s="25">
        <f>D143*1.55+F143</f>
        <v>1149.0726078</v>
      </c>
      <c r="H143" s="78"/>
      <c r="I143" s="78"/>
      <c r="J143" s="79"/>
      <c r="L143" s="26">
        <v>51.936999999999998</v>
      </c>
      <c r="M143" s="26">
        <v>7.31</v>
      </c>
      <c r="N143" s="26">
        <v>4.0119999999999996</v>
      </c>
      <c r="O143" s="26">
        <v>8.6999999999999993</v>
      </c>
      <c r="P143" s="26">
        <v>10.763999999999999</v>
      </c>
      <c r="Q143" s="27">
        <f>(L143+M143+N143)*P143</f>
        <v>680.91987599999993</v>
      </c>
      <c r="R143" s="27">
        <f>O143*P143</f>
        <v>93.646799999999985</v>
      </c>
    </row>
    <row r="144" spans="1:18" ht="15.75" customHeight="1" x14ac:dyDescent="0.3">
      <c r="A144" s="80" t="s">
        <v>182</v>
      </c>
      <c r="B144" s="82"/>
      <c r="C144" s="84" t="s">
        <v>184</v>
      </c>
      <c r="D144" s="86"/>
      <c r="E144" s="86"/>
      <c r="F144" s="86"/>
      <c r="G144" s="85"/>
      <c r="H144" s="78"/>
      <c r="I144" s="78"/>
      <c r="J144" s="79"/>
      <c r="L144" s="26">
        <v>51.936999999999998</v>
      </c>
      <c r="M144" s="26">
        <v>7.31</v>
      </c>
      <c r="N144" s="26">
        <v>4.0119999999999996</v>
      </c>
      <c r="O144" s="26">
        <v>8.6999999999999993</v>
      </c>
      <c r="P144" s="26">
        <v>10.763999999999999</v>
      </c>
      <c r="Q144" s="27">
        <f>(L144+M144+N144)*P144</f>
        <v>680.91987599999993</v>
      </c>
      <c r="R144" s="27">
        <f>O144*P144</f>
        <v>93.646799999999985</v>
      </c>
    </row>
    <row r="145" spans="1:18" ht="15.75" customHeight="1" x14ac:dyDescent="0.3">
      <c r="A145" s="80" t="s">
        <v>183</v>
      </c>
      <c r="B145" s="82"/>
      <c r="C145" s="25" t="s">
        <v>159</v>
      </c>
      <c r="D145" s="73">
        <v>636.033996</v>
      </c>
      <c r="E145" s="73"/>
      <c r="F145" s="25">
        <v>91.224899999999991</v>
      </c>
      <c r="G145" s="25">
        <f>D145*1.55+F145</f>
        <v>1077.0775937999999</v>
      </c>
      <c r="H145" s="81"/>
      <c r="I145" s="81"/>
      <c r="J145" s="82"/>
      <c r="L145" s="26">
        <v>48.341999999999999</v>
      </c>
      <c r="M145" s="26">
        <v>6.96</v>
      </c>
      <c r="N145" s="26">
        <v>3.7869999999999999</v>
      </c>
      <c r="O145" s="26">
        <v>8.4749999999999996</v>
      </c>
      <c r="P145" s="26">
        <v>10.763999999999999</v>
      </c>
      <c r="Q145" s="27">
        <f>(L145+M145+N145)*P145</f>
        <v>636.033996</v>
      </c>
      <c r="R145" s="27">
        <f>O145*P145</f>
        <v>91.224899999999991</v>
      </c>
    </row>
    <row r="146" spans="1:18" ht="15" x14ac:dyDescent="0.3">
      <c r="A146" s="83" t="s">
        <v>170</v>
      </c>
      <c r="B146" s="83"/>
      <c r="C146" s="83"/>
      <c r="D146" s="83"/>
      <c r="E146" s="83"/>
      <c r="F146" s="83"/>
      <c r="G146" s="83"/>
      <c r="H146" s="83"/>
      <c r="I146" s="83"/>
      <c r="J146" s="83"/>
      <c r="L146" s="32" t="s">
        <v>166</v>
      </c>
      <c r="M146" s="32" t="s">
        <v>90</v>
      </c>
      <c r="N146" s="32" t="s">
        <v>91</v>
      </c>
      <c r="O146" s="32" t="s">
        <v>167</v>
      </c>
      <c r="P146" s="32"/>
      <c r="Q146" s="33" t="s">
        <v>168</v>
      </c>
      <c r="R146" s="27" t="s">
        <v>169</v>
      </c>
    </row>
    <row r="147" spans="1:18" ht="15.75" customHeight="1" x14ac:dyDescent="0.3">
      <c r="A147" s="80">
        <v>1301</v>
      </c>
      <c r="B147" s="82"/>
      <c r="C147" s="25" t="s">
        <v>159</v>
      </c>
      <c r="D147" s="73">
        <v>643.46115599999996</v>
      </c>
      <c r="E147" s="73"/>
      <c r="F147" s="25">
        <v>88.802999999999997</v>
      </c>
      <c r="G147" s="25">
        <f>D147*1.55+F147</f>
        <v>1086.1677918</v>
      </c>
      <c r="H147" s="75" t="str">
        <f>A146</f>
        <v>13th Floor (Part Refuge Area)</v>
      </c>
      <c r="I147" s="75"/>
      <c r="J147" s="76"/>
      <c r="L147" s="26">
        <v>48.341999999999999</v>
      </c>
      <c r="M147" s="26">
        <v>7.2</v>
      </c>
      <c r="N147" s="26">
        <v>4.2370000000000001</v>
      </c>
      <c r="O147" s="26">
        <v>8.25</v>
      </c>
      <c r="P147" s="26">
        <v>10.763999999999999</v>
      </c>
      <c r="Q147" s="27">
        <f>(L147+M147+N147)*P147</f>
        <v>643.46115599999996</v>
      </c>
      <c r="R147" s="27">
        <f>O147*P147</f>
        <v>88.802999999999997</v>
      </c>
    </row>
    <row r="148" spans="1:18" ht="15.75" customHeight="1" x14ac:dyDescent="0.3">
      <c r="A148" s="80">
        <v>1302</v>
      </c>
      <c r="B148" s="82"/>
      <c r="C148" s="25" t="s">
        <v>159</v>
      </c>
      <c r="D148" s="73">
        <v>701.15619599999991</v>
      </c>
      <c r="E148" s="73"/>
      <c r="F148" s="25">
        <v>108.98549999999999</v>
      </c>
      <c r="G148" s="25">
        <f>D148*1.55+F148</f>
        <v>1195.7776038</v>
      </c>
      <c r="H148" s="78"/>
      <c r="I148" s="78"/>
      <c r="J148" s="79"/>
      <c r="L148" s="26">
        <v>51.936999999999998</v>
      </c>
      <c r="M148" s="26">
        <v>6.19</v>
      </c>
      <c r="N148" s="26">
        <v>7.0119999999999996</v>
      </c>
      <c r="O148" s="26">
        <v>10.125</v>
      </c>
      <c r="P148" s="26">
        <v>10.763999999999999</v>
      </c>
      <c r="Q148" s="27">
        <f>(L148+M148+N148)*P148</f>
        <v>701.15619599999991</v>
      </c>
      <c r="R148" s="27">
        <f>O148*P148</f>
        <v>108.98549999999999</v>
      </c>
    </row>
    <row r="149" spans="1:18" ht="15.75" customHeight="1" x14ac:dyDescent="0.3">
      <c r="A149" s="80">
        <v>1303</v>
      </c>
      <c r="B149" s="82"/>
      <c r="C149" s="84" t="s">
        <v>184</v>
      </c>
      <c r="D149" s="86"/>
      <c r="E149" s="86"/>
      <c r="F149" s="86"/>
      <c r="G149" s="85"/>
      <c r="H149" s="78"/>
      <c r="I149" s="78"/>
      <c r="J149" s="79"/>
      <c r="L149" s="26">
        <v>51.936999999999998</v>
      </c>
      <c r="M149" s="26">
        <v>6.19</v>
      </c>
      <c r="N149" s="26">
        <v>7.0119999999999996</v>
      </c>
      <c r="O149" s="26">
        <v>10.125</v>
      </c>
      <c r="P149" s="26">
        <v>10.763999999999999</v>
      </c>
      <c r="Q149" s="27">
        <f>(L149+M149+N149)*P149</f>
        <v>701.15619599999991</v>
      </c>
      <c r="R149" s="27">
        <f>O149*P149</f>
        <v>108.98549999999999</v>
      </c>
    </row>
    <row r="150" spans="1:18" ht="15.75" customHeight="1" x14ac:dyDescent="0.3">
      <c r="A150" s="80">
        <v>1304</v>
      </c>
      <c r="B150" s="82"/>
      <c r="C150" s="25" t="s">
        <v>159</v>
      </c>
      <c r="D150" s="73">
        <v>643.46115599999996</v>
      </c>
      <c r="E150" s="73"/>
      <c r="F150" s="25">
        <v>88.802999999999997</v>
      </c>
      <c r="G150" s="25">
        <f>D150*1.55+F150</f>
        <v>1086.1677918</v>
      </c>
      <c r="H150" s="81"/>
      <c r="I150" s="81"/>
      <c r="J150" s="82"/>
      <c r="L150" s="26">
        <v>48.341999999999999</v>
      </c>
      <c r="M150" s="26">
        <v>7.2</v>
      </c>
      <c r="N150" s="26">
        <v>4.2370000000000001</v>
      </c>
      <c r="O150" s="26">
        <v>8.25</v>
      </c>
      <c r="P150" s="26">
        <v>10.763999999999999</v>
      </c>
      <c r="Q150" s="27">
        <f>(L150+M150+N150)*P150</f>
        <v>643.46115599999996</v>
      </c>
      <c r="R150" s="27">
        <f>O150*P150</f>
        <v>88.802999999999997</v>
      </c>
    </row>
    <row r="151" spans="1:18" ht="15" x14ac:dyDescent="0.3">
      <c r="A151" s="87" t="s">
        <v>161</v>
      </c>
      <c r="B151" s="88"/>
      <c r="C151" s="88"/>
      <c r="D151" s="88"/>
      <c r="E151" s="88"/>
      <c r="F151" s="88"/>
      <c r="G151" s="88"/>
      <c r="H151" s="88"/>
      <c r="I151" s="88"/>
      <c r="J151" s="89"/>
    </row>
    <row r="152" spans="1:18" ht="15" x14ac:dyDescent="0.3">
      <c r="A152" s="87" t="s">
        <v>155</v>
      </c>
      <c r="B152" s="88"/>
      <c r="C152" s="88"/>
      <c r="D152" s="88"/>
      <c r="E152" s="88"/>
      <c r="F152" s="88"/>
      <c r="G152" s="88"/>
      <c r="H152" s="88"/>
      <c r="I152" s="88"/>
      <c r="J152" s="89"/>
    </row>
    <row r="153" spans="1:18" ht="15" x14ac:dyDescent="0.3">
      <c r="A153" s="83" t="s">
        <v>157</v>
      </c>
      <c r="B153" s="83"/>
      <c r="C153" s="83"/>
      <c r="D153" s="83"/>
      <c r="E153" s="83"/>
      <c r="F153" s="83"/>
      <c r="G153" s="83"/>
      <c r="H153" s="83"/>
      <c r="I153" s="83"/>
      <c r="J153" s="83"/>
    </row>
    <row r="154" spans="1:18" ht="15.75" customHeight="1" x14ac:dyDescent="0.3">
      <c r="A154" s="84">
        <v>103</v>
      </c>
      <c r="B154" s="85"/>
      <c r="C154" s="25" t="s">
        <v>159</v>
      </c>
      <c r="D154" s="84">
        <f>(48.192+6.96+4.125)*10.764</f>
        <v>638.05762800000002</v>
      </c>
      <c r="E154" s="85"/>
      <c r="F154" s="25">
        <f>7.8*10.764</f>
        <v>83.959199999999996</v>
      </c>
      <c r="G154" s="25">
        <f>D154*1.55+F154</f>
        <v>1072.9485234000001</v>
      </c>
      <c r="H154" s="74" t="str">
        <f>A153</f>
        <v>1st Floor For Residential &amp; Amenities</v>
      </c>
      <c r="I154" s="75"/>
      <c r="J154" s="76"/>
    </row>
    <row r="155" spans="1:18" ht="15.5" x14ac:dyDescent="0.3">
      <c r="A155" s="84">
        <v>104</v>
      </c>
      <c r="B155" s="85"/>
      <c r="C155" s="25" t="s">
        <v>159</v>
      </c>
      <c r="D155" s="84">
        <f>(48.192+6.96+4.125)*10.764</f>
        <v>638.05762800000002</v>
      </c>
      <c r="E155" s="85"/>
      <c r="F155" s="25">
        <f>7.85*10.764</f>
        <v>84.497399999999985</v>
      </c>
      <c r="G155" s="25">
        <f>D155*1.55+F155</f>
        <v>1073.4867234000001</v>
      </c>
      <c r="H155" s="80"/>
      <c r="I155" s="81"/>
      <c r="J155" s="82"/>
    </row>
    <row r="156" spans="1:18" ht="15" x14ac:dyDescent="0.3">
      <c r="A156" s="83" t="s">
        <v>165</v>
      </c>
      <c r="B156" s="83"/>
      <c r="C156" s="83"/>
      <c r="D156" s="83"/>
      <c r="E156" s="83"/>
      <c r="F156" s="83"/>
      <c r="G156" s="83"/>
      <c r="H156" s="83"/>
      <c r="I156" s="83"/>
      <c r="J156" s="83"/>
      <c r="L156" s="32" t="s">
        <v>166</v>
      </c>
      <c r="M156" s="32" t="s">
        <v>90</v>
      </c>
      <c r="N156" s="32" t="s">
        <v>91</v>
      </c>
      <c r="O156" s="32" t="s">
        <v>167</v>
      </c>
      <c r="P156" s="32"/>
      <c r="Q156" s="33" t="s">
        <v>168</v>
      </c>
      <c r="R156" s="27" t="s">
        <v>169</v>
      </c>
    </row>
    <row r="157" spans="1:18" ht="15.75" customHeight="1" x14ac:dyDescent="0.3">
      <c r="A157" s="73" t="s">
        <v>172</v>
      </c>
      <c r="B157" s="73"/>
      <c r="C157" s="25" t="s">
        <v>159</v>
      </c>
      <c r="D157" s="73">
        <f>Q157</f>
        <v>633.23535600000002</v>
      </c>
      <c r="E157" s="73"/>
      <c r="F157" s="25">
        <f>R157</f>
        <v>83.959199999999996</v>
      </c>
      <c r="G157" s="25">
        <f>D157*1.55+F157</f>
        <v>1065.4740018</v>
      </c>
      <c r="H157" s="74" t="str">
        <f>A156</f>
        <v>2nd, 4th, 6th, 10th, 12th, 14th, 16th Floor</v>
      </c>
      <c r="I157" s="75"/>
      <c r="J157" s="76"/>
      <c r="L157" s="26">
        <v>48.192</v>
      </c>
      <c r="M157" s="26">
        <v>6.85</v>
      </c>
      <c r="N157" s="26">
        <v>3.7869999999999999</v>
      </c>
      <c r="O157" s="26">
        <v>7.8</v>
      </c>
      <c r="P157" s="26">
        <v>10.763999999999999</v>
      </c>
      <c r="Q157" s="27">
        <f>(L157+M157+N157)*P157</f>
        <v>633.23535600000002</v>
      </c>
      <c r="R157" s="27">
        <f>O157*P157</f>
        <v>83.959199999999996</v>
      </c>
    </row>
    <row r="158" spans="1:18" ht="15.5" x14ac:dyDescent="0.3">
      <c r="A158" s="73" t="s">
        <v>173</v>
      </c>
      <c r="B158" s="73"/>
      <c r="C158" s="25" t="s">
        <v>159</v>
      </c>
      <c r="D158" s="73">
        <f>Q158</f>
        <v>634.41939600000001</v>
      </c>
      <c r="E158" s="73"/>
      <c r="F158" s="25">
        <f>R158</f>
        <v>83.959199999999996</v>
      </c>
      <c r="G158" s="25">
        <f>D158*1.55+F158</f>
        <v>1067.3092638000001</v>
      </c>
      <c r="H158" s="77"/>
      <c r="I158" s="78"/>
      <c r="J158" s="79"/>
      <c r="L158" s="26">
        <v>48.192</v>
      </c>
      <c r="M158" s="26">
        <v>6.96</v>
      </c>
      <c r="N158" s="26">
        <v>3.7869999999999999</v>
      </c>
      <c r="O158" s="26">
        <v>7.8</v>
      </c>
      <c r="P158" s="26">
        <v>10.763999999999999</v>
      </c>
      <c r="Q158" s="27">
        <f>(L158+M158+N158)*P158</f>
        <v>634.41939600000001</v>
      </c>
      <c r="R158" s="27">
        <f>O158*P158</f>
        <v>83.959199999999996</v>
      </c>
    </row>
    <row r="159" spans="1:18" ht="15.5" x14ac:dyDescent="0.3">
      <c r="A159" s="73" t="s">
        <v>174</v>
      </c>
      <c r="B159" s="73"/>
      <c r="C159" s="25" t="s">
        <v>159</v>
      </c>
      <c r="D159" s="73">
        <f>Q159</f>
        <v>634.41939600000001</v>
      </c>
      <c r="E159" s="73"/>
      <c r="F159" s="25">
        <f>R159</f>
        <v>83.959199999999996</v>
      </c>
      <c r="G159" s="25">
        <f>D159*1.55+F159</f>
        <v>1067.3092638000001</v>
      </c>
      <c r="H159" s="77"/>
      <c r="I159" s="78"/>
      <c r="J159" s="79"/>
      <c r="L159" s="26">
        <v>48.192</v>
      </c>
      <c r="M159" s="26">
        <v>6.96</v>
      </c>
      <c r="N159" s="26">
        <v>3.7869999999999999</v>
      </c>
      <c r="O159" s="26">
        <v>7.8</v>
      </c>
      <c r="P159" s="26">
        <v>10.763999999999999</v>
      </c>
      <c r="Q159" s="27">
        <f>(L159+M159+N159)*P159</f>
        <v>634.41939600000001</v>
      </c>
      <c r="R159" s="27">
        <f>O159*P159</f>
        <v>83.959199999999996</v>
      </c>
    </row>
    <row r="160" spans="1:18" ht="15.5" x14ac:dyDescent="0.3">
      <c r="A160" s="73" t="s">
        <v>175</v>
      </c>
      <c r="B160" s="73"/>
      <c r="C160" s="25" t="s">
        <v>159</v>
      </c>
      <c r="D160" s="73">
        <f>Q160</f>
        <v>634.41939600000001</v>
      </c>
      <c r="E160" s="73"/>
      <c r="F160" s="25">
        <f>R160</f>
        <v>83.959199999999996</v>
      </c>
      <c r="G160" s="25">
        <f>D160*1.55+F160</f>
        <v>1067.3092638000001</v>
      </c>
      <c r="H160" s="80"/>
      <c r="I160" s="81"/>
      <c r="J160" s="82"/>
      <c r="L160" s="26">
        <v>48.192</v>
      </c>
      <c r="M160" s="26">
        <v>6.96</v>
      </c>
      <c r="N160" s="26">
        <v>3.7869999999999999</v>
      </c>
      <c r="O160" s="26">
        <v>7.8</v>
      </c>
      <c r="P160" s="26">
        <v>10.763999999999999</v>
      </c>
      <c r="Q160" s="27">
        <f>(L160+M160+N160)*P160</f>
        <v>634.41939600000001</v>
      </c>
      <c r="R160" s="27">
        <f>O160*P160</f>
        <v>83.959199999999996</v>
      </c>
    </row>
    <row r="161" spans="1:18" ht="15.75" customHeight="1" x14ac:dyDescent="0.3">
      <c r="A161" s="83" t="s">
        <v>164</v>
      </c>
      <c r="B161" s="83"/>
      <c r="C161" s="83"/>
      <c r="D161" s="83"/>
      <c r="E161" s="83"/>
      <c r="F161" s="83"/>
      <c r="G161" s="83"/>
      <c r="H161" s="83"/>
      <c r="I161" s="83"/>
      <c r="J161" s="83"/>
      <c r="L161" s="32" t="s">
        <v>166</v>
      </c>
      <c r="M161" s="32" t="s">
        <v>90</v>
      </c>
      <c r="N161" s="32" t="s">
        <v>91</v>
      </c>
      <c r="O161" s="32" t="s">
        <v>167</v>
      </c>
      <c r="P161" s="32"/>
      <c r="Q161" s="33" t="s">
        <v>168</v>
      </c>
      <c r="R161" s="27" t="s">
        <v>169</v>
      </c>
    </row>
    <row r="162" spans="1:18" ht="15.75" customHeight="1" x14ac:dyDescent="0.3">
      <c r="A162" s="73" t="s">
        <v>176</v>
      </c>
      <c r="B162" s="73"/>
      <c r="C162" s="25" t="s">
        <v>159</v>
      </c>
      <c r="D162" s="73">
        <f>Q162</f>
        <v>636.87358799999993</v>
      </c>
      <c r="E162" s="73"/>
      <c r="F162" s="25">
        <f>R162</f>
        <v>91.224899999999991</v>
      </c>
      <c r="G162" s="25">
        <f>D162*1.55+F162</f>
        <v>1078.3789614</v>
      </c>
      <c r="H162" s="74" t="str">
        <f>A161</f>
        <v>3rd, 5th, 7th, 9th, 11th, 15th 17th &amp; 19th Floor</v>
      </c>
      <c r="I162" s="75"/>
      <c r="J162" s="76"/>
      <c r="L162" s="26">
        <v>48.192</v>
      </c>
      <c r="M162" s="26">
        <v>6.85</v>
      </c>
      <c r="N162" s="26">
        <v>4.125</v>
      </c>
      <c r="O162" s="26">
        <v>8.4749999999999996</v>
      </c>
      <c r="P162" s="26">
        <v>10.763999999999999</v>
      </c>
      <c r="Q162" s="27">
        <f>(L162+M162+N162)*P162</f>
        <v>636.87358799999993</v>
      </c>
      <c r="R162" s="27">
        <f>O162*P162</f>
        <v>91.224899999999991</v>
      </c>
    </row>
    <row r="163" spans="1:18" ht="15.75" customHeight="1" x14ac:dyDescent="0.3">
      <c r="A163" s="73" t="s">
        <v>177</v>
      </c>
      <c r="B163" s="73"/>
      <c r="C163" s="25" t="s">
        <v>159</v>
      </c>
      <c r="D163" s="73">
        <f>Q163</f>
        <v>638.05762800000002</v>
      </c>
      <c r="E163" s="73"/>
      <c r="F163" s="25">
        <f>R163</f>
        <v>91.224899999999991</v>
      </c>
      <c r="G163" s="25">
        <f>D163*1.55+F163</f>
        <v>1080.2142234</v>
      </c>
      <c r="H163" s="77"/>
      <c r="I163" s="78"/>
      <c r="J163" s="79"/>
      <c r="L163" s="26">
        <v>48.192</v>
      </c>
      <c r="M163" s="26">
        <v>6.96</v>
      </c>
      <c r="N163" s="26">
        <v>4.125</v>
      </c>
      <c r="O163" s="26">
        <v>8.4749999999999996</v>
      </c>
      <c r="P163" s="26">
        <v>10.763999999999999</v>
      </c>
      <c r="Q163" s="27">
        <f>(L163+M163+N163)*P163</f>
        <v>638.05762800000002</v>
      </c>
      <c r="R163" s="27">
        <f>O163*P163</f>
        <v>91.224899999999991</v>
      </c>
    </row>
    <row r="164" spans="1:18" ht="15.75" customHeight="1" x14ac:dyDescent="0.3">
      <c r="A164" s="73" t="s">
        <v>178</v>
      </c>
      <c r="B164" s="73"/>
      <c r="C164" s="25" t="s">
        <v>159</v>
      </c>
      <c r="D164" s="73">
        <f>Q164</f>
        <v>638.05762800000002</v>
      </c>
      <c r="E164" s="73"/>
      <c r="F164" s="25">
        <f>R164</f>
        <v>91.224899999999991</v>
      </c>
      <c r="G164" s="25">
        <f>D164*1.55+F164</f>
        <v>1080.2142234</v>
      </c>
      <c r="H164" s="77"/>
      <c r="I164" s="78"/>
      <c r="J164" s="79"/>
      <c r="L164" s="26">
        <v>48.192</v>
      </c>
      <c r="M164" s="26">
        <v>6.96</v>
      </c>
      <c r="N164" s="26">
        <v>4.125</v>
      </c>
      <c r="O164" s="26">
        <v>8.4749999999999996</v>
      </c>
      <c r="P164" s="26">
        <v>10.763999999999999</v>
      </c>
      <c r="Q164" s="27">
        <f>(L164+M164+N164)*P164</f>
        <v>638.05762800000002</v>
      </c>
      <c r="R164" s="27">
        <f>O164*P164</f>
        <v>91.224899999999991</v>
      </c>
    </row>
    <row r="165" spans="1:18" ht="15.75" customHeight="1" x14ac:dyDescent="0.3">
      <c r="A165" s="73" t="s">
        <v>179</v>
      </c>
      <c r="B165" s="73"/>
      <c r="C165" s="25" t="s">
        <v>159</v>
      </c>
      <c r="D165" s="73">
        <f>Q165</f>
        <v>638.05762800000002</v>
      </c>
      <c r="E165" s="73"/>
      <c r="F165" s="25">
        <f>R165</f>
        <v>91.224899999999991</v>
      </c>
      <c r="G165" s="25">
        <f>D165*1.55+F165</f>
        <v>1080.2142234</v>
      </c>
      <c r="H165" s="80"/>
      <c r="I165" s="81"/>
      <c r="J165" s="82"/>
      <c r="L165" s="26">
        <v>48.192</v>
      </c>
      <c r="M165" s="26">
        <v>6.96</v>
      </c>
      <c r="N165" s="26">
        <v>4.125</v>
      </c>
      <c r="O165" s="26">
        <v>8.4749999999999996</v>
      </c>
      <c r="P165" s="26">
        <v>10.763999999999999</v>
      </c>
      <c r="Q165" s="27">
        <f>(L165+M165+N165)*P165</f>
        <v>638.05762800000002</v>
      </c>
      <c r="R165" s="27">
        <f>O165*P165</f>
        <v>91.224899999999991</v>
      </c>
    </row>
    <row r="166" spans="1:18" ht="15.75" customHeight="1" x14ac:dyDescent="0.3">
      <c r="A166" s="83" t="s">
        <v>171</v>
      </c>
      <c r="B166" s="83"/>
      <c r="C166" s="83"/>
      <c r="D166" s="83"/>
      <c r="E166" s="83"/>
      <c r="F166" s="83"/>
      <c r="G166" s="83"/>
      <c r="H166" s="83"/>
      <c r="I166" s="83"/>
      <c r="J166" s="83"/>
      <c r="L166" s="32" t="s">
        <v>166</v>
      </c>
      <c r="M166" s="32" t="s">
        <v>90</v>
      </c>
      <c r="N166" s="32" t="s">
        <v>91</v>
      </c>
      <c r="O166" s="32" t="s">
        <v>167</v>
      </c>
      <c r="P166" s="32"/>
      <c r="Q166" s="33" t="s">
        <v>168</v>
      </c>
      <c r="R166" s="27" t="s">
        <v>169</v>
      </c>
    </row>
    <row r="167" spans="1:18" ht="15.75" customHeight="1" x14ac:dyDescent="0.3">
      <c r="A167" s="84" t="s">
        <v>180</v>
      </c>
      <c r="B167" s="85"/>
      <c r="C167" s="25" t="s">
        <v>159</v>
      </c>
      <c r="D167" s="73">
        <f>Q167</f>
        <v>633.23535600000002</v>
      </c>
      <c r="E167" s="73"/>
      <c r="F167" s="25">
        <f>R167</f>
        <v>83.959199999999996</v>
      </c>
      <c r="G167" s="25">
        <f>D167*1.55+F167</f>
        <v>1065.4740018</v>
      </c>
      <c r="H167" s="74" t="str">
        <f>A166</f>
        <v>8th &amp; 18th Floor  (Part Refuge Area)</v>
      </c>
      <c r="I167" s="75"/>
      <c r="J167" s="76"/>
      <c r="L167" s="26">
        <v>48.192</v>
      </c>
      <c r="M167" s="26">
        <v>6.85</v>
      </c>
      <c r="N167" s="26">
        <v>3.7869999999999999</v>
      </c>
      <c r="O167" s="26">
        <v>7.8</v>
      </c>
      <c r="P167" s="26">
        <v>10.763999999999999</v>
      </c>
      <c r="Q167" s="27">
        <f>(L167+M167+N167)*P167</f>
        <v>633.23535600000002</v>
      </c>
      <c r="R167" s="27">
        <f>O167*P167</f>
        <v>83.959199999999996</v>
      </c>
    </row>
    <row r="168" spans="1:18" ht="15.75" customHeight="1" x14ac:dyDescent="0.3">
      <c r="A168" s="80" t="s">
        <v>181</v>
      </c>
      <c r="B168" s="82"/>
      <c r="C168" s="25" t="s">
        <v>159</v>
      </c>
      <c r="D168" s="73">
        <f>Q168</f>
        <v>634.41939600000001</v>
      </c>
      <c r="E168" s="73"/>
      <c r="F168" s="25">
        <f>R168</f>
        <v>83.959199999999996</v>
      </c>
      <c r="G168" s="25">
        <f>D168*1.55+F168</f>
        <v>1067.3092638000001</v>
      </c>
      <c r="H168" s="77"/>
      <c r="I168" s="78"/>
      <c r="J168" s="79"/>
      <c r="L168" s="26">
        <v>48.192</v>
      </c>
      <c r="M168" s="26">
        <v>6.96</v>
      </c>
      <c r="N168" s="26">
        <v>3.7869999999999999</v>
      </c>
      <c r="O168" s="26">
        <v>7.8</v>
      </c>
      <c r="P168" s="26">
        <v>10.763999999999999</v>
      </c>
      <c r="Q168" s="27">
        <f>(L168+M168+N168)*P168</f>
        <v>634.41939600000001</v>
      </c>
      <c r="R168" s="27">
        <f>O168*P168</f>
        <v>83.959199999999996</v>
      </c>
    </row>
    <row r="169" spans="1:18" ht="15.75" customHeight="1" x14ac:dyDescent="0.3">
      <c r="A169" s="80" t="s">
        <v>182</v>
      </c>
      <c r="B169" s="82"/>
      <c r="C169" s="74" t="s">
        <v>184</v>
      </c>
      <c r="D169" s="75"/>
      <c r="E169" s="75"/>
      <c r="F169" s="75"/>
      <c r="G169" s="76"/>
      <c r="H169" s="77"/>
      <c r="I169" s="78"/>
      <c r="J169" s="79"/>
      <c r="L169" s="26">
        <v>48.192</v>
      </c>
      <c r="M169" s="26">
        <v>6.96</v>
      </c>
      <c r="N169" s="26">
        <v>3.7869999999999999</v>
      </c>
      <c r="O169" s="26">
        <v>7.8</v>
      </c>
      <c r="P169" s="26">
        <v>10.763999999999999</v>
      </c>
      <c r="Q169" s="27">
        <f>(L169+M169+N169)*P169</f>
        <v>634.41939600000001</v>
      </c>
      <c r="R169" s="27">
        <f>O169*P169</f>
        <v>83.959199999999996</v>
      </c>
    </row>
    <row r="170" spans="1:18" ht="15.75" customHeight="1" x14ac:dyDescent="0.3">
      <c r="A170" s="80" t="s">
        <v>183</v>
      </c>
      <c r="B170" s="82"/>
      <c r="C170" s="80"/>
      <c r="D170" s="81"/>
      <c r="E170" s="81"/>
      <c r="F170" s="81"/>
      <c r="G170" s="82"/>
      <c r="H170" s="80"/>
      <c r="I170" s="81"/>
      <c r="J170" s="82"/>
      <c r="L170" s="26">
        <v>48.192</v>
      </c>
      <c r="M170" s="26">
        <v>6.96</v>
      </c>
      <c r="N170" s="26">
        <v>3.7869999999999999</v>
      </c>
      <c r="O170" s="26">
        <v>7.8</v>
      </c>
      <c r="P170" s="26">
        <v>10.763999999999999</v>
      </c>
      <c r="Q170" s="27">
        <f>(L170+M170+N170)*P170</f>
        <v>634.41939600000001</v>
      </c>
      <c r="R170" s="27">
        <f>O170*P170</f>
        <v>83.959199999999996</v>
      </c>
    </row>
    <row r="171" spans="1:18" ht="15.75" customHeight="1" x14ac:dyDescent="0.3">
      <c r="A171" s="83" t="s">
        <v>170</v>
      </c>
      <c r="B171" s="83"/>
      <c r="C171" s="83"/>
      <c r="D171" s="83"/>
      <c r="E171" s="83"/>
      <c r="F171" s="83"/>
      <c r="G171" s="83"/>
      <c r="H171" s="83"/>
      <c r="I171" s="83"/>
      <c r="J171" s="83"/>
      <c r="L171" s="32" t="s">
        <v>166</v>
      </c>
      <c r="M171" s="32" t="s">
        <v>90</v>
      </c>
      <c r="N171" s="32" t="s">
        <v>91</v>
      </c>
      <c r="O171" s="32" t="s">
        <v>167</v>
      </c>
      <c r="P171" s="32"/>
      <c r="Q171" s="33" t="s">
        <v>168</v>
      </c>
      <c r="R171" s="27" t="s">
        <v>169</v>
      </c>
    </row>
    <row r="172" spans="1:18" ht="15.75" customHeight="1" x14ac:dyDescent="0.3">
      <c r="A172" s="80">
        <v>1301</v>
      </c>
      <c r="B172" s="82"/>
      <c r="C172" s="25" t="s">
        <v>159</v>
      </c>
      <c r="D172" s="73">
        <f>Q172</f>
        <v>636.87358799999993</v>
      </c>
      <c r="E172" s="73"/>
      <c r="F172" s="25">
        <f>R172</f>
        <v>91.224899999999991</v>
      </c>
      <c r="G172" s="25">
        <f>D172*1.55+F172</f>
        <v>1078.3789614</v>
      </c>
      <c r="H172" s="74" t="str">
        <f>A171</f>
        <v>13th Floor (Part Refuge Area)</v>
      </c>
      <c r="I172" s="75"/>
      <c r="J172" s="76"/>
      <c r="L172" s="26">
        <v>48.192</v>
      </c>
      <c r="M172" s="26">
        <v>6.85</v>
      </c>
      <c r="N172" s="26">
        <v>4.125</v>
      </c>
      <c r="O172" s="26">
        <v>8.4749999999999996</v>
      </c>
      <c r="P172" s="26">
        <v>10.763999999999999</v>
      </c>
      <c r="Q172" s="27">
        <f>(L172+M172+N172)*P172</f>
        <v>636.87358799999993</v>
      </c>
      <c r="R172" s="27">
        <f>O172*P172</f>
        <v>91.224899999999991</v>
      </c>
    </row>
    <row r="173" spans="1:18" ht="15.75" customHeight="1" x14ac:dyDescent="0.3">
      <c r="A173" s="80">
        <v>1302</v>
      </c>
      <c r="B173" s="82"/>
      <c r="C173" s="25" t="s">
        <v>159</v>
      </c>
      <c r="D173" s="73">
        <f>Q173</f>
        <v>638.05762800000002</v>
      </c>
      <c r="E173" s="73"/>
      <c r="F173" s="25">
        <f>R173</f>
        <v>91.224899999999991</v>
      </c>
      <c r="G173" s="25">
        <f>D173*1.55+F173</f>
        <v>1080.2142234</v>
      </c>
      <c r="H173" s="77"/>
      <c r="I173" s="78"/>
      <c r="J173" s="79"/>
      <c r="L173" s="26">
        <v>48.192</v>
      </c>
      <c r="M173" s="26">
        <v>6.96</v>
      </c>
      <c r="N173" s="26">
        <v>4.125</v>
      </c>
      <c r="O173" s="26">
        <v>8.4749999999999996</v>
      </c>
      <c r="P173" s="26">
        <v>10.763999999999999</v>
      </c>
      <c r="Q173" s="27">
        <f>(L173+M173+N173)*P173</f>
        <v>638.05762800000002</v>
      </c>
      <c r="R173" s="27">
        <f>O173*P173</f>
        <v>91.224899999999991</v>
      </c>
    </row>
    <row r="174" spans="1:18" ht="15.75" customHeight="1" x14ac:dyDescent="0.3">
      <c r="A174" s="80">
        <v>1303</v>
      </c>
      <c r="B174" s="82"/>
      <c r="C174" s="74" t="s">
        <v>184</v>
      </c>
      <c r="D174" s="75"/>
      <c r="E174" s="75"/>
      <c r="F174" s="75"/>
      <c r="G174" s="76"/>
      <c r="H174" s="77"/>
      <c r="I174" s="78"/>
      <c r="J174" s="79"/>
      <c r="L174" s="26">
        <v>48.192</v>
      </c>
      <c r="M174" s="26">
        <v>6.96</v>
      </c>
      <c r="N174" s="26">
        <v>4.125</v>
      </c>
      <c r="O174" s="26">
        <v>8.4749999999999996</v>
      </c>
      <c r="P174" s="26">
        <v>10.763999999999999</v>
      </c>
      <c r="Q174" s="27">
        <f>(L174+M174+N174)*P174</f>
        <v>638.05762800000002</v>
      </c>
      <c r="R174" s="27">
        <f>O174*P174</f>
        <v>91.224899999999991</v>
      </c>
    </row>
    <row r="175" spans="1:18" ht="15.75" customHeight="1" x14ac:dyDescent="0.3">
      <c r="A175" s="80">
        <v>1304</v>
      </c>
      <c r="B175" s="82"/>
      <c r="C175" s="80"/>
      <c r="D175" s="81"/>
      <c r="E175" s="81"/>
      <c r="F175" s="81"/>
      <c r="G175" s="82"/>
      <c r="H175" s="80"/>
      <c r="I175" s="81"/>
      <c r="J175" s="82"/>
      <c r="L175" s="26">
        <v>48.192</v>
      </c>
      <c r="M175" s="26">
        <v>6.96</v>
      </c>
      <c r="N175" s="26">
        <v>4.125</v>
      </c>
      <c r="O175" s="26">
        <v>8.4749999999999996</v>
      </c>
      <c r="P175" s="26">
        <v>10.763999999999999</v>
      </c>
      <c r="Q175" s="27">
        <f>(L175+M175+N175)*P175</f>
        <v>638.05762800000002</v>
      </c>
      <c r="R175" s="27">
        <f>O175*P175</f>
        <v>91.224899999999991</v>
      </c>
    </row>
    <row r="176" spans="1:18" ht="15" x14ac:dyDescent="0.3">
      <c r="A176" s="83" t="s">
        <v>162</v>
      </c>
      <c r="B176" s="83"/>
      <c r="C176" s="83"/>
      <c r="D176" s="83"/>
      <c r="E176" s="83"/>
      <c r="F176" s="83"/>
      <c r="G176" s="83"/>
      <c r="H176" s="83"/>
      <c r="I176" s="83"/>
      <c r="J176" s="83"/>
    </row>
    <row r="177" spans="1:24" ht="15" x14ac:dyDescent="0.3">
      <c r="A177" s="83" t="s">
        <v>155</v>
      </c>
      <c r="B177" s="83"/>
      <c r="C177" s="83"/>
      <c r="D177" s="83"/>
      <c r="E177" s="83"/>
      <c r="F177" s="83"/>
      <c r="G177" s="83"/>
      <c r="H177" s="83"/>
      <c r="I177" s="83"/>
      <c r="J177" s="83"/>
    </row>
    <row r="178" spans="1:24" ht="15" x14ac:dyDescent="0.3">
      <c r="A178" s="83" t="s">
        <v>157</v>
      </c>
      <c r="B178" s="83"/>
      <c r="C178" s="83"/>
      <c r="D178" s="83"/>
      <c r="E178" s="83"/>
      <c r="F178" s="83"/>
      <c r="G178" s="83"/>
      <c r="H178" s="83"/>
      <c r="I178" s="83"/>
      <c r="J178" s="83"/>
      <c r="L178" s="32" t="s">
        <v>166</v>
      </c>
      <c r="M178" s="32" t="s">
        <v>90</v>
      </c>
      <c r="N178" s="32" t="s">
        <v>91</v>
      </c>
      <c r="O178" s="32" t="s">
        <v>167</v>
      </c>
      <c r="P178" s="32"/>
      <c r="Q178" s="33" t="s">
        <v>168</v>
      </c>
      <c r="R178" s="27" t="s">
        <v>169</v>
      </c>
    </row>
    <row r="179" spans="1:24" ht="15.75" customHeight="1" x14ac:dyDescent="0.3">
      <c r="A179" s="73">
        <v>103</v>
      </c>
      <c r="B179" s="73"/>
      <c r="C179" s="55" t="s">
        <v>159</v>
      </c>
      <c r="D179" s="73">
        <f>Q179</f>
        <v>638.48818799999992</v>
      </c>
      <c r="E179" s="73"/>
      <c r="F179" s="55">
        <f>R179</f>
        <v>83.959199999999996</v>
      </c>
      <c r="G179" s="55">
        <f>D179*1.55+F179</f>
        <v>1073.6158913999998</v>
      </c>
      <c r="H179" s="73" t="str">
        <f>A178</f>
        <v>1st Floor For Residential &amp; Amenities</v>
      </c>
      <c r="I179" s="73"/>
      <c r="J179" s="73"/>
      <c r="L179" s="26">
        <v>48.341999999999999</v>
      </c>
      <c r="M179" s="26">
        <v>6.85</v>
      </c>
      <c r="N179" s="26">
        <v>4.125</v>
      </c>
      <c r="O179" s="26">
        <v>7.8</v>
      </c>
      <c r="P179" s="26">
        <v>10.763999999999999</v>
      </c>
      <c r="Q179" s="27">
        <f>(L179+M179+N179)*P179</f>
        <v>638.48818799999992</v>
      </c>
      <c r="R179" s="27">
        <f>O179*P179</f>
        <v>83.959199999999996</v>
      </c>
    </row>
    <row r="180" spans="1:24" ht="15.5" x14ac:dyDescent="0.3">
      <c r="A180" s="73">
        <v>104</v>
      </c>
      <c r="B180" s="73"/>
      <c r="C180" s="55" t="s">
        <v>159</v>
      </c>
      <c r="D180" s="73">
        <f>Q180</f>
        <v>680.97369600000002</v>
      </c>
      <c r="E180" s="73"/>
      <c r="F180" s="55">
        <f>R180</f>
        <v>88.802999999999997</v>
      </c>
      <c r="G180" s="55">
        <f>D180*1.55+F180</f>
        <v>1144.3122288</v>
      </c>
      <c r="H180" s="73"/>
      <c r="I180" s="73"/>
      <c r="J180" s="73"/>
      <c r="L180" s="26">
        <v>51.936999999999998</v>
      </c>
      <c r="M180" s="26">
        <v>7.09</v>
      </c>
      <c r="N180" s="26">
        <v>4.2370000000000001</v>
      </c>
      <c r="O180" s="26">
        <v>8.25</v>
      </c>
      <c r="P180" s="26">
        <v>10.763999999999999</v>
      </c>
      <c r="Q180" s="27">
        <f>(L180+M180+N180)*P180</f>
        <v>680.97369600000002</v>
      </c>
      <c r="R180" s="27">
        <f>O180*P180</f>
        <v>88.802999999999997</v>
      </c>
      <c r="U180" s="26">
        <v>51.936999999999998</v>
      </c>
      <c r="V180" s="26">
        <v>7.09</v>
      </c>
      <c r="W180" s="26">
        <v>4.2370000000000001</v>
      </c>
      <c r="X180" s="26">
        <v>8.25</v>
      </c>
    </row>
    <row r="181" spans="1:24" ht="15" x14ac:dyDescent="0.3">
      <c r="A181" s="83" t="s">
        <v>165</v>
      </c>
      <c r="B181" s="83"/>
      <c r="C181" s="83"/>
      <c r="D181" s="83"/>
      <c r="E181" s="83"/>
      <c r="F181" s="83"/>
      <c r="G181" s="83"/>
      <c r="H181" s="83"/>
      <c r="I181" s="83"/>
      <c r="J181" s="83"/>
      <c r="L181" s="32" t="s">
        <v>166</v>
      </c>
      <c r="M181" s="32" t="s">
        <v>90</v>
      </c>
      <c r="N181" s="32" t="s">
        <v>91</v>
      </c>
      <c r="O181" s="32" t="s">
        <v>167</v>
      </c>
      <c r="P181" s="32"/>
      <c r="Q181" s="33" t="s">
        <v>168</v>
      </c>
      <c r="R181" s="27" t="s">
        <v>169</v>
      </c>
    </row>
    <row r="182" spans="1:24" ht="15.75" customHeight="1" x14ac:dyDescent="0.3">
      <c r="A182" s="73" t="s">
        <v>172</v>
      </c>
      <c r="B182" s="73"/>
      <c r="C182" s="55" t="s">
        <v>159</v>
      </c>
      <c r="D182" s="73">
        <f>Q182</f>
        <v>680.91987599999993</v>
      </c>
      <c r="E182" s="73"/>
      <c r="F182" s="55">
        <f>R182</f>
        <v>93.646799999999985</v>
      </c>
      <c r="G182" s="55">
        <f>D182*1.55+F182</f>
        <v>1149.0726078</v>
      </c>
      <c r="H182" s="73" t="str">
        <f>A181</f>
        <v>2nd, 4th, 6th, 10th, 12th, 14th, 16th Floor</v>
      </c>
      <c r="I182" s="73"/>
      <c r="J182" s="73"/>
      <c r="L182" s="26">
        <v>51.936999999999998</v>
      </c>
      <c r="M182" s="26">
        <v>7.31</v>
      </c>
      <c r="N182" s="26">
        <v>4.0119999999999996</v>
      </c>
      <c r="O182" s="26">
        <v>8.6999999999999993</v>
      </c>
      <c r="P182" s="26">
        <v>10.763999999999999</v>
      </c>
      <c r="Q182" s="27">
        <f>(L182+M182+N182)*P182</f>
        <v>680.91987599999993</v>
      </c>
      <c r="R182" s="27">
        <f>O182*P182</f>
        <v>93.646799999999985</v>
      </c>
    </row>
    <row r="183" spans="1:24" ht="15.5" x14ac:dyDescent="0.3">
      <c r="A183" s="73" t="s">
        <v>173</v>
      </c>
      <c r="B183" s="73"/>
      <c r="C183" s="55" t="s">
        <v>159</v>
      </c>
      <c r="D183" s="73">
        <f>Q183</f>
        <v>636.033996</v>
      </c>
      <c r="E183" s="73"/>
      <c r="F183" s="55">
        <f t="shared" ref="F183:F200" si="1">R183</f>
        <v>91.224899999999991</v>
      </c>
      <c r="G183" s="55">
        <f>D183*1.55+F183</f>
        <v>1077.0775937999999</v>
      </c>
      <c r="H183" s="73"/>
      <c r="I183" s="73"/>
      <c r="J183" s="73"/>
      <c r="L183" s="26">
        <v>48.341999999999999</v>
      </c>
      <c r="M183" s="26">
        <v>6.96</v>
      </c>
      <c r="N183" s="26">
        <v>3.7869999999999999</v>
      </c>
      <c r="O183" s="26">
        <v>8.4749999999999996</v>
      </c>
      <c r="P183" s="26">
        <v>10.763999999999999</v>
      </c>
      <c r="Q183" s="27">
        <f>(L183+M183+N183)*P183</f>
        <v>636.033996</v>
      </c>
      <c r="R183" s="27">
        <f>O183*P183</f>
        <v>91.224899999999991</v>
      </c>
    </row>
    <row r="184" spans="1:24" ht="15.5" x14ac:dyDescent="0.3">
      <c r="A184" s="73" t="s">
        <v>174</v>
      </c>
      <c r="B184" s="73"/>
      <c r="C184" s="55" t="s">
        <v>159</v>
      </c>
      <c r="D184" s="73">
        <f>Q184</f>
        <v>636.033996</v>
      </c>
      <c r="E184" s="73"/>
      <c r="F184" s="55">
        <f t="shared" si="1"/>
        <v>91.224899999999991</v>
      </c>
      <c r="G184" s="55">
        <f>D184*1.55+F184</f>
        <v>1077.0775937999999</v>
      </c>
      <c r="H184" s="73"/>
      <c r="I184" s="73"/>
      <c r="J184" s="73"/>
      <c r="L184" s="26">
        <v>48.341999999999999</v>
      </c>
      <c r="M184" s="26">
        <v>6.96</v>
      </c>
      <c r="N184" s="26">
        <v>3.7869999999999999</v>
      </c>
      <c r="O184" s="26">
        <v>8.4749999999999996</v>
      </c>
      <c r="P184" s="26">
        <v>10.763999999999999</v>
      </c>
      <c r="Q184" s="27">
        <f>(L184+M184+N184)*P184</f>
        <v>636.033996</v>
      </c>
      <c r="R184" s="27">
        <f>O184*P184</f>
        <v>91.224899999999991</v>
      </c>
    </row>
    <row r="185" spans="1:24" ht="15.5" x14ac:dyDescent="0.3">
      <c r="A185" s="73" t="s">
        <v>175</v>
      </c>
      <c r="B185" s="73"/>
      <c r="C185" s="55" t="s">
        <v>159</v>
      </c>
      <c r="D185" s="73">
        <f>Q185</f>
        <v>680.91987599999993</v>
      </c>
      <c r="E185" s="73"/>
      <c r="F185" s="55">
        <f t="shared" si="1"/>
        <v>93.646799999999985</v>
      </c>
      <c r="G185" s="55">
        <f>D185*1.55+F185</f>
        <v>1149.0726078</v>
      </c>
      <c r="H185" s="73"/>
      <c r="I185" s="73"/>
      <c r="J185" s="73"/>
      <c r="L185" s="26">
        <v>51.936999999999998</v>
      </c>
      <c r="M185" s="26">
        <v>7.31</v>
      </c>
      <c r="N185" s="26">
        <v>4.0119999999999996</v>
      </c>
      <c r="O185" s="26">
        <v>8.6999999999999993</v>
      </c>
      <c r="P185" s="26">
        <v>10.763999999999999</v>
      </c>
      <c r="Q185" s="27">
        <f>(L185+M185+N185)*P185</f>
        <v>680.91987599999993</v>
      </c>
      <c r="R185" s="27">
        <f>O185*P185</f>
        <v>93.646799999999985</v>
      </c>
    </row>
    <row r="186" spans="1:24" ht="15" x14ac:dyDescent="0.3">
      <c r="A186" s="83" t="s">
        <v>164</v>
      </c>
      <c r="B186" s="83"/>
      <c r="C186" s="83"/>
      <c r="D186" s="83"/>
      <c r="E186" s="83"/>
      <c r="F186" s="83"/>
      <c r="G186" s="83"/>
      <c r="H186" s="83"/>
      <c r="I186" s="83"/>
      <c r="J186" s="83"/>
      <c r="L186" s="32" t="s">
        <v>166</v>
      </c>
      <c r="M186" s="32" t="s">
        <v>90</v>
      </c>
      <c r="N186" s="32" t="s">
        <v>91</v>
      </c>
      <c r="O186" s="32" t="s">
        <v>167</v>
      </c>
      <c r="P186" s="32"/>
      <c r="Q186" s="33" t="s">
        <v>168</v>
      </c>
      <c r="R186" s="27" t="s">
        <v>169</v>
      </c>
    </row>
    <row r="187" spans="1:24" ht="15.75" customHeight="1" x14ac:dyDescent="0.3">
      <c r="A187" s="73" t="s">
        <v>176</v>
      </c>
      <c r="B187" s="73"/>
      <c r="C187" s="55" t="s">
        <v>159</v>
      </c>
      <c r="D187" s="73">
        <f>Q187</f>
        <v>701.15619599999991</v>
      </c>
      <c r="E187" s="73"/>
      <c r="F187" s="55">
        <f t="shared" si="1"/>
        <v>108.98549999999999</v>
      </c>
      <c r="G187" s="55">
        <f>D187*1.55+F187</f>
        <v>1195.7776038</v>
      </c>
      <c r="H187" s="73" t="str">
        <f>A186</f>
        <v>3rd, 5th, 7th, 9th, 11th, 15th 17th &amp; 19th Floor</v>
      </c>
      <c r="I187" s="73"/>
      <c r="J187" s="73"/>
      <c r="L187" s="26">
        <v>51.936999999999998</v>
      </c>
      <c r="M187" s="26">
        <v>6.19</v>
      </c>
      <c r="N187" s="26">
        <v>7.0119999999999996</v>
      </c>
      <c r="O187" s="26">
        <v>10.125</v>
      </c>
      <c r="P187" s="26">
        <v>10.763999999999999</v>
      </c>
      <c r="Q187" s="27">
        <f>(L187+M187+N187)*P187</f>
        <v>701.15619599999991</v>
      </c>
      <c r="R187" s="27">
        <f>O187*P187</f>
        <v>108.98549999999999</v>
      </c>
    </row>
    <row r="188" spans="1:24" ht="15.5" x14ac:dyDescent="0.3">
      <c r="A188" s="73" t="s">
        <v>177</v>
      </c>
      <c r="B188" s="73"/>
      <c r="C188" s="55" t="s">
        <v>159</v>
      </c>
      <c r="D188" s="73">
        <f>Q188</f>
        <v>643.46115599999996</v>
      </c>
      <c r="E188" s="73"/>
      <c r="F188" s="55">
        <f t="shared" si="1"/>
        <v>88.802999999999997</v>
      </c>
      <c r="G188" s="55">
        <f>D188*1.55+F188</f>
        <v>1086.1677918</v>
      </c>
      <c r="H188" s="73"/>
      <c r="I188" s="73"/>
      <c r="J188" s="73"/>
      <c r="L188" s="26">
        <v>48.341999999999999</v>
      </c>
      <c r="M188" s="26">
        <v>7.2</v>
      </c>
      <c r="N188" s="26">
        <v>4.2370000000000001</v>
      </c>
      <c r="O188" s="26">
        <v>8.25</v>
      </c>
      <c r="P188" s="26">
        <v>10.763999999999999</v>
      </c>
      <c r="Q188" s="27">
        <f>(L188+M188+N188)*P188</f>
        <v>643.46115599999996</v>
      </c>
      <c r="R188" s="27">
        <f>O188*P188</f>
        <v>88.802999999999997</v>
      </c>
    </row>
    <row r="189" spans="1:24" ht="15.5" x14ac:dyDescent="0.3">
      <c r="A189" s="73" t="s">
        <v>178</v>
      </c>
      <c r="B189" s="73"/>
      <c r="C189" s="55" t="s">
        <v>159</v>
      </c>
      <c r="D189" s="73">
        <f>Q189</f>
        <v>643.46115599999996</v>
      </c>
      <c r="E189" s="73"/>
      <c r="F189" s="55">
        <f t="shared" si="1"/>
        <v>88.802999999999997</v>
      </c>
      <c r="G189" s="55">
        <f>D189*1.55+F189</f>
        <v>1086.1677918</v>
      </c>
      <c r="H189" s="73"/>
      <c r="I189" s="73"/>
      <c r="J189" s="73"/>
      <c r="L189" s="26">
        <v>48.341999999999999</v>
      </c>
      <c r="M189" s="26">
        <v>7.2</v>
      </c>
      <c r="N189" s="26">
        <v>4.2370000000000001</v>
      </c>
      <c r="O189" s="26">
        <v>8.25</v>
      </c>
      <c r="P189" s="26">
        <v>10.763999999999999</v>
      </c>
      <c r="Q189" s="27">
        <f>(L189+M189+N189)*P189</f>
        <v>643.46115599999996</v>
      </c>
      <c r="R189" s="27">
        <f>O189*P189</f>
        <v>88.802999999999997</v>
      </c>
    </row>
    <row r="190" spans="1:24" ht="15.5" x14ac:dyDescent="0.3">
      <c r="A190" s="73" t="s">
        <v>179</v>
      </c>
      <c r="B190" s="73"/>
      <c r="C190" s="55" t="s">
        <v>159</v>
      </c>
      <c r="D190" s="73">
        <f>Q190</f>
        <v>701.15619599999991</v>
      </c>
      <c r="E190" s="73"/>
      <c r="F190" s="55">
        <f t="shared" si="1"/>
        <v>108.98549999999999</v>
      </c>
      <c r="G190" s="55">
        <f>D190*1.55+F190</f>
        <v>1195.7776038</v>
      </c>
      <c r="H190" s="73"/>
      <c r="I190" s="73"/>
      <c r="J190" s="73"/>
      <c r="L190" s="26">
        <v>51.936999999999998</v>
      </c>
      <c r="M190" s="26">
        <v>6.19</v>
      </c>
      <c r="N190" s="26">
        <v>7.0119999999999996</v>
      </c>
      <c r="O190" s="26">
        <v>10.125</v>
      </c>
      <c r="P190" s="26">
        <v>10.763999999999999</v>
      </c>
      <c r="Q190" s="27">
        <f>(L190+M190+N190)*P190</f>
        <v>701.15619599999991</v>
      </c>
      <c r="R190" s="27">
        <f>O190*P190</f>
        <v>108.98549999999999</v>
      </c>
    </row>
    <row r="191" spans="1:24" ht="15" x14ac:dyDescent="0.3">
      <c r="A191" s="83" t="s">
        <v>171</v>
      </c>
      <c r="B191" s="83"/>
      <c r="C191" s="83"/>
      <c r="D191" s="83"/>
      <c r="E191" s="83"/>
      <c r="F191" s="83"/>
      <c r="G191" s="83"/>
      <c r="H191" s="83"/>
      <c r="I191" s="83"/>
      <c r="J191" s="83"/>
      <c r="L191" s="32" t="s">
        <v>166</v>
      </c>
      <c r="M191" s="32" t="s">
        <v>90</v>
      </c>
      <c r="N191" s="32" t="s">
        <v>91</v>
      </c>
      <c r="O191" s="32" t="s">
        <v>167</v>
      </c>
      <c r="P191" s="32"/>
      <c r="Q191" s="33" t="s">
        <v>168</v>
      </c>
      <c r="R191" s="27" t="s">
        <v>169</v>
      </c>
    </row>
    <row r="192" spans="1:24" ht="15.75" customHeight="1" x14ac:dyDescent="0.3">
      <c r="A192" s="80" t="s">
        <v>180</v>
      </c>
      <c r="B192" s="82"/>
      <c r="C192" s="25" t="s">
        <v>159</v>
      </c>
      <c r="D192" s="73">
        <f>Q192</f>
        <v>680.91987599999993</v>
      </c>
      <c r="E192" s="73"/>
      <c r="F192" s="25">
        <f t="shared" si="1"/>
        <v>93.646799999999985</v>
      </c>
      <c r="G192" s="25">
        <f>D192*1.55+F192</f>
        <v>1149.0726078</v>
      </c>
      <c r="H192" s="74" t="str">
        <f>A191</f>
        <v>8th &amp; 18th Floor  (Part Refuge Area)</v>
      </c>
      <c r="I192" s="75" t="str">
        <f>A191</f>
        <v>8th &amp; 18th Floor  (Part Refuge Area)</v>
      </c>
      <c r="J192" s="76"/>
      <c r="L192" s="26">
        <v>51.936999999999998</v>
      </c>
      <c r="M192" s="26">
        <v>7.31</v>
      </c>
      <c r="N192" s="26">
        <v>4.0119999999999996</v>
      </c>
      <c r="O192" s="26">
        <v>8.6999999999999993</v>
      </c>
      <c r="P192" s="26">
        <v>10.763999999999999</v>
      </c>
      <c r="Q192" s="27">
        <f>(L192+M192+N192)*P192</f>
        <v>680.91987599999993</v>
      </c>
      <c r="R192" s="27">
        <f>O192*P192</f>
        <v>93.646799999999985</v>
      </c>
    </row>
    <row r="193" spans="1:18" ht="15.75" customHeight="1" x14ac:dyDescent="0.3">
      <c r="A193" s="80" t="s">
        <v>181</v>
      </c>
      <c r="B193" s="82"/>
      <c r="C193" s="25" t="s">
        <v>159</v>
      </c>
      <c r="D193" s="73">
        <f>Q193</f>
        <v>636.033996</v>
      </c>
      <c r="E193" s="73"/>
      <c r="F193" s="25">
        <f t="shared" si="1"/>
        <v>91.224899999999991</v>
      </c>
      <c r="G193" s="25">
        <f>D193*1.55+F193</f>
        <v>1077.0775937999999</v>
      </c>
      <c r="H193" s="77"/>
      <c r="I193" s="78"/>
      <c r="J193" s="79"/>
      <c r="L193" s="26">
        <v>48.341999999999999</v>
      </c>
      <c r="M193" s="26">
        <v>6.96</v>
      </c>
      <c r="N193" s="26">
        <v>3.7869999999999999</v>
      </c>
      <c r="O193" s="26">
        <v>8.4749999999999996</v>
      </c>
      <c r="P193" s="26">
        <v>10.763999999999999</v>
      </c>
      <c r="Q193" s="27">
        <f>(L193+M193+N193)*P193</f>
        <v>636.033996</v>
      </c>
      <c r="R193" s="27">
        <f>O193*P193</f>
        <v>91.224899999999991</v>
      </c>
    </row>
    <row r="194" spans="1:18" ht="15.75" customHeight="1" x14ac:dyDescent="0.3">
      <c r="A194" s="80" t="s">
        <v>182</v>
      </c>
      <c r="B194" s="82"/>
      <c r="C194" s="84" t="s">
        <v>184</v>
      </c>
      <c r="D194" s="86"/>
      <c r="E194" s="86"/>
      <c r="F194" s="86"/>
      <c r="G194" s="85"/>
      <c r="H194" s="77"/>
      <c r="I194" s="78"/>
      <c r="J194" s="79"/>
      <c r="L194" s="26">
        <v>48.341999999999999</v>
      </c>
      <c r="M194" s="26">
        <v>6.96</v>
      </c>
      <c r="N194" s="26">
        <v>3.7869999999999999</v>
      </c>
      <c r="O194" s="26">
        <v>8.4749999999999996</v>
      </c>
      <c r="P194" s="26">
        <v>10.763999999999999</v>
      </c>
      <c r="Q194" s="27">
        <f>(L194+M194+N194)*P194</f>
        <v>636.033996</v>
      </c>
      <c r="R194" s="27">
        <f>O194*P194</f>
        <v>91.224899999999991</v>
      </c>
    </row>
    <row r="195" spans="1:18" ht="15.75" customHeight="1" x14ac:dyDescent="0.3">
      <c r="A195" s="80" t="s">
        <v>183</v>
      </c>
      <c r="B195" s="82"/>
      <c r="C195" s="25" t="s">
        <v>159</v>
      </c>
      <c r="D195" s="73">
        <f>Q195</f>
        <v>680.91987599999993</v>
      </c>
      <c r="E195" s="73"/>
      <c r="F195" s="25">
        <f t="shared" si="1"/>
        <v>93.646799999999985</v>
      </c>
      <c r="G195" s="25">
        <f>D195*1.55+F195</f>
        <v>1149.0726078</v>
      </c>
      <c r="H195" s="80"/>
      <c r="I195" s="81"/>
      <c r="J195" s="82"/>
      <c r="L195" s="26">
        <v>51.936999999999998</v>
      </c>
      <c r="M195" s="26">
        <v>7.31</v>
      </c>
      <c r="N195" s="26">
        <v>4.0119999999999996</v>
      </c>
      <c r="O195" s="26">
        <v>8.6999999999999993</v>
      </c>
      <c r="P195" s="26">
        <v>10.763999999999999</v>
      </c>
      <c r="Q195" s="27">
        <f>(L195+M195+N195)*P195</f>
        <v>680.91987599999993</v>
      </c>
      <c r="R195" s="27">
        <f>O195*P195</f>
        <v>93.646799999999985</v>
      </c>
    </row>
    <row r="196" spans="1:18" ht="15" x14ac:dyDescent="0.3">
      <c r="A196" s="83" t="s">
        <v>170</v>
      </c>
      <c r="B196" s="83"/>
      <c r="C196" s="83"/>
      <c r="D196" s="83"/>
      <c r="E196" s="83"/>
      <c r="F196" s="83"/>
      <c r="G196" s="83"/>
      <c r="H196" s="83"/>
      <c r="I196" s="83"/>
      <c r="J196" s="83"/>
      <c r="L196" s="32" t="s">
        <v>166</v>
      </c>
      <c r="M196" s="32" t="s">
        <v>90</v>
      </c>
      <c r="N196" s="32" t="s">
        <v>91</v>
      </c>
      <c r="O196" s="32" t="s">
        <v>167</v>
      </c>
      <c r="P196" s="32"/>
      <c r="Q196" s="33" t="s">
        <v>168</v>
      </c>
      <c r="R196" s="27" t="s">
        <v>169</v>
      </c>
    </row>
    <row r="197" spans="1:18" ht="15.75" customHeight="1" x14ac:dyDescent="0.3">
      <c r="A197" s="80">
        <v>1301</v>
      </c>
      <c r="B197" s="82"/>
      <c r="C197" s="25" t="s">
        <v>159</v>
      </c>
      <c r="D197" s="73">
        <f>Q197</f>
        <v>701.15619599999991</v>
      </c>
      <c r="E197" s="73"/>
      <c r="F197" s="25">
        <f t="shared" si="1"/>
        <v>108.98549999999999</v>
      </c>
      <c r="G197" s="25">
        <f>D197*1.55+F197</f>
        <v>1195.7776038</v>
      </c>
      <c r="H197" s="74" t="str">
        <f>A196</f>
        <v>13th Floor (Part Refuge Area)</v>
      </c>
      <c r="I197" s="75"/>
      <c r="J197" s="76"/>
      <c r="L197" s="26">
        <v>51.936999999999998</v>
      </c>
      <c r="M197" s="26">
        <v>6.19</v>
      </c>
      <c r="N197" s="26">
        <v>7.0119999999999996</v>
      </c>
      <c r="O197" s="26">
        <v>10.125</v>
      </c>
      <c r="P197" s="26">
        <v>10.763999999999999</v>
      </c>
      <c r="Q197" s="27">
        <f>(L197+M197+N197)*P197</f>
        <v>701.15619599999991</v>
      </c>
      <c r="R197" s="27">
        <f>O197*P197</f>
        <v>108.98549999999999</v>
      </c>
    </row>
    <row r="198" spans="1:18" ht="15.75" customHeight="1" x14ac:dyDescent="0.3">
      <c r="A198" s="80">
        <v>1302</v>
      </c>
      <c r="B198" s="82"/>
      <c r="C198" s="25" t="s">
        <v>159</v>
      </c>
      <c r="D198" s="73">
        <f>Q198</f>
        <v>643.46115599999996</v>
      </c>
      <c r="E198" s="73"/>
      <c r="F198" s="25">
        <f t="shared" si="1"/>
        <v>88.802999999999997</v>
      </c>
      <c r="G198" s="25">
        <f>D198*1.55+F198</f>
        <v>1086.1677918</v>
      </c>
      <c r="H198" s="77"/>
      <c r="I198" s="78"/>
      <c r="J198" s="79"/>
      <c r="L198" s="26">
        <v>48.341999999999999</v>
      </c>
      <c r="M198" s="26">
        <v>7.2</v>
      </c>
      <c r="N198" s="26">
        <v>4.2370000000000001</v>
      </c>
      <c r="O198" s="26">
        <v>8.25</v>
      </c>
      <c r="P198" s="26">
        <v>10.763999999999999</v>
      </c>
      <c r="Q198" s="27">
        <f>(L198+M198+N198)*P198</f>
        <v>643.46115599999996</v>
      </c>
      <c r="R198" s="27">
        <f>O198*P198</f>
        <v>88.802999999999997</v>
      </c>
    </row>
    <row r="199" spans="1:18" ht="15.75" customHeight="1" x14ac:dyDescent="0.3">
      <c r="A199" s="80">
        <v>1303</v>
      </c>
      <c r="B199" s="82"/>
      <c r="C199" s="84" t="s">
        <v>184</v>
      </c>
      <c r="D199" s="86"/>
      <c r="E199" s="86"/>
      <c r="F199" s="86"/>
      <c r="G199" s="85"/>
      <c r="H199" s="77"/>
      <c r="I199" s="78"/>
      <c r="J199" s="79"/>
      <c r="L199" s="26">
        <v>48.341999999999999</v>
      </c>
      <c r="M199" s="26">
        <v>7.2</v>
      </c>
      <c r="N199" s="26">
        <v>4.2370000000000001</v>
      </c>
      <c r="O199" s="26">
        <v>8.25</v>
      </c>
      <c r="P199" s="26">
        <v>10.763999999999999</v>
      </c>
      <c r="Q199" s="27">
        <f>(L199+M199+N199)*P199</f>
        <v>643.46115599999996</v>
      </c>
      <c r="R199" s="27">
        <f>O199*P199</f>
        <v>88.802999999999997</v>
      </c>
    </row>
    <row r="200" spans="1:18" ht="15.75" customHeight="1" x14ac:dyDescent="0.3">
      <c r="A200" s="80">
        <v>1304</v>
      </c>
      <c r="B200" s="82"/>
      <c r="C200" s="25" t="s">
        <v>159</v>
      </c>
      <c r="D200" s="73">
        <f>Q200</f>
        <v>701.15619599999991</v>
      </c>
      <c r="E200" s="73"/>
      <c r="F200" s="25">
        <f t="shared" si="1"/>
        <v>108.98549999999999</v>
      </c>
      <c r="G200" s="25">
        <f>D200*1.55+F200</f>
        <v>1195.7776038</v>
      </c>
      <c r="H200" s="80"/>
      <c r="I200" s="81"/>
      <c r="J200" s="82"/>
      <c r="L200" s="26">
        <v>51.936999999999998</v>
      </c>
      <c r="M200" s="26">
        <v>6.19</v>
      </c>
      <c r="N200" s="26">
        <v>7.0119999999999996</v>
      </c>
      <c r="O200" s="26">
        <v>10.125</v>
      </c>
      <c r="P200" s="26">
        <v>10.763999999999999</v>
      </c>
      <c r="Q200" s="27">
        <f>(L200+M200+N200)*P200</f>
        <v>701.15619599999991</v>
      </c>
      <c r="R200" s="27">
        <f>O200*P200</f>
        <v>108.98549999999999</v>
      </c>
    </row>
    <row r="201" spans="1:18" ht="15" x14ac:dyDescent="0.3">
      <c r="A201" s="87" t="s">
        <v>163</v>
      </c>
      <c r="B201" s="88"/>
      <c r="C201" s="88"/>
      <c r="D201" s="88"/>
      <c r="E201" s="88"/>
      <c r="F201" s="88"/>
      <c r="G201" s="88"/>
      <c r="H201" s="88"/>
      <c r="I201" s="88"/>
      <c r="J201" s="89"/>
    </row>
    <row r="202" spans="1:18" ht="15" x14ac:dyDescent="0.3">
      <c r="A202" s="87" t="s">
        <v>155</v>
      </c>
      <c r="B202" s="88"/>
      <c r="C202" s="88"/>
      <c r="D202" s="88"/>
      <c r="E202" s="88"/>
      <c r="F202" s="88"/>
      <c r="G202" s="88"/>
      <c r="H202" s="88"/>
      <c r="I202" s="88"/>
      <c r="J202" s="89"/>
    </row>
    <row r="203" spans="1:18" ht="15" x14ac:dyDescent="0.3">
      <c r="A203" s="87" t="s">
        <v>157</v>
      </c>
      <c r="B203" s="88"/>
      <c r="C203" s="88"/>
      <c r="D203" s="88"/>
      <c r="E203" s="88"/>
      <c r="F203" s="88"/>
      <c r="G203" s="88"/>
      <c r="H203" s="88"/>
      <c r="I203" s="88"/>
      <c r="J203" s="89"/>
    </row>
    <row r="204" spans="1:18" ht="15.75" customHeight="1" x14ac:dyDescent="0.3">
      <c r="A204" s="84">
        <v>103</v>
      </c>
      <c r="B204" s="85"/>
      <c r="C204" s="25" t="s">
        <v>159</v>
      </c>
      <c r="D204" s="84">
        <v>681</v>
      </c>
      <c r="E204" s="85"/>
      <c r="F204" s="25">
        <f>88</f>
        <v>88</v>
      </c>
      <c r="G204" s="25">
        <f>D204*1.55+F204</f>
        <v>1143.55</v>
      </c>
      <c r="H204" s="74" t="str">
        <f>A203</f>
        <v>1st Floor For Residential &amp; Amenities</v>
      </c>
      <c r="I204" s="75"/>
      <c r="J204" s="76"/>
      <c r="L204" s="25" t="s">
        <v>159</v>
      </c>
      <c r="M204" s="84">
        <v>681</v>
      </c>
      <c r="N204" s="85"/>
      <c r="O204" s="25">
        <f>88</f>
        <v>88</v>
      </c>
      <c r="P204" s="25">
        <f>M204*1.5+O204</f>
        <v>1109.5</v>
      </c>
    </row>
    <row r="205" spans="1:18" ht="15.5" x14ac:dyDescent="0.3">
      <c r="A205" s="84">
        <v>104</v>
      </c>
      <c r="B205" s="85"/>
      <c r="C205" s="25" t="s">
        <v>158</v>
      </c>
      <c r="D205" s="84">
        <v>953</v>
      </c>
      <c r="E205" s="85"/>
      <c r="F205" s="25">
        <f>54</f>
        <v>54</v>
      </c>
      <c r="G205" s="25">
        <f>D205*1.55+F205</f>
        <v>1531.15</v>
      </c>
      <c r="H205" s="80"/>
      <c r="I205" s="81"/>
      <c r="J205" s="82"/>
    </row>
    <row r="206" spans="1:18" ht="15" x14ac:dyDescent="0.3">
      <c r="A206" s="83" t="s">
        <v>165</v>
      </c>
      <c r="B206" s="83"/>
      <c r="C206" s="83"/>
      <c r="D206" s="83"/>
      <c r="E206" s="83"/>
      <c r="F206" s="83"/>
      <c r="G206" s="83"/>
      <c r="H206" s="83"/>
      <c r="I206" s="83"/>
      <c r="J206" s="83"/>
      <c r="L206" s="32" t="s">
        <v>166</v>
      </c>
      <c r="M206" s="32" t="s">
        <v>90</v>
      </c>
      <c r="N206" s="32" t="s">
        <v>91</v>
      </c>
      <c r="O206" s="32" t="s">
        <v>167</v>
      </c>
      <c r="P206" s="32"/>
      <c r="Q206" s="33" t="s">
        <v>168</v>
      </c>
      <c r="R206" s="27" t="s">
        <v>169</v>
      </c>
    </row>
    <row r="207" spans="1:18" ht="15.75" customHeight="1" x14ac:dyDescent="0.3">
      <c r="A207" s="84" t="s">
        <v>172</v>
      </c>
      <c r="B207" s="85"/>
      <c r="C207" s="25" t="s">
        <v>158</v>
      </c>
      <c r="D207" s="73">
        <f>Q207</f>
        <v>924.53072399999985</v>
      </c>
      <c r="E207" s="73"/>
      <c r="F207" s="25">
        <f>R207</f>
        <v>114.6366</v>
      </c>
      <c r="G207" s="25">
        <f>D207*1.55+F207</f>
        <v>1547.6592221999999</v>
      </c>
      <c r="H207" s="74" t="str">
        <f>A206</f>
        <v>2nd, 4th, 6th, 10th, 12th, 14th, 16th Floor</v>
      </c>
      <c r="I207" s="75"/>
      <c r="J207" s="76"/>
      <c r="L207" s="26">
        <v>72.838999999999999</v>
      </c>
      <c r="M207" s="26">
        <v>6.19</v>
      </c>
      <c r="N207" s="26">
        <v>6.8620000000000001</v>
      </c>
      <c r="O207" s="26">
        <v>10.65</v>
      </c>
      <c r="P207" s="26">
        <v>10.763999999999999</v>
      </c>
      <c r="Q207" s="27">
        <f>(L207+M207+N207)*P207</f>
        <v>924.53072399999985</v>
      </c>
      <c r="R207" s="27">
        <f>O207*P207</f>
        <v>114.6366</v>
      </c>
    </row>
    <row r="208" spans="1:18" ht="15.5" x14ac:dyDescent="0.3">
      <c r="A208" s="84" t="s">
        <v>173</v>
      </c>
      <c r="B208" s="85"/>
      <c r="C208" s="25" t="s">
        <v>159</v>
      </c>
      <c r="D208" s="73">
        <f>Q208</f>
        <v>679.73583599999995</v>
      </c>
      <c r="E208" s="73"/>
      <c r="F208" s="25">
        <f>R208</f>
        <v>93.646799999999985</v>
      </c>
      <c r="G208" s="25">
        <f>D208*1.55+F208</f>
        <v>1147.2373458</v>
      </c>
      <c r="H208" s="77"/>
      <c r="I208" s="78"/>
      <c r="J208" s="79"/>
      <c r="L208" s="26">
        <v>51.936999999999998</v>
      </c>
      <c r="M208" s="26">
        <v>7.2</v>
      </c>
      <c r="N208" s="26">
        <v>4.0119999999999996</v>
      </c>
      <c r="O208" s="26">
        <v>8.6999999999999993</v>
      </c>
      <c r="P208" s="26">
        <v>10.763999999999999</v>
      </c>
      <c r="Q208" s="27">
        <f>(L208+M208+N208)*P208</f>
        <v>679.73583599999995</v>
      </c>
      <c r="R208" s="27">
        <f>O208*P208</f>
        <v>93.646799999999985</v>
      </c>
    </row>
    <row r="209" spans="1:19" ht="15.5" x14ac:dyDescent="0.3">
      <c r="A209" s="84" t="s">
        <v>174</v>
      </c>
      <c r="B209" s="85"/>
      <c r="C209" s="25" t="s">
        <v>159</v>
      </c>
      <c r="D209" s="73">
        <f>Q209</f>
        <v>679.73583599999995</v>
      </c>
      <c r="E209" s="73"/>
      <c r="F209" s="25">
        <f>R209</f>
        <v>93.646799999999985</v>
      </c>
      <c r="G209" s="25">
        <f>D209*1.55+F209</f>
        <v>1147.2373458</v>
      </c>
      <c r="H209" s="77"/>
      <c r="I209" s="78"/>
      <c r="J209" s="79"/>
      <c r="L209" s="26">
        <v>51.936999999999998</v>
      </c>
      <c r="M209" s="26">
        <v>7.2</v>
      </c>
      <c r="N209" s="26">
        <v>4.0119999999999996</v>
      </c>
      <c r="O209" s="26">
        <v>8.6999999999999993</v>
      </c>
      <c r="P209" s="26">
        <v>10.763999999999999</v>
      </c>
      <c r="Q209" s="27">
        <f>(L209+M209+N209)*P209</f>
        <v>679.73583599999995</v>
      </c>
      <c r="R209" s="27">
        <f>O209*P209</f>
        <v>93.646799999999985</v>
      </c>
    </row>
    <row r="210" spans="1:19" ht="15.5" x14ac:dyDescent="0.3">
      <c r="A210" s="80" t="s">
        <v>175</v>
      </c>
      <c r="B210" s="82"/>
      <c r="C210" s="25" t="s">
        <v>158</v>
      </c>
      <c r="D210" s="73">
        <f>Q210</f>
        <v>924.53072399999985</v>
      </c>
      <c r="E210" s="73"/>
      <c r="F210" s="25">
        <f>R210</f>
        <v>114.6366</v>
      </c>
      <c r="G210" s="25">
        <f>D210*1.55+F210</f>
        <v>1547.6592221999999</v>
      </c>
      <c r="H210" s="80"/>
      <c r="I210" s="81"/>
      <c r="J210" s="82"/>
      <c r="L210" s="26">
        <v>72.838999999999999</v>
      </c>
      <c r="M210" s="26">
        <v>6.19</v>
      </c>
      <c r="N210" s="26">
        <v>6.8620000000000001</v>
      </c>
      <c r="O210" s="26">
        <v>10.65</v>
      </c>
      <c r="P210" s="26">
        <v>10.763999999999999</v>
      </c>
      <c r="Q210" s="27">
        <f>(L210+M210+N210)*P210</f>
        <v>924.53072399999985</v>
      </c>
      <c r="R210" s="27">
        <f>O210*P210</f>
        <v>114.6366</v>
      </c>
    </row>
    <row r="211" spans="1:19" ht="15" x14ac:dyDescent="0.3">
      <c r="A211" s="83" t="s">
        <v>164</v>
      </c>
      <c r="B211" s="83"/>
      <c r="C211" s="83"/>
      <c r="D211" s="83"/>
      <c r="E211" s="83"/>
      <c r="F211" s="83"/>
      <c r="G211" s="83"/>
      <c r="H211" s="83"/>
      <c r="I211" s="83"/>
      <c r="J211" s="83"/>
      <c r="L211" s="32" t="s">
        <v>166</v>
      </c>
      <c r="M211" s="32" t="s">
        <v>90</v>
      </c>
      <c r="N211" s="32" t="s">
        <v>91</v>
      </c>
      <c r="O211" s="32" t="s">
        <v>167</v>
      </c>
      <c r="P211" s="32"/>
      <c r="Q211" s="33" t="s">
        <v>168</v>
      </c>
      <c r="R211" s="27" t="s">
        <v>169</v>
      </c>
    </row>
    <row r="212" spans="1:19" ht="15.75" customHeight="1" x14ac:dyDescent="0.3">
      <c r="A212" s="80" t="s">
        <v>176</v>
      </c>
      <c r="B212" s="82"/>
      <c r="C212" s="25" t="s">
        <v>158</v>
      </c>
      <c r="D212" s="73">
        <f>Q212</f>
        <v>926.14532399999996</v>
      </c>
      <c r="E212" s="73"/>
      <c r="F212" s="25">
        <f t="shared" ref="F212:F218" si="2">R212</f>
        <v>108.98549999999999</v>
      </c>
      <c r="G212" s="25">
        <f>D212*1.55+F212</f>
        <v>1544.5107522000001</v>
      </c>
      <c r="H212" s="74" t="str">
        <f>A211</f>
        <v>3rd, 5th, 7th, 9th, 11th, 15th 17th &amp; 19th Floor</v>
      </c>
      <c r="I212" s="75"/>
      <c r="J212" s="76"/>
      <c r="L212" s="26">
        <v>72.838999999999999</v>
      </c>
      <c r="M212" s="26">
        <v>6.19</v>
      </c>
      <c r="N212" s="26">
        <v>7.0119999999999996</v>
      </c>
      <c r="O212" s="26">
        <v>10.125</v>
      </c>
      <c r="P212" s="26">
        <v>10.763999999999999</v>
      </c>
      <c r="Q212" s="27">
        <f>(L212+M212+N212)*P212</f>
        <v>926.14532399999996</v>
      </c>
      <c r="R212" s="27">
        <f>O212*P212</f>
        <v>108.98549999999999</v>
      </c>
    </row>
    <row r="213" spans="1:19" ht="15.5" x14ac:dyDescent="0.3">
      <c r="A213" s="80" t="s">
        <v>177</v>
      </c>
      <c r="B213" s="82"/>
      <c r="C213" s="15" t="s">
        <v>159</v>
      </c>
      <c r="D213" s="73">
        <f>Q213</f>
        <v>682.157736</v>
      </c>
      <c r="E213" s="73"/>
      <c r="F213" s="25">
        <f t="shared" si="2"/>
        <v>88.802999999999997</v>
      </c>
      <c r="G213" s="25">
        <f>D213*1.55+F213</f>
        <v>1146.1474908</v>
      </c>
      <c r="H213" s="77"/>
      <c r="I213" s="78"/>
      <c r="J213" s="79"/>
      <c r="L213" s="26">
        <v>51.936999999999998</v>
      </c>
      <c r="M213" s="26">
        <v>7.2</v>
      </c>
      <c r="N213" s="26">
        <v>4.2370000000000001</v>
      </c>
      <c r="O213" s="26">
        <v>8.25</v>
      </c>
      <c r="P213" s="26">
        <v>10.763999999999999</v>
      </c>
      <c r="Q213" s="27">
        <f>(L213+M213+N213)*P213</f>
        <v>682.157736</v>
      </c>
      <c r="R213" s="27">
        <f>O213*P213</f>
        <v>88.802999999999997</v>
      </c>
    </row>
    <row r="214" spans="1:19" ht="15.5" x14ac:dyDescent="0.3">
      <c r="A214" s="80" t="s">
        <v>178</v>
      </c>
      <c r="B214" s="82"/>
      <c r="C214" s="15" t="s">
        <v>159</v>
      </c>
      <c r="D214" s="73">
        <f>Q214</f>
        <v>682.157736</v>
      </c>
      <c r="E214" s="73"/>
      <c r="F214" s="25">
        <f t="shared" si="2"/>
        <v>88.802999999999997</v>
      </c>
      <c r="G214" s="25">
        <f>D214*1.55+F214</f>
        <v>1146.1474908</v>
      </c>
      <c r="H214" s="77"/>
      <c r="I214" s="78"/>
      <c r="J214" s="79"/>
      <c r="L214" s="26">
        <v>51.936999999999998</v>
      </c>
      <c r="M214" s="26">
        <v>7.2</v>
      </c>
      <c r="N214" s="26">
        <v>4.2370000000000001</v>
      </c>
      <c r="O214" s="26">
        <v>8.25</v>
      </c>
      <c r="P214" s="26">
        <v>10.763999999999999</v>
      </c>
      <c r="Q214" s="27">
        <f>(L214+M214+N214)*P214</f>
        <v>682.157736</v>
      </c>
      <c r="R214" s="27">
        <f>O214*P214</f>
        <v>88.802999999999997</v>
      </c>
    </row>
    <row r="215" spans="1:19" ht="15.5" x14ac:dyDescent="0.3">
      <c r="A215" s="80" t="s">
        <v>179</v>
      </c>
      <c r="B215" s="82"/>
      <c r="C215" s="25" t="s">
        <v>158</v>
      </c>
      <c r="D215" s="73">
        <f>Q215</f>
        <v>926.14532399999996</v>
      </c>
      <c r="E215" s="73"/>
      <c r="F215" s="25">
        <f t="shared" si="2"/>
        <v>108.98549999999999</v>
      </c>
      <c r="G215" s="25">
        <f>D215*1.55+F215</f>
        <v>1544.5107522000001</v>
      </c>
      <c r="H215" s="80"/>
      <c r="I215" s="81"/>
      <c r="J215" s="82"/>
      <c r="L215" s="26">
        <v>72.838999999999999</v>
      </c>
      <c r="M215" s="26">
        <v>6.19</v>
      </c>
      <c r="N215" s="26">
        <v>7.0119999999999996</v>
      </c>
      <c r="O215" s="26">
        <v>10.125</v>
      </c>
      <c r="P215" s="26">
        <v>10.763999999999999</v>
      </c>
      <c r="Q215" s="27">
        <f>(L215+M215+N215)*P215</f>
        <v>926.14532399999996</v>
      </c>
      <c r="R215" s="27">
        <f>O215*P215</f>
        <v>108.98549999999999</v>
      </c>
    </row>
    <row r="216" spans="1:19" ht="15" x14ac:dyDescent="0.3">
      <c r="A216" s="83" t="s">
        <v>171</v>
      </c>
      <c r="B216" s="83"/>
      <c r="C216" s="83"/>
      <c r="D216" s="83"/>
      <c r="E216" s="83"/>
      <c r="F216" s="83"/>
      <c r="G216" s="83"/>
      <c r="H216" s="83"/>
      <c r="I216" s="83"/>
      <c r="J216" s="83"/>
      <c r="L216" s="32" t="s">
        <v>166</v>
      </c>
      <c r="M216" s="32" t="s">
        <v>90</v>
      </c>
      <c r="N216" s="32" t="s">
        <v>91</v>
      </c>
      <c r="O216" s="32" t="s">
        <v>167</v>
      </c>
      <c r="P216" s="32"/>
      <c r="Q216" s="33" t="s">
        <v>168</v>
      </c>
      <c r="R216" s="27" t="s">
        <v>169</v>
      </c>
    </row>
    <row r="217" spans="1:19" ht="15.75" customHeight="1" x14ac:dyDescent="0.3">
      <c r="A217" s="80" t="s">
        <v>180</v>
      </c>
      <c r="B217" s="82"/>
      <c r="C217" s="25" t="s">
        <v>158</v>
      </c>
      <c r="D217" s="73">
        <f>Q217</f>
        <v>924.53072399999985</v>
      </c>
      <c r="E217" s="73"/>
      <c r="F217" s="25">
        <f t="shared" si="2"/>
        <v>114.6366</v>
      </c>
      <c r="G217" s="25">
        <f>D217*1.55+F217</f>
        <v>1547.6592221999999</v>
      </c>
      <c r="H217" s="74" t="str">
        <f>A216</f>
        <v>8th &amp; 18th Floor  (Part Refuge Area)</v>
      </c>
      <c r="I217" s="75"/>
      <c r="J217" s="76"/>
      <c r="L217" s="26">
        <v>72.838999999999999</v>
      </c>
      <c r="M217" s="26">
        <v>6.19</v>
      </c>
      <c r="N217" s="26">
        <v>6.8620000000000001</v>
      </c>
      <c r="O217" s="26">
        <v>10.65</v>
      </c>
      <c r="P217" s="26">
        <v>10.763999999999999</v>
      </c>
      <c r="Q217" s="27">
        <f>(L217+M217+N217)*P217</f>
        <v>924.53072399999985</v>
      </c>
      <c r="R217" s="27">
        <f>O217*P217</f>
        <v>114.6366</v>
      </c>
      <c r="S217" s="26">
        <f>11400000/G217</f>
        <v>7365.962633424484</v>
      </c>
    </row>
    <row r="218" spans="1:19" ht="15.5" x14ac:dyDescent="0.3">
      <c r="A218" s="80" t="s">
        <v>181</v>
      </c>
      <c r="B218" s="82"/>
      <c r="C218" s="15" t="s">
        <v>159</v>
      </c>
      <c r="D218" s="73">
        <f>Q218</f>
        <v>679.73583599999995</v>
      </c>
      <c r="E218" s="73"/>
      <c r="F218" s="25">
        <f t="shared" si="2"/>
        <v>93.646799999999985</v>
      </c>
      <c r="G218" s="25">
        <f>D218*1.55+F218</f>
        <v>1147.2373458</v>
      </c>
      <c r="H218" s="77"/>
      <c r="I218" s="78"/>
      <c r="J218" s="79"/>
      <c r="L218" s="26">
        <v>51.936999999999998</v>
      </c>
      <c r="M218" s="26">
        <v>7.2</v>
      </c>
      <c r="N218" s="26">
        <v>4.0119999999999996</v>
      </c>
      <c r="O218" s="26">
        <v>8.6999999999999993</v>
      </c>
      <c r="P218" s="26">
        <v>10.763999999999999</v>
      </c>
      <c r="Q218" s="27">
        <f>(L218+M218+N218)*P218</f>
        <v>679.73583599999995</v>
      </c>
      <c r="R218" s="27">
        <f>O218*P218</f>
        <v>93.646799999999985</v>
      </c>
    </row>
    <row r="219" spans="1:19" ht="15.5" x14ac:dyDescent="0.3">
      <c r="A219" s="80" t="s">
        <v>182</v>
      </c>
      <c r="B219" s="82"/>
      <c r="C219" s="84" t="s">
        <v>184</v>
      </c>
      <c r="D219" s="86"/>
      <c r="E219" s="86"/>
      <c r="F219" s="86"/>
      <c r="G219" s="85"/>
      <c r="H219" s="77"/>
      <c r="I219" s="78"/>
      <c r="J219" s="79"/>
      <c r="L219" s="26">
        <v>51.936999999999998</v>
      </c>
      <c r="M219" s="26">
        <v>7.2</v>
      </c>
      <c r="N219" s="26">
        <v>4.0119999999999996</v>
      </c>
      <c r="O219" s="26">
        <v>8.6999999999999993</v>
      </c>
      <c r="P219" s="26">
        <v>10.763999999999999</v>
      </c>
      <c r="Q219" s="27">
        <f>(L219+M219+N219)*P219</f>
        <v>679.73583599999995</v>
      </c>
      <c r="R219" s="27">
        <f>O219*P219</f>
        <v>93.646799999999985</v>
      </c>
    </row>
    <row r="220" spans="1:19" ht="15.5" x14ac:dyDescent="0.3">
      <c r="A220" s="80" t="s">
        <v>183</v>
      </c>
      <c r="B220" s="82"/>
      <c r="C220" s="53" t="s">
        <v>158</v>
      </c>
      <c r="D220" s="73">
        <f>Q220</f>
        <v>924.53072399999985</v>
      </c>
      <c r="E220" s="73"/>
      <c r="F220" s="53">
        <f>R220</f>
        <v>114.6366</v>
      </c>
      <c r="G220" s="53">
        <f>D220*1.55+F220</f>
        <v>1547.6592221999999</v>
      </c>
      <c r="H220" s="80"/>
      <c r="I220" s="81"/>
      <c r="J220" s="82"/>
      <c r="L220" s="26">
        <v>72.838999999999999</v>
      </c>
      <c r="M220" s="26">
        <v>6.19</v>
      </c>
      <c r="N220" s="26">
        <v>6.8620000000000001</v>
      </c>
      <c r="O220" s="26">
        <v>10.65</v>
      </c>
      <c r="P220" s="26">
        <v>10.763999999999999</v>
      </c>
      <c r="Q220" s="27">
        <f>(L220+M220+N220)*P220</f>
        <v>924.53072399999985</v>
      </c>
      <c r="R220" s="27">
        <f>O220*P220</f>
        <v>114.6366</v>
      </c>
    </row>
    <row r="221" spans="1:19" ht="15" x14ac:dyDescent="0.3">
      <c r="A221" s="83" t="s">
        <v>170</v>
      </c>
      <c r="B221" s="83"/>
      <c r="C221" s="83"/>
      <c r="D221" s="83"/>
      <c r="E221" s="83"/>
      <c r="F221" s="83"/>
      <c r="G221" s="83"/>
      <c r="H221" s="83"/>
      <c r="I221" s="83"/>
      <c r="J221" s="83"/>
      <c r="L221" s="32" t="s">
        <v>166</v>
      </c>
      <c r="M221" s="32" t="s">
        <v>90</v>
      </c>
      <c r="N221" s="32" t="s">
        <v>91</v>
      </c>
      <c r="O221" s="32" t="s">
        <v>167</v>
      </c>
      <c r="P221" s="32"/>
      <c r="Q221" s="33" t="s">
        <v>168</v>
      </c>
      <c r="R221" s="27" t="s">
        <v>169</v>
      </c>
    </row>
    <row r="222" spans="1:19" ht="15.75" customHeight="1" x14ac:dyDescent="0.3">
      <c r="A222" s="80">
        <v>1301</v>
      </c>
      <c r="B222" s="82"/>
      <c r="C222" s="25" t="s">
        <v>158</v>
      </c>
      <c r="D222" s="73">
        <f>Q222</f>
        <v>926.14532399999996</v>
      </c>
      <c r="E222" s="73"/>
      <c r="F222" s="25">
        <f>R222</f>
        <v>108.98549999999999</v>
      </c>
      <c r="G222" s="25">
        <f>D222*1.55+F222</f>
        <v>1544.5107522000001</v>
      </c>
      <c r="H222" s="74" t="str">
        <f>A221</f>
        <v>13th Floor (Part Refuge Area)</v>
      </c>
      <c r="I222" s="75"/>
      <c r="J222" s="76"/>
      <c r="L222" s="26">
        <v>72.838999999999999</v>
      </c>
      <c r="M222" s="26">
        <v>6.19</v>
      </c>
      <c r="N222" s="26">
        <v>7.0119999999999996</v>
      </c>
      <c r="O222" s="26">
        <v>10.125</v>
      </c>
      <c r="P222" s="26">
        <v>10.763999999999999</v>
      </c>
      <c r="Q222" s="27">
        <f>(L222+M222+N222)*P222</f>
        <v>926.14532399999996</v>
      </c>
      <c r="R222" s="27">
        <f>O222*P222</f>
        <v>108.98549999999999</v>
      </c>
      <c r="S222" s="26">
        <f>11400000/G222</f>
        <v>7380.9780759129371</v>
      </c>
    </row>
    <row r="223" spans="1:19" ht="15.5" x14ac:dyDescent="0.3">
      <c r="A223" s="80">
        <v>1302</v>
      </c>
      <c r="B223" s="82"/>
      <c r="C223" s="15" t="s">
        <v>159</v>
      </c>
      <c r="D223" s="73">
        <f>Q223</f>
        <v>682.157736</v>
      </c>
      <c r="E223" s="73"/>
      <c r="F223" s="25">
        <f>R223</f>
        <v>88.802999999999997</v>
      </c>
      <c r="G223" s="25">
        <f>D223*1.55+F223</f>
        <v>1146.1474908</v>
      </c>
      <c r="H223" s="77"/>
      <c r="I223" s="78"/>
      <c r="J223" s="79"/>
      <c r="L223" s="26">
        <v>51.936999999999998</v>
      </c>
      <c r="M223" s="26">
        <v>7.2</v>
      </c>
      <c r="N223" s="26">
        <v>4.2370000000000001</v>
      </c>
      <c r="O223" s="26">
        <v>8.25</v>
      </c>
      <c r="P223" s="26">
        <v>10.763999999999999</v>
      </c>
      <c r="Q223" s="27">
        <f>(L223+M223+N223)*P223</f>
        <v>682.157736</v>
      </c>
      <c r="R223" s="27">
        <f>O223*P223</f>
        <v>88.802999999999997</v>
      </c>
    </row>
    <row r="224" spans="1:19" ht="15.5" x14ac:dyDescent="0.3">
      <c r="A224" s="73">
        <v>1303</v>
      </c>
      <c r="B224" s="73"/>
      <c r="C224" s="84" t="s">
        <v>184</v>
      </c>
      <c r="D224" s="86"/>
      <c r="E224" s="86"/>
      <c r="F224" s="86"/>
      <c r="G224" s="85"/>
      <c r="H224" s="77"/>
      <c r="I224" s="78"/>
      <c r="J224" s="79"/>
      <c r="L224" s="26">
        <v>51.936999999999998</v>
      </c>
      <c r="M224" s="26">
        <v>7.2</v>
      </c>
      <c r="N224" s="26">
        <v>4.2370000000000001</v>
      </c>
      <c r="O224" s="26">
        <v>8.25</v>
      </c>
      <c r="P224" s="26">
        <v>10.763999999999999</v>
      </c>
      <c r="Q224" s="27">
        <f>(L224+M224+N224)*P224</f>
        <v>682.157736</v>
      </c>
      <c r="R224" s="27">
        <f>O224*P224</f>
        <v>88.802999999999997</v>
      </c>
    </row>
    <row r="225" spans="1:18" ht="15.5" x14ac:dyDescent="0.3">
      <c r="A225" s="73">
        <v>1304</v>
      </c>
      <c r="B225" s="73"/>
      <c r="C225" s="53" t="s">
        <v>158</v>
      </c>
      <c r="D225" s="73">
        <f>Q225</f>
        <v>926.14532399999996</v>
      </c>
      <c r="E225" s="73"/>
      <c r="F225" s="53">
        <f t="shared" ref="F225" si="3">R225</f>
        <v>108.98549999999999</v>
      </c>
      <c r="G225" s="53">
        <f>D225*1.55+F225</f>
        <v>1544.5107522000001</v>
      </c>
      <c r="H225" s="80"/>
      <c r="I225" s="81"/>
      <c r="J225" s="82"/>
      <c r="L225" s="26">
        <v>72.838999999999999</v>
      </c>
      <c r="M225" s="26">
        <v>6.19</v>
      </c>
      <c r="N225" s="26">
        <v>7.0119999999999996</v>
      </c>
      <c r="O225" s="26">
        <v>10.125</v>
      </c>
      <c r="P225" s="26">
        <v>10.763999999999999</v>
      </c>
      <c r="Q225" s="27">
        <f>(L225+M225+N225)*P225</f>
        <v>926.14532399999996</v>
      </c>
      <c r="R225" s="27">
        <f>O225*P225</f>
        <v>108.98549999999999</v>
      </c>
    </row>
    <row r="226" spans="1:18" ht="115.5" customHeight="1" x14ac:dyDescent="0.3">
      <c r="A226" s="128" t="s">
        <v>248</v>
      </c>
      <c r="B226" s="129"/>
      <c r="C226" s="129"/>
      <c r="D226" s="129"/>
      <c r="E226" s="129"/>
      <c r="F226" s="129"/>
      <c r="G226" s="129"/>
      <c r="H226" s="129"/>
      <c r="I226" s="129"/>
      <c r="J226" s="130"/>
    </row>
    <row r="227" spans="1:18" x14ac:dyDescent="0.3">
      <c r="A227" s="107" t="s">
        <v>120</v>
      </c>
      <c r="B227" s="108"/>
      <c r="C227" s="108"/>
      <c r="D227" s="108"/>
      <c r="E227" s="108"/>
      <c r="F227" s="108"/>
      <c r="G227" s="108"/>
      <c r="H227" s="108"/>
      <c r="I227" s="108"/>
      <c r="J227" s="109"/>
    </row>
    <row r="228" spans="1:18" x14ac:dyDescent="0.3">
      <c r="A228" s="110"/>
      <c r="B228" s="111"/>
      <c r="C228" s="111"/>
      <c r="D228" s="111"/>
      <c r="E228" s="111"/>
      <c r="F228" s="111"/>
      <c r="G228" s="111"/>
      <c r="H228" s="111"/>
      <c r="I228" s="111"/>
      <c r="J228" s="112"/>
    </row>
    <row r="229" spans="1:18" x14ac:dyDescent="0.3">
      <c r="A229" s="110"/>
      <c r="B229" s="111"/>
      <c r="C229" s="111"/>
      <c r="D229" s="111"/>
      <c r="E229" s="111"/>
      <c r="F229" s="111"/>
      <c r="G229" s="111"/>
      <c r="H229" s="111"/>
      <c r="I229" s="111"/>
      <c r="J229" s="112"/>
    </row>
    <row r="230" spans="1:18" x14ac:dyDescent="0.3">
      <c r="A230" s="113"/>
      <c r="B230" s="114"/>
      <c r="C230" s="114"/>
      <c r="D230" s="114"/>
      <c r="E230" s="114"/>
      <c r="F230" s="114"/>
      <c r="G230" s="114"/>
      <c r="H230" s="114"/>
      <c r="I230" s="114"/>
      <c r="J230" s="115"/>
    </row>
    <row r="231" spans="1:18" s="49" customFormat="1" ht="15" x14ac:dyDescent="0.3">
      <c r="A231" s="49" t="s">
        <v>115</v>
      </c>
      <c r="D231" s="49" t="str">
        <f>F8</f>
        <v>Prajapati Magnum</v>
      </c>
    </row>
    <row r="275" spans="1:1" s="49" customFormat="1" ht="15" x14ac:dyDescent="0.3">
      <c r="A275" s="49" t="s">
        <v>116</v>
      </c>
    </row>
  </sheetData>
  <mergeCells count="454">
    <mergeCell ref="D220:E220"/>
    <mergeCell ref="D225:E225"/>
    <mergeCell ref="F60:G69"/>
    <mergeCell ref="I55:J55"/>
    <mergeCell ref="A56:B56"/>
    <mergeCell ref="C56:J56"/>
    <mergeCell ref="D62:E62"/>
    <mergeCell ref="A63:B63"/>
    <mergeCell ref="D63:E63"/>
    <mergeCell ref="A64:B64"/>
    <mergeCell ref="D64:E64"/>
    <mergeCell ref="A65:B65"/>
    <mergeCell ref="D65:E65"/>
    <mergeCell ref="A59:B59"/>
    <mergeCell ref="D59:E59"/>
    <mergeCell ref="H59:J59"/>
    <mergeCell ref="A60:B60"/>
    <mergeCell ref="A57:B58"/>
    <mergeCell ref="C57:E58"/>
    <mergeCell ref="F57:G58"/>
    <mergeCell ref="H57:J58"/>
    <mergeCell ref="D60:E60"/>
    <mergeCell ref="D81:E81"/>
    <mergeCell ref="A85:J85"/>
    <mergeCell ref="A86:J86"/>
    <mergeCell ref="G90:J90"/>
    <mergeCell ref="G88:J88"/>
    <mergeCell ref="A90:F90"/>
    <mergeCell ref="G96:J96"/>
    <mergeCell ref="G94:J94"/>
    <mergeCell ref="A79:B79"/>
    <mergeCell ref="A74:B74"/>
    <mergeCell ref="D77:E77"/>
    <mergeCell ref="A78:B78"/>
    <mergeCell ref="D79:E79"/>
    <mergeCell ref="A92:F92"/>
    <mergeCell ref="A95:F95"/>
    <mergeCell ref="G95:J95"/>
    <mergeCell ref="A83:B83"/>
    <mergeCell ref="A81:B81"/>
    <mergeCell ref="D82:E82"/>
    <mergeCell ref="A80:B80"/>
    <mergeCell ref="D80:E80"/>
    <mergeCell ref="A136:J136"/>
    <mergeCell ref="A137:B137"/>
    <mergeCell ref="D137:E137"/>
    <mergeCell ref="A162:B162"/>
    <mergeCell ref="D162:E162"/>
    <mergeCell ref="C144:G144"/>
    <mergeCell ref="C149:G149"/>
    <mergeCell ref="H137:J140"/>
    <mergeCell ref="A129:B129"/>
    <mergeCell ref="H129:J130"/>
    <mergeCell ref="A134:B134"/>
    <mergeCell ref="D134:E134"/>
    <mergeCell ref="A138:B138"/>
    <mergeCell ref="D138:E138"/>
    <mergeCell ref="A139:B139"/>
    <mergeCell ref="D139:E139"/>
    <mergeCell ref="A140:B140"/>
    <mergeCell ref="D140:E140"/>
    <mergeCell ref="A152:J152"/>
    <mergeCell ref="A131:J131"/>
    <mergeCell ref="A132:B132"/>
    <mergeCell ref="D132:E132"/>
    <mergeCell ref="A133:B133"/>
    <mergeCell ref="D133:E133"/>
    <mergeCell ref="A109:B109"/>
    <mergeCell ref="D113:E113"/>
    <mergeCell ref="H112:J115"/>
    <mergeCell ref="A106:J106"/>
    <mergeCell ref="A107:B107"/>
    <mergeCell ref="D107:E107"/>
    <mergeCell ref="A98:J98"/>
    <mergeCell ref="D112:E112"/>
    <mergeCell ref="A113:B113"/>
    <mergeCell ref="D115:E115"/>
    <mergeCell ref="A111:J111"/>
    <mergeCell ref="A105:B105"/>
    <mergeCell ref="D105:E105"/>
    <mergeCell ref="D104:E104"/>
    <mergeCell ref="A112:B112"/>
    <mergeCell ref="H104:J105"/>
    <mergeCell ref="A101:J101"/>
    <mergeCell ref="A114:B114"/>
    <mergeCell ref="D114:E114"/>
    <mergeCell ref="A115:B115"/>
    <mergeCell ref="C199:G199"/>
    <mergeCell ref="D208:E208"/>
    <mergeCell ref="H197:J200"/>
    <mergeCell ref="A202:J202"/>
    <mergeCell ref="D200:E200"/>
    <mergeCell ref="A198:B198"/>
    <mergeCell ref="D198:E198"/>
    <mergeCell ref="A199:B199"/>
    <mergeCell ref="A200:B200"/>
    <mergeCell ref="A201:J201"/>
    <mergeCell ref="A197:B197"/>
    <mergeCell ref="D197:E197"/>
    <mergeCell ref="A209:B209"/>
    <mergeCell ref="D209:E209"/>
    <mergeCell ref="D217:E217"/>
    <mergeCell ref="A210:B210"/>
    <mergeCell ref="D210:E210"/>
    <mergeCell ref="D204:E204"/>
    <mergeCell ref="A205:B205"/>
    <mergeCell ref="D205:E205"/>
    <mergeCell ref="A206:J206"/>
    <mergeCell ref="A217:B217"/>
    <mergeCell ref="A207:B207"/>
    <mergeCell ref="D207:E207"/>
    <mergeCell ref="A208:B208"/>
    <mergeCell ref="H132:J135"/>
    <mergeCell ref="A135:B135"/>
    <mergeCell ref="D135:E135"/>
    <mergeCell ref="A141:J141"/>
    <mergeCell ref="H142:J145"/>
    <mergeCell ref="A203:J203"/>
    <mergeCell ref="A124:B124"/>
    <mergeCell ref="A130:B130"/>
    <mergeCell ref="D130:E130"/>
    <mergeCell ref="A126:J126"/>
    <mergeCell ref="A127:J127"/>
    <mergeCell ref="A128:J128"/>
    <mergeCell ref="H122:J125"/>
    <mergeCell ref="A194:B194"/>
    <mergeCell ref="D192:E192"/>
    <mergeCell ref="A149:B149"/>
    <mergeCell ref="D164:E164"/>
    <mergeCell ref="H192:J195"/>
    <mergeCell ref="C194:G194"/>
    <mergeCell ref="A195:B195"/>
    <mergeCell ref="D195:E195"/>
    <mergeCell ref="A159:B159"/>
    <mergeCell ref="A168:B168"/>
    <mergeCell ref="D168:E168"/>
    <mergeCell ref="C120:G120"/>
    <mergeCell ref="H117:J120"/>
    <mergeCell ref="D129:E129"/>
    <mergeCell ref="C125:G125"/>
    <mergeCell ref="A123:B123"/>
    <mergeCell ref="A119:B119"/>
    <mergeCell ref="D119:E119"/>
    <mergeCell ref="A120:B120"/>
    <mergeCell ref="A121:J121"/>
    <mergeCell ref="D124:E124"/>
    <mergeCell ref="A125:B125"/>
    <mergeCell ref="A117:B117"/>
    <mergeCell ref="D117:E117"/>
    <mergeCell ref="D123:E123"/>
    <mergeCell ref="A122:B122"/>
    <mergeCell ref="D122:E122"/>
    <mergeCell ref="A118:B118"/>
    <mergeCell ref="A116:J116"/>
    <mergeCell ref="D118:E118"/>
    <mergeCell ref="H48:J48"/>
    <mergeCell ref="A49:J49"/>
    <mergeCell ref="C51:J51"/>
    <mergeCell ref="A70:B70"/>
    <mergeCell ref="A54:B54"/>
    <mergeCell ref="C54:J54"/>
    <mergeCell ref="E55:F55"/>
    <mergeCell ref="C70:J70"/>
    <mergeCell ref="G92:J92"/>
    <mergeCell ref="A93:F93"/>
    <mergeCell ref="G93:J93"/>
    <mergeCell ref="G89:J89"/>
    <mergeCell ref="A87:J87"/>
    <mergeCell ref="A88:F88"/>
    <mergeCell ref="A108:B108"/>
    <mergeCell ref="D108:E108"/>
    <mergeCell ref="A94:F94"/>
    <mergeCell ref="D109:E109"/>
    <mergeCell ref="H107:J110"/>
    <mergeCell ref="A110:B110"/>
    <mergeCell ref="D110:E110"/>
    <mergeCell ref="D83:E83"/>
    <mergeCell ref="A66:B66"/>
    <mergeCell ref="A67:B67"/>
    <mergeCell ref="D67:E67"/>
    <mergeCell ref="A68:B68"/>
    <mergeCell ref="D68:E68"/>
    <mergeCell ref="A69:B69"/>
    <mergeCell ref="D69:E69"/>
    <mergeCell ref="D66:E66"/>
    <mergeCell ref="A72:B72"/>
    <mergeCell ref="C72:J72"/>
    <mergeCell ref="E71:F71"/>
    <mergeCell ref="H73:J73"/>
    <mergeCell ref="D78:E78"/>
    <mergeCell ref="A82:B82"/>
    <mergeCell ref="I71:J71"/>
    <mergeCell ref="A35:J36"/>
    <mergeCell ref="A32:B32"/>
    <mergeCell ref="I28:J28"/>
    <mergeCell ref="A27:B27"/>
    <mergeCell ref="A23:E23"/>
    <mergeCell ref="H60:J69"/>
    <mergeCell ref="A61:B61"/>
    <mergeCell ref="D61:E61"/>
    <mergeCell ref="A62:B62"/>
    <mergeCell ref="A45:B45"/>
    <mergeCell ref="H44:J44"/>
    <mergeCell ref="A48:C48"/>
    <mergeCell ref="I50:J50"/>
    <mergeCell ref="H47:J47"/>
    <mergeCell ref="F39:J39"/>
    <mergeCell ref="A46:B46"/>
    <mergeCell ref="H45:J45"/>
    <mergeCell ref="A39:E39"/>
    <mergeCell ref="A40:E40"/>
    <mergeCell ref="A24:E24"/>
    <mergeCell ref="A8:E8"/>
    <mergeCell ref="A21:E22"/>
    <mergeCell ref="F21:J22"/>
    <mergeCell ref="A18:B18"/>
    <mergeCell ref="A5:E5"/>
    <mergeCell ref="F5:J5"/>
    <mergeCell ref="F6:J6"/>
    <mergeCell ref="H18:J18"/>
    <mergeCell ref="F13:J13"/>
    <mergeCell ref="A6:E6"/>
    <mergeCell ref="A9:E9"/>
    <mergeCell ref="F9:J9"/>
    <mergeCell ref="F8:J8"/>
    <mergeCell ref="A12:E12"/>
    <mergeCell ref="A19:E20"/>
    <mergeCell ref="A13:E13"/>
    <mergeCell ref="F12:J12"/>
    <mergeCell ref="A10:E10"/>
    <mergeCell ref="F18:G18"/>
    <mergeCell ref="C18:E18"/>
    <mergeCell ref="F7:J7"/>
    <mergeCell ref="A15:B15"/>
    <mergeCell ref="C15:E15"/>
    <mergeCell ref="A16:B16"/>
    <mergeCell ref="A38:E38"/>
    <mergeCell ref="F38:J38"/>
    <mergeCell ref="I29:J29"/>
    <mergeCell ref="A30:J30"/>
    <mergeCell ref="A31:J31"/>
    <mergeCell ref="A34:J34"/>
    <mergeCell ref="A37:E37"/>
    <mergeCell ref="H46:J46"/>
    <mergeCell ref="F25:J25"/>
    <mergeCell ref="C33:J33"/>
    <mergeCell ref="C32:J32"/>
    <mergeCell ref="E29:F29"/>
    <mergeCell ref="G29:H29"/>
    <mergeCell ref="A25:E25"/>
    <mergeCell ref="E28:F28"/>
    <mergeCell ref="G28:H28"/>
    <mergeCell ref="A26:E26"/>
    <mergeCell ref="I27:J27"/>
    <mergeCell ref="C27:D27"/>
    <mergeCell ref="C29:D29"/>
    <mergeCell ref="C28:D28"/>
    <mergeCell ref="G27:H27"/>
    <mergeCell ref="A226:J226"/>
    <mergeCell ref="A43:J43"/>
    <mergeCell ref="D48:E48"/>
    <mergeCell ref="C45:F45"/>
    <mergeCell ref="A73:B73"/>
    <mergeCell ref="D73:E73"/>
    <mergeCell ref="C46:F46"/>
    <mergeCell ref="A44:B44"/>
    <mergeCell ref="D50:E50"/>
    <mergeCell ref="F59:G59"/>
    <mergeCell ref="A99:J99"/>
    <mergeCell ref="A100:B100"/>
    <mergeCell ref="D100:E100"/>
    <mergeCell ref="A102:J102"/>
    <mergeCell ref="A103:J103"/>
    <mergeCell ref="H100:J100"/>
    <mergeCell ref="A104:B104"/>
    <mergeCell ref="A53:J53"/>
    <mergeCell ref="A51:B51"/>
    <mergeCell ref="A47:B47"/>
    <mergeCell ref="C47:F47"/>
    <mergeCell ref="A193:B193"/>
    <mergeCell ref="D193:E193"/>
    <mergeCell ref="A175:B175"/>
    <mergeCell ref="A2:J2"/>
    <mergeCell ref="A227:J230"/>
    <mergeCell ref="A97:F97"/>
    <mergeCell ref="G97:J97"/>
    <mergeCell ref="A96:F96"/>
    <mergeCell ref="A89:F89"/>
    <mergeCell ref="A84:J84"/>
    <mergeCell ref="F73:G73"/>
    <mergeCell ref="D74:E74"/>
    <mergeCell ref="F74:G83"/>
    <mergeCell ref="H74:J83"/>
    <mergeCell ref="A75:B75"/>
    <mergeCell ref="A91:F91"/>
    <mergeCell ref="G91:J91"/>
    <mergeCell ref="D76:E76"/>
    <mergeCell ref="A77:B77"/>
    <mergeCell ref="D75:E75"/>
    <mergeCell ref="A76:B76"/>
    <mergeCell ref="H162:J165"/>
    <mergeCell ref="A155:B155"/>
    <mergeCell ref="D155:E155"/>
    <mergeCell ref="A196:J196"/>
    <mergeCell ref="A192:B192"/>
    <mergeCell ref="A184:B184"/>
    <mergeCell ref="A1:J1"/>
    <mergeCell ref="F40:J40"/>
    <mergeCell ref="A41:E41"/>
    <mergeCell ref="C44:F44"/>
    <mergeCell ref="A11:E11"/>
    <mergeCell ref="F11:J11"/>
    <mergeCell ref="E52:J52"/>
    <mergeCell ref="A52:D52"/>
    <mergeCell ref="F42:J42"/>
    <mergeCell ref="F41:J41"/>
    <mergeCell ref="F48:G48"/>
    <mergeCell ref="A50:C50"/>
    <mergeCell ref="F50:H50"/>
    <mergeCell ref="A14:B14"/>
    <mergeCell ref="A42:E42"/>
    <mergeCell ref="C14:J14"/>
    <mergeCell ref="F37:J37"/>
    <mergeCell ref="A3:E3"/>
    <mergeCell ref="F3:J3"/>
    <mergeCell ref="A4:E4"/>
    <mergeCell ref="F4:J4"/>
    <mergeCell ref="A7:E7"/>
    <mergeCell ref="F10:J10"/>
    <mergeCell ref="A33:B33"/>
    <mergeCell ref="A142:B142"/>
    <mergeCell ref="D142:E142"/>
    <mergeCell ref="A143:B143"/>
    <mergeCell ref="D143:E143"/>
    <mergeCell ref="A144:B144"/>
    <mergeCell ref="A145:B145"/>
    <mergeCell ref="D145:E145"/>
    <mergeCell ref="C169:G170"/>
    <mergeCell ref="A174:B174"/>
    <mergeCell ref="A146:J146"/>
    <mergeCell ref="A147:B147"/>
    <mergeCell ref="D147:E147"/>
    <mergeCell ref="A148:B148"/>
    <mergeCell ref="D148:E148"/>
    <mergeCell ref="H147:J150"/>
    <mergeCell ref="A150:B150"/>
    <mergeCell ref="D150:E150"/>
    <mergeCell ref="A156:J156"/>
    <mergeCell ref="D163:E163"/>
    <mergeCell ref="A166:J166"/>
    <mergeCell ref="A167:B167"/>
    <mergeCell ref="A169:B169"/>
    <mergeCell ref="A170:B170"/>
    <mergeCell ref="A171:J171"/>
    <mergeCell ref="A154:B154"/>
    <mergeCell ref="A153:J153"/>
    <mergeCell ref="A165:B165"/>
    <mergeCell ref="D165:E165"/>
    <mergeCell ref="D167:E167"/>
    <mergeCell ref="D159:E159"/>
    <mergeCell ref="A160:B160"/>
    <mergeCell ref="A151:J151"/>
    <mergeCell ref="H154:J155"/>
    <mergeCell ref="D154:E154"/>
    <mergeCell ref="H157:J160"/>
    <mergeCell ref="A157:B157"/>
    <mergeCell ref="D157:E157"/>
    <mergeCell ref="A158:B158"/>
    <mergeCell ref="D158:E158"/>
    <mergeCell ref="A225:B225"/>
    <mergeCell ref="A182:B182"/>
    <mergeCell ref="D182:E182"/>
    <mergeCell ref="A177:J177"/>
    <mergeCell ref="A178:J178"/>
    <mergeCell ref="A179:B179"/>
    <mergeCell ref="D179:E179"/>
    <mergeCell ref="H182:J185"/>
    <mergeCell ref="H179:J180"/>
    <mergeCell ref="D184:E184"/>
    <mergeCell ref="A183:B183"/>
    <mergeCell ref="D183:E183"/>
    <mergeCell ref="A180:B180"/>
    <mergeCell ref="D180:E180"/>
    <mergeCell ref="A181:J181"/>
    <mergeCell ref="A211:J211"/>
    <mergeCell ref="A212:B212"/>
    <mergeCell ref="D212:E212"/>
    <mergeCell ref="A213:B213"/>
    <mergeCell ref="D213:E213"/>
    <mergeCell ref="A186:J186"/>
    <mergeCell ref="A187:B187"/>
    <mergeCell ref="D187:E187"/>
    <mergeCell ref="A191:J191"/>
    <mergeCell ref="M204:N204"/>
    <mergeCell ref="A222:B222"/>
    <mergeCell ref="D222:E222"/>
    <mergeCell ref="A223:B223"/>
    <mergeCell ref="D223:E223"/>
    <mergeCell ref="A224:B224"/>
    <mergeCell ref="A218:B218"/>
    <mergeCell ref="D218:E218"/>
    <mergeCell ref="A219:B219"/>
    <mergeCell ref="A220:B220"/>
    <mergeCell ref="A221:J221"/>
    <mergeCell ref="A214:B214"/>
    <mergeCell ref="D214:E214"/>
    <mergeCell ref="A215:B215"/>
    <mergeCell ref="D215:E215"/>
    <mergeCell ref="A216:J216"/>
    <mergeCell ref="H222:J225"/>
    <mergeCell ref="H217:J220"/>
    <mergeCell ref="H212:J215"/>
    <mergeCell ref="H207:J210"/>
    <mergeCell ref="H204:J205"/>
    <mergeCell ref="C219:G219"/>
    <mergeCell ref="C224:G224"/>
    <mergeCell ref="A204:B204"/>
    <mergeCell ref="A188:B188"/>
    <mergeCell ref="D188:E188"/>
    <mergeCell ref="A189:B189"/>
    <mergeCell ref="D189:E189"/>
    <mergeCell ref="A190:B190"/>
    <mergeCell ref="D190:E190"/>
    <mergeCell ref="H187:J190"/>
    <mergeCell ref="H167:J170"/>
    <mergeCell ref="D160:E160"/>
    <mergeCell ref="A161:J161"/>
    <mergeCell ref="A163:B163"/>
    <mergeCell ref="A164:B164"/>
    <mergeCell ref="A173:B173"/>
    <mergeCell ref="D173:E173"/>
    <mergeCell ref="A185:B185"/>
    <mergeCell ref="D185:E185"/>
    <mergeCell ref="C174:G175"/>
    <mergeCell ref="A176:J176"/>
    <mergeCell ref="A172:B172"/>
    <mergeCell ref="D172:E172"/>
    <mergeCell ref="H172:J175"/>
    <mergeCell ref="F19:J20"/>
    <mergeCell ref="A28:B28"/>
    <mergeCell ref="E27:F27"/>
    <mergeCell ref="F26:J26"/>
    <mergeCell ref="A29:B29"/>
    <mergeCell ref="C16:E16"/>
    <mergeCell ref="A17:B17"/>
    <mergeCell ref="C17:E17"/>
    <mergeCell ref="F15:G15"/>
    <mergeCell ref="H15:J15"/>
    <mergeCell ref="F16:G16"/>
    <mergeCell ref="H16:J16"/>
    <mergeCell ref="F17:G17"/>
    <mergeCell ref="H17:J17"/>
    <mergeCell ref="F23:J23"/>
    <mergeCell ref="F24:J24"/>
  </mergeCells>
  <phoneticPr fontId="0" type="noConversion"/>
  <hyperlinks>
    <hyperlink ref="C33" r:id="rId1"/>
  </hyperlinks>
  <printOptions horizontalCentered="1"/>
  <pageMargins left="0.39370078740157499" right="0.39370078740157499" top="0.78740157480314998" bottom="0.78740157480314998" header="0.196850393700787" footer="0.196850393700787"/>
  <pageSetup paperSize="2" scale="99" fitToHeight="0" orientation="portrait" r:id="rId2"/>
  <headerFooter>
    <oddHeader>&amp;C&amp;G</oddHeader>
    <oddFooter>&amp;L&amp;"Times New Roman,Bold"Ref No: &amp;F&amp;C&amp;G&amp;R&amp;P</oddFooter>
  </headerFooter>
  <rowBreaks count="2" manualBreakCount="2">
    <brk id="230" max="16383" man="1"/>
    <brk id="27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7" sqref="C17"/>
    </sheetView>
  </sheetViews>
  <sheetFormatPr defaultColWidth="9.1796875" defaultRowHeight="14.5" x14ac:dyDescent="0.35"/>
  <cols>
    <col min="1" max="1" width="9.1796875" style="6"/>
    <col min="2" max="2" width="11.7265625" style="6" customWidth="1"/>
    <col min="3" max="16384" width="9.1796875" style="6"/>
  </cols>
  <sheetData>
    <row r="2" spans="1:15" x14ac:dyDescent="0.35">
      <c r="A2" s="6" t="s">
        <v>95</v>
      </c>
      <c r="B2" s="7" t="s">
        <v>117</v>
      </c>
      <c r="C2" s="7">
        <v>19</v>
      </c>
    </row>
    <row r="3" spans="1:15" x14ac:dyDescent="0.35">
      <c r="B3" s="6" t="s">
        <v>96</v>
      </c>
      <c r="C3" s="6" t="s">
        <v>97</v>
      </c>
    </row>
    <row r="4" spans="1:15" x14ac:dyDescent="0.35">
      <c r="A4" s="6" t="s">
        <v>98</v>
      </c>
      <c r="B4" s="8">
        <v>10</v>
      </c>
      <c r="C4" s="8">
        <v>10</v>
      </c>
      <c r="E4" s="6">
        <f>(100/B4)*C4</f>
        <v>100</v>
      </c>
    </row>
    <row r="5" spans="1:15" x14ac:dyDescent="0.35">
      <c r="A5" s="6" t="s">
        <v>99</v>
      </c>
      <c r="B5" s="6" t="s">
        <v>100</v>
      </c>
      <c r="C5" s="6" t="s">
        <v>101</v>
      </c>
      <c r="E5" s="6">
        <f>(100/B6)*C6</f>
        <v>100</v>
      </c>
      <c r="I5" s="8" t="s">
        <v>102</v>
      </c>
      <c r="J5" s="8" t="s">
        <v>103</v>
      </c>
      <c r="K5" s="8" t="s">
        <v>104</v>
      </c>
      <c r="L5" s="8" t="s">
        <v>30</v>
      </c>
      <c r="M5" s="8" t="s">
        <v>32</v>
      </c>
      <c r="N5" s="8" t="s">
        <v>105</v>
      </c>
      <c r="O5" s="8" t="s">
        <v>33</v>
      </c>
    </row>
    <row r="6" spans="1:15" x14ac:dyDescent="0.35">
      <c r="B6" s="8">
        <f>C2+1</f>
        <v>20</v>
      </c>
      <c r="C6" s="8">
        <v>20</v>
      </c>
      <c r="E6" s="6">
        <f>(100/B8)*C8</f>
        <v>100</v>
      </c>
      <c r="F6" s="9" t="s">
        <v>106</v>
      </c>
      <c r="I6" s="9">
        <f>C4</f>
        <v>10</v>
      </c>
      <c r="J6" s="9">
        <f>40/B6*C6</f>
        <v>40</v>
      </c>
      <c r="K6" s="9">
        <f>15/B8*C8</f>
        <v>15</v>
      </c>
      <c r="L6" s="9">
        <f>10/B10*C10</f>
        <v>10</v>
      </c>
      <c r="M6" s="9">
        <f>10/B12*C12</f>
        <v>10</v>
      </c>
      <c r="N6" s="9">
        <f>5/B14*C14</f>
        <v>5</v>
      </c>
      <c r="O6" s="9">
        <f>5/B16*C16</f>
        <v>1.0526315789473684</v>
      </c>
    </row>
    <row r="7" spans="1:15" x14ac:dyDescent="0.35">
      <c r="A7" s="6" t="s">
        <v>107</v>
      </c>
      <c r="B7" s="6" t="s">
        <v>108</v>
      </c>
      <c r="C7" s="6" t="s">
        <v>109</v>
      </c>
      <c r="E7" s="6">
        <f>(100/B10)*C10</f>
        <v>100</v>
      </c>
      <c r="F7" s="8" t="s">
        <v>110</v>
      </c>
      <c r="G7" s="8"/>
      <c r="H7" s="8"/>
      <c r="I7" s="8">
        <f>I6+20</f>
        <v>30</v>
      </c>
      <c r="J7" s="8">
        <f>30/B6*C6</f>
        <v>30</v>
      </c>
      <c r="K7" s="8">
        <f>15/B8*C8</f>
        <v>15</v>
      </c>
      <c r="L7" s="8">
        <f>10/B10*C10</f>
        <v>10</v>
      </c>
      <c r="M7" s="8">
        <f>5/B12*C12</f>
        <v>5</v>
      </c>
      <c r="N7" s="8">
        <f>5/B14*C14</f>
        <v>5</v>
      </c>
      <c r="O7" s="8">
        <f>5/B16*C16</f>
        <v>1.0526315789473684</v>
      </c>
    </row>
    <row r="8" spans="1:15" x14ac:dyDescent="0.35">
      <c r="B8" s="8">
        <f>C2</f>
        <v>19</v>
      </c>
      <c r="C8" s="8">
        <v>19</v>
      </c>
      <c r="E8" s="6">
        <f>(100/B12)*C12</f>
        <v>100</v>
      </c>
    </row>
    <row r="9" spans="1:15" x14ac:dyDescent="0.35">
      <c r="A9" s="6" t="s">
        <v>111</v>
      </c>
      <c r="B9" s="6" t="s">
        <v>108</v>
      </c>
      <c r="C9" s="6" t="s">
        <v>109</v>
      </c>
      <c r="E9" s="6">
        <f>(100/B14)*C14</f>
        <v>100</v>
      </c>
    </row>
    <row r="10" spans="1:15" x14ac:dyDescent="0.35">
      <c r="B10" s="8">
        <f>C2</f>
        <v>19</v>
      </c>
      <c r="C10" s="8">
        <v>19</v>
      </c>
      <c r="E10" s="6">
        <f>(100/B16)*C16</f>
        <v>21.05263157894737</v>
      </c>
    </row>
    <row r="11" spans="1:15" x14ac:dyDescent="0.35">
      <c r="A11" s="6" t="s">
        <v>32</v>
      </c>
      <c r="B11" s="6" t="s">
        <v>108</v>
      </c>
      <c r="C11" s="6" t="s">
        <v>109</v>
      </c>
    </row>
    <row r="12" spans="1:15" x14ac:dyDescent="0.35">
      <c r="B12" s="8">
        <f>C2</f>
        <v>19</v>
      </c>
      <c r="C12" s="8">
        <v>19</v>
      </c>
      <c r="F12" s="8"/>
      <c r="G12" s="8" t="s">
        <v>106</v>
      </c>
      <c r="H12" s="8" t="s">
        <v>112</v>
      </c>
      <c r="L12" s="6" t="s">
        <v>113</v>
      </c>
    </row>
    <row r="13" spans="1:15" ht="31.5" customHeight="1" x14ac:dyDescent="0.35">
      <c r="A13" s="10" t="s">
        <v>105</v>
      </c>
      <c r="B13" s="6" t="s">
        <v>108</v>
      </c>
      <c r="C13" s="6" t="s">
        <v>109</v>
      </c>
      <c r="F13" s="8" t="s">
        <v>28</v>
      </c>
      <c r="G13" s="8">
        <f>I6</f>
        <v>10</v>
      </c>
      <c r="H13" s="8">
        <f>I7</f>
        <v>30</v>
      </c>
      <c r="L13" s="6" t="s">
        <v>113</v>
      </c>
    </row>
    <row r="14" spans="1:15" x14ac:dyDescent="0.35">
      <c r="B14" s="8">
        <f>C2</f>
        <v>19</v>
      </c>
      <c r="C14" s="8">
        <v>19</v>
      </c>
      <c r="F14" s="8" t="s">
        <v>29</v>
      </c>
      <c r="G14" s="8">
        <f>J6</f>
        <v>40</v>
      </c>
      <c r="H14" s="8">
        <f>J7</f>
        <v>30</v>
      </c>
    </row>
    <row r="15" spans="1:15" x14ac:dyDescent="0.35">
      <c r="A15" s="6" t="s">
        <v>33</v>
      </c>
      <c r="B15" s="6" t="s">
        <v>108</v>
      </c>
      <c r="C15" s="6" t="s">
        <v>109</v>
      </c>
      <c r="F15" s="8" t="s">
        <v>104</v>
      </c>
      <c r="G15" s="8">
        <f>K6</f>
        <v>15</v>
      </c>
      <c r="H15" s="8">
        <f>K7</f>
        <v>15</v>
      </c>
    </row>
    <row r="16" spans="1:15" x14ac:dyDescent="0.35">
      <c r="B16" s="8">
        <f>C2</f>
        <v>19</v>
      </c>
      <c r="C16" s="8">
        <v>4</v>
      </c>
      <c r="F16" s="8" t="s">
        <v>30</v>
      </c>
      <c r="G16" s="8">
        <f>L6</f>
        <v>10</v>
      </c>
      <c r="H16" s="8">
        <f>L7</f>
        <v>10</v>
      </c>
    </row>
    <row r="17" spans="5:8" x14ac:dyDescent="0.35">
      <c r="F17" s="8" t="s">
        <v>32</v>
      </c>
      <c r="G17" s="8">
        <f>M6</f>
        <v>10</v>
      </c>
      <c r="H17" s="8">
        <f>M7</f>
        <v>5</v>
      </c>
    </row>
    <row r="18" spans="5:8" ht="29.25" customHeight="1" x14ac:dyDescent="0.35">
      <c r="F18" s="11" t="s">
        <v>105</v>
      </c>
      <c r="G18" s="8">
        <f>N6</f>
        <v>5</v>
      </c>
      <c r="H18" s="8">
        <f>N7</f>
        <v>5</v>
      </c>
    </row>
    <row r="19" spans="5:8" x14ac:dyDescent="0.35">
      <c r="F19" s="8" t="s">
        <v>33</v>
      </c>
      <c r="G19" s="8">
        <f>O6</f>
        <v>1.0526315789473684</v>
      </c>
      <c r="H19" s="8">
        <f>O7</f>
        <v>1.0526315789473684</v>
      </c>
    </row>
    <row r="20" spans="5:8" x14ac:dyDescent="0.35">
      <c r="F20" s="8" t="s">
        <v>114</v>
      </c>
      <c r="G20" s="8">
        <f>G13+G14+G15+G16+G17+G18+G19</f>
        <v>91.05263157894737</v>
      </c>
      <c r="H20" s="8">
        <f>H13+H14+H15+H16+H17+H18+H19</f>
        <v>96.05263157894737</v>
      </c>
    </row>
    <row r="21" spans="5:8" x14ac:dyDescent="0.35">
      <c r="E21" s="1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7" sqref="C7"/>
    </sheetView>
  </sheetViews>
  <sheetFormatPr defaultColWidth="9.1796875" defaultRowHeight="14.5" x14ac:dyDescent="0.35"/>
  <cols>
    <col min="1" max="1" width="9.1796875" style="6"/>
    <col min="2" max="2" width="11.7265625" style="6" customWidth="1"/>
    <col min="3" max="16384" width="9.1796875" style="6"/>
  </cols>
  <sheetData>
    <row r="2" spans="1:15" x14ac:dyDescent="0.35">
      <c r="A2" s="6" t="s">
        <v>95</v>
      </c>
      <c r="B2" s="7" t="s">
        <v>117</v>
      </c>
      <c r="C2" s="7">
        <v>19</v>
      </c>
    </row>
    <row r="3" spans="1:15" x14ac:dyDescent="0.35">
      <c r="B3" s="6" t="s">
        <v>96</v>
      </c>
      <c r="C3" s="6" t="s">
        <v>97</v>
      </c>
    </row>
    <row r="4" spans="1:15" x14ac:dyDescent="0.35">
      <c r="A4" s="6" t="s">
        <v>98</v>
      </c>
      <c r="B4" s="8">
        <v>10</v>
      </c>
      <c r="C4" s="8">
        <v>10</v>
      </c>
      <c r="E4" s="6">
        <f>(100/B4)*C4</f>
        <v>100</v>
      </c>
    </row>
    <row r="5" spans="1:15" x14ac:dyDescent="0.35">
      <c r="A5" s="6" t="s">
        <v>99</v>
      </c>
      <c r="B5" s="6" t="s">
        <v>100</v>
      </c>
      <c r="C5" s="6" t="s">
        <v>101</v>
      </c>
      <c r="E5" s="6">
        <f>(100/B6)*C6</f>
        <v>5</v>
      </c>
      <c r="I5" s="8" t="s">
        <v>102</v>
      </c>
      <c r="J5" s="8" t="s">
        <v>103</v>
      </c>
      <c r="K5" s="8" t="s">
        <v>104</v>
      </c>
      <c r="L5" s="8" t="s">
        <v>30</v>
      </c>
      <c r="M5" s="8" t="s">
        <v>32</v>
      </c>
      <c r="N5" s="8" t="s">
        <v>105</v>
      </c>
      <c r="O5" s="8" t="s">
        <v>33</v>
      </c>
    </row>
    <row r="6" spans="1:15" x14ac:dyDescent="0.35">
      <c r="B6" s="8">
        <f>C2+1</f>
        <v>20</v>
      </c>
      <c r="C6" s="8">
        <v>1</v>
      </c>
      <c r="E6" s="6">
        <f>(100/B8)*C8</f>
        <v>0</v>
      </c>
      <c r="F6" s="9" t="s">
        <v>106</v>
      </c>
      <c r="I6" s="9">
        <f>C4</f>
        <v>10</v>
      </c>
      <c r="J6" s="9">
        <f>40/B6*C6</f>
        <v>2</v>
      </c>
      <c r="K6" s="9">
        <f>15/B8*C8</f>
        <v>0</v>
      </c>
      <c r="L6" s="9">
        <f>10/B10*C10</f>
        <v>0</v>
      </c>
      <c r="M6" s="9">
        <f>10/B12*C12</f>
        <v>0</v>
      </c>
      <c r="N6" s="9">
        <f>5/B14*C14</f>
        <v>0</v>
      </c>
      <c r="O6" s="9">
        <f>5/B16*C16</f>
        <v>0</v>
      </c>
    </row>
    <row r="7" spans="1:15" x14ac:dyDescent="0.35">
      <c r="A7" s="6" t="s">
        <v>107</v>
      </c>
      <c r="B7" s="6" t="s">
        <v>108</v>
      </c>
      <c r="C7" s="6" t="s">
        <v>109</v>
      </c>
      <c r="E7" s="6">
        <f>(100/B10)*C10</f>
        <v>0</v>
      </c>
      <c r="F7" s="8" t="s">
        <v>110</v>
      </c>
      <c r="G7" s="8"/>
      <c r="H7" s="8"/>
      <c r="I7" s="8">
        <f>I6+20</f>
        <v>30</v>
      </c>
      <c r="J7" s="8">
        <f>30/B6*C6</f>
        <v>1.5</v>
      </c>
      <c r="K7" s="8">
        <f>15/B8*C8</f>
        <v>0</v>
      </c>
      <c r="L7" s="8">
        <f>10/B10*C10</f>
        <v>0</v>
      </c>
      <c r="M7" s="8">
        <f>5/B12*C12</f>
        <v>0</v>
      </c>
      <c r="N7" s="8">
        <f>5/B14*C14</f>
        <v>0</v>
      </c>
      <c r="O7" s="8">
        <f>5/B16*C16</f>
        <v>0</v>
      </c>
    </row>
    <row r="8" spans="1:15" x14ac:dyDescent="0.35">
      <c r="B8" s="8">
        <f>C2</f>
        <v>19</v>
      </c>
      <c r="C8" s="8">
        <v>0</v>
      </c>
      <c r="E8" s="6">
        <f>(100/B12)*C12</f>
        <v>0</v>
      </c>
    </row>
    <row r="9" spans="1:15" x14ac:dyDescent="0.35">
      <c r="A9" s="6" t="s">
        <v>111</v>
      </c>
      <c r="B9" s="6" t="s">
        <v>108</v>
      </c>
      <c r="C9" s="6" t="s">
        <v>109</v>
      </c>
      <c r="E9" s="6">
        <f>(100/B14)*C14</f>
        <v>0</v>
      </c>
    </row>
    <row r="10" spans="1:15" x14ac:dyDescent="0.35">
      <c r="B10" s="8">
        <f>C2</f>
        <v>19</v>
      </c>
      <c r="C10" s="8">
        <v>0</v>
      </c>
      <c r="E10" s="6">
        <f>(100/B16)*C16</f>
        <v>0</v>
      </c>
    </row>
    <row r="11" spans="1:15" x14ac:dyDescent="0.35">
      <c r="A11" s="6" t="s">
        <v>32</v>
      </c>
      <c r="B11" s="6" t="s">
        <v>108</v>
      </c>
      <c r="C11" s="6" t="s">
        <v>109</v>
      </c>
    </row>
    <row r="12" spans="1:15" x14ac:dyDescent="0.35">
      <c r="B12" s="8">
        <f>C2</f>
        <v>19</v>
      </c>
      <c r="C12" s="8">
        <v>0</v>
      </c>
      <c r="F12" s="8"/>
      <c r="G12" s="8" t="s">
        <v>106</v>
      </c>
      <c r="H12" s="8" t="s">
        <v>112</v>
      </c>
      <c r="L12" s="6" t="s">
        <v>113</v>
      </c>
    </row>
    <row r="13" spans="1:15" ht="31.5" customHeight="1" x14ac:dyDescent="0.35">
      <c r="A13" s="10" t="s">
        <v>105</v>
      </c>
      <c r="B13" s="6" t="s">
        <v>108</v>
      </c>
      <c r="C13" s="6" t="s">
        <v>109</v>
      </c>
      <c r="F13" s="8" t="s">
        <v>28</v>
      </c>
      <c r="G13" s="8">
        <f>I6</f>
        <v>10</v>
      </c>
      <c r="H13" s="8">
        <f>I7</f>
        <v>30</v>
      </c>
      <c r="L13" s="6" t="s">
        <v>113</v>
      </c>
    </row>
    <row r="14" spans="1:15" x14ac:dyDescent="0.35">
      <c r="B14" s="8">
        <f>C2</f>
        <v>19</v>
      </c>
      <c r="C14" s="8">
        <v>0</v>
      </c>
      <c r="F14" s="8" t="s">
        <v>29</v>
      </c>
      <c r="G14" s="8">
        <f>J6</f>
        <v>2</v>
      </c>
      <c r="H14" s="8">
        <f>J7</f>
        <v>1.5</v>
      </c>
    </row>
    <row r="15" spans="1:15" x14ac:dyDescent="0.35">
      <c r="A15" s="6" t="s">
        <v>33</v>
      </c>
      <c r="B15" s="6" t="s">
        <v>108</v>
      </c>
      <c r="C15" s="6" t="s">
        <v>109</v>
      </c>
      <c r="F15" s="8" t="s">
        <v>104</v>
      </c>
      <c r="G15" s="8">
        <f>K6</f>
        <v>0</v>
      </c>
      <c r="H15" s="8">
        <f>K7</f>
        <v>0</v>
      </c>
    </row>
    <row r="16" spans="1:15" x14ac:dyDescent="0.35">
      <c r="B16" s="8">
        <f>C2</f>
        <v>19</v>
      </c>
      <c r="C16" s="8">
        <v>0</v>
      </c>
      <c r="F16" s="8" t="s">
        <v>30</v>
      </c>
      <c r="G16" s="8">
        <f>L6</f>
        <v>0</v>
      </c>
      <c r="H16" s="8">
        <f>L7</f>
        <v>0</v>
      </c>
    </row>
    <row r="17" spans="5:8" x14ac:dyDescent="0.35">
      <c r="F17" s="8" t="s">
        <v>32</v>
      </c>
      <c r="G17" s="8">
        <f>M6</f>
        <v>0</v>
      </c>
      <c r="H17" s="8">
        <f>M7</f>
        <v>0</v>
      </c>
    </row>
    <row r="18" spans="5:8" ht="29.25" customHeight="1" x14ac:dyDescent="0.35">
      <c r="F18" s="11" t="s">
        <v>105</v>
      </c>
      <c r="G18" s="8">
        <f>N6</f>
        <v>0</v>
      </c>
      <c r="H18" s="8">
        <f>N7</f>
        <v>0</v>
      </c>
    </row>
    <row r="19" spans="5:8" x14ac:dyDescent="0.35">
      <c r="F19" s="8" t="s">
        <v>33</v>
      </c>
      <c r="G19" s="8">
        <f>O6</f>
        <v>0</v>
      </c>
      <c r="H19" s="8">
        <f>O7</f>
        <v>0</v>
      </c>
    </row>
    <row r="20" spans="5:8" x14ac:dyDescent="0.35">
      <c r="F20" s="8" t="s">
        <v>114</v>
      </c>
      <c r="G20" s="8">
        <f>G13+G14+G15+G16+G17+G18+G19</f>
        <v>12</v>
      </c>
      <c r="H20" s="8">
        <f>H13+H14+H15+H16+H17+H18+H19</f>
        <v>31.5</v>
      </c>
    </row>
    <row r="21" spans="5:8" x14ac:dyDescent="0.35">
      <c r="E21"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4" workbookViewId="0">
      <selection activeCell="B2" sqref="B2:C16"/>
    </sheetView>
  </sheetViews>
  <sheetFormatPr defaultColWidth="9.1796875" defaultRowHeight="14.5" x14ac:dyDescent="0.35"/>
  <cols>
    <col min="1" max="1" width="9.1796875" style="6"/>
    <col min="2" max="2" width="11.7265625" style="6" customWidth="1"/>
    <col min="3" max="16384" width="9.1796875" style="6"/>
  </cols>
  <sheetData>
    <row r="2" spans="1:15" x14ac:dyDescent="0.35">
      <c r="A2" s="6" t="s">
        <v>95</v>
      </c>
      <c r="B2" s="7" t="s">
        <v>117</v>
      </c>
      <c r="C2" s="7">
        <v>19</v>
      </c>
    </row>
    <row r="3" spans="1:15" x14ac:dyDescent="0.35">
      <c r="B3" s="6" t="s">
        <v>96</v>
      </c>
      <c r="C3" s="6" t="s">
        <v>97</v>
      </c>
    </row>
    <row r="4" spans="1:15" x14ac:dyDescent="0.35">
      <c r="A4" s="6" t="s">
        <v>98</v>
      </c>
      <c r="B4" s="8">
        <v>10</v>
      </c>
      <c r="C4" s="8">
        <v>10</v>
      </c>
      <c r="E4" s="6">
        <f>(100/B4)*C4</f>
        <v>100</v>
      </c>
    </row>
    <row r="5" spans="1:15" x14ac:dyDescent="0.35">
      <c r="A5" s="6" t="s">
        <v>99</v>
      </c>
      <c r="B5" s="6" t="s">
        <v>100</v>
      </c>
      <c r="C5" s="6" t="s">
        <v>101</v>
      </c>
      <c r="E5" s="6">
        <f>(100/B6)*C6</f>
        <v>2.5</v>
      </c>
      <c r="I5" s="8" t="s">
        <v>102</v>
      </c>
      <c r="J5" s="8" t="s">
        <v>103</v>
      </c>
      <c r="K5" s="8" t="s">
        <v>104</v>
      </c>
      <c r="L5" s="8" t="s">
        <v>30</v>
      </c>
      <c r="M5" s="8" t="s">
        <v>32</v>
      </c>
      <c r="N5" s="8" t="s">
        <v>105</v>
      </c>
      <c r="O5" s="8" t="s">
        <v>33</v>
      </c>
    </row>
    <row r="6" spans="1:15" x14ac:dyDescent="0.35">
      <c r="B6" s="8">
        <f>C2+1</f>
        <v>20</v>
      </c>
      <c r="C6" s="8">
        <v>0.5</v>
      </c>
      <c r="E6" s="6">
        <f>(100/B8)*C8</f>
        <v>0</v>
      </c>
      <c r="F6" s="9" t="s">
        <v>106</v>
      </c>
      <c r="I6" s="9">
        <f>C4</f>
        <v>10</v>
      </c>
      <c r="J6" s="9">
        <f>40/B6*C6</f>
        <v>1</v>
      </c>
      <c r="K6" s="9">
        <f>15/B8*C8</f>
        <v>0</v>
      </c>
      <c r="L6" s="9">
        <f>10/B10*C10</f>
        <v>0</v>
      </c>
      <c r="M6" s="9">
        <f>10/B12*C12</f>
        <v>0</v>
      </c>
      <c r="N6" s="9">
        <f>5/B14*C14</f>
        <v>0</v>
      </c>
      <c r="O6" s="9">
        <f>5/B16*C16</f>
        <v>0</v>
      </c>
    </row>
    <row r="7" spans="1:15" x14ac:dyDescent="0.35">
      <c r="A7" s="6" t="s">
        <v>107</v>
      </c>
      <c r="B7" s="6" t="s">
        <v>108</v>
      </c>
      <c r="C7" s="6" t="s">
        <v>109</v>
      </c>
      <c r="E7" s="6">
        <f>(100/B10)*C10</f>
        <v>0</v>
      </c>
      <c r="F7" s="8" t="s">
        <v>110</v>
      </c>
      <c r="G7" s="8"/>
      <c r="H7" s="8"/>
      <c r="I7" s="8">
        <f>I6+20</f>
        <v>30</v>
      </c>
      <c r="J7" s="8">
        <f>30/B6*C6</f>
        <v>0.75</v>
      </c>
      <c r="K7" s="8">
        <f>15/B8*C8</f>
        <v>0</v>
      </c>
      <c r="L7" s="8">
        <f>10/B10*C10</f>
        <v>0</v>
      </c>
      <c r="M7" s="8">
        <f>5/B12*C12</f>
        <v>0</v>
      </c>
      <c r="N7" s="8">
        <f>5/B14*C14</f>
        <v>0</v>
      </c>
      <c r="O7" s="8">
        <f>5/B16*C16</f>
        <v>0</v>
      </c>
    </row>
    <row r="8" spans="1:15" x14ac:dyDescent="0.35">
      <c r="B8" s="8">
        <f>C2</f>
        <v>19</v>
      </c>
      <c r="C8" s="8">
        <v>0</v>
      </c>
      <c r="E8" s="6">
        <f>(100/B12)*C12</f>
        <v>0</v>
      </c>
    </row>
    <row r="9" spans="1:15" x14ac:dyDescent="0.35">
      <c r="A9" s="6" t="s">
        <v>111</v>
      </c>
      <c r="B9" s="6" t="s">
        <v>108</v>
      </c>
      <c r="C9" s="6" t="s">
        <v>109</v>
      </c>
      <c r="E9" s="6">
        <f>(100/B14)*C14</f>
        <v>0</v>
      </c>
    </row>
    <row r="10" spans="1:15" x14ac:dyDescent="0.35">
      <c r="B10" s="8">
        <f>C2</f>
        <v>19</v>
      </c>
      <c r="C10" s="8">
        <v>0</v>
      </c>
      <c r="E10" s="6">
        <f>(100/B16)*C16</f>
        <v>0</v>
      </c>
    </row>
    <row r="11" spans="1:15" x14ac:dyDescent="0.35">
      <c r="A11" s="6" t="s">
        <v>32</v>
      </c>
      <c r="B11" s="6" t="s">
        <v>108</v>
      </c>
      <c r="C11" s="6" t="s">
        <v>109</v>
      </c>
    </row>
    <row r="12" spans="1:15" x14ac:dyDescent="0.35">
      <c r="B12" s="8">
        <f>C2</f>
        <v>19</v>
      </c>
      <c r="C12" s="8">
        <v>0</v>
      </c>
      <c r="F12" s="8"/>
      <c r="G12" s="8" t="s">
        <v>106</v>
      </c>
      <c r="H12" s="8" t="s">
        <v>112</v>
      </c>
      <c r="L12" s="6" t="s">
        <v>113</v>
      </c>
    </row>
    <row r="13" spans="1:15" ht="31.5" customHeight="1" x14ac:dyDescent="0.35">
      <c r="A13" s="10" t="s">
        <v>105</v>
      </c>
      <c r="B13" s="6" t="s">
        <v>108</v>
      </c>
      <c r="C13" s="6" t="s">
        <v>109</v>
      </c>
      <c r="F13" s="8" t="s">
        <v>28</v>
      </c>
      <c r="G13" s="8">
        <f>I6</f>
        <v>10</v>
      </c>
      <c r="H13" s="8">
        <f>I7</f>
        <v>30</v>
      </c>
      <c r="L13" s="6" t="s">
        <v>113</v>
      </c>
    </row>
    <row r="14" spans="1:15" x14ac:dyDescent="0.35">
      <c r="B14" s="8">
        <f>C2</f>
        <v>19</v>
      </c>
      <c r="C14" s="8">
        <v>0</v>
      </c>
      <c r="F14" s="8" t="s">
        <v>29</v>
      </c>
      <c r="G14" s="8">
        <f>J6</f>
        <v>1</v>
      </c>
      <c r="H14" s="8">
        <f>J7</f>
        <v>0.75</v>
      </c>
    </row>
    <row r="15" spans="1:15" x14ac:dyDescent="0.35">
      <c r="A15" s="6" t="s">
        <v>33</v>
      </c>
      <c r="B15" s="6" t="s">
        <v>108</v>
      </c>
      <c r="C15" s="6" t="s">
        <v>109</v>
      </c>
      <c r="F15" s="8" t="s">
        <v>104</v>
      </c>
      <c r="G15" s="8">
        <f>K6</f>
        <v>0</v>
      </c>
      <c r="H15" s="8">
        <f>K7</f>
        <v>0</v>
      </c>
    </row>
    <row r="16" spans="1:15" x14ac:dyDescent="0.35">
      <c r="B16" s="8">
        <f>C2</f>
        <v>19</v>
      </c>
      <c r="C16" s="8">
        <v>0</v>
      </c>
      <c r="F16" s="8" t="s">
        <v>30</v>
      </c>
      <c r="G16" s="8">
        <f>L6</f>
        <v>0</v>
      </c>
      <c r="H16" s="8">
        <f>L7</f>
        <v>0</v>
      </c>
    </row>
    <row r="17" spans="5:8" x14ac:dyDescent="0.35">
      <c r="F17" s="8" t="s">
        <v>32</v>
      </c>
      <c r="G17" s="8">
        <f>M6</f>
        <v>0</v>
      </c>
      <c r="H17" s="8">
        <f>M7</f>
        <v>0</v>
      </c>
    </row>
    <row r="18" spans="5:8" ht="29.25" customHeight="1" x14ac:dyDescent="0.35">
      <c r="F18" s="11" t="s">
        <v>105</v>
      </c>
      <c r="G18" s="8">
        <f>N6</f>
        <v>0</v>
      </c>
      <c r="H18" s="8">
        <f>N7</f>
        <v>0</v>
      </c>
    </row>
    <row r="19" spans="5:8" x14ac:dyDescent="0.35">
      <c r="F19" s="8" t="s">
        <v>33</v>
      </c>
      <c r="G19" s="8">
        <f>O6</f>
        <v>0</v>
      </c>
      <c r="H19" s="8">
        <f>O7</f>
        <v>0</v>
      </c>
    </row>
    <row r="20" spans="5:8" x14ac:dyDescent="0.35">
      <c r="F20" s="8" t="s">
        <v>114</v>
      </c>
      <c r="G20" s="8">
        <f>G13+G14+G15+G16+G17+G18+G19</f>
        <v>11</v>
      </c>
      <c r="H20" s="8">
        <f>H13+H14+H15+H16+H17+H18+H19</f>
        <v>30.75</v>
      </c>
    </row>
    <row r="21" spans="5:8" x14ac:dyDescent="0.35">
      <c r="E21"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4.5" x14ac:dyDescent="0.35"/>
  <sheetData>
    <row r="2" spans="2:13" x14ac:dyDescent="0.35">
      <c r="C2" s="4" t="s">
        <v>87</v>
      </c>
      <c r="D2" s="184"/>
      <c r="E2" s="184"/>
    </row>
    <row r="3" spans="2:13" x14ac:dyDescent="0.35">
      <c r="E3" s="3"/>
      <c r="F3" s="3"/>
      <c r="G3" s="3"/>
      <c r="H3" s="3"/>
      <c r="I3" s="3"/>
      <c r="J3" s="3"/>
    </row>
    <row r="4" spans="2:13" x14ac:dyDescent="0.35">
      <c r="B4" s="4" t="s">
        <v>88</v>
      </c>
      <c r="C4" s="2" t="s">
        <v>68</v>
      </c>
      <c r="D4" s="185" t="s">
        <v>69</v>
      </c>
      <c r="E4" s="185"/>
      <c r="F4" s="185"/>
      <c r="G4" s="5"/>
      <c r="H4" s="185" t="s">
        <v>70</v>
      </c>
      <c r="I4" s="185"/>
      <c r="J4" s="185"/>
      <c r="K4" s="185" t="s">
        <v>71</v>
      </c>
      <c r="L4" s="185"/>
      <c r="M4" s="185"/>
    </row>
    <row r="5" spans="2:13" x14ac:dyDescent="0.35">
      <c r="B5" s="4">
        <v>1</v>
      </c>
      <c r="C5" s="2"/>
      <c r="D5" s="2" t="s">
        <v>72</v>
      </c>
      <c r="E5" s="2" t="s">
        <v>73</v>
      </c>
      <c r="F5" s="2" t="s">
        <v>74</v>
      </c>
      <c r="G5" s="2"/>
      <c r="H5" s="2" t="s">
        <v>72</v>
      </c>
      <c r="I5" s="2" t="s">
        <v>73</v>
      </c>
      <c r="J5" s="2" t="s">
        <v>74</v>
      </c>
      <c r="K5" s="2" t="s">
        <v>72</v>
      </c>
      <c r="L5" s="2" t="s">
        <v>73</v>
      </c>
      <c r="M5" s="2" t="s">
        <v>74</v>
      </c>
    </row>
    <row r="6" spans="2:13" x14ac:dyDescent="0.35">
      <c r="C6" s="1" t="s">
        <v>75</v>
      </c>
      <c r="D6" s="1"/>
      <c r="E6" s="1"/>
      <c r="F6" s="1">
        <f>D6*E6</f>
        <v>0</v>
      </c>
      <c r="G6" s="1" t="s">
        <v>90</v>
      </c>
      <c r="H6" s="1"/>
      <c r="I6" s="1"/>
      <c r="J6" s="1">
        <f>H6*I6</f>
        <v>0</v>
      </c>
      <c r="K6" s="1"/>
      <c r="L6" s="1"/>
      <c r="M6" s="1">
        <f>K6*L6</f>
        <v>0</v>
      </c>
    </row>
    <row r="7" spans="2:13" x14ac:dyDescent="0.35">
      <c r="C7" s="1"/>
      <c r="D7" s="1"/>
      <c r="E7" s="1"/>
      <c r="F7" s="1">
        <f t="shared" ref="F7:F33" si="0">D7*E7</f>
        <v>0</v>
      </c>
      <c r="G7" s="1" t="s">
        <v>91</v>
      </c>
      <c r="H7" s="1"/>
      <c r="I7" s="1"/>
      <c r="J7" s="1">
        <f t="shared" ref="J7:J29" si="1">H7*I7</f>
        <v>0</v>
      </c>
      <c r="K7" s="1"/>
      <c r="L7" s="1"/>
      <c r="M7" s="1">
        <f t="shared" ref="M7:M29" si="2">K7*L7</f>
        <v>0</v>
      </c>
    </row>
    <row r="8" spans="2:13" x14ac:dyDescent="0.35">
      <c r="C8" s="1"/>
      <c r="D8" s="1"/>
      <c r="E8" s="1"/>
      <c r="F8" s="1">
        <f t="shared" si="0"/>
        <v>0</v>
      </c>
      <c r="G8" s="1"/>
      <c r="H8" s="1"/>
      <c r="I8" s="1"/>
      <c r="J8" s="1">
        <f t="shared" si="1"/>
        <v>0</v>
      </c>
      <c r="K8" s="1"/>
      <c r="L8" s="1"/>
      <c r="M8" s="1">
        <f t="shared" si="2"/>
        <v>0</v>
      </c>
    </row>
    <row r="9" spans="2:13" x14ac:dyDescent="0.35">
      <c r="C9" s="1" t="s">
        <v>78</v>
      </c>
      <c r="D9" s="1"/>
      <c r="E9" s="1"/>
      <c r="F9" s="1">
        <f t="shared" si="0"/>
        <v>0</v>
      </c>
      <c r="G9" s="1" t="s">
        <v>90</v>
      </c>
      <c r="H9" s="1"/>
      <c r="I9" s="1"/>
      <c r="J9" s="1">
        <f t="shared" si="1"/>
        <v>0</v>
      </c>
      <c r="K9" s="1"/>
      <c r="L9" s="1"/>
      <c r="M9" s="1">
        <f t="shared" si="2"/>
        <v>0</v>
      </c>
    </row>
    <row r="10" spans="2:13" x14ac:dyDescent="0.35">
      <c r="C10" s="1"/>
      <c r="D10" s="1"/>
      <c r="E10" s="1"/>
      <c r="F10" s="1">
        <f t="shared" si="0"/>
        <v>0</v>
      </c>
      <c r="G10" s="1" t="s">
        <v>91</v>
      </c>
      <c r="H10" s="1"/>
      <c r="I10" s="1"/>
      <c r="J10" s="1">
        <f t="shared" si="1"/>
        <v>0</v>
      </c>
      <c r="K10" s="1"/>
      <c r="L10" s="1"/>
      <c r="M10" s="1">
        <f t="shared" si="2"/>
        <v>0</v>
      </c>
    </row>
    <row r="11" spans="2:13" x14ac:dyDescent="0.35">
      <c r="C11" s="1"/>
      <c r="D11" s="1"/>
      <c r="E11" s="1"/>
      <c r="F11" s="1">
        <f t="shared" si="0"/>
        <v>0</v>
      </c>
      <c r="G11" s="1"/>
      <c r="H11" s="1"/>
      <c r="I11" s="1"/>
      <c r="J11" s="1">
        <f t="shared" si="1"/>
        <v>0</v>
      </c>
      <c r="K11" s="1"/>
      <c r="L11" s="1"/>
      <c r="M11" s="1">
        <f t="shared" si="2"/>
        <v>0</v>
      </c>
    </row>
    <row r="12" spans="2:13" x14ac:dyDescent="0.35">
      <c r="C12" s="1"/>
      <c r="D12" s="1"/>
      <c r="E12" s="1"/>
      <c r="F12" s="1">
        <f t="shared" si="0"/>
        <v>0</v>
      </c>
      <c r="G12" s="1"/>
      <c r="H12" s="1"/>
      <c r="I12" s="1"/>
      <c r="J12" s="1">
        <f t="shared" si="1"/>
        <v>0</v>
      </c>
      <c r="K12" s="1"/>
      <c r="L12" s="1"/>
      <c r="M12" s="1">
        <f t="shared" si="2"/>
        <v>0</v>
      </c>
    </row>
    <row r="13" spans="2:13" x14ac:dyDescent="0.35">
      <c r="C13" s="1" t="s">
        <v>76</v>
      </c>
      <c r="D13" s="1"/>
      <c r="E13" s="1"/>
      <c r="F13" s="1">
        <f t="shared" si="0"/>
        <v>0</v>
      </c>
      <c r="G13" s="1" t="s">
        <v>90</v>
      </c>
      <c r="H13" s="1"/>
      <c r="I13" s="1"/>
      <c r="J13" s="1">
        <f t="shared" si="1"/>
        <v>0</v>
      </c>
      <c r="K13" s="1"/>
      <c r="L13" s="1"/>
      <c r="M13" s="1">
        <f t="shared" si="2"/>
        <v>0</v>
      </c>
    </row>
    <row r="14" spans="2:13" x14ac:dyDescent="0.35">
      <c r="C14" s="1"/>
      <c r="D14" s="1"/>
      <c r="E14" s="1"/>
      <c r="F14" s="1">
        <f t="shared" si="0"/>
        <v>0</v>
      </c>
      <c r="G14" s="1" t="s">
        <v>91</v>
      </c>
      <c r="H14" s="1"/>
      <c r="I14" s="1"/>
      <c r="J14" s="1">
        <f t="shared" si="1"/>
        <v>0</v>
      </c>
      <c r="K14" s="1"/>
      <c r="L14" s="1"/>
      <c r="M14" s="1">
        <f t="shared" si="2"/>
        <v>0</v>
      </c>
    </row>
    <row r="15" spans="2:13" x14ac:dyDescent="0.35">
      <c r="C15" s="1"/>
      <c r="D15" s="1"/>
      <c r="E15" s="1"/>
      <c r="F15" s="1">
        <f t="shared" si="0"/>
        <v>0</v>
      </c>
      <c r="G15" s="1"/>
      <c r="H15" s="1"/>
      <c r="I15" s="1"/>
      <c r="J15" s="1">
        <f t="shared" si="1"/>
        <v>0</v>
      </c>
      <c r="K15" s="1"/>
      <c r="L15" s="1"/>
      <c r="M15" s="1">
        <f t="shared" si="2"/>
        <v>0</v>
      </c>
    </row>
    <row r="16" spans="2:13" x14ac:dyDescent="0.35">
      <c r="C16" s="1"/>
      <c r="D16" s="1"/>
      <c r="E16" s="1"/>
      <c r="F16" s="1">
        <f t="shared" si="0"/>
        <v>0</v>
      </c>
      <c r="G16" s="1"/>
      <c r="H16" s="1"/>
      <c r="I16" s="1"/>
      <c r="J16" s="1">
        <f t="shared" si="1"/>
        <v>0</v>
      </c>
      <c r="K16" s="1"/>
      <c r="L16" s="1"/>
      <c r="M16" s="1">
        <f t="shared" si="2"/>
        <v>0</v>
      </c>
    </row>
    <row r="17" spans="3:13" x14ac:dyDescent="0.35">
      <c r="C17" s="1" t="s">
        <v>77</v>
      </c>
      <c r="D17" s="1"/>
      <c r="E17" s="1"/>
      <c r="F17" s="1">
        <f t="shared" si="0"/>
        <v>0</v>
      </c>
      <c r="G17" s="1" t="s">
        <v>90</v>
      </c>
      <c r="H17" s="1"/>
      <c r="I17" s="1"/>
      <c r="J17" s="1">
        <f t="shared" si="1"/>
        <v>0</v>
      </c>
      <c r="K17" s="1"/>
      <c r="L17" s="1"/>
      <c r="M17" s="1">
        <f t="shared" si="2"/>
        <v>0</v>
      </c>
    </row>
    <row r="18" spans="3:13" x14ac:dyDescent="0.35">
      <c r="C18" s="1"/>
      <c r="D18" s="1"/>
      <c r="E18" s="1"/>
      <c r="F18" s="1">
        <f t="shared" si="0"/>
        <v>0</v>
      </c>
      <c r="G18" s="1" t="s">
        <v>91</v>
      </c>
      <c r="H18" s="1"/>
      <c r="I18" s="1"/>
      <c r="J18" s="1">
        <f t="shared" si="1"/>
        <v>0</v>
      </c>
      <c r="K18" s="1"/>
      <c r="L18" s="1"/>
      <c r="M18" s="1">
        <f t="shared" si="2"/>
        <v>0</v>
      </c>
    </row>
    <row r="19" spans="3:13" x14ac:dyDescent="0.35">
      <c r="C19" s="1"/>
      <c r="D19" s="1"/>
      <c r="E19" s="1"/>
      <c r="F19" s="1">
        <f t="shared" si="0"/>
        <v>0</v>
      </c>
      <c r="G19" s="1"/>
      <c r="H19" s="1"/>
      <c r="I19" s="1"/>
      <c r="J19" s="1">
        <f t="shared" si="1"/>
        <v>0</v>
      </c>
      <c r="K19" s="1"/>
      <c r="L19" s="1"/>
      <c r="M19" s="1">
        <f t="shared" si="2"/>
        <v>0</v>
      </c>
    </row>
    <row r="20" spans="3:13" x14ac:dyDescent="0.35">
      <c r="C20" s="1" t="s">
        <v>77</v>
      </c>
      <c r="D20" s="1"/>
      <c r="E20" s="1"/>
      <c r="F20" s="1">
        <f t="shared" si="0"/>
        <v>0</v>
      </c>
      <c r="G20" s="1" t="s">
        <v>90</v>
      </c>
      <c r="H20" s="1"/>
      <c r="I20" s="1"/>
      <c r="J20" s="1">
        <f t="shared" si="1"/>
        <v>0</v>
      </c>
      <c r="K20" s="1"/>
      <c r="L20" s="1"/>
      <c r="M20" s="1">
        <f t="shared" si="2"/>
        <v>0</v>
      </c>
    </row>
    <row r="21" spans="3:13" x14ac:dyDescent="0.35">
      <c r="C21" s="1"/>
      <c r="D21" s="1"/>
      <c r="E21" s="1"/>
      <c r="F21" s="1">
        <f t="shared" si="0"/>
        <v>0</v>
      </c>
      <c r="G21" s="1" t="s">
        <v>91</v>
      </c>
      <c r="H21" s="1"/>
      <c r="I21" s="1"/>
      <c r="J21" s="1">
        <f t="shared" si="1"/>
        <v>0</v>
      </c>
      <c r="K21" s="1"/>
      <c r="L21" s="1"/>
      <c r="M21" s="1">
        <f t="shared" si="2"/>
        <v>0</v>
      </c>
    </row>
    <row r="22" spans="3:13" x14ac:dyDescent="0.35">
      <c r="C22" s="1"/>
      <c r="D22" s="1"/>
      <c r="E22" s="1"/>
      <c r="F22" s="1">
        <f t="shared" si="0"/>
        <v>0</v>
      </c>
      <c r="G22" s="1"/>
      <c r="H22" s="1"/>
      <c r="I22" s="1"/>
      <c r="J22" s="1">
        <f t="shared" si="1"/>
        <v>0</v>
      </c>
      <c r="K22" s="1"/>
      <c r="L22" s="1"/>
      <c r="M22" s="1">
        <f t="shared" si="2"/>
        <v>0</v>
      </c>
    </row>
    <row r="23" spans="3:13" x14ac:dyDescent="0.35">
      <c r="C23" s="1" t="s">
        <v>83</v>
      </c>
      <c r="D23" s="1"/>
      <c r="E23" s="1"/>
      <c r="F23" s="1">
        <f t="shared" si="0"/>
        <v>0</v>
      </c>
      <c r="G23" s="1" t="s">
        <v>92</v>
      </c>
      <c r="H23" s="1"/>
      <c r="I23" s="1"/>
      <c r="J23" s="1">
        <f t="shared" si="1"/>
        <v>0</v>
      </c>
      <c r="K23" s="1"/>
      <c r="L23" s="1"/>
      <c r="M23" s="1">
        <f t="shared" si="2"/>
        <v>0</v>
      </c>
    </row>
    <row r="24" spans="3:13" x14ac:dyDescent="0.35">
      <c r="C24" s="1" t="s">
        <v>84</v>
      </c>
      <c r="D24" s="1"/>
      <c r="E24" s="1"/>
      <c r="F24" s="1">
        <f t="shared" si="0"/>
        <v>0</v>
      </c>
      <c r="G24" s="1" t="s">
        <v>92</v>
      </c>
      <c r="H24" s="1"/>
      <c r="I24" s="1"/>
      <c r="J24" s="1">
        <f t="shared" si="1"/>
        <v>0</v>
      </c>
      <c r="K24" s="1"/>
      <c r="L24" s="1"/>
      <c r="M24" s="1">
        <f t="shared" si="2"/>
        <v>0</v>
      </c>
    </row>
    <row r="25" spans="3:13" x14ac:dyDescent="0.35">
      <c r="C25" s="1" t="s">
        <v>85</v>
      </c>
      <c r="D25" s="1"/>
      <c r="E25" s="1"/>
      <c r="F25" s="1">
        <f t="shared" si="0"/>
        <v>0</v>
      </c>
      <c r="G25" s="1" t="s">
        <v>92</v>
      </c>
      <c r="H25" s="1"/>
      <c r="I25" s="1"/>
      <c r="J25" s="1">
        <f t="shared" si="1"/>
        <v>0</v>
      </c>
      <c r="K25" s="1"/>
      <c r="L25" s="1"/>
      <c r="M25" s="1">
        <f t="shared" si="2"/>
        <v>0</v>
      </c>
    </row>
    <row r="26" spans="3:13" x14ac:dyDescent="0.35">
      <c r="C26" s="1"/>
      <c r="D26" s="1"/>
      <c r="E26" s="1"/>
      <c r="F26" s="1">
        <f t="shared" si="0"/>
        <v>0</v>
      </c>
      <c r="G26" s="1"/>
      <c r="H26" s="1"/>
      <c r="I26" s="1"/>
      <c r="J26" s="1">
        <f t="shared" si="1"/>
        <v>0</v>
      </c>
      <c r="K26" s="1"/>
      <c r="L26" s="1"/>
      <c r="M26" s="1">
        <f t="shared" si="2"/>
        <v>0</v>
      </c>
    </row>
    <row r="27" spans="3:13" x14ac:dyDescent="0.35">
      <c r="C27" s="1" t="s">
        <v>79</v>
      </c>
      <c r="D27" s="1"/>
      <c r="E27" s="1"/>
      <c r="F27" s="1">
        <f t="shared" si="0"/>
        <v>0</v>
      </c>
      <c r="G27" s="1"/>
      <c r="H27" s="1"/>
      <c r="I27" s="1"/>
      <c r="J27" s="1">
        <f t="shared" si="1"/>
        <v>0</v>
      </c>
      <c r="K27" s="1"/>
      <c r="L27" s="1"/>
      <c r="M27" s="1">
        <f t="shared" si="2"/>
        <v>0</v>
      </c>
    </row>
    <row r="28" spans="3:13" x14ac:dyDescent="0.35">
      <c r="C28" s="1" t="s">
        <v>80</v>
      </c>
      <c r="D28" s="1"/>
      <c r="E28" s="1"/>
      <c r="F28" s="1">
        <f t="shared" si="0"/>
        <v>0</v>
      </c>
      <c r="G28" s="1"/>
      <c r="H28" s="1"/>
      <c r="I28" s="1"/>
      <c r="J28" s="1">
        <f t="shared" si="1"/>
        <v>0</v>
      </c>
      <c r="K28" s="1"/>
      <c r="L28" s="1"/>
      <c r="M28" s="1">
        <f t="shared" si="2"/>
        <v>0</v>
      </c>
    </row>
    <row r="29" spans="3:13" x14ac:dyDescent="0.35">
      <c r="C29" s="1" t="s">
        <v>81</v>
      </c>
      <c r="D29" s="1"/>
      <c r="E29" s="1"/>
      <c r="F29" s="1">
        <f t="shared" si="0"/>
        <v>0</v>
      </c>
      <c r="G29" s="1"/>
      <c r="H29" s="1"/>
      <c r="I29" s="1"/>
      <c r="J29" s="1">
        <f t="shared" si="1"/>
        <v>0</v>
      </c>
      <c r="K29" s="1"/>
      <c r="L29" s="1"/>
      <c r="M29" s="1">
        <f t="shared" si="2"/>
        <v>0</v>
      </c>
    </row>
    <row r="30" spans="3:13" x14ac:dyDescent="0.35">
      <c r="C30" s="1" t="s">
        <v>82</v>
      </c>
      <c r="D30" s="1"/>
      <c r="E30" s="1"/>
      <c r="F30" s="1">
        <f t="shared" si="0"/>
        <v>0</v>
      </c>
      <c r="G30" s="1"/>
      <c r="H30" s="1"/>
      <c r="I30" s="1"/>
      <c r="J30" s="1">
        <f>H30*I30</f>
        <v>0</v>
      </c>
      <c r="K30" s="1"/>
      <c r="L30" s="1"/>
      <c r="M30" s="1">
        <f>K30*L30</f>
        <v>0</v>
      </c>
    </row>
    <row r="31" spans="3:13" x14ac:dyDescent="0.35">
      <c r="C31" s="1"/>
      <c r="D31" s="1"/>
      <c r="E31" s="1"/>
      <c r="F31" s="1">
        <f t="shared" si="0"/>
        <v>0</v>
      </c>
      <c r="G31" s="1"/>
      <c r="H31" s="1"/>
      <c r="I31" s="1"/>
      <c r="J31" s="1">
        <f>H31*I31</f>
        <v>0</v>
      </c>
      <c r="K31" s="1"/>
      <c r="L31" s="1"/>
      <c r="M31" s="1">
        <f>K31*L31</f>
        <v>0</v>
      </c>
    </row>
    <row r="32" spans="3:13" x14ac:dyDescent="0.35">
      <c r="C32" s="1"/>
      <c r="D32" s="1"/>
      <c r="E32" s="1"/>
      <c r="F32" s="1">
        <f t="shared" si="0"/>
        <v>0</v>
      </c>
      <c r="G32" s="1"/>
      <c r="H32" s="1"/>
      <c r="I32" s="1"/>
      <c r="J32" s="1">
        <f>H32*I32</f>
        <v>0</v>
      </c>
      <c r="K32" s="1"/>
      <c r="L32" s="1"/>
      <c r="M32" s="1">
        <f>K32*L32</f>
        <v>0</v>
      </c>
    </row>
    <row r="33" spans="3:13" x14ac:dyDescent="0.35">
      <c r="C33" s="1"/>
      <c r="D33" s="1"/>
      <c r="E33" s="1"/>
      <c r="F33" s="1">
        <f t="shared" si="0"/>
        <v>0</v>
      </c>
      <c r="G33" s="1"/>
      <c r="H33" s="1"/>
      <c r="I33" s="1"/>
      <c r="J33" s="1">
        <f>H33*I33</f>
        <v>0</v>
      </c>
      <c r="K33" s="1"/>
      <c r="L33" s="1"/>
      <c r="M33" s="1">
        <f>K33*L33</f>
        <v>0</v>
      </c>
    </row>
    <row r="34" spans="3:13" x14ac:dyDescent="0.35">
      <c r="C34" s="1" t="s">
        <v>86</v>
      </c>
      <c r="D34" s="1"/>
      <c r="E34" s="1">
        <f>F34*10.764</f>
        <v>0</v>
      </c>
      <c r="F34" s="1">
        <f>SUM(F6:F33)</f>
        <v>0</v>
      </c>
      <c r="G34" s="1"/>
      <c r="H34" s="1"/>
      <c r="I34" s="1">
        <f>J34*10.764</f>
        <v>0</v>
      </c>
      <c r="J34" s="1">
        <f>SUM(J6:J33)</f>
        <v>0</v>
      </c>
      <c r="K34" s="1"/>
      <c r="L34" s="1">
        <f>M34*10.764</f>
        <v>0</v>
      </c>
      <c r="M34" s="1">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4" t="s">
        <v>87</v>
      </c>
      <c r="D3" s="184"/>
      <c r="E3" s="184"/>
    </row>
    <row r="4" spans="2:13" x14ac:dyDescent="0.35">
      <c r="E4" s="3"/>
      <c r="F4" s="3"/>
      <c r="G4" s="3"/>
      <c r="H4" s="3"/>
      <c r="I4" s="3"/>
      <c r="J4" s="3"/>
    </row>
    <row r="5" spans="2:13" x14ac:dyDescent="0.35">
      <c r="B5" s="4" t="s">
        <v>88</v>
      </c>
      <c r="C5" s="2" t="s">
        <v>68</v>
      </c>
      <c r="D5" s="185" t="s">
        <v>69</v>
      </c>
      <c r="E5" s="185"/>
      <c r="F5" s="185"/>
      <c r="G5" s="5"/>
      <c r="H5" s="185" t="s">
        <v>70</v>
      </c>
      <c r="I5" s="185"/>
      <c r="J5" s="185"/>
      <c r="K5" s="185" t="s">
        <v>71</v>
      </c>
      <c r="L5" s="185"/>
      <c r="M5" s="185"/>
    </row>
    <row r="6" spans="2:13" x14ac:dyDescent="0.35">
      <c r="B6" s="4">
        <v>1</v>
      </c>
      <c r="C6" s="2"/>
      <c r="D6" s="2" t="s">
        <v>72</v>
      </c>
      <c r="E6" s="2" t="s">
        <v>73</v>
      </c>
      <c r="F6" s="2" t="s">
        <v>74</v>
      </c>
      <c r="G6" s="2"/>
      <c r="H6" s="2" t="s">
        <v>72</v>
      </c>
      <c r="I6" s="2" t="s">
        <v>73</v>
      </c>
      <c r="J6" s="2" t="s">
        <v>74</v>
      </c>
      <c r="K6" s="2" t="s">
        <v>72</v>
      </c>
      <c r="L6" s="2" t="s">
        <v>73</v>
      </c>
      <c r="M6" s="2" t="s">
        <v>74</v>
      </c>
    </row>
    <row r="7" spans="2:13" x14ac:dyDescent="0.35">
      <c r="C7" s="1" t="s">
        <v>75</v>
      </c>
      <c r="D7" s="1"/>
      <c r="E7" s="1"/>
      <c r="F7" s="1">
        <f>D7*E7</f>
        <v>0</v>
      </c>
      <c r="G7" s="1" t="s">
        <v>90</v>
      </c>
      <c r="H7" s="1"/>
      <c r="I7" s="1"/>
      <c r="J7" s="1">
        <f>H7*I7</f>
        <v>0</v>
      </c>
      <c r="K7" s="1"/>
      <c r="L7" s="1"/>
      <c r="M7" s="1">
        <f>K7*L7</f>
        <v>0</v>
      </c>
    </row>
    <row r="8" spans="2:13" x14ac:dyDescent="0.35">
      <c r="C8" s="1"/>
      <c r="D8" s="1"/>
      <c r="E8" s="1"/>
      <c r="F8" s="1">
        <f t="shared" ref="F8:F34" si="0">D8*E8</f>
        <v>0</v>
      </c>
      <c r="G8" s="1" t="s">
        <v>91</v>
      </c>
      <c r="H8" s="1"/>
      <c r="I8" s="1"/>
      <c r="J8" s="1">
        <f t="shared" ref="J8:J34" si="1">H8*I8</f>
        <v>0</v>
      </c>
      <c r="K8" s="1"/>
      <c r="L8" s="1"/>
      <c r="M8" s="1">
        <f t="shared" ref="M8:M34" si="2">K8*L8</f>
        <v>0</v>
      </c>
    </row>
    <row r="9" spans="2:13" x14ac:dyDescent="0.35">
      <c r="C9" s="1"/>
      <c r="D9" s="1"/>
      <c r="E9" s="1"/>
      <c r="F9" s="1">
        <f t="shared" si="0"/>
        <v>0</v>
      </c>
      <c r="G9" s="1"/>
      <c r="H9" s="1"/>
      <c r="I9" s="1"/>
      <c r="J9" s="1">
        <f t="shared" si="1"/>
        <v>0</v>
      </c>
      <c r="K9" s="1"/>
      <c r="L9" s="1"/>
      <c r="M9" s="1">
        <f t="shared" si="2"/>
        <v>0</v>
      </c>
    </row>
    <row r="10" spans="2:13" x14ac:dyDescent="0.35">
      <c r="C10" s="1" t="s">
        <v>78</v>
      </c>
      <c r="D10" s="1"/>
      <c r="E10" s="1"/>
      <c r="F10" s="1">
        <f t="shared" si="0"/>
        <v>0</v>
      </c>
      <c r="G10" s="1" t="s">
        <v>90</v>
      </c>
      <c r="H10" s="1"/>
      <c r="I10" s="1"/>
      <c r="J10" s="1">
        <f t="shared" si="1"/>
        <v>0</v>
      </c>
      <c r="K10" s="1"/>
      <c r="L10" s="1"/>
      <c r="M10" s="1">
        <f t="shared" si="2"/>
        <v>0</v>
      </c>
    </row>
    <row r="11" spans="2:13" x14ac:dyDescent="0.35">
      <c r="C11" s="1"/>
      <c r="D11" s="1"/>
      <c r="E11" s="1"/>
      <c r="F11" s="1">
        <f t="shared" si="0"/>
        <v>0</v>
      </c>
      <c r="G11" s="1" t="s">
        <v>91</v>
      </c>
      <c r="H11" s="1"/>
      <c r="I11" s="1"/>
      <c r="J11" s="1">
        <f t="shared" si="1"/>
        <v>0</v>
      </c>
      <c r="K11" s="1"/>
      <c r="L11" s="1"/>
      <c r="M11" s="1">
        <f t="shared" si="2"/>
        <v>0</v>
      </c>
    </row>
    <row r="12" spans="2:13" x14ac:dyDescent="0.35">
      <c r="C12" s="1"/>
      <c r="D12" s="1"/>
      <c r="E12" s="1"/>
      <c r="F12" s="1">
        <f t="shared" si="0"/>
        <v>0</v>
      </c>
      <c r="G12" s="1"/>
      <c r="H12" s="1"/>
      <c r="I12" s="1"/>
      <c r="J12" s="1">
        <f t="shared" si="1"/>
        <v>0</v>
      </c>
      <c r="K12" s="1"/>
      <c r="L12" s="1"/>
      <c r="M12" s="1">
        <f t="shared" si="2"/>
        <v>0</v>
      </c>
    </row>
    <row r="13" spans="2:13" x14ac:dyDescent="0.35">
      <c r="C13" s="1"/>
      <c r="D13" s="1"/>
      <c r="E13" s="1"/>
      <c r="F13" s="1">
        <f t="shared" si="0"/>
        <v>0</v>
      </c>
      <c r="G13" s="1"/>
      <c r="H13" s="1"/>
      <c r="I13" s="1"/>
      <c r="J13" s="1">
        <f t="shared" si="1"/>
        <v>0</v>
      </c>
      <c r="K13" s="1"/>
      <c r="L13" s="1"/>
      <c r="M13" s="1">
        <f t="shared" si="2"/>
        <v>0</v>
      </c>
    </row>
    <row r="14" spans="2:13" x14ac:dyDescent="0.35">
      <c r="C14" s="1" t="s">
        <v>76</v>
      </c>
      <c r="D14" s="1"/>
      <c r="E14" s="1"/>
      <c r="F14" s="1">
        <f t="shared" si="0"/>
        <v>0</v>
      </c>
      <c r="G14" s="1" t="s">
        <v>90</v>
      </c>
      <c r="H14" s="1"/>
      <c r="I14" s="1"/>
      <c r="J14" s="1">
        <f t="shared" si="1"/>
        <v>0</v>
      </c>
      <c r="K14" s="1"/>
      <c r="L14" s="1"/>
      <c r="M14" s="1">
        <f t="shared" si="2"/>
        <v>0</v>
      </c>
    </row>
    <row r="15" spans="2:13" x14ac:dyDescent="0.35">
      <c r="C15" s="1"/>
      <c r="D15" s="1"/>
      <c r="E15" s="1"/>
      <c r="F15" s="1">
        <f t="shared" si="0"/>
        <v>0</v>
      </c>
      <c r="G15" s="1" t="s">
        <v>91</v>
      </c>
      <c r="H15" s="1"/>
      <c r="I15" s="1"/>
      <c r="J15" s="1">
        <f t="shared" si="1"/>
        <v>0</v>
      </c>
      <c r="K15" s="1"/>
      <c r="L15" s="1"/>
      <c r="M15" s="1">
        <f t="shared" si="2"/>
        <v>0</v>
      </c>
    </row>
    <row r="16" spans="2:13" x14ac:dyDescent="0.35">
      <c r="C16" s="1"/>
      <c r="D16" s="1"/>
      <c r="E16" s="1"/>
      <c r="F16" s="1">
        <f t="shared" si="0"/>
        <v>0</v>
      </c>
      <c r="G16" s="1"/>
      <c r="H16" s="1"/>
      <c r="I16" s="1"/>
      <c r="J16" s="1">
        <f t="shared" si="1"/>
        <v>0</v>
      </c>
      <c r="K16" s="1"/>
      <c r="L16" s="1"/>
      <c r="M16" s="1">
        <f t="shared" si="2"/>
        <v>0</v>
      </c>
    </row>
    <row r="17" spans="3:13" x14ac:dyDescent="0.35">
      <c r="C17" s="1"/>
      <c r="D17" s="1"/>
      <c r="E17" s="1"/>
      <c r="F17" s="1">
        <f t="shared" si="0"/>
        <v>0</v>
      </c>
      <c r="G17" s="1"/>
      <c r="H17" s="1"/>
      <c r="I17" s="1"/>
      <c r="J17" s="1">
        <f t="shared" si="1"/>
        <v>0</v>
      </c>
      <c r="K17" s="1"/>
      <c r="L17" s="1"/>
      <c r="M17" s="1">
        <f t="shared" si="2"/>
        <v>0</v>
      </c>
    </row>
    <row r="18" spans="3:13" x14ac:dyDescent="0.35">
      <c r="C18" s="1" t="s">
        <v>77</v>
      </c>
      <c r="D18" s="1"/>
      <c r="E18" s="1"/>
      <c r="F18" s="1">
        <f t="shared" si="0"/>
        <v>0</v>
      </c>
      <c r="G18" s="1" t="s">
        <v>90</v>
      </c>
      <c r="H18" s="1"/>
      <c r="I18" s="1"/>
      <c r="J18" s="1">
        <f t="shared" si="1"/>
        <v>0</v>
      </c>
      <c r="K18" s="1"/>
      <c r="L18" s="1"/>
      <c r="M18" s="1">
        <f t="shared" si="2"/>
        <v>0</v>
      </c>
    </row>
    <row r="19" spans="3:13" x14ac:dyDescent="0.35">
      <c r="C19" s="1"/>
      <c r="D19" s="1"/>
      <c r="E19" s="1"/>
      <c r="F19" s="1">
        <f t="shared" si="0"/>
        <v>0</v>
      </c>
      <c r="G19" s="1" t="s">
        <v>91</v>
      </c>
      <c r="H19" s="1"/>
      <c r="I19" s="1"/>
      <c r="J19" s="1">
        <f t="shared" si="1"/>
        <v>0</v>
      </c>
      <c r="K19" s="1"/>
      <c r="L19" s="1"/>
      <c r="M19" s="1">
        <f t="shared" si="2"/>
        <v>0</v>
      </c>
    </row>
    <row r="20" spans="3:13" x14ac:dyDescent="0.35">
      <c r="C20" s="1"/>
      <c r="D20" s="1"/>
      <c r="E20" s="1"/>
      <c r="F20" s="1">
        <f t="shared" si="0"/>
        <v>0</v>
      </c>
      <c r="G20" s="1"/>
      <c r="H20" s="1"/>
      <c r="I20" s="1"/>
      <c r="J20" s="1">
        <f t="shared" si="1"/>
        <v>0</v>
      </c>
      <c r="K20" s="1"/>
      <c r="L20" s="1"/>
      <c r="M20" s="1">
        <f t="shared" si="2"/>
        <v>0</v>
      </c>
    </row>
    <row r="21" spans="3:13" x14ac:dyDescent="0.35">
      <c r="C21" s="1" t="s">
        <v>77</v>
      </c>
      <c r="D21" s="1"/>
      <c r="E21" s="1"/>
      <c r="F21" s="1">
        <f t="shared" si="0"/>
        <v>0</v>
      </c>
      <c r="G21" s="1" t="s">
        <v>90</v>
      </c>
      <c r="H21" s="1"/>
      <c r="I21" s="1"/>
      <c r="J21" s="1">
        <f t="shared" si="1"/>
        <v>0</v>
      </c>
      <c r="K21" s="1"/>
      <c r="L21" s="1"/>
      <c r="M21" s="1">
        <f t="shared" si="2"/>
        <v>0</v>
      </c>
    </row>
    <row r="22" spans="3:13" x14ac:dyDescent="0.35">
      <c r="C22" s="1"/>
      <c r="D22" s="1"/>
      <c r="E22" s="1"/>
      <c r="F22" s="1">
        <f t="shared" si="0"/>
        <v>0</v>
      </c>
      <c r="G22" s="1" t="s">
        <v>91</v>
      </c>
      <c r="H22" s="1"/>
      <c r="I22" s="1"/>
      <c r="J22" s="1">
        <f t="shared" si="1"/>
        <v>0</v>
      </c>
      <c r="K22" s="1"/>
      <c r="L22" s="1"/>
      <c r="M22" s="1">
        <f t="shared" si="2"/>
        <v>0</v>
      </c>
    </row>
    <row r="23" spans="3:13" x14ac:dyDescent="0.35">
      <c r="C23" s="1"/>
      <c r="D23" s="1"/>
      <c r="E23" s="1"/>
      <c r="F23" s="1">
        <f t="shared" si="0"/>
        <v>0</v>
      </c>
      <c r="G23" s="1"/>
      <c r="H23" s="1"/>
      <c r="I23" s="1"/>
      <c r="J23" s="1">
        <f t="shared" si="1"/>
        <v>0</v>
      </c>
      <c r="K23" s="1"/>
      <c r="L23" s="1"/>
      <c r="M23" s="1">
        <f t="shared" si="2"/>
        <v>0</v>
      </c>
    </row>
    <row r="24" spans="3:13" x14ac:dyDescent="0.35">
      <c r="C24" s="1" t="s">
        <v>83</v>
      </c>
      <c r="D24" s="1"/>
      <c r="E24" s="1"/>
      <c r="F24" s="1">
        <f t="shared" si="0"/>
        <v>0</v>
      </c>
      <c r="G24" s="1" t="s">
        <v>92</v>
      </c>
      <c r="H24" s="1"/>
      <c r="I24" s="1"/>
      <c r="J24" s="1">
        <f t="shared" si="1"/>
        <v>0</v>
      </c>
      <c r="K24" s="1"/>
      <c r="L24" s="1"/>
      <c r="M24" s="1">
        <f t="shared" si="2"/>
        <v>0</v>
      </c>
    </row>
    <row r="25" spans="3:13" x14ac:dyDescent="0.35">
      <c r="C25" s="1" t="s">
        <v>84</v>
      </c>
      <c r="D25" s="1"/>
      <c r="E25" s="1"/>
      <c r="F25" s="1">
        <f t="shared" si="0"/>
        <v>0</v>
      </c>
      <c r="G25" s="1" t="s">
        <v>92</v>
      </c>
      <c r="H25" s="1"/>
      <c r="I25" s="1"/>
      <c r="J25" s="1">
        <f t="shared" si="1"/>
        <v>0</v>
      </c>
      <c r="K25" s="1"/>
      <c r="L25" s="1"/>
      <c r="M25" s="1">
        <f t="shared" si="2"/>
        <v>0</v>
      </c>
    </row>
    <row r="26" spans="3:13" x14ac:dyDescent="0.35">
      <c r="C26" s="1" t="s">
        <v>85</v>
      </c>
      <c r="D26" s="1"/>
      <c r="E26" s="1"/>
      <c r="F26" s="1">
        <f t="shared" si="0"/>
        <v>0</v>
      </c>
      <c r="G26" s="1" t="s">
        <v>92</v>
      </c>
      <c r="H26" s="1"/>
      <c r="I26" s="1"/>
      <c r="J26" s="1">
        <f t="shared" si="1"/>
        <v>0</v>
      </c>
      <c r="K26" s="1"/>
      <c r="L26" s="1"/>
      <c r="M26" s="1">
        <f t="shared" si="2"/>
        <v>0</v>
      </c>
    </row>
    <row r="27" spans="3:13" x14ac:dyDescent="0.35">
      <c r="C27" s="1"/>
      <c r="D27" s="1"/>
      <c r="E27" s="1"/>
      <c r="F27" s="1">
        <f t="shared" si="0"/>
        <v>0</v>
      </c>
      <c r="G27" s="1"/>
      <c r="H27" s="1"/>
      <c r="I27" s="1"/>
      <c r="J27" s="1">
        <f t="shared" si="1"/>
        <v>0</v>
      </c>
      <c r="K27" s="1"/>
      <c r="L27" s="1"/>
      <c r="M27" s="1">
        <f t="shared" si="2"/>
        <v>0</v>
      </c>
    </row>
    <row r="28" spans="3:13" x14ac:dyDescent="0.35">
      <c r="C28" s="1" t="s">
        <v>79</v>
      </c>
      <c r="D28" s="1"/>
      <c r="E28" s="1"/>
      <c r="F28" s="1">
        <f t="shared" si="0"/>
        <v>0</v>
      </c>
      <c r="G28" s="1"/>
      <c r="H28" s="1"/>
      <c r="I28" s="1"/>
      <c r="J28" s="1">
        <f t="shared" si="1"/>
        <v>0</v>
      </c>
      <c r="K28" s="1"/>
      <c r="L28" s="1"/>
      <c r="M28" s="1">
        <f t="shared" si="2"/>
        <v>0</v>
      </c>
    </row>
    <row r="29" spans="3:13" x14ac:dyDescent="0.35">
      <c r="C29" s="1" t="s">
        <v>80</v>
      </c>
      <c r="D29" s="1"/>
      <c r="E29" s="1"/>
      <c r="F29" s="1">
        <f t="shared" si="0"/>
        <v>0</v>
      </c>
      <c r="G29" s="1"/>
      <c r="H29" s="1"/>
      <c r="I29" s="1"/>
      <c r="J29" s="1">
        <f t="shared" si="1"/>
        <v>0</v>
      </c>
      <c r="K29" s="1"/>
      <c r="L29" s="1"/>
      <c r="M29" s="1">
        <f t="shared" si="2"/>
        <v>0</v>
      </c>
    </row>
    <row r="30" spans="3:13" x14ac:dyDescent="0.35">
      <c r="C30" s="1" t="s">
        <v>81</v>
      </c>
      <c r="D30" s="1"/>
      <c r="E30" s="1"/>
      <c r="F30" s="1">
        <f t="shared" si="0"/>
        <v>0</v>
      </c>
      <c r="G30" s="1"/>
      <c r="H30" s="1"/>
      <c r="I30" s="1"/>
      <c r="J30" s="1">
        <f t="shared" si="1"/>
        <v>0</v>
      </c>
      <c r="K30" s="1"/>
      <c r="L30" s="1"/>
      <c r="M30" s="1">
        <f t="shared" si="2"/>
        <v>0</v>
      </c>
    </row>
    <row r="31" spans="3:13" x14ac:dyDescent="0.35">
      <c r="C31" s="1" t="s">
        <v>82</v>
      </c>
      <c r="D31" s="1"/>
      <c r="E31" s="1"/>
      <c r="F31" s="1">
        <f t="shared" si="0"/>
        <v>0</v>
      </c>
      <c r="G31" s="1"/>
      <c r="H31" s="1"/>
      <c r="I31" s="1"/>
      <c r="J31" s="1">
        <f t="shared" si="1"/>
        <v>0</v>
      </c>
      <c r="K31" s="1"/>
      <c r="L31" s="1"/>
      <c r="M31" s="1">
        <f t="shared" si="2"/>
        <v>0</v>
      </c>
    </row>
    <row r="32" spans="3:13" x14ac:dyDescent="0.35">
      <c r="C32" s="1"/>
      <c r="D32" s="1"/>
      <c r="E32" s="1"/>
      <c r="F32" s="1">
        <f t="shared" si="0"/>
        <v>0</v>
      </c>
      <c r="G32" s="1"/>
      <c r="H32" s="1"/>
      <c r="I32" s="1"/>
      <c r="J32" s="1">
        <f t="shared" si="1"/>
        <v>0</v>
      </c>
      <c r="K32" s="1"/>
      <c r="L32" s="1"/>
      <c r="M32" s="1">
        <f t="shared" si="2"/>
        <v>0</v>
      </c>
    </row>
    <row r="33" spans="3:13" x14ac:dyDescent="0.35">
      <c r="C33" s="1"/>
      <c r="D33" s="1"/>
      <c r="E33" s="1"/>
      <c r="F33" s="1">
        <f t="shared" si="0"/>
        <v>0</v>
      </c>
      <c r="G33" s="1"/>
      <c r="H33" s="1"/>
      <c r="I33" s="1"/>
      <c r="J33" s="1">
        <f t="shared" si="1"/>
        <v>0</v>
      </c>
      <c r="K33" s="1"/>
      <c r="L33" s="1"/>
      <c r="M33" s="1">
        <f t="shared" si="2"/>
        <v>0</v>
      </c>
    </row>
    <row r="34" spans="3:13" x14ac:dyDescent="0.35">
      <c r="C34" s="1"/>
      <c r="D34" s="1"/>
      <c r="E34" s="1"/>
      <c r="F34" s="1">
        <f t="shared" si="0"/>
        <v>0</v>
      </c>
      <c r="G34" s="1"/>
      <c r="H34" s="1"/>
      <c r="I34" s="1"/>
      <c r="J34" s="1">
        <f t="shared" si="1"/>
        <v>0</v>
      </c>
      <c r="K34" s="1"/>
      <c r="L34" s="1"/>
      <c r="M34" s="1">
        <f t="shared" si="2"/>
        <v>0</v>
      </c>
    </row>
    <row r="35" spans="3:13" x14ac:dyDescent="0.35">
      <c r="C35" s="1" t="s">
        <v>86</v>
      </c>
      <c r="D35" s="1"/>
      <c r="E35" s="1">
        <f>F35*10.764</f>
        <v>0</v>
      </c>
      <c r="F35" s="1">
        <f>SUM(F7:F34)</f>
        <v>0</v>
      </c>
      <c r="G35" s="1"/>
      <c r="H35" s="1"/>
      <c r="I35" s="1">
        <f>J35*10.764</f>
        <v>0</v>
      </c>
      <c r="J35" s="1">
        <f>SUM(J7:J34)</f>
        <v>0</v>
      </c>
      <c r="K35" s="1"/>
      <c r="L35" s="1">
        <f>M35*10.764</f>
        <v>0</v>
      </c>
      <c r="M35" s="1">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4" t="s">
        <v>87</v>
      </c>
      <c r="E3" s="184"/>
      <c r="F3" s="184"/>
    </row>
    <row r="4" spans="3:14" x14ac:dyDescent="0.35">
      <c r="F4" s="3"/>
      <c r="G4" s="3"/>
      <c r="H4" s="3"/>
      <c r="I4" s="3"/>
      <c r="J4" s="3"/>
      <c r="K4" s="3"/>
    </row>
    <row r="5" spans="3:14" x14ac:dyDescent="0.35">
      <c r="C5" s="4" t="s">
        <v>88</v>
      </c>
      <c r="D5" s="2" t="s">
        <v>68</v>
      </c>
      <c r="E5" s="185" t="s">
        <v>69</v>
      </c>
      <c r="F5" s="185"/>
      <c r="G5" s="185"/>
      <c r="H5" s="5"/>
      <c r="I5" s="185" t="s">
        <v>70</v>
      </c>
      <c r="J5" s="185"/>
      <c r="K5" s="185"/>
      <c r="L5" s="185" t="s">
        <v>71</v>
      </c>
      <c r="M5" s="185"/>
      <c r="N5" s="185"/>
    </row>
    <row r="6" spans="3:14" x14ac:dyDescent="0.35">
      <c r="C6" s="4">
        <v>1</v>
      </c>
      <c r="D6" s="2"/>
      <c r="E6" s="2" t="s">
        <v>72</v>
      </c>
      <c r="F6" s="2" t="s">
        <v>73</v>
      </c>
      <c r="G6" s="2" t="s">
        <v>74</v>
      </c>
      <c r="H6" s="2"/>
      <c r="I6" s="2" t="s">
        <v>72</v>
      </c>
      <c r="J6" s="2" t="s">
        <v>73</v>
      </c>
      <c r="K6" s="2" t="s">
        <v>74</v>
      </c>
      <c r="L6" s="2" t="s">
        <v>72</v>
      </c>
      <c r="M6" s="2" t="s">
        <v>73</v>
      </c>
      <c r="N6" s="2" t="s">
        <v>74</v>
      </c>
    </row>
    <row r="7" spans="3:14" x14ac:dyDescent="0.35">
      <c r="D7" s="1" t="s">
        <v>75</v>
      </c>
      <c r="E7" s="1"/>
      <c r="F7" s="1"/>
      <c r="G7" s="1">
        <f>E7*F7</f>
        <v>0</v>
      </c>
      <c r="H7" s="1" t="s">
        <v>90</v>
      </c>
      <c r="I7" s="1"/>
      <c r="J7" s="1"/>
      <c r="K7" s="1">
        <f>I7*J7</f>
        <v>0</v>
      </c>
      <c r="L7" s="1"/>
      <c r="M7" s="1"/>
      <c r="N7" s="1">
        <f>L7*M7</f>
        <v>0</v>
      </c>
    </row>
    <row r="8" spans="3:14" x14ac:dyDescent="0.35">
      <c r="D8" s="1"/>
      <c r="E8" s="1"/>
      <c r="F8" s="1"/>
      <c r="G8" s="1">
        <f t="shared" ref="G8:G34" si="0">E8*F8</f>
        <v>0</v>
      </c>
      <c r="H8" s="1" t="s">
        <v>91</v>
      </c>
      <c r="I8" s="1"/>
      <c r="J8" s="1"/>
      <c r="K8" s="1">
        <f t="shared" ref="K8:K34" si="1">I8*J8</f>
        <v>0</v>
      </c>
      <c r="L8" s="1"/>
      <c r="M8" s="1"/>
      <c r="N8" s="1">
        <f t="shared" ref="N8:N34" si="2">L8*M8</f>
        <v>0</v>
      </c>
    </row>
    <row r="9" spans="3:14" x14ac:dyDescent="0.35">
      <c r="D9" s="1"/>
      <c r="E9" s="1"/>
      <c r="F9" s="1"/>
      <c r="G9" s="1">
        <f t="shared" si="0"/>
        <v>0</v>
      </c>
      <c r="H9" s="1"/>
      <c r="I9" s="1"/>
      <c r="J9" s="1"/>
      <c r="K9" s="1">
        <f t="shared" si="1"/>
        <v>0</v>
      </c>
      <c r="L9" s="1"/>
      <c r="M9" s="1"/>
      <c r="N9" s="1">
        <f t="shared" si="2"/>
        <v>0</v>
      </c>
    </row>
    <row r="10" spans="3:14" x14ac:dyDescent="0.35">
      <c r="D10" s="1" t="s">
        <v>78</v>
      </c>
      <c r="E10" s="1"/>
      <c r="F10" s="1"/>
      <c r="G10" s="1">
        <f t="shared" si="0"/>
        <v>0</v>
      </c>
      <c r="H10" s="1" t="s">
        <v>90</v>
      </c>
      <c r="I10" s="1"/>
      <c r="J10" s="1"/>
      <c r="K10" s="1">
        <f t="shared" si="1"/>
        <v>0</v>
      </c>
      <c r="L10" s="1"/>
      <c r="M10" s="1"/>
      <c r="N10" s="1">
        <f t="shared" si="2"/>
        <v>0</v>
      </c>
    </row>
    <row r="11" spans="3:14" x14ac:dyDescent="0.35">
      <c r="D11" s="1"/>
      <c r="E11" s="1"/>
      <c r="F11" s="1"/>
      <c r="G11" s="1">
        <f t="shared" si="0"/>
        <v>0</v>
      </c>
      <c r="H11" s="1" t="s">
        <v>91</v>
      </c>
      <c r="I11" s="1"/>
      <c r="J11" s="1"/>
      <c r="K11" s="1">
        <f t="shared" si="1"/>
        <v>0</v>
      </c>
      <c r="L11" s="1"/>
      <c r="M11" s="1"/>
      <c r="N11" s="1">
        <f t="shared" si="2"/>
        <v>0</v>
      </c>
    </row>
    <row r="12" spans="3:14" x14ac:dyDescent="0.35">
      <c r="D12" s="1"/>
      <c r="E12" s="1"/>
      <c r="F12" s="1"/>
      <c r="G12" s="1">
        <f t="shared" si="0"/>
        <v>0</v>
      </c>
      <c r="H12" s="1"/>
      <c r="I12" s="1"/>
      <c r="J12" s="1"/>
      <c r="K12" s="1">
        <f t="shared" si="1"/>
        <v>0</v>
      </c>
      <c r="L12" s="1"/>
      <c r="M12" s="1"/>
      <c r="N12" s="1">
        <f t="shared" si="2"/>
        <v>0</v>
      </c>
    </row>
    <row r="13" spans="3:14" x14ac:dyDescent="0.35">
      <c r="D13" s="1"/>
      <c r="E13" s="1"/>
      <c r="F13" s="1"/>
      <c r="G13" s="1">
        <f t="shared" si="0"/>
        <v>0</v>
      </c>
      <c r="H13" s="1"/>
      <c r="I13" s="1"/>
      <c r="J13" s="1"/>
      <c r="K13" s="1">
        <f t="shared" si="1"/>
        <v>0</v>
      </c>
      <c r="L13" s="1"/>
      <c r="M13" s="1"/>
      <c r="N13" s="1">
        <f t="shared" si="2"/>
        <v>0</v>
      </c>
    </row>
    <row r="14" spans="3:14" x14ac:dyDescent="0.35">
      <c r="D14" s="1" t="s">
        <v>76</v>
      </c>
      <c r="E14" s="1"/>
      <c r="F14" s="1"/>
      <c r="G14" s="1">
        <f t="shared" si="0"/>
        <v>0</v>
      </c>
      <c r="H14" s="1" t="s">
        <v>90</v>
      </c>
      <c r="I14" s="1"/>
      <c r="J14" s="1"/>
      <c r="K14" s="1">
        <f t="shared" si="1"/>
        <v>0</v>
      </c>
      <c r="L14" s="1"/>
      <c r="M14" s="1"/>
      <c r="N14" s="1">
        <f t="shared" si="2"/>
        <v>0</v>
      </c>
    </row>
    <row r="15" spans="3:14" x14ac:dyDescent="0.35">
      <c r="D15" s="1"/>
      <c r="E15" s="1"/>
      <c r="F15" s="1"/>
      <c r="G15" s="1">
        <f t="shared" si="0"/>
        <v>0</v>
      </c>
      <c r="H15" s="1" t="s">
        <v>91</v>
      </c>
      <c r="I15" s="1"/>
      <c r="J15" s="1"/>
      <c r="K15" s="1">
        <f t="shared" si="1"/>
        <v>0</v>
      </c>
      <c r="L15" s="1"/>
      <c r="M15" s="1"/>
      <c r="N15" s="1">
        <f t="shared" si="2"/>
        <v>0</v>
      </c>
    </row>
    <row r="16" spans="3:14" x14ac:dyDescent="0.35">
      <c r="D16" s="1"/>
      <c r="E16" s="1"/>
      <c r="F16" s="1"/>
      <c r="G16" s="1">
        <f t="shared" si="0"/>
        <v>0</v>
      </c>
      <c r="H16" s="1"/>
      <c r="I16" s="1"/>
      <c r="J16" s="1"/>
      <c r="K16" s="1">
        <f t="shared" si="1"/>
        <v>0</v>
      </c>
      <c r="L16" s="1"/>
      <c r="M16" s="1"/>
      <c r="N16" s="1">
        <f t="shared" si="2"/>
        <v>0</v>
      </c>
    </row>
    <row r="17" spans="4:14" x14ac:dyDescent="0.35">
      <c r="D17" s="1"/>
      <c r="E17" s="1"/>
      <c r="F17" s="1"/>
      <c r="G17" s="1">
        <f t="shared" si="0"/>
        <v>0</v>
      </c>
      <c r="H17" s="1"/>
      <c r="I17" s="1"/>
      <c r="J17" s="1"/>
      <c r="K17" s="1">
        <f t="shared" si="1"/>
        <v>0</v>
      </c>
      <c r="L17" s="1"/>
      <c r="M17" s="1"/>
      <c r="N17" s="1">
        <f t="shared" si="2"/>
        <v>0</v>
      </c>
    </row>
    <row r="18" spans="4:14" x14ac:dyDescent="0.35">
      <c r="D18" s="1" t="s">
        <v>77</v>
      </c>
      <c r="E18" s="1"/>
      <c r="F18" s="1"/>
      <c r="G18" s="1">
        <f t="shared" si="0"/>
        <v>0</v>
      </c>
      <c r="H18" s="1" t="s">
        <v>90</v>
      </c>
      <c r="I18" s="1"/>
      <c r="J18" s="1"/>
      <c r="K18" s="1">
        <f t="shared" si="1"/>
        <v>0</v>
      </c>
      <c r="L18" s="1"/>
      <c r="M18" s="1"/>
      <c r="N18" s="1">
        <f t="shared" si="2"/>
        <v>0</v>
      </c>
    </row>
    <row r="19" spans="4:14" x14ac:dyDescent="0.35">
      <c r="D19" s="1"/>
      <c r="E19" s="1"/>
      <c r="F19" s="1"/>
      <c r="G19" s="1">
        <f t="shared" si="0"/>
        <v>0</v>
      </c>
      <c r="H19" s="1" t="s">
        <v>91</v>
      </c>
      <c r="I19" s="1"/>
      <c r="J19" s="1"/>
      <c r="K19" s="1">
        <f t="shared" si="1"/>
        <v>0</v>
      </c>
      <c r="L19" s="1"/>
      <c r="M19" s="1"/>
      <c r="N19" s="1">
        <f t="shared" si="2"/>
        <v>0</v>
      </c>
    </row>
    <row r="20" spans="4:14" x14ac:dyDescent="0.35">
      <c r="D20" s="1"/>
      <c r="E20" s="1"/>
      <c r="F20" s="1"/>
      <c r="G20" s="1">
        <f t="shared" si="0"/>
        <v>0</v>
      </c>
      <c r="H20" s="1"/>
      <c r="I20" s="1"/>
      <c r="J20" s="1"/>
      <c r="K20" s="1">
        <f t="shared" si="1"/>
        <v>0</v>
      </c>
      <c r="L20" s="1"/>
      <c r="M20" s="1"/>
      <c r="N20" s="1">
        <f t="shared" si="2"/>
        <v>0</v>
      </c>
    </row>
    <row r="21" spans="4:14" x14ac:dyDescent="0.35">
      <c r="D21" s="1" t="s">
        <v>77</v>
      </c>
      <c r="E21" s="1"/>
      <c r="F21" s="1"/>
      <c r="G21" s="1">
        <f t="shared" si="0"/>
        <v>0</v>
      </c>
      <c r="H21" s="1" t="s">
        <v>90</v>
      </c>
      <c r="I21" s="1"/>
      <c r="J21" s="1"/>
      <c r="K21" s="1">
        <f t="shared" si="1"/>
        <v>0</v>
      </c>
      <c r="L21" s="1"/>
      <c r="M21" s="1"/>
      <c r="N21" s="1">
        <f t="shared" si="2"/>
        <v>0</v>
      </c>
    </row>
    <row r="22" spans="4:14" x14ac:dyDescent="0.35">
      <c r="D22" s="1"/>
      <c r="E22" s="1"/>
      <c r="F22" s="1"/>
      <c r="G22" s="1">
        <f t="shared" si="0"/>
        <v>0</v>
      </c>
      <c r="H22" s="1" t="s">
        <v>91</v>
      </c>
      <c r="I22" s="1"/>
      <c r="J22" s="1"/>
      <c r="K22" s="1">
        <f t="shared" si="1"/>
        <v>0</v>
      </c>
      <c r="L22" s="1"/>
      <c r="M22" s="1"/>
      <c r="N22" s="1">
        <f t="shared" si="2"/>
        <v>0</v>
      </c>
    </row>
    <row r="23" spans="4:14" x14ac:dyDescent="0.35">
      <c r="D23" s="1"/>
      <c r="E23" s="1"/>
      <c r="F23" s="1"/>
      <c r="G23" s="1">
        <f t="shared" si="0"/>
        <v>0</v>
      </c>
      <c r="H23" s="1"/>
      <c r="I23" s="1"/>
      <c r="J23" s="1"/>
      <c r="K23" s="1">
        <f t="shared" si="1"/>
        <v>0</v>
      </c>
      <c r="L23" s="1"/>
      <c r="M23" s="1"/>
      <c r="N23" s="1">
        <f t="shared" si="2"/>
        <v>0</v>
      </c>
    </row>
    <row r="24" spans="4:14" x14ac:dyDescent="0.35">
      <c r="D24" s="1" t="s">
        <v>83</v>
      </c>
      <c r="E24" s="1"/>
      <c r="F24" s="1"/>
      <c r="G24" s="1">
        <f t="shared" si="0"/>
        <v>0</v>
      </c>
      <c r="H24" s="1" t="s">
        <v>92</v>
      </c>
      <c r="I24" s="1"/>
      <c r="J24" s="1"/>
      <c r="K24" s="1">
        <f t="shared" si="1"/>
        <v>0</v>
      </c>
      <c r="L24" s="1"/>
      <c r="M24" s="1"/>
      <c r="N24" s="1">
        <f t="shared" si="2"/>
        <v>0</v>
      </c>
    </row>
    <row r="25" spans="4:14" x14ac:dyDescent="0.35">
      <c r="D25" s="1" t="s">
        <v>84</v>
      </c>
      <c r="E25" s="1"/>
      <c r="F25" s="1"/>
      <c r="G25" s="1">
        <f t="shared" si="0"/>
        <v>0</v>
      </c>
      <c r="H25" s="1" t="s">
        <v>92</v>
      </c>
      <c r="I25" s="1"/>
      <c r="J25" s="1"/>
      <c r="K25" s="1">
        <f t="shared" si="1"/>
        <v>0</v>
      </c>
      <c r="L25" s="1"/>
      <c r="M25" s="1"/>
      <c r="N25" s="1">
        <f t="shared" si="2"/>
        <v>0</v>
      </c>
    </row>
    <row r="26" spans="4:14" x14ac:dyDescent="0.35">
      <c r="D26" s="1" t="s">
        <v>85</v>
      </c>
      <c r="E26" s="1"/>
      <c r="F26" s="1"/>
      <c r="G26" s="1">
        <f t="shared" si="0"/>
        <v>0</v>
      </c>
      <c r="H26" s="1" t="s">
        <v>92</v>
      </c>
      <c r="I26" s="1"/>
      <c r="J26" s="1"/>
      <c r="K26" s="1">
        <f t="shared" si="1"/>
        <v>0</v>
      </c>
      <c r="L26" s="1"/>
      <c r="M26" s="1"/>
      <c r="N26" s="1">
        <f t="shared" si="2"/>
        <v>0</v>
      </c>
    </row>
    <row r="27" spans="4:14" x14ac:dyDescent="0.35">
      <c r="D27" s="1"/>
      <c r="E27" s="1"/>
      <c r="F27" s="1"/>
      <c r="G27" s="1">
        <f t="shared" si="0"/>
        <v>0</v>
      </c>
      <c r="H27" s="1"/>
      <c r="I27" s="1"/>
      <c r="J27" s="1"/>
      <c r="K27" s="1">
        <f t="shared" si="1"/>
        <v>0</v>
      </c>
      <c r="L27" s="1"/>
      <c r="M27" s="1"/>
      <c r="N27" s="1">
        <f t="shared" si="2"/>
        <v>0</v>
      </c>
    </row>
    <row r="28" spans="4:14" x14ac:dyDescent="0.35">
      <c r="D28" s="1" t="s">
        <v>79</v>
      </c>
      <c r="E28" s="1"/>
      <c r="F28" s="1"/>
      <c r="G28" s="1">
        <f t="shared" si="0"/>
        <v>0</v>
      </c>
      <c r="H28" s="1"/>
      <c r="I28" s="1"/>
      <c r="J28" s="1"/>
      <c r="K28" s="1">
        <f t="shared" si="1"/>
        <v>0</v>
      </c>
      <c r="L28" s="1"/>
      <c r="M28" s="1"/>
      <c r="N28" s="1">
        <f t="shared" si="2"/>
        <v>0</v>
      </c>
    </row>
    <row r="29" spans="4:14" x14ac:dyDescent="0.35">
      <c r="D29" s="1" t="s">
        <v>80</v>
      </c>
      <c r="E29" s="1"/>
      <c r="F29" s="1"/>
      <c r="G29" s="1">
        <f t="shared" si="0"/>
        <v>0</v>
      </c>
      <c r="H29" s="1"/>
      <c r="I29" s="1"/>
      <c r="J29" s="1"/>
      <c r="K29" s="1">
        <f t="shared" si="1"/>
        <v>0</v>
      </c>
      <c r="L29" s="1"/>
      <c r="M29" s="1"/>
      <c r="N29" s="1">
        <f t="shared" si="2"/>
        <v>0</v>
      </c>
    </row>
    <row r="30" spans="4:14" x14ac:dyDescent="0.35">
      <c r="D30" s="1" t="s">
        <v>81</v>
      </c>
      <c r="E30" s="1"/>
      <c r="F30" s="1"/>
      <c r="G30" s="1">
        <f t="shared" si="0"/>
        <v>0</v>
      </c>
      <c r="H30" s="1"/>
      <c r="I30" s="1"/>
      <c r="J30" s="1"/>
      <c r="K30" s="1">
        <f t="shared" si="1"/>
        <v>0</v>
      </c>
      <c r="L30" s="1"/>
      <c r="M30" s="1"/>
      <c r="N30" s="1">
        <f t="shared" si="2"/>
        <v>0</v>
      </c>
    </row>
    <row r="31" spans="4:14" x14ac:dyDescent="0.35">
      <c r="D31" s="1" t="s">
        <v>82</v>
      </c>
      <c r="E31" s="1"/>
      <c r="F31" s="1"/>
      <c r="G31" s="1">
        <f t="shared" si="0"/>
        <v>0</v>
      </c>
      <c r="H31" s="1"/>
      <c r="I31" s="1"/>
      <c r="J31" s="1"/>
      <c r="K31" s="1">
        <f t="shared" si="1"/>
        <v>0</v>
      </c>
      <c r="L31" s="1"/>
      <c r="M31" s="1"/>
      <c r="N31" s="1">
        <f t="shared" si="2"/>
        <v>0</v>
      </c>
    </row>
    <row r="32" spans="4:14" x14ac:dyDescent="0.35">
      <c r="D32" s="1"/>
      <c r="E32" s="1"/>
      <c r="F32" s="1"/>
      <c r="G32" s="1">
        <f t="shared" si="0"/>
        <v>0</v>
      </c>
      <c r="H32" s="1"/>
      <c r="I32" s="1"/>
      <c r="J32" s="1"/>
      <c r="K32" s="1">
        <f t="shared" si="1"/>
        <v>0</v>
      </c>
      <c r="L32" s="1"/>
      <c r="M32" s="1"/>
      <c r="N32" s="1">
        <f t="shared" si="2"/>
        <v>0</v>
      </c>
    </row>
    <row r="33" spans="4:14" x14ac:dyDescent="0.35">
      <c r="D33" s="1"/>
      <c r="E33" s="1"/>
      <c r="F33" s="1"/>
      <c r="G33" s="1">
        <f t="shared" si="0"/>
        <v>0</v>
      </c>
      <c r="H33" s="1"/>
      <c r="I33" s="1"/>
      <c r="J33" s="1"/>
      <c r="K33" s="1">
        <f t="shared" si="1"/>
        <v>0</v>
      </c>
      <c r="L33" s="1"/>
      <c r="M33" s="1"/>
      <c r="N33" s="1">
        <f t="shared" si="2"/>
        <v>0</v>
      </c>
    </row>
    <row r="34" spans="4:14" x14ac:dyDescent="0.35">
      <c r="D34" s="1"/>
      <c r="E34" s="1"/>
      <c r="F34" s="1"/>
      <c r="G34" s="1">
        <f t="shared" si="0"/>
        <v>0</v>
      </c>
      <c r="H34" s="1"/>
      <c r="I34" s="1"/>
      <c r="J34" s="1"/>
      <c r="K34" s="1">
        <f t="shared" si="1"/>
        <v>0</v>
      </c>
      <c r="L34" s="1"/>
      <c r="M34" s="1"/>
      <c r="N34" s="1">
        <f t="shared" si="2"/>
        <v>0</v>
      </c>
    </row>
    <row r="35" spans="4:14" x14ac:dyDescent="0.35">
      <c r="D35" s="1" t="s">
        <v>86</v>
      </c>
      <c r="E35" s="1"/>
      <c r="F35" s="1">
        <f>G35*10.764</f>
        <v>0</v>
      </c>
      <c r="G35" s="1">
        <f>SUM(G7:G34)</f>
        <v>0</v>
      </c>
      <c r="H35" s="1"/>
      <c r="I35" s="1"/>
      <c r="J35" s="1">
        <f>K35*10.764</f>
        <v>0</v>
      </c>
      <c r="K35" s="1">
        <f>SUM(K7:K34)</f>
        <v>0</v>
      </c>
      <c r="L35" s="1"/>
      <c r="M35" s="1">
        <f>N35*10.764</f>
        <v>0</v>
      </c>
      <c r="N35" s="1">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A,B, C</vt:lpstr>
      <vt:lpstr>D,E</vt:lpstr>
      <vt:lpstr>E</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2025-09-10T05:23:44Z</cp:lastPrinted>
  <dcterms:created xsi:type="dcterms:W3CDTF">2013-11-23T05:32:33Z</dcterms:created>
  <dcterms:modified xsi:type="dcterms:W3CDTF">2025-09-10T05:25:31Z</dcterms:modified>
</cp:coreProperties>
</file>