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10-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Report!$A$1:$H$666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5" i="1" l="1"/>
  <c r="J323" i="1"/>
  <c r="J324" i="1"/>
  <c r="J312" i="1"/>
  <c r="J291" i="1"/>
  <c r="J267" i="1"/>
  <c r="J268" i="1"/>
  <c r="J269" i="1"/>
  <c r="J270" i="1"/>
  <c r="J260" i="1"/>
  <c r="J261" i="1"/>
  <c r="J262" i="1"/>
  <c r="J249" i="1"/>
  <c r="J228" i="1"/>
  <c r="J205" i="1"/>
  <c r="J206" i="1"/>
  <c r="J207" i="1"/>
  <c r="J196" i="1"/>
  <c r="J197" i="1"/>
  <c r="J198" i="1"/>
  <c r="J185" i="1"/>
  <c r="J171" i="1"/>
  <c r="J172" i="1"/>
  <c r="J173" i="1"/>
  <c r="J174" i="1"/>
  <c r="J163" i="1"/>
  <c r="J152" i="1"/>
  <c r="J140" i="1"/>
  <c r="J141" i="1"/>
  <c r="D330" i="1" l="1"/>
  <c r="F330" i="1" s="1"/>
  <c r="D329" i="1"/>
  <c r="F329" i="1" s="1"/>
  <c r="D328" i="1"/>
  <c r="F328" i="1" s="1"/>
  <c r="D327" i="1"/>
  <c r="F327" i="1" s="1"/>
  <c r="D326" i="1"/>
  <c r="F326" i="1" s="1"/>
  <c r="D325" i="1"/>
  <c r="F325" i="1" s="1"/>
  <c r="D322" i="1"/>
  <c r="D321" i="1"/>
  <c r="F321" i="1" s="1"/>
  <c r="D320" i="1"/>
  <c r="F320" i="1" s="1"/>
  <c r="D319" i="1"/>
  <c r="F319" i="1" s="1"/>
  <c r="D318" i="1"/>
  <c r="F318" i="1" s="1"/>
  <c r="D317" i="1"/>
  <c r="D316" i="1"/>
  <c r="D315" i="1"/>
  <c r="F315" i="1" s="1"/>
  <c r="D314" i="1"/>
  <c r="F314" i="1" s="1"/>
  <c r="D313" i="1"/>
  <c r="F313" i="1" s="1"/>
  <c r="D311" i="1"/>
  <c r="F311" i="1" s="1"/>
  <c r="D310" i="1"/>
  <c r="F310" i="1" s="1"/>
  <c r="D309" i="1"/>
  <c r="F309" i="1" s="1"/>
  <c r="D308" i="1"/>
  <c r="F308" i="1" s="1"/>
  <c r="D307" i="1"/>
  <c r="F307" i="1" s="1"/>
  <c r="D306" i="1"/>
  <c r="D305" i="1"/>
  <c r="F305" i="1" s="1"/>
  <c r="D304" i="1"/>
  <c r="F304" i="1" s="1"/>
  <c r="D303" i="1"/>
  <c r="F303" i="1" s="1"/>
  <c r="D302" i="1"/>
  <c r="F302" i="1" s="1"/>
  <c r="D301" i="1"/>
  <c r="F301" i="1" s="1"/>
  <c r="D300" i="1"/>
  <c r="D299" i="1"/>
  <c r="F299" i="1" s="1"/>
  <c r="D298" i="1"/>
  <c r="F298" i="1" s="1"/>
  <c r="D297" i="1"/>
  <c r="F297" i="1" s="1"/>
  <c r="D296" i="1"/>
  <c r="F296" i="1" s="1"/>
  <c r="D295" i="1"/>
  <c r="F295" i="1" s="1"/>
  <c r="D294" i="1"/>
  <c r="F294" i="1" s="1"/>
  <c r="D293" i="1"/>
  <c r="F293" i="1" s="1"/>
  <c r="D292" i="1"/>
  <c r="D290" i="1"/>
  <c r="F290" i="1" s="1"/>
  <c r="D289" i="1"/>
  <c r="D288" i="1"/>
  <c r="F288" i="1" s="1"/>
  <c r="D287" i="1"/>
  <c r="F287" i="1" s="1"/>
  <c r="D286" i="1"/>
  <c r="F286" i="1" s="1"/>
  <c r="D285" i="1"/>
  <c r="F285" i="1" s="1"/>
  <c r="D284" i="1"/>
  <c r="F284" i="1" s="1"/>
  <c r="D283" i="1"/>
  <c r="D282" i="1"/>
  <c r="F282" i="1" s="1"/>
  <c r="G273" i="1"/>
  <c r="G272" i="1"/>
  <c r="D281" i="1"/>
  <c r="F281" i="1" s="1"/>
  <c r="D280" i="1"/>
  <c r="F280" i="1" s="1"/>
  <c r="D279" i="1"/>
  <c r="F279" i="1" s="1"/>
  <c r="D278" i="1"/>
  <c r="F278" i="1" s="1"/>
  <c r="D277" i="1"/>
  <c r="F277" i="1" s="1"/>
  <c r="D276" i="1"/>
  <c r="F276" i="1" s="1"/>
  <c r="D275" i="1"/>
  <c r="F275" i="1" s="1"/>
  <c r="D274" i="1"/>
  <c r="F274" i="1" s="1"/>
  <c r="D273" i="1"/>
  <c r="F273" i="1" s="1"/>
  <c r="D272" i="1"/>
  <c r="F272" i="1" s="1"/>
  <c r="D271" i="1"/>
  <c r="F271" i="1" s="1"/>
  <c r="D266" i="1"/>
  <c r="F266" i="1" s="1"/>
  <c r="D265" i="1"/>
  <c r="D264" i="1"/>
  <c r="F264" i="1" s="1"/>
  <c r="D263" i="1"/>
  <c r="F263" i="1" s="1"/>
  <c r="D259" i="1"/>
  <c r="F259" i="1" s="1"/>
  <c r="D258" i="1"/>
  <c r="F258" i="1" s="1"/>
  <c r="D257" i="1"/>
  <c r="F257" i="1" s="1"/>
  <c r="D256" i="1"/>
  <c r="F256" i="1" s="1"/>
  <c r="D255" i="1"/>
  <c r="F255" i="1" s="1"/>
  <c r="D254" i="1"/>
  <c r="F254" i="1" s="1"/>
  <c r="D253" i="1"/>
  <c r="F253" i="1" s="1"/>
  <c r="D252" i="1"/>
  <c r="F252" i="1" s="1"/>
  <c r="D251" i="1"/>
  <c r="F251" i="1" s="1"/>
  <c r="D250" i="1"/>
  <c r="D248" i="1"/>
  <c r="F248" i="1" s="1"/>
  <c r="D247" i="1"/>
  <c r="F247" i="1" s="1"/>
  <c r="D246" i="1"/>
  <c r="F246" i="1" s="1"/>
  <c r="D245" i="1"/>
  <c r="F245" i="1" s="1"/>
  <c r="D244" i="1"/>
  <c r="F244" i="1" s="1"/>
  <c r="D243" i="1"/>
  <c r="D242" i="1"/>
  <c r="F242" i="1" s="1"/>
  <c r="D241" i="1"/>
  <c r="F241" i="1" s="1"/>
  <c r="D240" i="1"/>
  <c r="F240" i="1" s="1"/>
  <c r="D239" i="1"/>
  <c r="F239" i="1" s="1"/>
  <c r="D238" i="1"/>
  <c r="F238" i="1" s="1"/>
  <c r="D237" i="1"/>
  <c r="F237" i="1" s="1"/>
  <c r="D236" i="1"/>
  <c r="F236" i="1" s="1"/>
  <c r="D235" i="1"/>
  <c r="D234" i="1"/>
  <c r="D233" i="1"/>
  <c r="F233" i="1" s="1"/>
  <c r="D232" i="1"/>
  <c r="F232" i="1" s="1"/>
  <c r="D231" i="1"/>
  <c r="F231" i="1" s="1"/>
  <c r="D230" i="1"/>
  <c r="F230" i="1" s="1"/>
  <c r="D229" i="1"/>
  <c r="F229" i="1" s="1"/>
  <c r="G216" i="1"/>
  <c r="G215" i="1"/>
  <c r="D227" i="1"/>
  <c r="F227" i="1" s="1"/>
  <c r="D226" i="1"/>
  <c r="F226" i="1" s="1"/>
  <c r="D225" i="1"/>
  <c r="F225" i="1" s="1"/>
  <c r="D224" i="1"/>
  <c r="F224" i="1" s="1"/>
  <c r="D223" i="1"/>
  <c r="F223" i="1" s="1"/>
  <c r="D222" i="1"/>
  <c r="F222" i="1" s="1"/>
  <c r="D221" i="1"/>
  <c r="F221" i="1" s="1"/>
  <c r="D220" i="1"/>
  <c r="D219" i="1"/>
  <c r="F219" i="1" s="1"/>
  <c r="D218" i="1"/>
  <c r="F218" i="1" s="1"/>
  <c r="D217" i="1"/>
  <c r="F217" i="1" s="1"/>
  <c r="D216" i="1"/>
  <c r="F216" i="1" s="1"/>
  <c r="D215" i="1"/>
  <c r="F215" i="1" s="1"/>
  <c r="D214" i="1"/>
  <c r="D213" i="1"/>
  <c r="F213" i="1" s="1"/>
  <c r="D212" i="1"/>
  <c r="F212" i="1" s="1"/>
  <c r="D211" i="1"/>
  <c r="F211" i="1" s="1"/>
  <c r="D210" i="1"/>
  <c r="F210" i="1" s="1"/>
  <c r="D209" i="1"/>
  <c r="F209" i="1" s="1"/>
  <c r="D208" i="1"/>
  <c r="F208" i="1" s="1"/>
  <c r="D204" i="1"/>
  <c r="F204" i="1" s="1"/>
  <c r="D203" i="1"/>
  <c r="F203" i="1" s="1"/>
  <c r="D202" i="1"/>
  <c r="F202" i="1" s="1"/>
  <c r="D201" i="1"/>
  <c r="D200" i="1"/>
  <c r="F200" i="1" s="1"/>
  <c r="D199" i="1"/>
  <c r="F199" i="1" s="1"/>
  <c r="D195" i="1"/>
  <c r="F195" i="1" s="1"/>
  <c r="D194" i="1"/>
  <c r="F194" i="1" s="1"/>
  <c r="D193" i="1"/>
  <c r="F193" i="1" s="1"/>
  <c r="D192" i="1"/>
  <c r="F192" i="1" s="1"/>
  <c r="D191" i="1"/>
  <c r="F191" i="1" s="1"/>
  <c r="D190" i="1"/>
  <c r="D189" i="1"/>
  <c r="F189" i="1" s="1"/>
  <c r="D188" i="1"/>
  <c r="F188" i="1" s="1"/>
  <c r="D187" i="1"/>
  <c r="F187" i="1" s="1"/>
  <c r="D186" i="1"/>
  <c r="F186" i="1" s="1"/>
  <c r="G177" i="1"/>
  <c r="G176" i="1"/>
  <c r="D184" i="1"/>
  <c r="F184" i="1" s="1"/>
  <c r="D183" i="1"/>
  <c r="D182" i="1"/>
  <c r="D181" i="1"/>
  <c r="F181" i="1" s="1"/>
  <c r="D180" i="1"/>
  <c r="F180" i="1" s="1"/>
  <c r="D179" i="1"/>
  <c r="F179" i="1" s="1"/>
  <c r="D178" i="1"/>
  <c r="F178" i="1" s="1"/>
  <c r="D177" i="1"/>
  <c r="D176" i="1"/>
  <c r="F176" i="1" s="1"/>
  <c r="D175" i="1"/>
  <c r="D170" i="1"/>
  <c r="D169" i="1"/>
  <c r="F169" i="1" s="1"/>
  <c r="D168" i="1"/>
  <c r="F168" i="1" s="1"/>
  <c r="D167" i="1"/>
  <c r="F167" i="1" s="1"/>
  <c r="D166" i="1"/>
  <c r="F166" i="1" s="1"/>
  <c r="D165" i="1"/>
  <c r="D164" i="1"/>
  <c r="F164" i="1" s="1"/>
  <c r="D162" i="1"/>
  <c r="D161" i="1"/>
  <c r="D160" i="1"/>
  <c r="F160" i="1" s="1"/>
  <c r="D159" i="1"/>
  <c r="F159" i="1" s="1"/>
  <c r="D158" i="1"/>
  <c r="F158" i="1" s="1"/>
  <c r="D157" i="1"/>
  <c r="F157" i="1" s="1"/>
  <c r="D156" i="1"/>
  <c r="F156" i="1" s="1"/>
  <c r="D155" i="1"/>
  <c r="F155" i="1" s="1"/>
  <c r="D154" i="1"/>
  <c r="F154" i="1" s="1"/>
  <c r="D153" i="1"/>
  <c r="F153" i="1" s="1"/>
  <c r="G150" i="1"/>
  <c r="G149" i="1"/>
  <c r="D151" i="1"/>
  <c r="F151" i="1" s="1"/>
  <c r="D150" i="1"/>
  <c r="F150" i="1" s="1"/>
  <c r="D149" i="1"/>
  <c r="F149" i="1" s="1"/>
  <c r="D148" i="1"/>
  <c r="F148" i="1" s="1"/>
  <c r="D147" i="1"/>
  <c r="F147" i="1" s="1"/>
  <c r="D146" i="1"/>
  <c r="F146" i="1" s="1"/>
  <c r="D145" i="1"/>
  <c r="F145" i="1" s="1"/>
  <c r="D144" i="1"/>
  <c r="F144" i="1" s="1"/>
  <c r="D143" i="1"/>
  <c r="F143" i="1" s="1"/>
  <c r="D142" i="1"/>
  <c r="F142" i="1" s="1"/>
  <c r="D139" i="1"/>
  <c r="D138" i="1"/>
  <c r="F138" i="1" s="1"/>
  <c r="D137" i="1"/>
  <c r="D136" i="1"/>
  <c r="F136" i="1" s="1"/>
  <c r="D135" i="1"/>
  <c r="F135" i="1" s="1"/>
  <c r="D134" i="1"/>
  <c r="F134" i="1" s="1"/>
  <c r="D133" i="1"/>
  <c r="F133" i="1" s="1"/>
  <c r="D132" i="1"/>
  <c r="F132" i="1" s="1"/>
  <c r="F317" i="1"/>
  <c r="F316" i="1"/>
  <c r="F322" i="1"/>
  <c r="A314" i="1"/>
  <c r="A315" i="1" s="1"/>
  <c r="A316" i="1" s="1"/>
  <c r="A317" i="1" s="1"/>
  <c r="A318" i="1" s="1"/>
  <c r="A319" i="1" s="1"/>
  <c r="A320" i="1" s="1"/>
  <c r="A321" i="1" s="1"/>
  <c r="A322" i="1" s="1"/>
  <c r="A323" i="1" s="1"/>
  <c r="A324" i="1" s="1"/>
  <c r="A325" i="1" s="1"/>
  <c r="A326" i="1" s="1"/>
  <c r="A327" i="1" s="1"/>
  <c r="A328" i="1" s="1"/>
  <c r="A329" i="1" s="1"/>
  <c r="A330" i="1" s="1"/>
  <c r="A331" i="1" s="1"/>
  <c r="A332" i="1" s="1"/>
  <c r="F306" i="1"/>
  <c r="F300" i="1"/>
  <c r="A293" i="1"/>
  <c r="A294" i="1" s="1"/>
  <c r="A295" i="1" s="1"/>
  <c r="A296" i="1" s="1"/>
  <c r="A297" i="1" s="1"/>
  <c r="A298" i="1" s="1"/>
  <c r="A299" i="1" s="1"/>
  <c r="A300" i="1" s="1"/>
  <c r="A301" i="1" s="1"/>
  <c r="A302" i="1" s="1"/>
  <c r="A303" i="1" s="1"/>
  <c r="A304" i="1" s="1"/>
  <c r="A305" i="1" s="1"/>
  <c r="A306" i="1" s="1"/>
  <c r="A307" i="1" s="1"/>
  <c r="A308" i="1" s="1"/>
  <c r="A309" i="1" s="1"/>
  <c r="A310" i="1" s="1"/>
  <c r="A311" i="1" s="1"/>
  <c r="F292" i="1"/>
  <c r="F289" i="1"/>
  <c r="F283" i="1"/>
  <c r="A272" i="1"/>
  <c r="A273" i="1" s="1"/>
  <c r="A274" i="1" s="1"/>
  <c r="A275" i="1" s="1"/>
  <c r="A276" i="1" s="1"/>
  <c r="A277" i="1" s="1"/>
  <c r="A278" i="1" s="1"/>
  <c r="A279" i="1" s="1"/>
  <c r="A280" i="1" s="1"/>
  <c r="A281" i="1" s="1"/>
  <c r="A282" i="1" s="1"/>
  <c r="A283" i="1" s="1"/>
  <c r="A284" i="1" s="1"/>
  <c r="A285" i="1" s="1"/>
  <c r="A286" i="1" s="1"/>
  <c r="A287" i="1" s="1"/>
  <c r="A288" i="1" s="1"/>
  <c r="A289" i="1" s="1"/>
  <c r="A290" i="1" s="1"/>
  <c r="F265" i="1"/>
  <c r="A251" i="1"/>
  <c r="A252" i="1" s="1"/>
  <c r="A253" i="1" s="1"/>
  <c r="A254" i="1" s="1"/>
  <c r="A255" i="1" s="1"/>
  <c r="A256" i="1" s="1"/>
  <c r="A257" i="1" s="1"/>
  <c r="A258" i="1" s="1"/>
  <c r="A259" i="1" s="1"/>
  <c r="A260" i="1" s="1"/>
  <c r="A261" i="1" s="1"/>
  <c r="A262" i="1" s="1"/>
  <c r="A263" i="1" s="1"/>
  <c r="A264" i="1" s="1"/>
  <c r="A265" i="1" s="1"/>
  <c r="A266" i="1" s="1"/>
  <c r="A267" i="1" s="1"/>
  <c r="A268" i="1" s="1"/>
  <c r="A269" i="1" s="1"/>
  <c r="F250" i="1"/>
  <c r="F243" i="1"/>
  <c r="F235" i="1"/>
  <c r="F234" i="1"/>
  <c r="A230" i="1"/>
  <c r="A231" i="1" s="1"/>
  <c r="A232" i="1" s="1"/>
  <c r="A233" i="1" s="1"/>
  <c r="A234" i="1" s="1"/>
  <c r="A235" i="1" s="1"/>
  <c r="A236" i="1" s="1"/>
  <c r="A237" i="1" s="1"/>
  <c r="A238" i="1" s="1"/>
  <c r="A239" i="1" s="1"/>
  <c r="A240" i="1" s="1"/>
  <c r="A241" i="1" s="1"/>
  <c r="A242" i="1" s="1"/>
  <c r="A243" i="1" s="1"/>
  <c r="A244" i="1" s="1"/>
  <c r="A245" i="1" s="1"/>
  <c r="A246" i="1" s="1"/>
  <c r="A247" i="1" s="1"/>
  <c r="A248" i="1" s="1"/>
  <c r="F220" i="1"/>
  <c r="F214" i="1"/>
  <c r="A209" i="1"/>
  <c r="A210" i="1" s="1"/>
  <c r="A211" i="1" s="1"/>
  <c r="A212" i="1" s="1"/>
  <c r="A213" i="1" s="1"/>
  <c r="A214" i="1" s="1"/>
  <c r="A215" i="1" s="1"/>
  <c r="A216" i="1" s="1"/>
  <c r="A217" i="1" s="1"/>
  <c r="A218" i="1" s="1"/>
  <c r="A219" i="1" s="1"/>
  <c r="A220" i="1" s="1"/>
  <c r="A221" i="1" s="1"/>
  <c r="A222" i="1" s="1"/>
  <c r="A223" i="1" s="1"/>
  <c r="A224" i="1" s="1"/>
  <c r="A225" i="1" s="1"/>
  <c r="A226" i="1" s="1"/>
  <c r="A227" i="1" s="1"/>
  <c r="F201" i="1"/>
  <c r="A198" i="1"/>
  <c r="A199" i="1" s="1"/>
  <c r="A200" i="1" s="1"/>
  <c r="A201" i="1" s="1"/>
  <c r="A202" i="1" s="1"/>
  <c r="A203" i="1" s="1"/>
  <c r="A204" i="1" s="1"/>
  <c r="A205" i="1" s="1"/>
  <c r="A206" i="1" s="1"/>
  <c r="F177" i="1"/>
  <c r="F190" i="1"/>
  <c r="A187" i="1"/>
  <c r="A188" i="1" s="1"/>
  <c r="A189" i="1" s="1"/>
  <c r="A190" i="1" s="1"/>
  <c r="A191" i="1" s="1"/>
  <c r="A192" i="1" s="1"/>
  <c r="A193" i="1" s="1"/>
  <c r="A194" i="1" s="1"/>
  <c r="A195" i="1" s="1"/>
  <c r="F183" i="1"/>
  <c r="F182" i="1"/>
  <c r="A176" i="1"/>
  <c r="A177" i="1" s="1"/>
  <c r="A178" i="1" s="1"/>
  <c r="A179" i="1" s="1"/>
  <c r="A180" i="1" s="1"/>
  <c r="A181" i="1" s="1"/>
  <c r="A182" i="1" s="1"/>
  <c r="A183" i="1" s="1"/>
  <c r="A184" i="1" s="1"/>
  <c r="F175" i="1"/>
  <c r="F170" i="1"/>
  <c r="F165" i="1"/>
  <c r="A165" i="1"/>
  <c r="A166" i="1" s="1"/>
  <c r="A167" i="1" s="1"/>
  <c r="A168" i="1" s="1"/>
  <c r="A169" i="1" s="1"/>
  <c r="A170" i="1" s="1"/>
  <c r="A171" i="1" s="1"/>
  <c r="A172" i="1" s="1"/>
  <c r="A173" i="1" s="1"/>
  <c r="F161" i="1"/>
  <c r="F162" i="1"/>
  <c r="A154" i="1"/>
  <c r="A155" i="1" s="1"/>
  <c r="A156" i="1" s="1"/>
  <c r="A157" i="1" s="1"/>
  <c r="A158" i="1" s="1"/>
  <c r="A159" i="1" s="1"/>
  <c r="A160" i="1" s="1"/>
  <c r="A161" i="1" s="1"/>
  <c r="A162" i="1" s="1"/>
  <c r="A143" i="1"/>
  <c r="A144" i="1" s="1"/>
  <c r="A145" i="1" s="1"/>
  <c r="A146" i="1" s="1"/>
  <c r="A147" i="1" s="1"/>
  <c r="A148" i="1" s="1"/>
  <c r="A149" i="1" s="1"/>
  <c r="A150" i="1" s="1"/>
  <c r="A151" i="1" s="1"/>
  <c r="I132" i="1"/>
  <c r="F139" i="1"/>
  <c r="F341" i="1"/>
  <c r="H341" i="1" s="1"/>
  <c r="F340" i="1"/>
  <c r="H340" i="1" s="1"/>
  <c r="F339" i="1"/>
  <c r="H339" i="1" s="1"/>
  <c r="F338" i="1"/>
  <c r="H338" i="1" s="1"/>
  <c r="F337" i="1"/>
  <c r="H337" i="1" s="1"/>
  <c r="F336" i="1"/>
  <c r="H336" i="1" s="1"/>
  <c r="F335" i="1"/>
  <c r="H335" i="1" s="1"/>
  <c r="A335" i="1"/>
  <c r="A336" i="1" s="1"/>
  <c r="A337" i="1" s="1"/>
  <c r="A338" i="1" s="1"/>
  <c r="A339" i="1" s="1"/>
  <c r="A340" i="1" s="1"/>
  <c r="A341" i="1" s="1"/>
  <c r="F334" i="1"/>
  <c r="H334" i="1" s="1"/>
  <c r="F137" i="1"/>
  <c r="A133" i="1"/>
  <c r="A134" i="1" s="1"/>
  <c r="A135" i="1" s="1"/>
  <c r="A136" i="1" s="1"/>
  <c r="A137" i="1" s="1"/>
  <c r="A138" i="1" s="1"/>
  <c r="A139" i="1" s="1"/>
  <c r="J241" i="1" l="1"/>
  <c r="H241" i="1"/>
  <c r="H218" i="1"/>
  <c r="J218" i="1"/>
  <c r="H142" i="1"/>
  <c r="J142" i="1"/>
  <c r="C116" i="1"/>
  <c r="E116" i="1"/>
  <c r="H178" i="1"/>
  <c r="J178" i="1"/>
  <c r="H215" i="1"/>
  <c r="J215" i="1"/>
  <c r="H223" i="1"/>
  <c r="J223" i="1"/>
  <c r="J230" i="1"/>
  <c r="H230" i="1"/>
  <c r="J238" i="1"/>
  <c r="H238" i="1"/>
  <c r="J246" i="1"/>
  <c r="H246" i="1"/>
  <c r="J255" i="1"/>
  <c r="H255" i="1"/>
  <c r="J266" i="1"/>
  <c r="H266" i="1"/>
  <c r="J278" i="1"/>
  <c r="H278" i="1"/>
  <c r="J284" i="1"/>
  <c r="H284" i="1"/>
  <c r="H293" i="1"/>
  <c r="J293" i="1"/>
  <c r="J301" i="1"/>
  <c r="H301" i="1"/>
  <c r="H318" i="1"/>
  <c r="J318" i="1"/>
  <c r="H210" i="1"/>
  <c r="J210" i="1"/>
  <c r="J150" i="1"/>
  <c r="H150" i="1"/>
  <c r="J193" i="1"/>
  <c r="H193" i="1"/>
  <c r="J179" i="1"/>
  <c r="H179" i="1"/>
  <c r="H194" i="1"/>
  <c r="J194" i="1"/>
  <c r="J208" i="1"/>
  <c r="H208" i="1"/>
  <c r="J224" i="1"/>
  <c r="H224" i="1"/>
  <c r="H247" i="1"/>
  <c r="J247" i="1"/>
  <c r="H285" i="1"/>
  <c r="J285" i="1"/>
  <c r="J329" i="1"/>
  <c r="H329" i="1"/>
  <c r="H160" i="1"/>
  <c r="J160" i="1"/>
  <c r="J132" i="1"/>
  <c r="H132" i="1"/>
  <c r="C115" i="1"/>
  <c r="E115" i="1"/>
  <c r="H157" i="1"/>
  <c r="J157" i="1"/>
  <c r="J204" i="1"/>
  <c r="H204" i="1"/>
  <c r="H133" i="1"/>
  <c r="J133" i="1"/>
  <c r="H151" i="1"/>
  <c r="J151" i="1"/>
  <c r="H239" i="1"/>
  <c r="J239" i="1"/>
  <c r="H166" i="1"/>
  <c r="J166" i="1"/>
  <c r="J227" i="1"/>
  <c r="H227" i="1"/>
  <c r="H258" i="1"/>
  <c r="J258" i="1"/>
  <c r="H297" i="1"/>
  <c r="J297" i="1"/>
  <c r="J167" i="1"/>
  <c r="H167" i="1"/>
  <c r="J233" i="1"/>
  <c r="H233" i="1"/>
  <c r="J287" i="1"/>
  <c r="H287" i="1"/>
  <c r="H272" i="1"/>
  <c r="J272" i="1"/>
  <c r="H143" i="1"/>
  <c r="J143" i="1"/>
  <c r="J158" i="1"/>
  <c r="H158" i="1"/>
  <c r="H186" i="1"/>
  <c r="J186" i="1"/>
  <c r="J216" i="1"/>
  <c r="H216" i="1"/>
  <c r="J256" i="1"/>
  <c r="H256" i="1"/>
  <c r="J271" i="1"/>
  <c r="H271" i="1"/>
  <c r="J279" i="1"/>
  <c r="H279" i="1"/>
  <c r="H294" i="1"/>
  <c r="J294" i="1"/>
  <c r="H302" i="1"/>
  <c r="J302" i="1"/>
  <c r="H310" i="1"/>
  <c r="J310" i="1"/>
  <c r="H319" i="1"/>
  <c r="J319" i="1"/>
  <c r="J168" i="1"/>
  <c r="H168" i="1"/>
  <c r="J182" i="1"/>
  <c r="H182" i="1"/>
  <c r="H195" i="1"/>
  <c r="J195" i="1"/>
  <c r="H201" i="1"/>
  <c r="J201" i="1"/>
  <c r="J209" i="1"/>
  <c r="H209" i="1"/>
  <c r="H234" i="1"/>
  <c r="J234" i="1"/>
  <c r="J244" i="1"/>
  <c r="H244" i="1"/>
  <c r="J264" i="1"/>
  <c r="H264" i="1"/>
  <c r="J288" i="1"/>
  <c r="H288" i="1"/>
  <c r="J300" i="1"/>
  <c r="H300" i="1"/>
  <c r="J217" i="1"/>
  <c r="H217" i="1"/>
  <c r="J232" i="1"/>
  <c r="H232" i="1"/>
  <c r="H280" i="1"/>
  <c r="J280" i="1"/>
  <c r="H330" i="1"/>
  <c r="J330" i="1"/>
  <c r="J145" i="1"/>
  <c r="H145" i="1"/>
  <c r="H190" i="1"/>
  <c r="J190" i="1"/>
  <c r="H242" i="1"/>
  <c r="J242" i="1"/>
  <c r="H309" i="1"/>
  <c r="J309" i="1"/>
  <c r="H162" i="1"/>
  <c r="J162" i="1"/>
  <c r="J214" i="1"/>
  <c r="H214" i="1"/>
  <c r="J259" i="1"/>
  <c r="H259" i="1"/>
  <c r="J311" i="1"/>
  <c r="H311" i="1"/>
  <c r="J153" i="1"/>
  <c r="H153" i="1"/>
  <c r="J183" i="1"/>
  <c r="H183" i="1"/>
  <c r="H220" i="1"/>
  <c r="J220" i="1"/>
  <c r="J245" i="1"/>
  <c r="H245" i="1"/>
  <c r="H281" i="1"/>
  <c r="J281" i="1"/>
  <c r="H314" i="1"/>
  <c r="J314" i="1"/>
  <c r="J188" i="1"/>
  <c r="H188" i="1"/>
  <c r="J226" i="1"/>
  <c r="H226" i="1"/>
  <c r="J321" i="1"/>
  <c r="H321" i="1"/>
  <c r="J149" i="1"/>
  <c r="H149" i="1"/>
  <c r="J175" i="1"/>
  <c r="H175" i="1"/>
  <c r="J184" i="1"/>
  <c r="H184" i="1"/>
  <c r="J222" i="1"/>
  <c r="H222" i="1"/>
  <c r="J219" i="1"/>
  <c r="H219" i="1"/>
  <c r="H253" i="1"/>
  <c r="J253" i="1"/>
  <c r="H282" i="1"/>
  <c r="J282" i="1"/>
  <c r="H290" i="1"/>
  <c r="J290" i="1"/>
  <c r="J303" i="1"/>
  <c r="H303" i="1"/>
  <c r="H320" i="1"/>
  <c r="J320" i="1"/>
  <c r="H317" i="1"/>
  <c r="J317" i="1"/>
  <c r="J136" i="1"/>
  <c r="H136" i="1"/>
  <c r="J199" i="1"/>
  <c r="H199" i="1"/>
  <c r="H276" i="1"/>
  <c r="J276" i="1"/>
  <c r="J139" i="1"/>
  <c r="H139" i="1"/>
  <c r="J200" i="1"/>
  <c r="H200" i="1"/>
  <c r="J250" i="1"/>
  <c r="H250" i="1"/>
  <c r="H137" i="1"/>
  <c r="J137" i="1"/>
  <c r="J161" i="1"/>
  <c r="H161" i="1"/>
  <c r="J235" i="1"/>
  <c r="H235" i="1"/>
  <c r="H289" i="1"/>
  <c r="J289" i="1"/>
  <c r="J316" i="1"/>
  <c r="H316" i="1"/>
  <c r="J169" i="1"/>
  <c r="H169" i="1"/>
  <c r="H296" i="1"/>
  <c r="J296" i="1"/>
  <c r="J148" i="1"/>
  <c r="H148" i="1"/>
  <c r="J155" i="1"/>
  <c r="H155" i="1"/>
  <c r="J164" i="1"/>
  <c r="H164" i="1"/>
  <c r="J176" i="1"/>
  <c r="H176" i="1"/>
  <c r="H229" i="1"/>
  <c r="J229" i="1"/>
  <c r="H254" i="1"/>
  <c r="J254" i="1"/>
  <c r="J283" i="1"/>
  <c r="H283" i="1"/>
  <c r="J292" i="1"/>
  <c r="H292" i="1"/>
  <c r="H305" i="1"/>
  <c r="J305" i="1"/>
  <c r="J322" i="1"/>
  <c r="H322" i="1"/>
  <c r="H147" i="1"/>
  <c r="J147" i="1"/>
  <c r="H154" i="1"/>
  <c r="J154" i="1"/>
  <c r="J252" i="1"/>
  <c r="H252" i="1"/>
  <c r="J263" i="1"/>
  <c r="H263" i="1"/>
  <c r="J275" i="1"/>
  <c r="H275" i="1"/>
  <c r="J315" i="1"/>
  <c r="H315" i="1"/>
  <c r="J180" i="1"/>
  <c r="H180" i="1"/>
  <c r="H212" i="1"/>
  <c r="J212" i="1"/>
  <c r="H237" i="1"/>
  <c r="J237" i="1"/>
  <c r="J286" i="1"/>
  <c r="H286" i="1"/>
  <c r="H146" i="1"/>
  <c r="J146" i="1"/>
  <c r="J192" i="1"/>
  <c r="H192" i="1"/>
  <c r="H277" i="1"/>
  <c r="J277" i="1"/>
  <c r="J170" i="1"/>
  <c r="H170" i="1"/>
  <c r="H203" i="1"/>
  <c r="J203" i="1"/>
  <c r="J211" i="1"/>
  <c r="H211" i="1"/>
  <c r="H251" i="1"/>
  <c r="J251" i="1"/>
  <c r="J135" i="1"/>
  <c r="H135" i="1"/>
  <c r="J273" i="1"/>
  <c r="H273" i="1"/>
  <c r="H313" i="1"/>
  <c r="J313" i="1"/>
  <c r="J156" i="1"/>
  <c r="H156" i="1"/>
  <c r="J240" i="1"/>
  <c r="H240" i="1"/>
  <c r="J248" i="1"/>
  <c r="H248" i="1"/>
  <c r="H306" i="1"/>
  <c r="J306" i="1"/>
  <c r="J326" i="1"/>
  <c r="H326" i="1"/>
  <c r="J325" i="1"/>
  <c r="H325" i="1"/>
  <c r="H138" i="1"/>
  <c r="J138" i="1"/>
  <c r="J191" i="1"/>
  <c r="H191" i="1"/>
  <c r="J202" i="1"/>
  <c r="H202" i="1"/>
  <c r="J213" i="1"/>
  <c r="H213" i="1"/>
  <c r="J221" i="1"/>
  <c r="H221" i="1"/>
  <c r="H299" i="1"/>
  <c r="J299" i="1"/>
  <c r="J307" i="1"/>
  <c r="H307" i="1"/>
  <c r="J159" i="1"/>
  <c r="H159" i="1"/>
  <c r="H231" i="1"/>
  <c r="J231" i="1"/>
  <c r="J328" i="1"/>
  <c r="H328" i="1"/>
  <c r="H181" i="1"/>
  <c r="J181" i="1"/>
  <c r="J243" i="1"/>
  <c r="H243" i="1"/>
  <c r="H298" i="1"/>
  <c r="J298" i="1"/>
  <c r="H265" i="1"/>
  <c r="J265" i="1"/>
  <c r="J304" i="1"/>
  <c r="H304" i="1"/>
  <c r="J187" i="1"/>
  <c r="H187" i="1"/>
  <c r="J177" i="1"/>
  <c r="H177" i="1"/>
  <c r="J134" i="1"/>
  <c r="H134" i="1"/>
  <c r="J144" i="1"/>
  <c r="H144" i="1"/>
  <c r="J165" i="1"/>
  <c r="H165" i="1"/>
  <c r="J189" i="1"/>
  <c r="H189" i="1"/>
  <c r="J225" i="1"/>
  <c r="H225" i="1"/>
  <c r="J236" i="1"/>
  <c r="H236" i="1"/>
  <c r="J257" i="1"/>
  <c r="H257" i="1"/>
  <c r="H274" i="1"/>
  <c r="J274" i="1"/>
  <c r="H295" i="1"/>
  <c r="J295" i="1"/>
  <c r="J308" i="1"/>
  <c r="H308" i="1"/>
  <c r="H327" i="1"/>
  <c r="J327" i="1"/>
  <c r="I43" i="1"/>
  <c r="E117" i="1" l="1"/>
  <c r="C117" i="1"/>
  <c r="G116" i="1"/>
  <c r="G115" i="1"/>
  <c r="K583" i="1"/>
  <c r="G117" i="1" l="1"/>
  <c r="E350" i="1"/>
  <c r="E349" i="1"/>
  <c r="G364" i="1" l="1"/>
  <c r="G363" i="1"/>
  <c r="G362" i="1"/>
  <c r="D471" i="1" l="1"/>
  <c r="F471" i="1" s="1"/>
  <c r="H471" i="1" s="1"/>
  <c r="D470" i="1"/>
  <c r="F470" i="1" s="1"/>
  <c r="H470" i="1" s="1"/>
  <c r="D469" i="1"/>
  <c r="F469" i="1" s="1"/>
  <c r="H469" i="1" s="1"/>
  <c r="D468" i="1"/>
  <c r="F468" i="1" s="1"/>
  <c r="H468" i="1" s="1"/>
  <c r="D467" i="1"/>
  <c r="F467" i="1" s="1"/>
  <c r="H467" i="1" s="1"/>
  <c r="D466" i="1"/>
  <c r="F466" i="1" s="1"/>
  <c r="H466" i="1" s="1"/>
  <c r="D465" i="1"/>
  <c r="F465" i="1" s="1"/>
  <c r="H465" i="1" s="1"/>
  <c r="D464" i="1"/>
  <c r="F464" i="1" s="1"/>
  <c r="H464" i="1" s="1"/>
  <c r="D463" i="1"/>
  <c r="F463" i="1" s="1"/>
  <c r="H463" i="1" s="1"/>
  <c r="D462" i="1"/>
  <c r="F462" i="1" s="1"/>
  <c r="H462" i="1" s="1"/>
  <c r="D461" i="1"/>
  <c r="F461" i="1" s="1"/>
  <c r="H461" i="1" s="1"/>
  <c r="D460" i="1"/>
  <c r="F460" i="1" s="1"/>
  <c r="H460" i="1" s="1"/>
  <c r="D459" i="1"/>
  <c r="F459" i="1" s="1"/>
  <c r="H459" i="1" s="1"/>
  <c r="D458" i="1"/>
  <c r="F458" i="1" s="1"/>
  <c r="H458" i="1" s="1"/>
  <c r="D457" i="1"/>
  <c r="F457" i="1" s="1"/>
  <c r="H457" i="1" s="1"/>
  <c r="D456" i="1"/>
  <c r="F456" i="1" s="1"/>
  <c r="H456" i="1" s="1"/>
  <c r="D455" i="1"/>
  <c r="F455" i="1" s="1"/>
  <c r="H455" i="1" s="1"/>
  <c r="D454" i="1"/>
  <c r="F454" i="1" s="1"/>
  <c r="H454" i="1" s="1"/>
  <c r="D453" i="1"/>
  <c r="F453" i="1" s="1"/>
  <c r="H453" i="1" s="1"/>
  <c r="D452" i="1"/>
  <c r="F452" i="1" s="1"/>
  <c r="H452" i="1" s="1"/>
  <c r="D450" i="1"/>
  <c r="F450" i="1" s="1"/>
  <c r="H450" i="1" s="1"/>
  <c r="D449" i="1"/>
  <c r="F449" i="1" s="1"/>
  <c r="H449" i="1" s="1"/>
  <c r="D448" i="1"/>
  <c r="F448" i="1" s="1"/>
  <c r="H448" i="1" s="1"/>
  <c r="D447" i="1"/>
  <c r="F447" i="1" s="1"/>
  <c r="H447" i="1" s="1"/>
  <c r="D446" i="1"/>
  <c r="F446" i="1" s="1"/>
  <c r="H446" i="1" s="1"/>
  <c r="D445" i="1"/>
  <c r="F445" i="1" s="1"/>
  <c r="H445" i="1" s="1"/>
  <c r="D444" i="1"/>
  <c r="F444" i="1" s="1"/>
  <c r="H444" i="1" s="1"/>
  <c r="D443" i="1"/>
  <c r="F443" i="1" s="1"/>
  <c r="H443" i="1" s="1"/>
  <c r="D442" i="1"/>
  <c r="F442" i="1" s="1"/>
  <c r="H442" i="1" s="1"/>
  <c r="D441" i="1"/>
  <c r="F441" i="1" s="1"/>
  <c r="H441" i="1" s="1"/>
  <c r="D440" i="1"/>
  <c r="F440" i="1" s="1"/>
  <c r="H440" i="1" s="1"/>
  <c r="D439" i="1"/>
  <c r="F439" i="1" s="1"/>
  <c r="H439" i="1" s="1"/>
  <c r="D438" i="1"/>
  <c r="F438" i="1" s="1"/>
  <c r="H438" i="1" s="1"/>
  <c r="D437" i="1"/>
  <c r="F437" i="1" s="1"/>
  <c r="H437" i="1" s="1"/>
  <c r="D436" i="1"/>
  <c r="F436" i="1" s="1"/>
  <c r="H436" i="1" s="1"/>
  <c r="D435" i="1"/>
  <c r="F435" i="1" s="1"/>
  <c r="H435" i="1" s="1"/>
  <c r="D434" i="1"/>
  <c r="F434" i="1" s="1"/>
  <c r="H434" i="1" s="1"/>
  <c r="D433" i="1"/>
  <c r="F433" i="1" s="1"/>
  <c r="H433" i="1" s="1"/>
  <c r="D432" i="1"/>
  <c r="F432" i="1" s="1"/>
  <c r="H432" i="1" s="1"/>
  <c r="D431" i="1"/>
  <c r="F431" i="1" s="1"/>
  <c r="H431" i="1" s="1"/>
  <c r="D429" i="1"/>
  <c r="F429" i="1" s="1"/>
  <c r="H429" i="1" s="1"/>
  <c r="D428" i="1"/>
  <c r="F428" i="1" s="1"/>
  <c r="H428" i="1" s="1"/>
  <c r="D427" i="1"/>
  <c r="F427" i="1" s="1"/>
  <c r="H427" i="1" s="1"/>
  <c r="D426" i="1"/>
  <c r="F426" i="1" s="1"/>
  <c r="H426" i="1" s="1"/>
  <c r="D425" i="1"/>
  <c r="F425" i="1" s="1"/>
  <c r="H425" i="1" s="1"/>
  <c r="D424" i="1"/>
  <c r="F424" i="1" s="1"/>
  <c r="H424" i="1" s="1"/>
  <c r="D423" i="1"/>
  <c r="F423" i="1" s="1"/>
  <c r="H423" i="1" s="1"/>
  <c r="D422" i="1"/>
  <c r="F422" i="1" s="1"/>
  <c r="H422" i="1" s="1"/>
  <c r="D421" i="1"/>
  <c r="F421" i="1" s="1"/>
  <c r="H421" i="1" s="1"/>
  <c r="D420" i="1"/>
  <c r="F420" i="1" s="1"/>
  <c r="H420" i="1" s="1"/>
  <c r="D419" i="1"/>
  <c r="F419" i="1" s="1"/>
  <c r="H419" i="1" s="1"/>
  <c r="D418" i="1"/>
  <c r="F418" i="1" s="1"/>
  <c r="H418" i="1" s="1"/>
  <c r="D417" i="1"/>
  <c r="F417" i="1" s="1"/>
  <c r="H417" i="1" s="1"/>
  <c r="D416" i="1"/>
  <c r="F416" i="1" s="1"/>
  <c r="H416" i="1" s="1"/>
  <c r="D415" i="1"/>
  <c r="F415" i="1" s="1"/>
  <c r="H415" i="1" s="1"/>
  <c r="D414" i="1"/>
  <c r="F414" i="1" s="1"/>
  <c r="H414" i="1" s="1"/>
  <c r="D413" i="1"/>
  <c r="F413" i="1" s="1"/>
  <c r="H413" i="1" s="1"/>
  <c r="D412" i="1"/>
  <c r="F412" i="1" s="1"/>
  <c r="H412" i="1" s="1"/>
  <c r="D411" i="1"/>
  <c r="F411" i="1" s="1"/>
  <c r="H411" i="1" s="1"/>
  <c r="D410" i="1"/>
  <c r="F410" i="1" s="1"/>
  <c r="H410" i="1" s="1"/>
  <c r="D408" i="1"/>
  <c r="F408" i="1" s="1"/>
  <c r="H408" i="1" s="1"/>
  <c r="D407" i="1"/>
  <c r="F407" i="1" s="1"/>
  <c r="H407" i="1" s="1"/>
  <c r="D406" i="1"/>
  <c r="F406" i="1" s="1"/>
  <c r="H406" i="1" s="1"/>
  <c r="D405" i="1"/>
  <c r="F405" i="1" s="1"/>
  <c r="H405" i="1" s="1"/>
  <c r="D404" i="1"/>
  <c r="F404" i="1" s="1"/>
  <c r="H404" i="1" s="1"/>
  <c r="D403" i="1"/>
  <c r="F403" i="1" s="1"/>
  <c r="H403" i="1" s="1"/>
  <c r="D402" i="1"/>
  <c r="F402" i="1" s="1"/>
  <c r="H402" i="1" s="1"/>
  <c r="D401" i="1"/>
  <c r="F401" i="1" s="1"/>
  <c r="H401" i="1" s="1"/>
  <c r="D400" i="1"/>
  <c r="F400" i="1" s="1"/>
  <c r="H400" i="1" s="1"/>
  <c r="D399" i="1"/>
  <c r="F399" i="1" s="1"/>
  <c r="H399" i="1" s="1"/>
  <c r="D397" i="1"/>
  <c r="F397" i="1" s="1"/>
  <c r="H397" i="1" s="1"/>
  <c r="D396" i="1"/>
  <c r="F396" i="1" s="1"/>
  <c r="H396" i="1" s="1"/>
  <c r="D395" i="1"/>
  <c r="F395" i="1" s="1"/>
  <c r="H395" i="1" s="1"/>
  <c r="D394" i="1"/>
  <c r="F394" i="1" s="1"/>
  <c r="H394" i="1" s="1"/>
  <c r="D393" i="1"/>
  <c r="F393" i="1" s="1"/>
  <c r="H393" i="1" s="1"/>
  <c r="D392" i="1"/>
  <c r="F392" i="1" s="1"/>
  <c r="H392" i="1" s="1"/>
  <c r="D391" i="1"/>
  <c r="F391" i="1" s="1"/>
  <c r="H391" i="1" s="1"/>
  <c r="D390" i="1"/>
  <c r="F390" i="1" s="1"/>
  <c r="H390" i="1" s="1"/>
  <c r="D389" i="1"/>
  <c r="F389" i="1" s="1"/>
  <c r="H389" i="1" s="1"/>
  <c r="D388" i="1"/>
  <c r="F388" i="1" s="1"/>
  <c r="H388" i="1" s="1"/>
  <c r="D386" i="1"/>
  <c r="F386" i="1" s="1"/>
  <c r="H386" i="1" s="1"/>
  <c r="D385" i="1"/>
  <c r="F385" i="1" s="1"/>
  <c r="H385" i="1" s="1"/>
  <c r="D384" i="1"/>
  <c r="F384" i="1" s="1"/>
  <c r="H384" i="1" s="1"/>
  <c r="D383" i="1"/>
  <c r="F383" i="1" s="1"/>
  <c r="H383" i="1" s="1"/>
  <c r="D382" i="1"/>
  <c r="F382" i="1" s="1"/>
  <c r="H382" i="1" s="1"/>
  <c r="D381" i="1"/>
  <c r="F381" i="1" s="1"/>
  <c r="H381" i="1" s="1"/>
  <c r="D380" i="1"/>
  <c r="F380" i="1" s="1"/>
  <c r="H380" i="1" s="1"/>
  <c r="D379" i="1"/>
  <c r="F379" i="1" s="1"/>
  <c r="H379" i="1" s="1"/>
  <c r="D378" i="1"/>
  <c r="F378" i="1" s="1"/>
  <c r="H378" i="1" s="1"/>
  <c r="D377" i="1"/>
  <c r="F377" i="1" s="1"/>
  <c r="H377" i="1" s="1"/>
  <c r="D375" i="1"/>
  <c r="F375" i="1" s="1"/>
  <c r="H375" i="1" s="1"/>
  <c r="D374" i="1"/>
  <c r="F374" i="1" s="1"/>
  <c r="H374" i="1" s="1"/>
  <c r="D373" i="1"/>
  <c r="F373" i="1" s="1"/>
  <c r="H373" i="1" s="1"/>
  <c r="D372" i="1"/>
  <c r="F372" i="1" s="1"/>
  <c r="H372" i="1" s="1"/>
  <c r="D371" i="1"/>
  <c r="F371" i="1" s="1"/>
  <c r="H371" i="1" s="1"/>
  <c r="D370" i="1"/>
  <c r="F370" i="1" s="1"/>
  <c r="H370" i="1" s="1"/>
  <c r="D369" i="1"/>
  <c r="F369" i="1" s="1"/>
  <c r="H369" i="1" s="1"/>
  <c r="D368" i="1"/>
  <c r="F368" i="1" s="1"/>
  <c r="H368" i="1" s="1"/>
  <c r="D367" i="1"/>
  <c r="F367" i="1" s="1"/>
  <c r="H367" i="1" s="1"/>
  <c r="D366" i="1"/>
  <c r="F366" i="1" s="1"/>
  <c r="H366" i="1" s="1"/>
  <c r="D364" i="1"/>
  <c r="F364" i="1" s="1"/>
  <c r="D363" i="1"/>
  <c r="F363" i="1" s="1"/>
  <c r="H363" i="1" s="1"/>
  <c r="D362" i="1"/>
  <c r="F362" i="1" s="1"/>
  <c r="H362" i="1" s="1"/>
  <c r="D361" i="1"/>
  <c r="F361" i="1" s="1"/>
  <c r="H361" i="1" s="1"/>
  <c r="D360" i="1"/>
  <c r="F360" i="1" s="1"/>
  <c r="H360" i="1" s="1"/>
  <c r="D359" i="1"/>
  <c r="F359" i="1" s="1"/>
  <c r="H359" i="1" s="1"/>
  <c r="D358" i="1"/>
  <c r="F358" i="1" s="1"/>
  <c r="H358" i="1" s="1"/>
  <c r="D357" i="1"/>
  <c r="F357" i="1" s="1"/>
  <c r="H357" i="1" s="1"/>
  <c r="D356" i="1"/>
  <c r="F356" i="1" s="1"/>
  <c r="H356" i="1" s="1"/>
  <c r="D355" i="1"/>
  <c r="F355" i="1" s="1"/>
  <c r="H355" i="1" s="1"/>
  <c r="D353" i="1"/>
  <c r="F353" i="1" s="1"/>
  <c r="H353" i="1" s="1"/>
  <c r="D352" i="1"/>
  <c r="D350" i="1"/>
  <c r="F350" i="1" s="1"/>
  <c r="H350" i="1" s="1"/>
  <c r="D349" i="1"/>
  <c r="J349" i="1"/>
  <c r="A453" i="1"/>
  <c r="A454" i="1" s="1"/>
  <c r="A455" i="1" s="1"/>
  <c r="A456" i="1" s="1"/>
  <c r="A457" i="1" s="1"/>
  <c r="A458" i="1" s="1"/>
  <c r="A459" i="1" s="1"/>
  <c r="A460" i="1" s="1"/>
  <c r="A461" i="1" s="1"/>
  <c r="A462" i="1" s="1"/>
  <c r="A463" i="1" s="1"/>
  <c r="A464" i="1" s="1"/>
  <c r="A465" i="1" s="1"/>
  <c r="A466" i="1" s="1"/>
  <c r="A467" i="1" s="1"/>
  <c r="A468" i="1" s="1"/>
  <c r="A469" i="1" s="1"/>
  <c r="A470" i="1" s="1"/>
  <c r="A471" i="1" s="1"/>
  <c r="A432" i="1"/>
  <c r="A433" i="1" s="1"/>
  <c r="A434" i="1" s="1"/>
  <c r="A435" i="1" s="1"/>
  <c r="A436" i="1" s="1"/>
  <c r="A437" i="1" s="1"/>
  <c r="A438" i="1" s="1"/>
  <c r="A439" i="1" s="1"/>
  <c r="A440" i="1" s="1"/>
  <c r="A441" i="1" s="1"/>
  <c r="A442" i="1" s="1"/>
  <c r="A443" i="1" s="1"/>
  <c r="A444" i="1" s="1"/>
  <c r="A445" i="1" s="1"/>
  <c r="A446" i="1" s="1"/>
  <c r="A447" i="1" s="1"/>
  <c r="A448" i="1" s="1"/>
  <c r="A449" i="1" s="1"/>
  <c r="A450" i="1" s="1"/>
  <c r="I429" i="1"/>
  <c r="I422" i="1"/>
  <c r="A411" i="1"/>
  <c r="A412" i="1" s="1"/>
  <c r="A413" i="1" s="1"/>
  <c r="A414" i="1" s="1"/>
  <c r="A415" i="1" s="1"/>
  <c r="A416" i="1" s="1"/>
  <c r="A417" i="1" s="1"/>
  <c r="A418" i="1" s="1"/>
  <c r="A419" i="1" s="1"/>
  <c r="A420" i="1" s="1"/>
  <c r="A421" i="1" s="1"/>
  <c r="A422" i="1" s="1"/>
  <c r="A423" i="1" s="1"/>
  <c r="A424" i="1" s="1"/>
  <c r="A425" i="1" s="1"/>
  <c r="A426" i="1" s="1"/>
  <c r="A427" i="1" s="1"/>
  <c r="A428" i="1" s="1"/>
  <c r="A429" i="1" s="1"/>
  <c r="A400" i="1"/>
  <c r="A401" i="1" s="1"/>
  <c r="A402" i="1" s="1"/>
  <c r="A403" i="1" s="1"/>
  <c r="A404" i="1" s="1"/>
  <c r="A405" i="1" s="1"/>
  <c r="A406" i="1" s="1"/>
  <c r="A407" i="1" s="1"/>
  <c r="A408" i="1" s="1"/>
  <c r="A389" i="1"/>
  <c r="A390" i="1" s="1"/>
  <c r="A391" i="1" s="1"/>
  <c r="A392" i="1" s="1"/>
  <c r="A393" i="1" s="1"/>
  <c r="A394" i="1" s="1"/>
  <c r="A395" i="1" s="1"/>
  <c r="A396" i="1" s="1"/>
  <c r="A397" i="1" s="1"/>
  <c r="A367" i="1"/>
  <c r="A368" i="1" s="1"/>
  <c r="A369" i="1" s="1"/>
  <c r="A370" i="1" s="1"/>
  <c r="A371" i="1" s="1"/>
  <c r="A372" i="1" s="1"/>
  <c r="A373" i="1" s="1"/>
  <c r="A374" i="1" s="1"/>
  <c r="A375" i="1" s="1"/>
  <c r="A378" i="1"/>
  <c r="A379" i="1" s="1"/>
  <c r="A380" i="1" s="1"/>
  <c r="A381" i="1" s="1"/>
  <c r="A382" i="1" s="1"/>
  <c r="A383" i="1" s="1"/>
  <c r="A384" i="1" s="1"/>
  <c r="A385" i="1" s="1"/>
  <c r="A386" i="1" s="1"/>
  <c r="I356" i="1"/>
  <c r="I355" i="1"/>
  <c r="A356" i="1"/>
  <c r="A357" i="1" s="1"/>
  <c r="A358" i="1" s="1"/>
  <c r="A359" i="1" s="1"/>
  <c r="A360" i="1" s="1"/>
  <c r="A361" i="1" s="1"/>
  <c r="A362" i="1" s="1"/>
  <c r="A363" i="1" s="1"/>
  <c r="A364" i="1" s="1"/>
  <c r="I353" i="1"/>
  <c r="A353" i="1"/>
  <c r="I350" i="1"/>
  <c r="A350" i="1"/>
  <c r="F349" i="1" l="1"/>
  <c r="F352" i="1"/>
  <c r="H364" i="1"/>
  <c r="F473" i="1"/>
  <c r="F481" i="1"/>
  <c r="H481" i="1" s="1"/>
  <c r="H349" i="1" l="1"/>
  <c r="H352" i="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D42" i="7" s="1"/>
  <c r="I42" i="7"/>
  <c r="H42" i="7" s="1"/>
  <c r="L42" i="7"/>
  <c r="K42" i="7" s="1"/>
  <c r="D44" i="7" l="1"/>
  <c r="E44" i="7"/>
  <c r="E31" i="1"/>
  <c r="B511" i="1" l="1"/>
  <c r="F474" i="1" l="1"/>
  <c r="H474" i="1" s="1"/>
  <c r="F475" i="1"/>
  <c r="H475" i="1" s="1"/>
  <c r="F476" i="1"/>
  <c r="H476" i="1" s="1"/>
  <c r="H473" i="1"/>
  <c r="G56" i="1" l="1"/>
  <c r="S33" i="1" l="1"/>
  <c r="F11" i="5" l="1"/>
  <c r="G11" i="5" s="1"/>
  <c r="F10" i="5"/>
  <c r="G10" i="5" s="1"/>
  <c r="F9" i="5"/>
  <c r="G9" i="5" s="1"/>
  <c r="F8" i="5"/>
  <c r="G8" i="5" s="1"/>
  <c r="F7" i="5"/>
  <c r="G7" i="5" s="1"/>
  <c r="F6" i="5"/>
  <c r="G6" i="5" s="1"/>
  <c r="F5" i="5"/>
  <c r="G5" i="5" s="1"/>
  <c r="G12" i="5" s="1"/>
  <c r="D538" i="1"/>
  <c r="B512" i="1"/>
  <c r="F508" i="1"/>
  <c r="H508" i="1" s="1"/>
  <c r="F507" i="1"/>
  <c r="H507" i="1" s="1"/>
  <c r="F506" i="1"/>
  <c r="H506" i="1" s="1"/>
  <c r="F505" i="1"/>
  <c r="H505" i="1" s="1"/>
  <c r="F504" i="1"/>
  <c r="H504" i="1" s="1"/>
  <c r="F502" i="1"/>
  <c r="H502" i="1" s="1"/>
  <c r="F501" i="1"/>
  <c r="H501" i="1" s="1"/>
  <c r="F500" i="1"/>
  <c r="H500" i="1" s="1"/>
  <c r="F499" i="1"/>
  <c r="H499" i="1" s="1"/>
  <c r="F498" i="1"/>
  <c r="H498" i="1" s="1"/>
  <c r="F496" i="1"/>
  <c r="H496" i="1" s="1"/>
  <c r="F495" i="1"/>
  <c r="H495" i="1" s="1"/>
  <c r="F494" i="1"/>
  <c r="H494" i="1" s="1"/>
  <c r="F493" i="1"/>
  <c r="H493" i="1" s="1"/>
  <c r="F492" i="1"/>
  <c r="H492" i="1" s="1"/>
  <c r="F490" i="1"/>
  <c r="H490" i="1" s="1"/>
  <c r="F489" i="1"/>
  <c r="H489" i="1" s="1"/>
  <c r="F488" i="1"/>
  <c r="H488" i="1" s="1"/>
  <c r="F487" i="1"/>
  <c r="H487" i="1" s="1"/>
  <c r="F486" i="1"/>
  <c r="H486" i="1" s="1"/>
  <c r="A486" i="1"/>
  <c r="A487" i="1" s="1"/>
  <c r="A488" i="1" s="1"/>
  <c r="A489" i="1" s="1"/>
  <c r="A490" i="1" s="1"/>
  <c r="F484" i="1"/>
  <c r="H484" i="1" s="1"/>
  <c r="F483" i="1"/>
  <c r="H483" i="1" s="1"/>
  <c r="F482" i="1"/>
  <c r="H482" i="1" s="1"/>
  <c r="A482" i="1"/>
  <c r="A483" i="1" s="1"/>
  <c r="A484" i="1" s="1"/>
  <c r="A474" i="1"/>
  <c r="A475" i="1" s="1"/>
  <c r="A476" i="1" s="1"/>
  <c r="G123" i="1"/>
  <c r="E123" i="1"/>
  <c r="C123" i="1"/>
  <c r="F112" i="1"/>
  <c r="C87" i="1"/>
  <c r="C73" i="1"/>
  <c r="D67" i="1"/>
  <c r="G51" i="1"/>
  <c r="C51" i="1"/>
  <c r="E44" i="1"/>
  <c r="E45" i="1" s="1"/>
  <c r="E28" i="1"/>
  <c r="E26" i="1"/>
  <c r="C16" i="1"/>
  <c r="I15" i="1"/>
  <c r="Z13" i="1"/>
  <c r="E8" i="1"/>
  <c r="E3" i="1"/>
  <c r="H88" i="1"/>
  <c r="A504" i="1"/>
  <c r="A492" i="1"/>
  <c r="H74" i="1"/>
  <c r="A498" i="1"/>
  <c r="J73" i="1" l="1"/>
  <c r="J75" i="1" s="1"/>
  <c r="J76" i="1"/>
  <c r="J77" i="1"/>
  <c r="J78" i="1"/>
  <c r="C77" i="1" s="1"/>
  <c r="J92" i="1"/>
  <c r="E91" i="1"/>
  <c r="D96" i="1"/>
  <c r="D98" i="1"/>
  <c r="D92" i="1"/>
  <c r="J91" i="1"/>
  <c r="D97" i="1"/>
  <c r="J87" i="1"/>
  <c r="J89" i="1" s="1"/>
  <c r="D95" i="1"/>
  <c r="J90" i="1"/>
  <c r="D94" i="1"/>
  <c r="D100" i="1"/>
  <c r="D99" i="1"/>
  <c r="D93" i="1"/>
  <c r="D81" i="1"/>
  <c r="D83" i="1"/>
  <c r="D82" i="1"/>
  <c r="D86" i="1"/>
  <c r="D80" i="1"/>
  <c r="D85" i="1"/>
  <c r="D79" i="1"/>
  <c r="D84" i="1"/>
  <c r="B88" i="1"/>
  <c r="B74" i="1"/>
  <c r="J79" i="1" s="1"/>
  <c r="A499" i="1"/>
  <c r="A505" i="1"/>
  <c r="A493" i="1"/>
  <c r="C91" i="1" l="1"/>
  <c r="D91" i="1" s="1"/>
  <c r="I88" i="1" s="1"/>
  <c r="I89" i="1" s="1"/>
  <c r="D77" i="1"/>
  <c r="J98" i="1"/>
  <c r="J95" i="1"/>
  <c r="J97" i="1"/>
  <c r="J96" i="1"/>
  <c r="J93" i="1"/>
  <c r="J94" i="1" s="1"/>
  <c r="J83" i="1"/>
  <c r="J81" i="1"/>
  <c r="J82" i="1"/>
  <c r="J80" i="1"/>
  <c r="J85" i="1" s="1"/>
  <c r="J86" i="1" s="1"/>
  <c r="C78" i="1" s="1"/>
  <c r="J84" i="1"/>
  <c r="A494" i="1"/>
  <c r="A500" i="1"/>
  <c r="A506" i="1"/>
  <c r="G91" i="1" l="1"/>
  <c r="J74" i="1"/>
  <c r="J99" i="1"/>
  <c r="J100" i="1" s="1"/>
  <c r="J88" i="1" s="1"/>
  <c r="I87" i="1" s="1"/>
  <c r="C89" i="1" s="1"/>
  <c r="E77" i="1"/>
  <c r="D78" i="1"/>
  <c r="I74" i="1" s="1"/>
  <c r="G77" i="1"/>
  <c r="D71" i="1" s="1"/>
  <c r="A495" i="1"/>
  <c r="A501" i="1"/>
  <c r="A507" i="1"/>
  <c r="F72" i="1" l="1"/>
  <c r="D72" i="1"/>
  <c r="I75" i="1"/>
  <c r="I73" i="1" s="1"/>
  <c r="C75" i="1" s="1"/>
  <c r="A502" i="1"/>
  <c r="A508" i="1"/>
  <c r="A496"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Survey Nos.</t>
        </r>
      </text>
    </comment>
    <comment ref="C57" authorId="1" shapeId="0">
      <text>
        <r>
          <rPr>
            <b/>
            <sz val="9"/>
            <color indexed="81"/>
            <rFont val="Tahoma"/>
            <family val="2"/>
          </rPr>
          <t>SACHIN:</t>
        </r>
        <r>
          <rPr>
            <sz val="9"/>
            <color indexed="81"/>
            <rFont val="Tahoma"/>
            <family val="2"/>
          </rPr>
          <t xml:space="preserve">
Height from AMSL</t>
        </r>
      </text>
    </comment>
    <comment ref="D60"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5"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47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<sst xmlns="http://schemas.openxmlformats.org/spreadsheetml/2006/main" count="952" uniqueCount="419">
  <si>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</si>
  <si>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</si>
  <si>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</si>
  <si>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</si>
  <si>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</si>
  <si>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</si>
  <si>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</si>
  <si>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</si>
  <si>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</si>
  <si>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</si>
  <si>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</si>
  <si>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</si>
  <si>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</si>
  <si>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</si>
  <si>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</si>
  <si>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</si>
  <si>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</si>
  <si>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</si>
  <si>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</si>
  <si>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</si>
  <si>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</si>
  <si>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</si>
  <si>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</si>
  <si>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</si>
  <si>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</si>
  <si>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</si>
  <si>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</si>
  <si>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</si>
  <si>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</si>
  <si>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</si>
  <si>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</si>
  <si>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</si>
  <si>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</si>
  <si>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</si>
  <si>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</si>
  <si>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</si>
  <si>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</si>
  <si>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</si>
  <si>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</si>
  <si>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</si>
  <si>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</si>
  <si>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</si>
  <si>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</si>
  <si>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</si>
  <si>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</si>
  <si>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</si>
  <si>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</si>
  <si>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</si>
  <si>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</si>
  <si>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</si>
  <si>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</si>
  <si>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</si>
  <si>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</si>
  <si>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</si>
  <si>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</si>
  <si>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</si>
  <si>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</si>
  <si>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</si>
  <si>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</si>
  <si>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</si>
  <si>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</si>
  <si>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</si>
  <si>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</si>
  <si>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</si>
  <si>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</si>
  <si>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</si>
  <si>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</si>
  <si>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</si>
  <si>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</si>
  <si>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</si>
  <si>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</si>
  <si>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</si>
  <si>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</si>
  <si>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</si>
  <si>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</si>
  <si>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</si>
  <si>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</si>
  <si>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</si>
  <si>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</si>
  <si>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</si>
  <si>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</si>
  <si>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</si>
  <si>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</si>
  <si>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</si>
  <si>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</si>
  <si>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</si>
  <si>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</si>
  <si>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</si>
  <si>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</si>
  <si>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</si>
  <si>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</si>
  <si>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</si>
  <si>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</si>
  <si>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</si>
  <si>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</si>
  <si>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</si>
  <si>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</si>
  <si>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</si>
  <si>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</si>
  <si>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</si>
  <si>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</si>
  <si>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</si>
  <si>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</si>
  <si>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</si>
  <si>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</si>
  <si>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</si>
  <si>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</si>
  <si>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</si>
  <si>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</si>
  <si>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</si>
  <si>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</si>
  <si>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</si>
  <si>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</si>
  <si>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</si>
  <si>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</si>
  <si>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</si>
  <si>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</si>
  <si>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</si>
  <si>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</si>
  <si>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</si>
  <si>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</si>
  <si>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</si>
  <si>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</si>
  <si>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</si>
  <si>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</si>
  <si>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</si>
  <si>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</si>
  <si>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</si>
  <si>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</si>
  <si>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</si>
  <si>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</si>
  <si>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</si>
  <si>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</si>
  <si>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</si>
  <si>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</si>
  <si>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</si>
  <si>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</si>
  <si>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</si>
  <si>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</si>
  <si>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</si>
  <si>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</si>
  <si>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</si>
  <si>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</si>
  <si>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</si>
  <si>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</si>
  <si>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</si>
  <si>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</si>
  <si>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</si>
  <si>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</si>
  <si>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</si>
  <si>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</si>
  <si>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</si>
  <si>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</si>
  <si>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</si>
  <si>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</si>
  <si>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</si>
  <si>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</si>
  <si>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</si>
  <si>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</si>
  <si>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</si>
  <si>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</si>
  <si>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</si>
  <si>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</si>
  <si>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</si>
  <si>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</si>
  <si>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</si>
  <si>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</si>
  <si>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</si>
  <si>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</si>
  <si>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</si>
  <si>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</si>
  <si>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</si>
  <si>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</si>
  <si>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</si>
  <si>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</si>
  <si>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</si>
  <si>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</si>
  <si>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</si>
  <si>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</si>
  <si>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</si>
  <si>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</si>
  <si>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</si>
  <si>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</si>
  <si>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</si>
  <si>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</si>
  <si>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</si>
  <si>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</si>
  <si>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</si>
  <si>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</si>
  <si>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</si>
  <si>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</si>
  <si>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</si>
  <si>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</si>
  <si>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</si>
  <si>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</si>
  <si>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</si>
  <si>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</si>
  <si>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</si>
  <si>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</si>
  <si>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</si>
  <si>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</si>
  <si>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</si>
  <si>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</si>
  <si>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</si>
  <si>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</si>
  <si>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</si>
  <si>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</si>
  <si>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</si>
  <si>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</si>
  <si>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</si>
  <si>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</si>
  <si>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</si>
  <si>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</si>
  <si>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</si>
  <si>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</si>
  <si>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</si>
  <si>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</si>
  <si>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</si>
  <si>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</si>
  <si>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</si>
  <si>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</si>
  <si>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</si>
  <si>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</si>
  <si>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</si>
  <si>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</si>
  <si>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</si>
  <si>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</si>
  <si>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</si>
  <si>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</si>
  <si>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</si>
  <si>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</si>
  <si>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</si>
  <si>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</si>
  <si>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</si>
  <si>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</si>
  <si>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</si>
  <si>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</si>
  <si>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</si>
  <si>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</si>
  <si>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</si>
  <si>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</si>
  <si>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</si>
  <si>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</si>
  <si>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</si>
  <si>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</si>
  <si>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</si>
  <si>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</si>
  <si>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</si>
  <si>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</si>
  <si>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</si>
  <si>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</si>
  <si>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</si>
  <si>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</si>
  <si>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</si>
  <si>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</si>
  <si>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</si>
  <si>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</si>
  <si>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</si>
  <si>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</si>
  <si>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</si>
  <si>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</si>
  <si>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</si>
  <si>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</si>
  <si>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</si>
  <si>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</si>
  <si>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</si>
  <si>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</si>
  <si>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</si>
  <si>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</si>
  <si>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</si>
  <si>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</si>
  <si>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</si>
  <si>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</si>
  <si>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</si>
  <si>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</si>
  <si>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</si>
  <si>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</si>
  <si>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</si>
  <si>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</si>
  <si>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</si>
  <si>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</si>
  <si>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</si>
  <si>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</si>
  <si>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</si>
  <si>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</si>
  <si>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</si>
  <si>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</si>
  <si>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</si>
  <si>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</si>
  <si>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</si>
  <si>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</si>
  <si>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</si>
  <si>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</si>
  <si>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</si>
  <si>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</si>
  <si>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</si>
  <si>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</si>
  <si>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</si>
  <si>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</si>
  <si>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</si>
  <si>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</si>
  <si>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</si>
  <si>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</si>
  <si>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</si>
  <si>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</si>
  <si>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</si>
  <si>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</si>
  <si>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</si>
  <si>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</si>
  <si>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</si>
  <si>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</si>
  <si>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</si>
  <si>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</si>
  <si>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</si>
  <si>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</si>
  <si>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</si>
  <si>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</si>
  <si>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</si>
  <si>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</si>
  <si>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</si>
  <si>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</si>
  <si>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</si>
  <si>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</si>
  <si>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</si>
  <si>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</si>
  <si>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</si>
  <si>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</si>
  <si>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</si>
  <si>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</si>
  <si>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</si>
  <si>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</si>
  <si>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</si>
  <si>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</si>
  <si>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</si>
  <si>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</si>
  <si>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 xml:space="preserve">Imprint Construction Private Limited
</t>
  </si>
  <si>
    <t>Jangid Elysium</t>
  </si>
  <si>
    <t>P51800034600</t>
  </si>
  <si>
    <t>Western Express Highway</t>
  </si>
  <si>
    <t>Siddhart Nagar</t>
  </si>
  <si>
    <t>Borivali East</t>
  </si>
  <si>
    <t>St. Johns High School</t>
  </si>
  <si>
    <t>12.20 M W Road</t>
  </si>
  <si>
    <t>13.40 M W Road</t>
  </si>
  <si>
    <t>18.30 M W Road</t>
  </si>
  <si>
    <t>R-C/PVT/0003/20040220/AP/S</t>
  </si>
  <si>
    <t>Shivshambhu SRA CHSL</t>
  </si>
  <si>
    <t>As per RERA - 31/12/2025</t>
  </si>
  <si>
    <t xml:space="preserve">Fitness Center, Children’s Crèche, Cafeteria, Conference Room, etc.
</t>
  </si>
  <si>
    <t>Ground Floor For Commercial, Lobby &amp; Parking</t>
  </si>
  <si>
    <t>Shop</t>
  </si>
  <si>
    <t>1st Floor For Commercial, Lobby &amp; Parking</t>
  </si>
  <si>
    <t>Office</t>
  </si>
  <si>
    <t>3rd to 5th, 7th &amp; 9th Floor For Commercial &amp; Parking</t>
  </si>
  <si>
    <t>2nd Floor For Commercial &amp; Parking</t>
  </si>
  <si>
    <t>10th, 12th, 14th &amp; 16th Floor For Commercial &amp; Parking (Part Refuge Area At Mid-Landing)</t>
  </si>
  <si>
    <t>6th &amp; 8th Floor For Commercial &amp; Parking (Part Refuge Area At Mid-Landing)</t>
  </si>
  <si>
    <t>11th, 13th, 15th &amp; 17th Floor For Commercial &amp; Parking</t>
  </si>
  <si>
    <t>19th, 21st, 23rd &amp; 25th Floor For Commercial</t>
  </si>
  <si>
    <t>18th, 20th, 22nd &amp; 24th Floor For Commercial (Part Refuge Area At Mid-Landing)</t>
  </si>
  <si>
    <t>26th Floor For Commercial</t>
  </si>
  <si>
    <t>Shops</t>
  </si>
  <si>
    <t>Offices</t>
  </si>
  <si>
    <t>Approved Plans, CC, Cost Sheet</t>
  </si>
  <si>
    <t>19.2179879,72.8679128</t>
  </si>
  <si>
    <t>https://maps.app.goo.gl/beanr2sXmQ4fKb7L6</t>
  </si>
  <si>
    <t>Other Plot</t>
  </si>
  <si>
    <t>Houses</t>
  </si>
  <si>
    <t>2.9 KM from Borivali Railway Station</t>
  </si>
  <si>
    <t>Attached Mezzanine area</t>
  </si>
  <si>
    <r>
      <t xml:space="preserve">Shop No.
</t>
    </r>
    <r>
      <rPr>
        <b/>
        <sz val="11"/>
        <rFont val="Times New Roman"/>
        <family val="1"/>
      </rPr>
      <t>(Approved Plan)</t>
    </r>
  </si>
  <si>
    <t>Construction work goes beyond CC permission, please provide revised approved CC &amp; Plans.</t>
  </si>
  <si>
    <r>
      <t xml:space="preserve">Proposed Amenities :                                                                                                                                                                                                                         </t>
    </r>
    <r>
      <rPr>
        <b/>
        <sz val="12"/>
        <rFont val="Times New Roman"/>
        <family val="1"/>
      </rPr>
      <t xml:space="preserve">                                               </t>
    </r>
  </si>
  <si>
    <t xml:space="preserve">Plot D 
Sale Building No. 1
</t>
  </si>
  <si>
    <t>Sale Building No. 1 = 1B + G + 1st to 32nd Floor</t>
  </si>
  <si>
    <t>Sale Building No. 1</t>
  </si>
  <si>
    <t>Plot D</t>
  </si>
  <si>
    <t>SIA/MH/INFRA2/425528/2023</t>
  </si>
  <si>
    <t xml:space="preserve">CTS No. 179/A &amp; 179/B
Sale Building No. 1 = 2B + Gr. + 1st to 32nd Floor
Sale Building No. 2 = 2B + Gr. + St.+ 5P + 6th to 37th Floor
Sale Building No. 3 = 2B + Gr. + St.+ 10P + 11th to 35th Floor
Sale Building No. 4 = 2B + Gr. + St.+ 5P + 6th to 32nd Floor
Rehab Building = Gr. + P1 + 2nd to 39th Floor
</t>
  </si>
  <si>
    <t>Mr. Sandeep : 9372736904</t>
  </si>
  <si>
    <t>We have updated latest CC (On 05/10/2024).</t>
  </si>
  <si>
    <t>Approved area of building (Sq.Mt)
Sale Building No.1</t>
  </si>
  <si>
    <t>Basement For Electric Meter Room, Fire Control Room, Water Tank &amp; Parking</t>
  </si>
  <si>
    <t>Attached Loft area</t>
  </si>
  <si>
    <t>Ground Floor for Commercial &amp; Parking</t>
  </si>
  <si>
    <t>1st Part Podium Floor for Parking &amp; Fitness Centre</t>
  </si>
  <si>
    <t>2nd Floor Commercial &amp; Parking</t>
  </si>
  <si>
    <t>3rd to 5th, 7th to 9th Floor</t>
  </si>
  <si>
    <t>6th Floor (Part Refge Area)</t>
  </si>
  <si>
    <t>Refuge Area</t>
  </si>
  <si>
    <t>10th Floor</t>
  </si>
  <si>
    <t>11th to 12th &amp; 14th to 17th Floor</t>
  </si>
  <si>
    <t>13th Floor (Part Refuge Area)</t>
  </si>
  <si>
    <t>18th Floor</t>
  </si>
  <si>
    <t>19th, 21st to 25th Floor</t>
  </si>
  <si>
    <t>20th Floor (Part Refuge Area)</t>
  </si>
  <si>
    <t>26th Floor</t>
  </si>
  <si>
    <t>28th to 32nd Floor</t>
  </si>
  <si>
    <t>27th Floor (Part Refuge Area)</t>
  </si>
  <si>
    <t>Shops - 8, Offices - 443</t>
  </si>
  <si>
    <t>Pooja Kawale</t>
  </si>
  <si>
    <t>Magathane</t>
  </si>
  <si>
    <t>179/A &amp; 179/B &amp; 178, 178/1 to 4, Redevelopment Of "Shivshambhu SRA CHSL"</t>
  </si>
  <si>
    <t>R-C/PVT/0003/20040220/AP/S-1</t>
  </si>
  <si>
    <t>We considered Gross carpet area = Net carpet.</t>
  </si>
  <si>
    <t xml:space="preserve">Jangid 
Trinity
</t>
  </si>
  <si>
    <t>As per approved plans dtd. 23/07/2025, СTS No. 178, 178/1 to 4 is newly added in project. Please check legal title report.</t>
  </si>
  <si>
    <t>Construction work is in process at the time of Visit.</t>
  </si>
  <si>
    <t>We have updated latest approved floor plans for Sale building no.1 (On 31/07/2025).</t>
  </si>
  <si>
    <t>Recommended rate of the Office Per Sq. Ft. (11th to 32nd Floor)</t>
  </si>
  <si>
    <t>Rate 1000+ in all office rate by bhargav verbal for case Unit no 2802 and 2803 on 28/8/2025</t>
  </si>
  <si>
    <t>Recommended rate of the Office Per Sq. Ft. (1st to 10th Floor)</t>
  </si>
  <si>
    <t>Rates changed by Akash Mote on 09/09/2025 for case 3113</t>
  </si>
  <si>
    <t>Common Organisation Formation Charges</t>
  </si>
  <si>
    <t>Recommended Rates of the Property have been revised on 28/08/2025 &amp; 09/09/2025.</t>
  </si>
  <si>
    <t>Pratik Niwate</t>
  </si>
  <si>
    <t>This CC is re-endorsed &amp; further extended upto full height i.e. upto 32nd floor for RCC frame structure only including OHWT &amp; LMR as per approved amended plans dtd.23/07/2025.</t>
  </si>
  <si>
    <t>We have updated revised CC (On 05/08/2025).</t>
  </si>
  <si>
    <t>We have updated revised CC (On 11/09/2025).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</si>
</sst>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4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26" xfId="0" applyFont="1" applyFill="1" applyBorder="1"/>
    <xf numFmtId="0" fontId="26" fillId="0" borderId="27"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9" fontId="17" fillId="0" borderId="14"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15" fillId="0" borderId="1" xfId="1" applyNumberFormat="1" applyFont="1" applyBorder="1" applyAlignment="1" applyProtection="1">
      <alignment horizontal="center" vertical="top" wrapText="1"/>
      <protection locked="0"/>
    </xf>
    <xf numFmtId="0" fontId="0" fillId="0" borderId="21"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1" fontId="7" fillId="0" borderId="1" xfId="1" applyNumberFormat="1" applyFont="1" applyBorder="1" applyAlignment="1">
      <alignment horizontal="center" vertical="center"/>
    </xf>
    <xf numFmtId="9" fontId="12" fillId="0" borderId="1" xfId="8" applyFont="1" applyFill="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9" fontId="13" fillId="0" borderId="14" xfId="8" applyFont="1" applyFill="1" applyBorder="1" applyAlignment="1" applyProtection="1">
      <alignment horizontal="center" vertical="top" wrapText="1"/>
      <protection locked="0"/>
    </xf>
    <xf numFmtId="0" fontId="12" fillId="0" borderId="1" xfId="1" applyFont="1" applyBorder="1" applyAlignment="1" applyProtection="1">
      <alignment vertical="top" wrapText="1"/>
      <protection locked="0"/>
    </xf>
    <xf numFmtId="0" fontId="25" fillId="0" borderId="0" xfId="0" applyFont="1"/>
    <xf numFmtId="0" fontId="12" fillId="0" borderId="1" xfId="1" applyFont="1" applyBorder="1" applyAlignment="1" applyProtection="1">
      <alignment horizontal="center" vertical="top" wrapText="1"/>
      <protection locked="0"/>
    </xf>
    <xf numFmtId="0" fontId="7" fillId="0" borderId="0" xfId="0" applyFont="1" applyAlignment="1">
      <alignment horizontal="center" vertical="center" wrapText="1"/>
    </xf>
    <xf numFmtId="0" fontId="25" fillId="2" borderId="13" xfId="0" applyFont="1" applyFill="1" applyBorder="1"/>
    <xf numFmtId="0" fontId="26" fillId="0" borderId="9" xfId="0" applyFont="1" applyBorder="1"/>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67" fontId="16" fillId="0" borderId="0" xfId="1" applyNumberFormat="1" applyFont="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5"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13" fillId="0" borderId="8" xfId="1" applyNumberFormat="1" applyFont="1" applyBorder="1" applyAlignment="1" applyProtection="1">
      <alignment horizontal="center" vertical="center" wrapText="1"/>
      <protection locked="0"/>
    </xf>
    <xf numFmtId="1" fontId="13" fillId="0" borderId="19" xfId="1" applyNumberFormat="1" applyFont="1" applyBorder="1" applyAlignment="1" applyProtection="1">
      <alignment horizontal="center" vertical="center" wrapText="1"/>
      <protection locked="0"/>
    </xf>
    <xf numFmtId="1" fontId="13" fillId="0" borderId="9"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0" xfId="1" applyNumberFormat="1" applyFont="1" applyAlignment="1" applyProtection="1">
      <alignment horizontal="center" vertical="center" wrapText="1"/>
      <protection locked="0"/>
    </xf>
    <xf numFmtId="1" fontId="6" fillId="0" borderId="22" xfId="1" applyNumberFormat="1" applyFont="1" applyBorder="1" applyAlignment="1" applyProtection="1">
      <alignment horizontal="center" vertical="center" wrapText="1"/>
      <protection locked="0"/>
    </xf>
    <xf numFmtId="1" fontId="13" fillId="0" borderId="1" xfId="1" applyNumberFormat="1" applyFont="1" applyBorder="1" applyAlignment="1" applyProtection="1">
      <alignment horizontal="center" vertical="center" wrapText="1"/>
      <protection locked="0"/>
    </xf>
    <xf numFmtId="0" fontId="7" fillId="0" borderId="21"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2" fillId="0" borderId="1" xfId="1" applyFont="1" applyBorder="1" applyAlignment="1" applyProtection="1">
      <alignment horizontal="left" vertical="top" wrapText="1"/>
      <protection locked="0"/>
    </xf>
    <xf numFmtId="16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1" fontId="6" fillId="0" borderId="19" xfId="1" applyNumberFormat="1" applyFont="1" applyBorder="1" applyAlignment="1" applyProtection="1">
      <alignment horizontal="center" vertical="center"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1" fontId="13" fillId="0" borderId="3" xfId="1" applyNumberFormat="1" applyFont="1" applyBorder="1" applyAlignment="1" applyProtection="1">
      <alignment horizontal="center" vertical="top" wrapText="1"/>
      <protection locked="0"/>
    </xf>
    <xf numFmtId="1" fontId="13" fillId="0" borderId="14" xfId="1" applyNumberFormat="1" applyFont="1" applyBorder="1" applyAlignment="1" applyProtection="1">
      <alignment horizontal="center" vertical="top" wrapText="1"/>
      <protection locked="0"/>
    </xf>
    <xf numFmtId="1" fontId="31" fillId="0" borderId="3" xfId="1" applyNumberFormat="1" applyFont="1" applyBorder="1" applyAlignment="1" applyProtection="1">
      <alignment horizontal="center" vertical="top" wrapText="1"/>
      <protection locked="0"/>
    </xf>
    <xf numFmtId="1" fontId="31" fillId="0" borderId="14" xfId="1" applyNumberFormat="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6" fillId="0" borderId="1" xfId="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2" fillId="0" borderId="15"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7" fillId="0" borderId="3" xfId="1" applyNumberFormat="1" applyFont="1" applyBorder="1" applyAlignment="1" applyProtection="1">
      <alignment horizontal="center" vertical="top" wrapText="1"/>
      <protection locked="0"/>
    </xf>
    <xf numFmtId="1" fontId="17" fillId="0" borderId="14"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4" xfId="1"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8" fillId="0" borderId="8" xfId="1" applyNumberFormat="1" applyFont="1" applyBorder="1" applyAlignment="1" applyProtection="1">
      <alignment horizontal="center" vertical="center" wrapText="1"/>
      <protection locked="0"/>
    </xf>
    <xf numFmtId="1" fontId="8" fillId="0" borderId="19"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17" fillId="0" borderId="1" xfId="0" applyNumberFormat="1" applyFont="1" applyBorder="1" applyAlignment="1" applyProtection="1">
      <alignment vertical="top" wrapText="1"/>
      <protection locked="0"/>
    </xf>
    <xf numFmtId="1" fontId="8" fillId="0" borderId="28" xfId="0" applyNumberFormat="1" applyFont="1" applyBorder="1" applyAlignment="1" applyProtection="1">
      <alignment horizontal="center" vertical="center" wrapText="1"/>
      <protection locked="0"/>
    </xf>
    <xf numFmtId="1" fontId="8" fillId="0" borderId="29" xfId="0" applyNumberFormat="1" applyFont="1" applyBorder="1" applyAlignment="1" applyProtection="1">
      <alignment horizontal="center" vertical="center" wrapText="1"/>
      <protection locked="0"/>
    </xf>
    <xf numFmtId="1" fontId="10" fillId="0" borderId="29" xfId="0" applyNumberFormat="1" applyFont="1" applyBorder="1" applyAlignment="1" applyProtection="1">
      <alignment horizontal="center" vertical="center"/>
      <protection locked="0"/>
    </xf>
    <xf numFmtId="1" fontId="10" fillId="0" borderId="29"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9" fontId="7" fillId="0" borderId="15" xfId="8" applyFont="1" applyFill="1" applyBorder="1" applyAlignment="1" applyProtection="1">
      <alignment horizontal="center" vertical="center" wrapText="1"/>
      <protection locked="0"/>
    </xf>
    <xf numFmtId="9" fontId="7" fillId="0" borderId="16" xfId="8" applyFont="1" applyFill="1" applyBorder="1" applyAlignment="1" applyProtection="1">
      <alignment horizontal="center" vertical="center" wrapText="1"/>
      <protection locked="0"/>
    </xf>
    <xf numFmtId="9" fontId="7" fillId="0" borderId="21" xfId="8" applyFont="1" applyFill="1" applyBorder="1" applyAlignment="1" applyProtection="1">
      <alignment horizontal="center" vertical="center" wrapText="1"/>
      <protection locked="0"/>
    </xf>
    <xf numFmtId="9" fontId="7" fillId="0" borderId="22"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0" fontId="8" fillId="0" borderId="14" xfId="1" applyFont="1" applyBorder="1" applyAlignment="1" applyProtection="1">
      <alignment horizontal="center" vertical="top"/>
      <protection locked="0"/>
    </xf>
    <xf numFmtId="1" fontId="8" fillId="0" borderId="15"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9" fontId="7" fillId="0" borderId="23"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0" fontId="8" fillId="0" borderId="14" xfId="1" applyFont="1" applyBorder="1" applyAlignment="1" applyProtection="1">
      <alignment horizontal="left" vertical="top"/>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top" wrapText="1"/>
      <protection locked="0"/>
    </xf>
    <xf numFmtId="0" fontId="8" fillId="0" borderId="31"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2" xfId="1" applyFont="1" applyBorder="1" applyAlignment="1" applyProtection="1">
      <alignment horizontal="left" vertical="top" wrapText="1"/>
      <protection locked="0"/>
    </xf>
    <xf numFmtId="9" fontId="12" fillId="0" borderId="1" xfId="8" applyFont="1" applyFill="1" applyBorder="1" applyAlignment="1" applyProtection="1">
      <alignment horizontal="center" vertical="center" wrapText="1"/>
      <protection locked="0"/>
    </xf>
    <xf numFmtId="9" fontId="12" fillId="0" borderId="7" xfId="8" applyFont="1" applyFill="1" applyBorder="1" applyAlignment="1" applyProtection="1">
      <alignment horizontal="center" vertical="center" wrapText="1"/>
      <protection locked="0"/>
    </xf>
    <xf numFmtId="9" fontId="12" fillId="0" borderId="5" xfId="8" applyFont="1" applyFill="1" applyBorder="1" applyAlignment="1" applyProtection="1">
      <alignment horizontal="center" vertical="center" wrapText="1"/>
      <protection locked="0"/>
    </xf>
    <xf numFmtId="9" fontId="12" fillId="0" borderId="33" xfId="8" applyFont="1" applyFill="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12" fillId="0" borderId="1" xfId="1" applyNumberFormat="1" applyFont="1" applyBorder="1" applyAlignment="1" applyProtection="1">
      <alignment horizontal="left" vertical="top" wrapText="1"/>
      <protection locked="0"/>
    </xf>
    <xf numFmtId="1" fontId="12" fillId="0" borderId="1" xfId="1" applyNumberFormat="1" applyFont="1" applyBorder="1" applyAlignment="1" applyProtection="1">
      <alignment horizontal="left" vertical="top" wrapText="1"/>
      <protection locked="0"/>
    </xf>
    <xf numFmtId="2" fontId="12" fillId="0" borderId="1" xfId="1" applyNumberFormat="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13" fillId="0" borderId="19"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 fontId="6" fillId="0" borderId="1" xfId="0" applyNumberFormat="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4" xfId="1" applyNumberFormat="1" applyFont="1" applyBorder="1" applyAlignment="1" applyProtection="1">
      <alignment horizontal="center" vertical="top" wrapText="1"/>
      <protection locked="0"/>
    </xf>
    <xf numFmtId="1" fontId="8" fillId="0" borderId="29" xfId="0" applyNumberFormat="1" applyFont="1" applyBorder="1" applyAlignment="1" applyProtection="1">
      <alignment horizontal="center" vertical="top" wrapText="1"/>
      <protection locked="0"/>
    </xf>
    <xf numFmtId="1" fontId="8" fillId="0" borderId="30" xfId="0"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emf"/><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xdr:from>
      <xdr:col>0</xdr:col>
      <xdr:colOff>652601</xdr:colOff>
      <xdr:row>599</xdr:row>
      <xdr:rowOff>11204</xdr:rowOff>
    </xdr:from>
    <xdr:to>
      <xdr:col>6</xdr:col>
      <xdr:colOff>674962</xdr:colOff>
      <xdr:row>620</xdr:row>
      <xdr:rowOff>95381</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52601" y="83075554"/>
          <a:ext cx="5108711" cy="4218027"/>
          <a:chOff x="652601" y="76155175"/>
          <a:chExt cx="4874508" cy="4320000"/>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52601" y="76155175"/>
            <a:ext cx="4874508" cy="4320000"/>
          </a:xfrm>
          <a:prstGeom prst="rect">
            <a:avLst/>
          </a:prstGeom>
          <a:ln>
            <a:solidFill>
              <a:schemeClr val="tx1"/>
            </a:solidFill>
          </a:ln>
        </xdr:spPr>
      </xdr:pic>
      <xdr:sp macro="" textlink="">
        <xdr:nvSpPr>
          <xdr:cNvPr id="5" name="Rectangle 4">
            <a:extLst>
              <a:ext uri="{FF2B5EF4-FFF2-40B4-BE49-F238E27FC236}">
                <a16:creationId xmlns:a16="http://schemas.microsoft.com/office/drawing/2014/main" id="{00000000-0008-0000-0000-000005000000}"/>
              </a:ext>
            </a:extLst>
          </xdr:cNvPr>
          <xdr:cNvSpPr/>
        </xdr:nvSpPr>
        <xdr:spPr>
          <a:xfrm>
            <a:off x="2241176" y="76827529"/>
            <a:ext cx="1411941" cy="98611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241175" y="76166381"/>
            <a:ext cx="2622177" cy="705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rPr>
              <a:t>Plot D </a:t>
            </a:r>
          </a:p>
          <a:p>
            <a:r>
              <a:rPr lang="en-IN" sz="1800" b="1">
                <a:solidFill>
                  <a:srgbClr val="FF0000"/>
                </a:solidFill>
              </a:rPr>
              <a:t>Sale Building No. 1</a:t>
            </a:r>
          </a:p>
        </xdr:txBody>
      </xdr:sp>
    </xdr:grpSp>
    <xdr:clientData/>
  </xdr:twoCellAnchor>
  <xdr:twoCellAnchor>
    <xdr:from>
      <xdr:col>1</xdr:col>
      <xdr:colOff>22412</xdr:colOff>
      <xdr:row>581</xdr:row>
      <xdr:rowOff>58270</xdr:rowOff>
    </xdr:from>
    <xdr:to>
      <xdr:col>6</xdr:col>
      <xdr:colOff>580465</xdr:colOff>
      <xdr:row>598</xdr:row>
      <xdr:rowOff>48745</xdr:rowOff>
    </xdr:to>
    <xdr:grpSp>
      <xdr:nvGrpSpPr>
        <xdr:cNvPr id="10" name="Group 9">
          <a:extLst>
            <a:ext uri="{FF2B5EF4-FFF2-40B4-BE49-F238E27FC236}">
              <a16:creationId xmlns:a16="http://schemas.microsoft.com/office/drawing/2014/main" id="{00000000-0008-0000-0000-00000A000000}"/>
            </a:ext>
          </a:extLst>
        </xdr:cNvPr>
        <xdr:cNvGrpSpPr/>
      </xdr:nvGrpSpPr>
      <xdr:grpSpPr>
        <a:xfrm>
          <a:off x="822512" y="79579320"/>
          <a:ext cx="4844303" cy="3336925"/>
          <a:chOff x="784412" y="72571535"/>
          <a:chExt cx="4648200" cy="3419475"/>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84412" y="72571535"/>
            <a:ext cx="4648200" cy="3419475"/>
          </a:xfrm>
          <a:prstGeom prst="rect">
            <a:avLst/>
          </a:prstGeom>
          <a:ln>
            <a:solidFill>
              <a:schemeClr val="tx1"/>
            </a:solidFill>
          </a:ln>
        </xdr:spPr>
      </xdr:pic>
      <xdr:cxnSp macro="">
        <xdr:nvCxnSpPr>
          <xdr:cNvPr id="8" name="Straight Arrow Connector 7">
            <a:extLst>
              <a:ext uri="{FF2B5EF4-FFF2-40B4-BE49-F238E27FC236}">
                <a16:creationId xmlns:a16="http://schemas.microsoft.com/office/drawing/2014/main" id="{00000000-0008-0000-0000-000008000000}"/>
              </a:ext>
            </a:extLst>
          </xdr:cNvPr>
          <xdr:cNvCxnSpPr/>
        </xdr:nvCxnSpPr>
        <xdr:spPr>
          <a:xfrm flipV="1">
            <a:off x="1176618" y="72983913"/>
            <a:ext cx="0" cy="47064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008531" y="72636529"/>
            <a:ext cx="381000" cy="392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solidFill>
                  <a:srgbClr val="FF0000"/>
                </a:solidFill>
              </a:rPr>
              <a:t>N</a:t>
            </a:r>
          </a:p>
        </xdr:txBody>
      </xdr:sp>
    </xdr:grpSp>
    <xdr:clientData/>
  </xdr:twoCellAnchor>
  <xdr:twoCellAnchor>
    <xdr:from>
      <xdr:col>10</xdr:col>
      <xdr:colOff>704289</xdr:colOff>
      <xdr:row>8</xdr:row>
      <xdr:rowOff>17929</xdr:rowOff>
    </xdr:from>
    <xdr:to>
      <xdr:col>19</xdr:col>
      <xdr:colOff>180750</xdr:colOff>
      <xdr:row>21</xdr:row>
      <xdr:rowOff>71147</xdr:rowOff>
    </xdr:to>
    <xdr:grpSp>
      <xdr:nvGrpSpPr>
        <xdr:cNvPr id="34" name="Group 33">
          <a:extLst>
            <a:ext uri="{FF2B5EF4-FFF2-40B4-BE49-F238E27FC236}">
              <a16:creationId xmlns:a16="http://schemas.microsoft.com/office/drawing/2014/main" id="{00000000-0008-0000-0000-000022000000}"/>
            </a:ext>
          </a:extLst>
        </xdr:cNvPr>
        <xdr:cNvGrpSpPr/>
      </xdr:nvGrpSpPr>
      <xdr:grpSpPr>
        <a:xfrm>
          <a:off x="9346639" y="1992779"/>
          <a:ext cx="6588461" cy="3406018"/>
          <a:chOff x="8003801" y="1193426"/>
          <a:chExt cx="6275070" cy="3088518"/>
        </a:xfrm>
      </xdr:grpSpPr>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8003801" y="1193426"/>
            <a:ext cx="6275070" cy="3088518"/>
          </a:xfrm>
          <a:prstGeom prst="rect">
            <a:avLst/>
          </a:prstGeom>
        </xdr:spPr>
      </xdr:pic>
      <xdr:sp macro="" textlink="">
        <xdr:nvSpPr>
          <xdr:cNvPr id="32" name="Rectangle 31">
            <a:extLst>
              <a:ext uri="{FF2B5EF4-FFF2-40B4-BE49-F238E27FC236}">
                <a16:creationId xmlns:a16="http://schemas.microsoft.com/office/drawing/2014/main" id="{00000000-0008-0000-0000-000020000000}"/>
              </a:ext>
            </a:extLst>
          </xdr:cNvPr>
          <xdr:cNvSpPr/>
        </xdr:nvSpPr>
        <xdr:spPr>
          <a:xfrm>
            <a:off x="12550588" y="3372971"/>
            <a:ext cx="907677" cy="168088"/>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3" name="Rectangle 32">
            <a:extLst>
              <a:ext uri="{FF2B5EF4-FFF2-40B4-BE49-F238E27FC236}">
                <a16:creationId xmlns:a16="http://schemas.microsoft.com/office/drawing/2014/main" id="{00000000-0008-0000-0000-000021000000}"/>
              </a:ext>
            </a:extLst>
          </xdr:cNvPr>
          <xdr:cNvSpPr/>
        </xdr:nvSpPr>
        <xdr:spPr>
          <a:xfrm>
            <a:off x="9785536" y="3675529"/>
            <a:ext cx="2451288" cy="17369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0</xdr:col>
      <xdr:colOff>190500</xdr:colOff>
      <xdr:row>624</xdr:row>
      <xdr:rowOff>201704</xdr:rowOff>
    </xdr:from>
    <xdr:to>
      <xdr:col>7</xdr:col>
      <xdr:colOff>515589</xdr:colOff>
      <xdr:row>665</xdr:row>
      <xdr:rowOff>39354</xdr:rowOff>
    </xdr:to>
    <xdr:grpSp>
      <xdr:nvGrpSpPr>
        <xdr:cNvPr id="28" name="Group 27">
          <a:extLst>
            <a:ext uri="{FF2B5EF4-FFF2-40B4-BE49-F238E27FC236}">
              <a16:creationId xmlns:a16="http://schemas.microsoft.com/office/drawing/2014/main" id="{00000000-0008-0000-0000-00001C000000}"/>
            </a:ext>
          </a:extLst>
        </xdr:cNvPr>
        <xdr:cNvGrpSpPr/>
      </xdr:nvGrpSpPr>
      <xdr:grpSpPr>
        <a:xfrm>
          <a:off x="190500" y="88180954"/>
          <a:ext cx="6179789" cy="7914850"/>
          <a:chOff x="190500" y="71818498"/>
          <a:chExt cx="5905618" cy="8107591"/>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a:stretch>
            <a:fillRect/>
          </a:stretch>
        </xdr:blipFill>
        <xdr:spPr>
          <a:xfrm>
            <a:off x="859276" y="71818498"/>
            <a:ext cx="4609196" cy="3530279"/>
          </a:xfrm>
          <a:prstGeom prst="rect">
            <a:avLst/>
          </a:prstGeom>
          <a:ln>
            <a:solidFill>
              <a:schemeClr val="tx1"/>
            </a:solidFill>
          </a:ln>
        </xdr:spPr>
      </xdr:pic>
      <xdr:grpSp>
        <xdr:nvGrpSpPr>
          <xdr:cNvPr id="24" name="Group 23">
            <a:extLst>
              <a:ext uri="{FF2B5EF4-FFF2-40B4-BE49-F238E27FC236}">
                <a16:creationId xmlns:a16="http://schemas.microsoft.com/office/drawing/2014/main" id="{00000000-0008-0000-0000-000018000000}"/>
              </a:ext>
            </a:extLst>
          </xdr:cNvPr>
          <xdr:cNvGrpSpPr/>
        </xdr:nvGrpSpPr>
        <xdr:grpSpPr>
          <a:xfrm>
            <a:off x="190500" y="75550058"/>
            <a:ext cx="5905618" cy="4376031"/>
            <a:chOff x="190500" y="75550058"/>
            <a:chExt cx="5905618" cy="4376031"/>
          </a:xfrm>
        </xdr:grpSpPr>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a:xfrm>
              <a:off x="190500" y="75606089"/>
              <a:ext cx="5905618" cy="4320000"/>
            </a:xfrm>
            <a:prstGeom prst="rect">
              <a:avLst/>
            </a:prstGeom>
            <a:ln>
              <a:solidFill>
                <a:schemeClr val="tx1"/>
              </a:solidFill>
            </a:ln>
          </xdr:spPr>
        </xdr:pic>
        <xdr:sp macro="" textlink="">
          <xdr:nvSpPr>
            <xdr:cNvPr id="26" name="Rectangle 25">
              <a:extLst>
                <a:ext uri="{FF2B5EF4-FFF2-40B4-BE49-F238E27FC236}">
                  <a16:creationId xmlns:a16="http://schemas.microsoft.com/office/drawing/2014/main" id="{00000000-0008-0000-0000-00001A000000}"/>
                </a:ext>
              </a:extLst>
            </xdr:cNvPr>
            <xdr:cNvSpPr/>
          </xdr:nvSpPr>
          <xdr:spPr>
            <a:xfrm rot="21410809">
              <a:off x="2677368" y="76110946"/>
              <a:ext cx="1178294" cy="816843"/>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7" name="Rectangle 26">
              <a:extLst>
                <a:ext uri="{FF2B5EF4-FFF2-40B4-BE49-F238E27FC236}">
                  <a16:creationId xmlns:a16="http://schemas.microsoft.com/office/drawing/2014/main" id="{00000000-0008-0000-0000-00001B000000}"/>
                </a:ext>
              </a:extLst>
            </xdr:cNvPr>
            <xdr:cNvSpPr/>
          </xdr:nvSpPr>
          <xdr:spPr>
            <a:xfrm rot="4987347">
              <a:off x="1021226" y="77150414"/>
              <a:ext cx="2262313" cy="986118"/>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xnSp macro="">
          <xdr:nvCxnSpPr>
            <xdr:cNvPr id="22" name="Straight Connector 21">
              <a:extLst>
                <a:ext uri="{FF2B5EF4-FFF2-40B4-BE49-F238E27FC236}">
                  <a16:creationId xmlns:a16="http://schemas.microsoft.com/office/drawing/2014/main" id="{00000000-0008-0000-0000-000016000000}"/>
                </a:ext>
              </a:extLst>
            </xdr:cNvPr>
            <xdr:cNvCxnSpPr>
              <a:stCxn id="27" idx="2"/>
              <a:endCxn id="27" idx="0"/>
            </xdr:cNvCxnSpPr>
          </xdr:nvCxnSpPr>
          <xdr:spPr>
            <a:xfrm flipV="1">
              <a:off x="1662871" y="77584431"/>
              <a:ext cx="979023" cy="118085"/>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sp macro="" textlink="">
          <xdr:nvSpPr>
            <xdr:cNvPr id="30" name="Rectangle 29">
              <a:extLst>
                <a:ext uri="{FF2B5EF4-FFF2-40B4-BE49-F238E27FC236}">
                  <a16:creationId xmlns:a16="http://schemas.microsoft.com/office/drawing/2014/main" id="{00000000-0008-0000-0000-00001E000000}"/>
                </a:ext>
              </a:extLst>
            </xdr:cNvPr>
            <xdr:cNvSpPr/>
          </xdr:nvSpPr>
          <xdr:spPr>
            <a:xfrm rot="21410809">
              <a:off x="4078668" y="75915141"/>
              <a:ext cx="1240810" cy="969660"/>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5" name="Rectangle 34">
              <a:extLst>
                <a:ext uri="{FF2B5EF4-FFF2-40B4-BE49-F238E27FC236}">
                  <a16:creationId xmlns:a16="http://schemas.microsoft.com/office/drawing/2014/main" id="{00000000-0008-0000-0000-000023000000}"/>
                </a:ext>
              </a:extLst>
            </xdr:cNvPr>
            <xdr:cNvSpPr/>
          </xdr:nvSpPr>
          <xdr:spPr>
            <a:xfrm rot="15728357">
              <a:off x="2719569" y="77131868"/>
              <a:ext cx="1147586" cy="975272"/>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4011704" y="75550058"/>
              <a:ext cx="1792943" cy="336178"/>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indent="0"/>
              <a:r>
                <a:rPr lang="en-IN" sz="1400" b="1">
                  <a:solidFill>
                    <a:schemeClr val="bg1"/>
                  </a:solidFill>
                  <a:latin typeface="+mn-lt"/>
                  <a:ea typeface="+mn-ea"/>
                  <a:cs typeface="+mn-cs"/>
                </a:rPr>
                <a:t>Rehab Building No. 1</a:t>
              </a:r>
            </a:p>
          </xdr:txBody>
        </xdr:sp>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2252384" y="75695736"/>
              <a:ext cx="1692088" cy="324969"/>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indent="0"/>
              <a:r>
                <a:rPr lang="en-IN" sz="1400" b="1">
                  <a:solidFill>
                    <a:schemeClr val="bg1"/>
                  </a:solidFill>
                  <a:latin typeface="+mn-lt"/>
                  <a:ea typeface="+mn-ea"/>
                  <a:cs typeface="+mn-cs"/>
                </a:rPr>
                <a:t>Sale Building No. 1</a:t>
              </a:r>
            </a:p>
          </xdr:txBody>
        </xdr:sp>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2958353" y="76278442"/>
              <a:ext cx="683559" cy="515470"/>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200" b="1">
                  <a:solidFill>
                    <a:schemeClr val="bg1"/>
                  </a:solidFill>
                </a:rPr>
                <a:t>Jangid </a:t>
              </a:r>
            </a:p>
            <a:p>
              <a:r>
                <a:rPr lang="en-IN" sz="1200" b="1">
                  <a:solidFill>
                    <a:schemeClr val="bg1"/>
                  </a:solidFill>
                </a:rPr>
                <a:t>Elysium</a:t>
              </a:r>
            </a:p>
          </xdr:txBody>
        </xdr:sp>
        <xdr:sp macro="" textlink="">
          <xdr:nvSpPr>
            <xdr:cNvPr id="41" name="TextBox 40">
              <a:extLst>
                <a:ext uri="{FF2B5EF4-FFF2-40B4-BE49-F238E27FC236}">
                  <a16:creationId xmlns:a16="http://schemas.microsoft.com/office/drawing/2014/main" id="{00000000-0008-0000-0000-000029000000}"/>
                </a:ext>
              </a:extLst>
            </xdr:cNvPr>
            <xdr:cNvSpPr txBox="1"/>
          </xdr:nvSpPr>
          <xdr:spPr>
            <a:xfrm rot="21181533">
              <a:off x="1069962" y="76121635"/>
              <a:ext cx="1548402" cy="341726"/>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solidFill>
                    <a:schemeClr val="bg1"/>
                  </a:solidFill>
                </a:rPr>
                <a:t>Sale </a:t>
              </a:r>
              <a:r>
                <a:rPr lang="en-IN" sz="1200" b="1">
                  <a:solidFill>
                    <a:schemeClr val="bg1"/>
                  </a:solidFill>
                </a:rPr>
                <a:t>Building</a:t>
              </a:r>
              <a:r>
                <a:rPr lang="en-IN" sz="1400" b="1">
                  <a:solidFill>
                    <a:schemeClr val="bg1"/>
                  </a:solidFill>
                </a:rPr>
                <a:t> No. 4</a:t>
              </a:r>
            </a:p>
          </xdr:txBody>
        </xdr:sp>
        <xdr:sp macro="" textlink="">
          <xdr:nvSpPr>
            <xdr:cNvPr id="42" name="TextBox 41">
              <a:extLst>
                <a:ext uri="{FF2B5EF4-FFF2-40B4-BE49-F238E27FC236}">
                  <a16:creationId xmlns:a16="http://schemas.microsoft.com/office/drawing/2014/main" id="{00000000-0008-0000-0000-00002A000000}"/>
                </a:ext>
              </a:extLst>
            </xdr:cNvPr>
            <xdr:cNvSpPr txBox="1"/>
          </xdr:nvSpPr>
          <xdr:spPr>
            <a:xfrm rot="21075208">
              <a:off x="1570811" y="78945292"/>
              <a:ext cx="1604001" cy="370789"/>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indent="0"/>
              <a:r>
                <a:rPr lang="en-IN" sz="1400" b="1">
                  <a:solidFill>
                    <a:schemeClr val="bg1"/>
                  </a:solidFill>
                  <a:latin typeface="+mn-lt"/>
                  <a:ea typeface="+mn-ea"/>
                  <a:cs typeface="+mn-cs"/>
                </a:rPr>
                <a:t>Sale Building No. 3</a:t>
              </a:r>
            </a:p>
          </xdr:txBody>
        </xdr:sp>
        <xdr:sp macro="" textlink="">
          <xdr:nvSpPr>
            <xdr:cNvPr id="43" name="TextBox 42">
              <a:extLst>
                <a:ext uri="{FF2B5EF4-FFF2-40B4-BE49-F238E27FC236}">
                  <a16:creationId xmlns:a16="http://schemas.microsoft.com/office/drawing/2014/main" id="{00000000-0008-0000-0000-00002B000000}"/>
                </a:ext>
              </a:extLst>
            </xdr:cNvPr>
            <xdr:cNvSpPr txBox="1"/>
          </xdr:nvSpPr>
          <xdr:spPr>
            <a:xfrm rot="20854624">
              <a:off x="2842657" y="78277848"/>
              <a:ext cx="1563451" cy="358101"/>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indent="0"/>
              <a:r>
                <a:rPr lang="en-IN" sz="1400" b="1">
                  <a:solidFill>
                    <a:schemeClr val="bg1"/>
                  </a:solidFill>
                  <a:latin typeface="+mn-lt"/>
                  <a:ea typeface="+mn-ea"/>
                  <a:cs typeface="+mn-cs"/>
                </a:rPr>
                <a:t>Sale Building No. 2</a:t>
              </a:r>
            </a:p>
          </xdr:txBody>
        </xdr:sp>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1748117" y="76805119"/>
              <a:ext cx="683559" cy="515470"/>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200" b="1">
                  <a:solidFill>
                    <a:schemeClr val="bg1"/>
                  </a:solidFill>
                </a:rPr>
                <a:t>Jangid </a:t>
              </a:r>
            </a:p>
            <a:p>
              <a:r>
                <a:rPr lang="en-IN" sz="1200" b="1">
                  <a:solidFill>
                    <a:schemeClr val="bg1"/>
                  </a:solidFill>
                </a:rPr>
                <a:t>Trinity</a:t>
              </a:r>
            </a:p>
          </xdr:txBody>
        </xdr:sp>
      </xdr:grpSp>
    </xdr:grpSp>
    <xdr:clientData/>
  </xdr:twoCellAnchor>
  <xdr:twoCellAnchor editAs="oneCell">
    <xdr:from>
      <xdr:col>12</xdr:col>
      <xdr:colOff>100480</xdr:colOff>
      <xdr:row>40</xdr:row>
      <xdr:rowOff>87031</xdr:rowOff>
    </xdr:from>
    <xdr:to>
      <xdr:col>15</xdr:col>
      <xdr:colOff>575327</xdr:colOff>
      <xdr:row>54</xdr:row>
      <xdr:rowOff>701246</xdr:rowOff>
    </xdr:to>
    <xdr:pic>
      <xdr:nvPicPr>
        <xdr:cNvPr id="38" name="Picture 37">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444630" y="9472331"/>
          <a:ext cx="3027547" cy="4271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688041</xdr:colOff>
      <xdr:row>54</xdr:row>
      <xdr:rowOff>887132</xdr:rowOff>
    </xdr:from>
    <xdr:to>
      <xdr:col>14</xdr:col>
      <xdr:colOff>280599</xdr:colOff>
      <xdr:row>67</xdr:row>
      <xdr:rowOff>155226</xdr:rowOff>
    </xdr:to>
    <xdr:pic>
      <xdr:nvPicPr>
        <xdr:cNvPr id="39" name="Picture 38">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330391" y="13726832"/>
          <a:ext cx="2996158" cy="2297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387350</xdr:colOff>
      <xdr:row>41</xdr:row>
      <xdr:rowOff>101600</xdr:rowOff>
    </xdr:from>
    <xdr:to>
      <xdr:col>12</xdr:col>
      <xdr:colOff>266250</xdr:colOff>
      <xdr:row>51</xdr:row>
      <xdr:rowOff>95045</xdr:rowOff>
    </xdr:to>
    <xdr:pic>
      <xdr:nvPicPr>
        <xdr:cNvPr id="57" name="Pictur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8"/>
        <a:stretch>
          <a:fillRect/>
        </a:stretch>
      </xdr:blipFill>
      <xdr:spPr>
        <a:xfrm>
          <a:off x="7010400" y="9588500"/>
          <a:ext cx="3600000" cy="2190545"/>
        </a:xfrm>
        <a:prstGeom prst="rect">
          <a:avLst/>
        </a:prstGeom>
        <a:ln>
          <a:solidFill>
            <a:schemeClr val="tx1"/>
          </a:solidFill>
        </a:ln>
      </xdr:spPr>
    </xdr:pic>
    <xdr:clientData/>
  </xdr:twoCellAnchor>
  <xdr:twoCellAnchor editAs="oneCell">
    <xdr:from>
      <xdr:col>8</xdr:col>
      <xdr:colOff>352425</xdr:colOff>
      <xdr:row>13</xdr:row>
      <xdr:rowOff>184150</xdr:rowOff>
    </xdr:from>
    <xdr:to>
      <xdr:col>13</xdr:col>
      <xdr:colOff>664253</xdr:colOff>
      <xdr:row>19</xdr:row>
      <xdr:rowOff>19276</xdr:rowOff>
    </xdr:to>
    <xdr:pic>
      <xdr:nvPicPr>
        <xdr:cNvPr id="58" name="Pictur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9"/>
        <a:stretch>
          <a:fillRect/>
        </a:stretch>
      </xdr:blipFill>
      <xdr:spPr>
        <a:xfrm>
          <a:off x="6667500" y="3432175"/>
          <a:ext cx="4655228" cy="1625826"/>
        </a:xfrm>
        <a:prstGeom prst="rect">
          <a:avLst/>
        </a:prstGeom>
        <a:ln>
          <a:solidFill>
            <a:schemeClr val="tx1"/>
          </a:solidFill>
        </a:ln>
      </xdr:spPr>
    </xdr:pic>
    <xdr:clientData/>
  </xdr:twoCellAnchor>
  <xdr:twoCellAnchor>
    <xdr:from>
      <xdr:col>8</xdr:col>
      <xdr:colOff>501650</xdr:colOff>
      <xdr:row>537</xdr:row>
      <xdr:rowOff>82550</xdr:rowOff>
    </xdr:from>
    <xdr:to>
      <xdr:col>15</xdr:col>
      <xdr:colOff>345468</xdr:colOff>
      <xdr:row>578</xdr:row>
      <xdr:rowOff>12787</xdr:rowOff>
    </xdr:to>
    <xdr:grpSp>
      <xdr:nvGrpSpPr>
        <xdr:cNvPr id="59" name="Group 58">
          <a:extLst>
            <a:ext uri="{FF2B5EF4-FFF2-40B4-BE49-F238E27FC236}">
              <a16:creationId xmlns:a16="http://schemas.microsoft.com/office/drawing/2014/main" id="{00000000-0008-0000-0000-00003B000000}"/>
            </a:ext>
          </a:extLst>
        </xdr:cNvPr>
        <xdr:cNvGrpSpPr/>
      </xdr:nvGrpSpPr>
      <xdr:grpSpPr>
        <a:xfrm>
          <a:off x="7124700" y="70948550"/>
          <a:ext cx="6117618" cy="7994737"/>
          <a:chOff x="228600" y="54959250"/>
          <a:chExt cx="5844568" cy="8118562"/>
        </a:xfrm>
      </xdr:grpSpPr>
      <xdr:pic>
        <xdr:nvPicPr>
          <xdr:cNvPr id="60" name="Picture 59" descr="insp-221337-1525.jpg (719×542)">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3207781" y="60917812"/>
            <a:ext cx="286538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1" name="Picture 60" descr="insp-221337-843.jpg (719×956)">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397069" y="54959250"/>
            <a:ext cx="2707531"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2" name="Picture 61" descr="insp-221337-845.jpg (719×542)">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239213" y="58658531"/>
            <a:ext cx="286538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3" name="Picture 62" descr="insp-221337-844.jpg (719×956)">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3207781" y="54959250"/>
            <a:ext cx="2707531"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4" name="Picture 63" descr="insp-221337-862.jpg (719×542)">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3207781" y="58658531"/>
            <a:ext cx="286538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5" name="Picture 64" descr="insp-221337-925.jpg (719×540)">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228600" y="60917812"/>
            <a:ext cx="2876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114300</xdr:colOff>
      <xdr:row>538</xdr:row>
      <xdr:rowOff>114300</xdr:rowOff>
    </xdr:from>
    <xdr:to>
      <xdr:col>7</xdr:col>
      <xdr:colOff>704932</xdr:colOff>
      <xdr:row>569</xdr:row>
      <xdr:rowOff>120564</xdr:rowOff>
    </xdr:to>
    <xdr:grpSp>
      <xdr:nvGrpSpPr>
        <xdr:cNvPr id="13" name="Group 12"/>
        <xdr:cNvGrpSpPr/>
      </xdr:nvGrpSpPr>
      <xdr:grpSpPr>
        <a:xfrm>
          <a:off x="114300" y="71177150"/>
          <a:ext cx="6445332" cy="6102264"/>
          <a:chOff x="114300" y="71621650"/>
          <a:chExt cx="6445332" cy="6102264"/>
        </a:xfrm>
      </xdr:grpSpPr>
      <xdr:pic>
        <xdr:nvPicPr>
          <xdr:cNvPr id="51" name="Picture 50"/>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3403188" y="75707914"/>
            <a:ext cx="1512000" cy="2016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83154" y="71621650"/>
            <a:ext cx="2970000" cy="3960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5047632" y="75707914"/>
            <a:ext cx="1512000" cy="201600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417777" y="71621650"/>
            <a:ext cx="2970000" cy="3960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1758744" y="75707914"/>
            <a:ext cx="1512000" cy="2016000"/>
          </a:xfrm>
          <a:prstGeom prst="rect">
            <a:avLst/>
          </a:prstGeom>
          <a:ln>
            <a:solidFill>
              <a:schemeClr val="tx1"/>
            </a:solidFill>
          </a:ln>
        </xdr:spPr>
      </xdr:pic>
      <xdr:pic>
        <xdr:nvPicPr>
          <xdr:cNvPr id="56" name="Picture 55"/>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114300" y="75707914"/>
            <a:ext cx="1512000" cy="201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beanr2sXmQ4fKb7L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624"/>
  <sheetViews>
    <sheetView tabSelected="1" view="pageBreakPreview" topLeftCell="A512" zoomScaleNormal="100" zoomScaleSheetLayoutView="100" zoomScalePageLayoutView="85" workbookViewId="0">
      <selection activeCell="J522" sqref="J522"/>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219" t="s">
        <v>162</v>
      </c>
      <c r="B1" s="219"/>
      <c r="C1" s="219"/>
      <c r="D1" s="219"/>
      <c r="E1" s="219"/>
      <c r="F1" s="219"/>
      <c r="G1" s="219"/>
      <c r="H1" s="219"/>
    </row>
    <row r="2" spans="1:26" ht="16.5" customHeight="1" x14ac:dyDescent="0.35">
      <c r="A2" s="112" t="s">
        <v>0</v>
      </c>
      <c r="B2" s="112"/>
      <c r="C2" s="112"/>
      <c r="D2" s="112"/>
      <c r="E2" s="112"/>
      <c r="F2" s="112"/>
      <c r="G2" s="112"/>
      <c r="H2" s="112"/>
    </row>
    <row r="3" spans="1:26" x14ac:dyDescent="0.35">
      <c r="A3" s="124" t="s">
        <v>1</v>
      </c>
      <c r="B3" s="124"/>
      <c r="C3" s="124"/>
      <c r="D3" s="124"/>
      <c r="E3" s="124" t="str">
        <f ca="1">TEXT(TODAY(),"DD/MM/YYYY")</f>
        <v>11/09/2025</v>
      </c>
      <c r="F3" s="124"/>
      <c r="G3" s="124"/>
      <c r="H3" s="124"/>
      <c r="K3" s="55" t="s">
        <v>236</v>
      </c>
      <c r="L3" s="53" t="s">
        <v>234</v>
      </c>
      <c r="M3" s="53" t="s">
        <v>239</v>
      </c>
      <c r="N3" s="53" t="s">
        <v>237</v>
      </c>
      <c r="O3" s="53" t="s">
        <v>238</v>
      </c>
      <c r="P3" s="53" t="s">
        <v>240</v>
      </c>
    </row>
    <row r="4" spans="1:26" ht="15" customHeight="1" x14ac:dyDescent="0.35">
      <c r="A4" s="124" t="s">
        <v>233</v>
      </c>
      <c r="B4" s="124"/>
      <c r="C4" s="124"/>
      <c r="D4" s="124"/>
      <c r="E4" s="124" t="s">
        <v>234</v>
      </c>
      <c r="F4" s="124"/>
      <c r="G4" s="124"/>
      <c r="H4" s="124"/>
      <c r="K4" s="52" t="s">
        <v>235</v>
      </c>
      <c r="L4" s="53" t="s">
        <v>169</v>
      </c>
      <c r="M4" s="53" t="s">
        <v>244</v>
      </c>
      <c r="N4" s="53" t="s">
        <v>246</v>
      </c>
      <c r="O4" s="53" t="s">
        <v>248</v>
      </c>
      <c r="P4" s="53"/>
    </row>
    <row r="5" spans="1:26" ht="15" customHeight="1" x14ac:dyDescent="0.35">
      <c r="A5" s="124" t="s">
        <v>2</v>
      </c>
      <c r="B5" s="124"/>
      <c r="C5" s="124"/>
      <c r="D5" s="124"/>
      <c r="E5" s="124" t="s">
        <v>169</v>
      </c>
      <c r="F5" s="124"/>
      <c r="G5" s="124"/>
      <c r="H5" s="124"/>
      <c r="K5" s="52"/>
      <c r="L5" s="53" t="s">
        <v>241</v>
      </c>
      <c r="M5" s="53" t="s">
        <v>245</v>
      </c>
      <c r="N5" s="53" t="s">
        <v>247</v>
      </c>
      <c r="O5" s="53" t="s">
        <v>249</v>
      </c>
      <c r="P5" s="53"/>
    </row>
    <row r="6" spans="1:26" x14ac:dyDescent="0.35">
      <c r="A6" s="124" t="s">
        <v>3</v>
      </c>
      <c r="B6" s="124"/>
      <c r="C6" s="124"/>
      <c r="D6" s="124"/>
      <c r="E6" s="220">
        <v>45909</v>
      </c>
      <c r="F6" s="124"/>
      <c r="G6" s="124"/>
      <c r="H6" s="124"/>
      <c r="K6" s="52"/>
      <c r="L6" s="53" t="s">
        <v>242</v>
      </c>
      <c r="M6" s="53"/>
      <c r="N6" s="53"/>
      <c r="O6" s="53" t="s">
        <v>250</v>
      </c>
      <c r="P6" s="53"/>
    </row>
    <row r="7" spans="1:26" ht="16.5" customHeight="1" x14ac:dyDescent="0.35">
      <c r="A7" s="124" t="s">
        <v>4</v>
      </c>
      <c r="B7" s="124"/>
      <c r="C7" s="124"/>
      <c r="D7" s="124"/>
      <c r="E7" s="122" t="s">
        <v>335</v>
      </c>
      <c r="F7" s="124"/>
      <c r="G7" s="124"/>
      <c r="H7" s="124"/>
      <c r="K7" s="52"/>
      <c r="L7" s="53" t="s">
        <v>243</v>
      </c>
      <c r="M7" s="53"/>
      <c r="N7" s="53"/>
      <c r="O7" s="53" t="s">
        <v>250</v>
      </c>
      <c r="P7" s="53"/>
    </row>
    <row r="8" spans="1:26" ht="15" customHeight="1" x14ac:dyDescent="0.35">
      <c r="A8" s="124" t="s">
        <v>5</v>
      </c>
      <c r="B8" s="124"/>
      <c r="C8" s="124"/>
      <c r="D8" s="124"/>
      <c r="E8" s="124" t="str">
        <f>E7</f>
        <v xml:space="preserve">Imprint Construction Private Limited
</v>
      </c>
      <c r="F8" s="124"/>
      <c r="G8" s="124"/>
      <c r="H8" s="124"/>
      <c r="K8" s="52"/>
      <c r="L8" s="53"/>
      <c r="M8" s="53"/>
      <c r="N8" s="53"/>
      <c r="O8" s="53" t="s">
        <v>251</v>
      </c>
      <c r="P8" s="53"/>
    </row>
    <row r="9" spans="1:26" x14ac:dyDescent="0.35">
      <c r="A9" s="124" t="s">
        <v>6</v>
      </c>
      <c r="B9" s="124"/>
      <c r="C9" s="124"/>
      <c r="D9" s="124"/>
      <c r="E9" s="127" t="s">
        <v>336</v>
      </c>
      <c r="F9" s="127"/>
      <c r="G9" s="127"/>
      <c r="H9" s="127"/>
      <c r="K9" s="52"/>
      <c r="L9" s="53"/>
      <c r="M9" s="53"/>
      <c r="N9" s="53"/>
      <c r="O9" s="53" t="s">
        <v>252</v>
      </c>
      <c r="P9" s="53"/>
    </row>
    <row r="10" spans="1:26" x14ac:dyDescent="0.35">
      <c r="A10" s="124" t="s">
        <v>165</v>
      </c>
      <c r="B10" s="124"/>
      <c r="C10" s="124"/>
      <c r="D10" s="124"/>
      <c r="E10" s="124">
        <v>9372736904</v>
      </c>
      <c r="F10" s="124"/>
      <c r="G10" s="124"/>
      <c r="H10" s="124"/>
      <c r="K10" s="52"/>
      <c r="L10" s="53"/>
      <c r="M10" s="53"/>
      <c r="N10" s="53"/>
      <c r="O10" s="53"/>
      <c r="P10" s="53"/>
    </row>
    <row r="11" spans="1:26" x14ac:dyDescent="0.35">
      <c r="A11" s="124" t="s">
        <v>166</v>
      </c>
      <c r="B11" s="124"/>
      <c r="C11" s="124"/>
      <c r="D11" s="124"/>
      <c r="E11" s="124" t="s">
        <v>379</v>
      </c>
      <c r="F11" s="124"/>
      <c r="G11" s="124"/>
      <c r="H11" s="124"/>
    </row>
    <row r="12" spans="1:26" ht="30.75" customHeight="1" x14ac:dyDescent="0.35">
      <c r="A12" s="124" t="s">
        <v>7</v>
      </c>
      <c r="B12" s="124"/>
      <c r="C12" s="124"/>
      <c r="D12" s="124"/>
      <c r="E12" s="122" t="s">
        <v>373</v>
      </c>
      <c r="F12" s="124"/>
      <c r="G12" s="124"/>
      <c r="H12" s="124"/>
    </row>
    <row r="13" spans="1:26" x14ac:dyDescent="0.35">
      <c r="A13" s="124" t="s">
        <v>170</v>
      </c>
      <c r="B13" s="124"/>
      <c r="C13" s="124"/>
      <c r="D13" s="124"/>
      <c r="E13" s="124" t="s">
        <v>346</v>
      </c>
      <c r="F13" s="124"/>
      <c r="G13" s="124"/>
      <c r="H13" s="124"/>
      <c r="S13" s="53" t="s">
        <v>179</v>
      </c>
      <c r="T13" s="53" t="s">
        <v>188</v>
      </c>
      <c r="U13" s="53" t="s">
        <v>171</v>
      </c>
      <c r="V13" s="53" t="s">
        <v>193</v>
      </c>
      <c r="W13" s="53" t="s">
        <v>211</v>
      </c>
      <c r="X13"/>
      <c r="Y13" t="s">
        <v>193</v>
      </c>
      <c r="Z13" t="e">
        <f ca="1">OFFSET($S$13,1,MATCH($G20,$S$13:$W$13,0)-1,15,1)</f>
        <v>#VALUE!</v>
      </c>
    </row>
    <row r="14" spans="1:26" x14ac:dyDescent="0.35">
      <c r="A14" s="114" t="s">
        <v>279</v>
      </c>
      <c r="B14" s="114"/>
      <c r="C14" s="114"/>
      <c r="D14" s="114"/>
      <c r="E14" s="122" t="s">
        <v>363</v>
      </c>
      <c r="F14" s="122"/>
      <c r="G14" s="122"/>
      <c r="H14" s="122"/>
      <c r="S14" s="53" t="s">
        <v>179</v>
      </c>
      <c r="T14" s="53" t="s">
        <v>186</v>
      </c>
      <c r="U14" s="53" t="s">
        <v>208</v>
      </c>
      <c r="V14" s="53" t="s">
        <v>194</v>
      </c>
      <c r="W14" s="53" t="s">
        <v>212</v>
      </c>
      <c r="X14"/>
      <c r="Y14"/>
      <c r="Z14"/>
    </row>
    <row r="15" spans="1:26" x14ac:dyDescent="0.35">
      <c r="A15" s="114" t="s">
        <v>8</v>
      </c>
      <c r="B15" s="114"/>
      <c r="C15" s="114"/>
      <c r="D15" s="114"/>
      <c r="E15" s="122" t="s">
        <v>337</v>
      </c>
      <c r="F15" s="124"/>
      <c r="G15" s="124"/>
      <c r="H15" s="124"/>
      <c r="I15" s="109" t="e">
        <f ca="1">OFFSET($D$5,1,MATCH($J13,$D$5:$H$5,0)-1,15,1)</f>
        <v>#N/A</v>
      </c>
      <c r="J15" s="110"/>
      <c r="K15" s="110"/>
      <c r="L15" s="110"/>
      <c r="M15" s="110"/>
      <c r="N15" s="110"/>
      <c r="O15" s="110"/>
      <c r="P15" s="110"/>
      <c r="S15" s="53" t="s">
        <v>180</v>
      </c>
      <c r="T15" s="53" t="s">
        <v>187</v>
      </c>
      <c r="U15" s="53" t="s">
        <v>209</v>
      </c>
      <c r="V15" s="53" t="s">
        <v>195</v>
      </c>
      <c r="W15" s="53" t="s">
        <v>225</v>
      </c>
      <c r="X15"/>
      <c r="Y15"/>
      <c r="Z15"/>
    </row>
    <row r="16" spans="1:26" ht="46.5" customHeight="1" x14ac:dyDescent="0.35">
      <c r="A16" s="122" t="s">
        <v>9</v>
      </c>
      <c r="B16" s="122"/>
      <c r="C16" s="122" t="str">
        <f>CONCATENATE((IF(OR(E9="",E9="NA"),"",E9)),", ",(IF(OR(A17="",A17="NA"),"",A17)),".",(IF(OR(C17="",C17="NA"),"",C17)),", near ",(IF(OR(C22="",C22="NA"),"",C22)),", ",(IF(OR(C19="",C19="NA"),"",C19)),", ",(IF(OR(C18="",C18="NA"),"",C18)),", ",(IF(OR(G19="",G19="NA"),"",G19)),", ",(IF(OR(C20="",C20="NA"),"",C20)),", ",(IF(OR(C21="",C21="NA"),"",C21)),", ",(IF(OR(G20="",G20="NA"),"",G20))," - ",(IF(OR(G21="",G21="NA"),"",G21)),".")</f>
        <v>Jangid Elysium, CTS No.179/A &amp; 179/B &amp; 178, 178/1 to 4, Redevelopment Of "Shivshambhu SRA CHSL", near St. Johns High School, Western Express Highway, Siddhart Nagar, Magathane, Borivali East, Borivali, Mumbai - 400066.</v>
      </c>
      <c r="D16" s="122"/>
      <c r="E16" s="122"/>
      <c r="F16" s="122"/>
      <c r="G16" s="122"/>
      <c r="H16" s="122"/>
      <c r="S16" s="53" t="s">
        <v>181</v>
      </c>
      <c r="T16" s="53" t="s">
        <v>189</v>
      </c>
      <c r="U16" s="53" t="s">
        <v>210</v>
      </c>
      <c r="V16" s="53" t="s">
        <v>196</v>
      </c>
      <c r="W16" s="53" t="s">
        <v>213</v>
      </c>
      <c r="X16"/>
      <c r="Y16"/>
      <c r="Z16"/>
    </row>
    <row r="17" spans="1:26" ht="32.15" customHeight="1" x14ac:dyDescent="0.35">
      <c r="A17" s="122" t="s">
        <v>174</v>
      </c>
      <c r="B17" s="122"/>
      <c r="C17" s="221" t="s">
        <v>402</v>
      </c>
      <c r="D17" s="221"/>
      <c r="E17" s="221"/>
      <c r="F17" s="221"/>
      <c r="G17" s="221"/>
      <c r="H17" s="221"/>
      <c r="S17" s="53" t="s">
        <v>182</v>
      </c>
      <c r="T17" s="53" t="s">
        <v>190</v>
      </c>
      <c r="U17" s="53" t="s">
        <v>171</v>
      </c>
      <c r="V17" s="53" t="s">
        <v>197</v>
      </c>
      <c r="W17" s="53" t="s">
        <v>214</v>
      </c>
      <c r="X17"/>
      <c r="Y17"/>
      <c r="Z17"/>
    </row>
    <row r="18" spans="1:26" ht="15.75" customHeight="1" x14ac:dyDescent="0.35">
      <c r="A18" s="122" t="s">
        <v>160</v>
      </c>
      <c r="B18" s="122"/>
      <c r="C18" s="122" t="s">
        <v>339</v>
      </c>
      <c r="D18" s="122"/>
      <c r="E18" s="122"/>
      <c r="F18" s="122"/>
      <c r="G18" s="122"/>
      <c r="H18" s="122"/>
      <c r="S18" s="53" t="s">
        <v>183</v>
      </c>
      <c r="T18" s="53" t="s">
        <v>188</v>
      </c>
      <c r="U18" s="53"/>
      <c r="V18" s="53" t="s">
        <v>198</v>
      </c>
      <c r="W18" s="53" t="s">
        <v>215</v>
      </c>
      <c r="X18"/>
      <c r="Y18"/>
      <c r="Z18"/>
    </row>
    <row r="19" spans="1:26" ht="15.75" customHeight="1" x14ac:dyDescent="0.35">
      <c r="A19" s="122" t="s">
        <v>10</v>
      </c>
      <c r="B19" s="122"/>
      <c r="C19" s="124" t="s">
        <v>338</v>
      </c>
      <c r="D19" s="124"/>
      <c r="E19" s="122" t="s">
        <v>70</v>
      </c>
      <c r="F19" s="122"/>
      <c r="G19" s="122" t="s">
        <v>401</v>
      </c>
      <c r="H19" s="122"/>
      <c r="S19" s="53" t="s">
        <v>184</v>
      </c>
      <c r="T19" s="53" t="s">
        <v>191</v>
      </c>
      <c r="U19" s="53"/>
      <c r="V19" s="53" t="s">
        <v>199</v>
      </c>
      <c r="W19" s="53" t="s">
        <v>216</v>
      </c>
      <c r="X19"/>
      <c r="Y19"/>
      <c r="Z19"/>
    </row>
    <row r="20" spans="1:26" x14ac:dyDescent="0.35">
      <c r="A20" s="124" t="s">
        <v>12</v>
      </c>
      <c r="B20" s="124"/>
      <c r="C20" s="122" t="s">
        <v>340</v>
      </c>
      <c r="D20" s="122"/>
      <c r="E20" s="122" t="s">
        <v>11</v>
      </c>
      <c r="F20" s="122"/>
      <c r="G20" s="222" t="s">
        <v>171</v>
      </c>
      <c r="H20" s="222"/>
      <c r="S20" s="53" t="s">
        <v>185</v>
      </c>
      <c r="T20" s="53" t="s">
        <v>192</v>
      </c>
      <c r="U20" s="53"/>
      <c r="V20" s="53" t="s">
        <v>200</v>
      </c>
      <c r="W20" s="53" t="s">
        <v>217</v>
      </c>
      <c r="X20"/>
      <c r="Y20"/>
      <c r="Z20"/>
    </row>
    <row r="21" spans="1:26" x14ac:dyDescent="0.35">
      <c r="A21" s="124" t="s">
        <v>71</v>
      </c>
      <c r="B21" s="124"/>
      <c r="C21" s="122" t="s">
        <v>209</v>
      </c>
      <c r="D21" s="122"/>
      <c r="E21" s="122" t="s">
        <v>13</v>
      </c>
      <c r="F21" s="122"/>
      <c r="G21" s="122">
        <v>400066</v>
      </c>
      <c r="H21" s="122"/>
      <c r="S21" s="53"/>
      <c r="T21" s="53"/>
      <c r="U21" s="53"/>
      <c r="V21" s="53" t="s">
        <v>201</v>
      </c>
      <c r="W21" s="53" t="s">
        <v>218</v>
      </c>
      <c r="X21"/>
      <c r="Y21"/>
      <c r="Z21"/>
    </row>
    <row r="22" spans="1:26" ht="32.25" customHeight="1" x14ac:dyDescent="0.35">
      <c r="A22" s="124" t="s">
        <v>119</v>
      </c>
      <c r="B22" s="124"/>
      <c r="C22" s="122" t="s">
        <v>341</v>
      </c>
      <c r="D22" s="122"/>
      <c r="E22" s="122" t="s">
        <v>14</v>
      </c>
      <c r="F22" s="122"/>
      <c r="G22" s="122" t="s">
        <v>368</v>
      </c>
      <c r="H22" s="122"/>
      <c r="S22" s="53"/>
      <c r="T22" s="53"/>
      <c r="U22" s="53"/>
      <c r="V22" s="53" t="s">
        <v>202</v>
      </c>
      <c r="W22" s="53" t="s">
        <v>219</v>
      </c>
      <c r="X22"/>
      <c r="Y22"/>
      <c r="Z22"/>
    </row>
    <row r="23" spans="1:26" ht="15" customHeight="1" x14ac:dyDescent="0.35">
      <c r="A23" s="136" t="s">
        <v>73</v>
      </c>
      <c r="B23" s="136"/>
      <c r="C23" s="136"/>
      <c r="D23" s="136"/>
      <c r="E23" s="124" t="s">
        <v>15</v>
      </c>
      <c r="F23" s="124"/>
      <c r="G23" s="124"/>
      <c r="H23" s="124"/>
      <c r="S23" s="53"/>
      <c r="T23" s="53"/>
      <c r="U23" s="53"/>
      <c r="V23" s="53" t="s">
        <v>203</v>
      </c>
      <c r="W23" s="53" t="s">
        <v>220</v>
      </c>
      <c r="X23"/>
      <c r="Y23"/>
      <c r="Z23"/>
    </row>
    <row r="24" spans="1:26" ht="18.75" customHeight="1" x14ac:dyDescent="0.35">
      <c r="A24" s="136"/>
      <c r="B24" s="136"/>
      <c r="C24" s="136"/>
      <c r="D24" s="136"/>
      <c r="E24" s="124"/>
      <c r="F24" s="124"/>
      <c r="G24" s="124"/>
      <c r="H24" s="124"/>
      <c r="S24" s="53"/>
      <c r="T24" s="53"/>
      <c r="U24" s="53"/>
      <c r="V24" s="53" t="s">
        <v>204</v>
      </c>
      <c r="W24" s="53" t="s">
        <v>221</v>
      </c>
      <c r="X24"/>
      <c r="Y24"/>
      <c r="Z24"/>
    </row>
    <row r="25" spans="1:26" ht="15" customHeight="1" x14ac:dyDescent="0.35">
      <c r="A25" s="136" t="s">
        <v>16</v>
      </c>
      <c r="B25" s="136"/>
      <c r="C25" s="136"/>
      <c r="D25" s="136"/>
      <c r="E25" s="122" t="s">
        <v>17</v>
      </c>
      <c r="F25" s="122"/>
      <c r="G25" s="122"/>
      <c r="H25" s="122"/>
      <c r="S25" s="53"/>
      <c r="T25" s="53"/>
      <c r="U25" s="53"/>
      <c r="V25" s="53" t="s">
        <v>205</v>
      </c>
      <c r="W25" s="53" t="s">
        <v>222</v>
      </c>
      <c r="X25"/>
      <c r="Y25"/>
      <c r="Z25"/>
    </row>
    <row r="26" spans="1:26" ht="15" customHeight="1" x14ac:dyDescent="0.35">
      <c r="A26" s="114" t="s">
        <v>18</v>
      </c>
      <c r="B26" s="114"/>
      <c r="C26" s="114"/>
      <c r="D26" s="114"/>
      <c r="E26" s="122" t="str">
        <f>IF(AND(G20="Mumbai"),"Upper Class","Middle Class")</f>
        <v>Upper Class</v>
      </c>
      <c r="F26" s="122"/>
      <c r="G26" s="122"/>
      <c r="H26" s="122"/>
      <c r="S26" s="53"/>
      <c r="T26" s="53"/>
      <c r="U26" s="53"/>
      <c r="V26" s="53" t="s">
        <v>206</v>
      </c>
      <c r="W26" s="53" t="s">
        <v>223</v>
      </c>
      <c r="X26"/>
      <c r="Y26"/>
      <c r="Z26"/>
    </row>
    <row r="27" spans="1:26" x14ac:dyDescent="0.35">
      <c r="A27" s="114" t="s">
        <v>19</v>
      </c>
      <c r="B27" s="114"/>
      <c r="C27" s="114"/>
      <c r="D27" s="114"/>
      <c r="E27" s="122" t="s">
        <v>20</v>
      </c>
      <c r="F27" s="122"/>
      <c r="G27" s="122"/>
      <c r="H27" s="122"/>
      <c r="S27" s="53"/>
      <c r="T27" s="53"/>
      <c r="U27" s="53"/>
      <c r="V27" s="53" t="s">
        <v>207</v>
      </c>
      <c r="W27" s="53" t="s">
        <v>224</v>
      </c>
      <c r="X27"/>
      <c r="Y27"/>
      <c r="Z27"/>
    </row>
    <row r="28" spans="1:26" ht="15.75" customHeight="1" x14ac:dyDescent="0.35">
      <c r="A28" s="114" t="s">
        <v>21</v>
      </c>
      <c r="B28" s="114"/>
      <c r="C28" s="114"/>
      <c r="D28" s="114"/>
      <c r="E28" s="122" t="str">
        <f>IF(AND(G20="Mumbai"),"Developed","Developing")</f>
        <v>Developed</v>
      </c>
      <c r="F28" s="122"/>
      <c r="G28" s="122"/>
      <c r="H28" s="122"/>
    </row>
    <row r="29" spans="1:26" x14ac:dyDescent="0.35">
      <c r="A29" s="114" t="s">
        <v>22</v>
      </c>
      <c r="B29" s="114"/>
      <c r="C29" s="114"/>
      <c r="D29" s="114"/>
      <c r="E29" s="122" t="s">
        <v>23</v>
      </c>
      <c r="F29" s="122"/>
      <c r="G29" s="122"/>
      <c r="H29" s="122"/>
    </row>
    <row r="30" spans="1:26" ht="15.75" customHeight="1" x14ac:dyDescent="0.35">
      <c r="A30" s="114" t="s">
        <v>78</v>
      </c>
      <c r="B30" s="114"/>
      <c r="C30" s="114"/>
      <c r="D30" s="114"/>
      <c r="E30" s="122" t="s">
        <v>79</v>
      </c>
      <c r="F30" s="122"/>
      <c r="G30" s="122"/>
      <c r="H30" s="122"/>
    </row>
    <row r="31" spans="1:26" ht="15" customHeight="1" x14ac:dyDescent="0.35">
      <c r="A31" s="114" t="s">
        <v>30</v>
      </c>
      <c r="B31" s="114"/>
      <c r="C31" s="114"/>
      <c r="D31" s="114"/>
      <c r="E31" s="122" t="str">
        <f>IF(AND(ISNUMBER(SEARCH("Flat",D61)),ISNUMBER(SEARCH("Shop",D61)),ISNUMBER(SEARCH("Office",D61))),"Residential + Commercial",IF(AND(ISNUMBER(SEARCH("Flat",D61)),ISNUMBER(SEARCH("Shop",D61))),"Residential + Commercial",IF(AND(ISNUMBER(SEARCH("Flat",D61)),ISNUMBER(SEARCH("Office",D61))),"Residential + Commercial",IF(AND(ISNUMBER(SEARCH("Shop",D61)),ISNUMBER(SEARCH("Office",D61))),"Commercial",IF(ISNUMBER(SEARCH("Shop",D61)),"Commercial",IF(ISNUMBER(SEARCH("Office",D61)),"Commercial",IF(ISNUMBER(SEARCH("Flat",D61)),"Residential")))))))</f>
        <v>Commercial</v>
      </c>
      <c r="F31" s="122"/>
      <c r="G31" s="122"/>
      <c r="H31" s="122"/>
    </row>
    <row r="32" spans="1:26" ht="15.75" customHeight="1" x14ac:dyDescent="0.35">
      <c r="A32" s="114" t="s">
        <v>89</v>
      </c>
      <c r="B32" s="114"/>
      <c r="C32" s="114"/>
      <c r="D32" s="114"/>
      <c r="E32" s="122" t="s">
        <v>31</v>
      </c>
      <c r="F32" s="122"/>
      <c r="G32" s="122"/>
      <c r="H32" s="122"/>
    </row>
    <row r="33" spans="1:19" s="22" customFormat="1" x14ac:dyDescent="0.35">
      <c r="A33" s="225" t="s">
        <v>90</v>
      </c>
      <c r="B33" s="225"/>
      <c r="C33" s="112" t="s">
        <v>172</v>
      </c>
      <c r="D33" s="112"/>
      <c r="E33" s="112"/>
      <c r="F33" s="112" t="s">
        <v>29</v>
      </c>
      <c r="G33" s="112"/>
      <c r="H33" s="112"/>
      <c r="S33" s="22" t="e">
        <f ca="1">OFFSET($S$13,1,MATCH($G20,$S$13:$W$13,0)-1,15,1)</f>
        <v>#VALUE!</v>
      </c>
    </row>
    <row r="34" spans="1:19" s="22" customFormat="1" x14ac:dyDescent="0.35">
      <c r="A34" s="223" t="s">
        <v>24</v>
      </c>
      <c r="B34" s="223" t="s">
        <v>28</v>
      </c>
      <c r="C34" s="224" t="s">
        <v>342</v>
      </c>
      <c r="D34" s="224"/>
      <c r="E34" s="224"/>
      <c r="F34" s="224" t="s">
        <v>10</v>
      </c>
      <c r="G34" s="224"/>
      <c r="H34" s="224"/>
    </row>
    <row r="35" spans="1:19" x14ac:dyDescent="0.35">
      <c r="A35" s="223" t="s">
        <v>25</v>
      </c>
      <c r="B35" s="223" t="s">
        <v>28</v>
      </c>
      <c r="C35" s="224" t="s">
        <v>344</v>
      </c>
      <c r="D35" s="224"/>
      <c r="E35" s="224"/>
      <c r="F35" s="224" t="s">
        <v>10</v>
      </c>
      <c r="G35" s="224"/>
      <c r="H35" s="224"/>
    </row>
    <row r="36" spans="1:19" s="22" customFormat="1" x14ac:dyDescent="0.35">
      <c r="A36" s="223" t="s">
        <v>27</v>
      </c>
      <c r="B36" s="223" t="s">
        <v>28</v>
      </c>
      <c r="C36" s="224" t="s">
        <v>366</v>
      </c>
      <c r="D36" s="224"/>
      <c r="E36" s="224"/>
      <c r="F36" s="224" t="s">
        <v>367</v>
      </c>
      <c r="G36" s="224"/>
      <c r="H36" s="224"/>
    </row>
    <row r="37" spans="1:19" x14ac:dyDescent="0.35">
      <c r="A37" s="223" t="s">
        <v>26</v>
      </c>
      <c r="B37" s="223" t="s">
        <v>28</v>
      </c>
      <c r="C37" s="224" t="s">
        <v>343</v>
      </c>
      <c r="D37" s="224"/>
      <c r="E37" s="224"/>
      <c r="F37" s="224" t="s">
        <v>10</v>
      </c>
      <c r="G37" s="224"/>
      <c r="H37" s="224"/>
    </row>
    <row r="38" spans="1:19" x14ac:dyDescent="0.35">
      <c r="A38" s="114" t="s">
        <v>280</v>
      </c>
      <c r="B38" s="114"/>
      <c r="C38" s="114"/>
      <c r="D38" s="114"/>
      <c r="E38" s="114"/>
      <c r="F38" s="114"/>
      <c r="G38" s="114"/>
      <c r="H38" s="114"/>
    </row>
    <row r="39" spans="1:19" ht="15.75" customHeight="1" x14ac:dyDescent="0.35">
      <c r="A39" s="114" t="s">
        <v>163</v>
      </c>
      <c r="B39" s="114"/>
      <c r="C39" s="198" t="s">
        <v>364</v>
      </c>
      <c r="D39" s="198"/>
      <c r="E39" s="198"/>
      <c r="F39" s="198"/>
      <c r="G39" s="198"/>
      <c r="H39" s="198"/>
    </row>
    <row r="40" spans="1:19" x14ac:dyDescent="0.35">
      <c r="A40" s="114" t="s">
        <v>159</v>
      </c>
      <c r="B40" s="114"/>
      <c r="C40" s="233" t="s">
        <v>365</v>
      </c>
      <c r="D40" s="122"/>
      <c r="E40" s="122"/>
      <c r="F40" s="122"/>
      <c r="G40" s="122"/>
      <c r="H40" s="122"/>
    </row>
    <row r="41" spans="1:19" x14ac:dyDescent="0.35">
      <c r="A41" s="198" t="s">
        <v>32</v>
      </c>
      <c r="B41" s="198"/>
      <c r="C41" s="198"/>
      <c r="D41" s="198"/>
      <c r="E41" s="198"/>
      <c r="F41" s="198"/>
      <c r="G41" s="198"/>
      <c r="H41" s="198"/>
    </row>
    <row r="42" spans="1:19" x14ac:dyDescent="0.35">
      <c r="A42" s="124" t="s">
        <v>33</v>
      </c>
      <c r="B42" s="124"/>
      <c r="C42" s="124"/>
      <c r="D42" s="124"/>
      <c r="E42" s="226">
        <v>16387.14</v>
      </c>
      <c r="F42" s="226"/>
      <c r="G42" s="226"/>
      <c r="H42" s="226"/>
    </row>
    <row r="43" spans="1:19" x14ac:dyDescent="0.35">
      <c r="A43" s="124" t="s">
        <v>34</v>
      </c>
      <c r="B43" s="124"/>
      <c r="C43" s="124"/>
      <c r="D43" s="124"/>
      <c r="E43" s="123">
        <v>1</v>
      </c>
      <c r="F43" s="123"/>
      <c r="G43" s="123"/>
      <c r="H43" s="123"/>
      <c r="I43" s="24">
        <f>14447/E42</f>
        <v>0.88160594222054611</v>
      </c>
    </row>
    <row r="44" spans="1:19" x14ac:dyDescent="0.35">
      <c r="A44" s="124" t="s">
        <v>35</v>
      </c>
      <c r="B44" s="124"/>
      <c r="C44" s="124"/>
      <c r="D44" s="124"/>
      <c r="E44" s="123">
        <f>E46/E42-E43</f>
        <v>5.6110486637692727</v>
      </c>
      <c r="F44" s="123"/>
      <c r="G44" s="123"/>
      <c r="H44" s="123"/>
    </row>
    <row r="45" spans="1:19" x14ac:dyDescent="0.35">
      <c r="A45" s="124" t="s">
        <v>36</v>
      </c>
      <c r="B45" s="124"/>
      <c r="C45" s="124"/>
      <c r="D45" s="124"/>
      <c r="E45" s="123">
        <f>E43+E44</f>
        <v>6.6110486637692727</v>
      </c>
      <c r="F45" s="123"/>
      <c r="G45" s="123"/>
      <c r="H45" s="123"/>
    </row>
    <row r="46" spans="1:19" x14ac:dyDescent="0.35">
      <c r="A46" s="124" t="s">
        <v>88</v>
      </c>
      <c r="B46" s="124"/>
      <c r="C46" s="124"/>
      <c r="D46" s="124"/>
      <c r="E46" s="228">
        <v>108336.18</v>
      </c>
      <c r="F46" s="228"/>
      <c r="G46" s="228"/>
      <c r="H46" s="228"/>
    </row>
    <row r="47" spans="1:19" x14ac:dyDescent="0.35">
      <c r="A47" s="124" t="s">
        <v>37</v>
      </c>
      <c r="B47" s="124"/>
      <c r="C47" s="124"/>
      <c r="D47" s="124"/>
      <c r="E47" s="124" t="s">
        <v>118</v>
      </c>
      <c r="F47" s="124"/>
      <c r="G47" s="124"/>
      <c r="H47" s="124"/>
    </row>
    <row r="48" spans="1:19" x14ac:dyDescent="0.35">
      <c r="A48" s="198" t="s">
        <v>38</v>
      </c>
      <c r="B48" s="198"/>
      <c r="C48" s="198"/>
      <c r="D48" s="198"/>
      <c r="E48" s="198"/>
      <c r="F48" s="198"/>
      <c r="G48" s="198"/>
      <c r="H48" s="198"/>
    </row>
    <row r="49" spans="1:24" ht="33.75" customHeight="1" x14ac:dyDescent="0.35">
      <c r="A49" s="138" t="s">
        <v>151</v>
      </c>
      <c r="B49" s="139"/>
      <c r="C49" s="229" t="s">
        <v>254</v>
      </c>
      <c r="D49" s="230"/>
      <c r="E49" s="230"/>
      <c r="F49" s="230"/>
      <c r="G49" s="230"/>
      <c r="H49" s="231"/>
      <c r="R49" t="s">
        <v>253</v>
      </c>
      <c r="S49" t="s">
        <v>171</v>
      </c>
      <c r="T49" t="s">
        <v>179</v>
      </c>
      <c r="U49" t="s">
        <v>193</v>
      </c>
      <c r="V49" t="s">
        <v>188</v>
      </c>
    </row>
    <row r="50" spans="1:24" ht="15.75" customHeight="1" x14ac:dyDescent="0.35">
      <c r="A50" s="138" t="s">
        <v>39</v>
      </c>
      <c r="B50" s="139"/>
      <c r="C50" s="138" t="s">
        <v>403</v>
      </c>
      <c r="D50" s="155"/>
      <c r="E50" s="139"/>
      <c r="F50" s="18" t="s">
        <v>40</v>
      </c>
      <c r="G50" s="156">
        <v>45861</v>
      </c>
      <c r="H50" s="139"/>
      <c r="R50"/>
      <c r="S50" t="s">
        <v>254</v>
      </c>
      <c r="T50" t="s">
        <v>259</v>
      </c>
      <c r="U50" t="s">
        <v>270</v>
      </c>
      <c r="V50" t="s">
        <v>275</v>
      </c>
    </row>
    <row r="51" spans="1:24" x14ac:dyDescent="0.35">
      <c r="A51" s="138" t="s">
        <v>41</v>
      </c>
      <c r="B51" s="139"/>
      <c r="C51" s="138" t="str">
        <f>C50</f>
        <v>R-C/PVT/0003/20040220/AP/S-1</v>
      </c>
      <c r="D51" s="155"/>
      <c r="E51" s="139"/>
      <c r="F51" s="18" t="s">
        <v>40</v>
      </c>
      <c r="G51" s="156">
        <f>G50</f>
        <v>45861</v>
      </c>
      <c r="H51" s="157"/>
      <c r="R51"/>
      <c r="S51" t="s">
        <v>255</v>
      </c>
      <c r="T51" t="s">
        <v>260</v>
      </c>
      <c r="U51" t="s">
        <v>268</v>
      </c>
      <c r="V51" t="s">
        <v>276</v>
      </c>
    </row>
    <row r="52" spans="1:24" s="23" customFormat="1" ht="15.75" customHeight="1" x14ac:dyDescent="0.35">
      <c r="A52" s="158" t="s">
        <v>155</v>
      </c>
      <c r="B52" s="159"/>
      <c r="C52" s="138" t="s">
        <v>345</v>
      </c>
      <c r="D52" s="155"/>
      <c r="E52" s="139"/>
      <c r="F52" s="18" t="s">
        <v>40</v>
      </c>
      <c r="G52" s="156">
        <v>45911</v>
      </c>
      <c r="H52" s="157"/>
      <c r="R52"/>
      <c r="S52" t="s">
        <v>256</v>
      </c>
      <c r="T52" t="s">
        <v>261</v>
      </c>
      <c r="U52" t="s">
        <v>258</v>
      </c>
      <c r="V52" t="s">
        <v>277</v>
      </c>
    </row>
    <row r="53" spans="1:24" s="23" customFormat="1" ht="49.5" customHeight="1" x14ac:dyDescent="0.35">
      <c r="A53" s="160"/>
      <c r="B53" s="161"/>
      <c r="C53" s="138" t="s">
        <v>416</v>
      </c>
      <c r="D53" s="155"/>
      <c r="E53" s="155"/>
      <c r="F53" s="155"/>
      <c r="G53" s="155"/>
      <c r="H53" s="139"/>
      <c r="R53"/>
      <c r="S53" t="s">
        <v>257</v>
      </c>
      <c r="T53" t="s">
        <v>264</v>
      </c>
      <c r="U53" t="s">
        <v>271</v>
      </c>
    </row>
    <row r="54" spans="1:24" s="23" customFormat="1" ht="34.5" customHeight="1" x14ac:dyDescent="0.35">
      <c r="A54" s="143" t="s">
        <v>281</v>
      </c>
      <c r="B54" s="144"/>
      <c r="C54" s="147" t="s">
        <v>377</v>
      </c>
      <c r="D54" s="148"/>
      <c r="E54" s="149"/>
      <c r="F54" s="78" t="s">
        <v>40</v>
      </c>
      <c r="G54" s="150">
        <v>45195</v>
      </c>
      <c r="H54" s="149"/>
      <c r="R54" s="79"/>
      <c r="T54" s="79" t="s">
        <v>263</v>
      </c>
      <c r="U54" s="79" t="s">
        <v>273</v>
      </c>
    </row>
    <row r="55" spans="1:24" s="23" customFormat="1" ht="98.25" customHeight="1" x14ac:dyDescent="0.35">
      <c r="A55" s="145"/>
      <c r="B55" s="146"/>
      <c r="C55" s="147" t="s">
        <v>378</v>
      </c>
      <c r="D55" s="148"/>
      <c r="E55" s="148"/>
      <c r="F55" s="148"/>
      <c r="G55" s="148"/>
      <c r="H55" s="149"/>
      <c r="R55" s="79"/>
      <c r="T55" s="79" t="s">
        <v>265</v>
      </c>
      <c r="U55" s="79" t="s">
        <v>274</v>
      </c>
    </row>
    <row r="56" spans="1:24" s="23" customFormat="1" ht="15.75" hidden="1" customHeight="1" x14ac:dyDescent="0.35">
      <c r="A56" s="151" t="s">
        <v>282</v>
      </c>
      <c r="B56" s="152"/>
      <c r="C56" s="138"/>
      <c r="D56" s="155"/>
      <c r="E56" s="139"/>
      <c r="F56" s="18" t="s">
        <v>40</v>
      </c>
      <c r="G56" s="138">
        <f>G55</f>
        <v>0</v>
      </c>
      <c r="H56" s="139"/>
      <c r="R56"/>
      <c r="S56" s="21"/>
      <c r="T56" t="s">
        <v>266</v>
      </c>
      <c r="U56" s="21" t="s">
        <v>296</v>
      </c>
      <c r="V56" s="21"/>
      <c r="W56" s="21"/>
      <c r="X56" s="21"/>
    </row>
    <row r="57" spans="1:24" s="23" customFormat="1" ht="33.75" hidden="1" customHeight="1" x14ac:dyDescent="0.35">
      <c r="A57" s="153"/>
      <c r="B57" s="154"/>
      <c r="C57" s="138"/>
      <c r="D57" s="155"/>
      <c r="E57" s="155"/>
      <c r="F57" s="155"/>
      <c r="G57" s="155"/>
      <c r="H57" s="139"/>
      <c r="R57"/>
      <c r="S57" s="21"/>
      <c r="T57" t="s">
        <v>267</v>
      </c>
      <c r="U57" s="21"/>
      <c r="V57" s="21"/>
      <c r="W57" s="21"/>
      <c r="X57" s="21"/>
    </row>
    <row r="58" spans="1:24" x14ac:dyDescent="0.35">
      <c r="A58" s="115" t="s">
        <v>42</v>
      </c>
      <c r="B58" s="116"/>
      <c r="C58" s="115" t="s">
        <v>101</v>
      </c>
      <c r="D58" s="117"/>
      <c r="E58" s="116"/>
      <c r="F58" s="45" t="s">
        <v>40</v>
      </c>
      <c r="G58" s="141" t="s">
        <v>28</v>
      </c>
      <c r="H58" s="142"/>
      <c r="R58"/>
      <c r="T58" t="s">
        <v>269</v>
      </c>
    </row>
    <row r="59" spans="1:24" x14ac:dyDescent="0.35">
      <c r="A59" s="140" t="s">
        <v>44</v>
      </c>
      <c r="B59" s="140"/>
      <c r="C59" s="140"/>
      <c r="D59" s="140"/>
      <c r="E59" s="140"/>
      <c r="F59" s="140"/>
      <c r="G59" s="140"/>
      <c r="H59" s="140"/>
      <c r="T59" t="s">
        <v>278</v>
      </c>
    </row>
    <row r="60" spans="1:24" ht="32.15" customHeight="1" x14ac:dyDescent="0.35">
      <c r="A60" s="136" t="s">
        <v>381</v>
      </c>
      <c r="B60" s="136"/>
      <c r="C60" s="136"/>
      <c r="D60" s="118">
        <v>26628.46</v>
      </c>
      <c r="E60" s="118"/>
      <c r="F60" s="118"/>
      <c r="G60" s="118"/>
      <c r="H60" s="118"/>
      <c r="R60"/>
    </row>
    <row r="61" spans="1:24" x14ac:dyDescent="0.35">
      <c r="A61" s="122" t="s">
        <v>45</v>
      </c>
      <c r="B61" s="124"/>
      <c r="C61" s="124"/>
      <c r="D61" s="118" t="s">
        <v>399</v>
      </c>
      <c r="E61" s="118"/>
      <c r="F61" s="118"/>
      <c r="G61" s="118"/>
      <c r="H61" s="118"/>
      <c r="I61" s="24"/>
      <c r="R61"/>
    </row>
    <row r="62" spans="1:24" x14ac:dyDescent="0.35">
      <c r="A62" s="122" t="s">
        <v>46</v>
      </c>
      <c r="B62" s="122"/>
      <c r="C62" s="122"/>
      <c r="D62" s="122" t="s">
        <v>374</v>
      </c>
      <c r="E62" s="124"/>
      <c r="F62" s="124"/>
      <c r="G62" s="124"/>
      <c r="H62" s="124"/>
      <c r="R62"/>
    </row>
    <row r="63" spans="1:24" ht="15.75" customHeight="1" x14ac:dyDescent="0.35">
      <c r="A63" s="122" t="s">
        <v>86</v>
      </c>
      <c r="B63" s="122"/>
      <c r="C63" s="122"/>
      <c r="D63" s="124" t="s">
        <v>374</v>
      </c>
      <c r="E63" s="124"/>
      <c r="F63" s="124"/>
      <c r="G63" s="124"/>
      <c r="H63" s="124"/>
      <c r="R63"/>
    </row>
    <row r="64" spans="1:24" ht="15.75" hidden="1" customHeight="1" x14ac:dyDescent="0.35">
      <c r="A64" s="122"/>
      <c r="B64" s="122"/>
      <c r="C64" s="122"/>
      <c r="D64" s="124" t="s">
        <v>297</v>
      </c>
      <c r="E64" s="124"/>
      <c r="F64" s="124"/>
      <c r="G64" s="124"/>
      <c r="H64" s="124"/>
      <c r="R64"/>
    </row>
    <row r="65" spans="1:19" ht="15.75" hidden="1" customHeight="1" x14ac:dyDescent="0.35">
      <c r="A65" s="122"/>
      <c r="B65" s="122"/>
      <c r="C65" s="122"/>
      <c r="D65" s="124" t="s">
        <v>167</v>
      </c>
      <c r="E65" s="124"/>
      <c r="F65" s="124"/>
      <c r="G65" s="124"/>
      <c r="H65" s="124"/>
      <c r="S65"/>
    </row>
    <row r="66" spans="1:19" ht="15.75" customHeight="1" x14ac:dyDescent="0.35">
      <c r="A66" s="124" t="s">
        <v>43</v>
      </c>
      <c r="B66" s="124"/>
      <c r="C66" s="124"/>
      <c r="D66" s="122" t="s">
        <v>347</v>
      </c>
      <c r="E66" s="122"/>
      <c r="F66" s="122"/>
      <c r="G66" s="122"/>
      <c r="H66" s="122"/>
      <c r="J66" s="25"/>
      <c r="K66" s="24"/>
      <c r="N66" s="24"/>
      <c r="S66"/>
    </row>
    <row r="67" spans="1:19" ht="15.75" customHeight="1" x14ac:dyDescent="0.35">
      <c r="A67" s="124" t="s">
        <v>84</v>
      </c>
      <c r="B67" s="124"/>
      <c r="C67" s="124"/>
      <c r="D67" s="227" t="str">
        <f>(IF(G58="NA","60 Years After Completion",IF(G58&lt;&gt;"NA",""&amp;60-ROUNDDOWN((E3-G58)/360,0)&amp;" Years"," ")))</f>
        <v>60 Years After Completion</v>
      </c>
      <c r="E67" s="227"/>
      <c r="F67" s="227"/>
      <c r="G67" s="227"/>
      <c r="H67" s="227"/>
      <c r="N67" s="24"/>
      <c r="S67"/>
    </row>
    <row r="68" spans="1:19" ht="15.75" customHeight="1" x14ac:dyDescent="0.35">
      <c r="A68" s="124" t="s">
        <v>85</v>
      </c>
      <c r="B68" s="124"/>
      <c r="C68" s="124"/>
      <c r="D68" s="122" t="s">
        <v>23</v>
      </c>
      <c r="E68" s="122"/>
      <c r="F68" s="122"/>
      <c r="G68" s="122"/>
      <c r="H68" s="122"/>
      <c r="J68" s="26"/>
      <c r="K68" s="26"/>
      <c r="S68"/>
    </row>
    <row r="69" spans="1:19" ht="30.75" customHeight="1" x14ac:dyDescent="0.35">
      <c r="A69" s="124" t="s">
        <v>372</v>
      </c>
      <c r="B69" s="124"/>
      <c r="C69" s="124"/>
      <c r="D69" s="122" t="s">
        <v>348</v>
      </c>
      <c r="E69" s="122"/>
      <c r="F69" s="122"/>
      <c r="G69" s="122"/>
      <c r="H69" s="122"/>
      <c r="S69"/>
    </row>
    <row r="70" spans="1:19" x14ac:dyDescent="0.35">
      <c r="A70" s="122" t="s">
        <v>147</v>
      </c>
      <c r="B70" s="122"/>
      <c r="C70" s="122"/>
      <c r="D70" s="122" t="s">
        <v>28</v>
      </c>
      <c r="E70" s="122"/>
      <c r="F70" s="122"/>
      <c r="G70" s="122"/>
      <c r="H70" s="122"/>
      <c r="I70" s="27"/>
      <c r="J70" s="27"/>
      <c r="K70" s="27"/>
      <c r="L70" s="27"/>
      <c r="M70" s="27"/>
      <c r="N70" s="27"/>
    </row>
    <row r="71" spans="1:19" ht="15.75" customHeight="1" x14ac:dyDescent="0.35">
      <c r="A71" s="114" t="s">
        <v>83</v>
      </c>
      <c r="B71" s="114"/>
      <c r="C71" s="114"/>
      <c r="D71" s="122" t="str">
        <f ca="1">(IF(G77&gt;95%,"Nothing",IF(G77&gt;0%,"Cement, Aggregate, Steel, etc",IF(G77=0%,"Work not yet Started"))))</f>
        <v>Cement, Aggregate, Steel, etc</v>
      </c>
      <c r="E71" s="122"/>
      <c r="F71" s="122"/>
      <c r="G71" s="122"/>
      <c r="H71" s="122"/>
      <c r="J71" s="26"/>
      <c r="S71"/>
    </row>
    <row r="72" spans="1:19" ht="33.75" customHeight="1" thickBot="1" x14ac:dyDescent="0.4">
      <c r="A72" s="136" t="s">
        <v>114</v>
      </c>
      <c r="B72" s="136"/>
      <c r="C72" s="136"/>
      <c r="D72" s="122" t="str">
        <f ca="1">(IF(D71="Nothing","Yes",IF(D71="Cement, Aggregate, Steel, etc","Under Construction",IF(D71="Work not yet Started","Work not yet Started"))))</f>
        <v>Under Construction</v>
      </c>
      <c r="E72" s="122"/>
      <c r="F72" s="122" t="str">
        <f ca="1">(IF(D71="Nothing","Yes",IF(D71="Cement, Aggregate, Steel, etc","Under Construction",IF(D71="Work not yet Started","Work not yet Started"))))</f>
        <v>Under Construction</v>
      </c>
      <c r="G72" s="122"/>
      <c r="H72" s="122"/>
      <c r="S72"/>
    </row>
    <row r="73" spans="1:19" ht="15.75" customHeight="1" x14ac:dyDescent="0.35">
      <c r="A73" s="128" t="s">
        <v>137</v>
      </c>
      <c r="B73" s="128"/>
      <c r="C73" s="128" t="str">
        <f>D63</f>
        <v>Sale Building No. 1 = 1B + G + 1st to 32nd Floor</v>
      </c>
      <c r="D73" s="128"/>
      <c r="E73" s="128"/>
      <c r="F73" s="128"/>
      <c r="G73" s="128"/>
      <c r="H73" s="128"/>
      <c r="I73" s="82" t="str">
        <f ca="1">IF(D86=100%,"All work Completed. Possession granted to the Building.",IF(D85=100%,"All work Completed, Waiting for OC",I74&amp;""&amp;I75&amp;""&amp;J74&amp;""&amp;J73&amp;" "&amp;J75))</f>
        <v>Excavation, Plinth Completed, RCC upto 24 Slab, Brickwork upto 13 Floor, Internal Plaster upto 10 Floor Completed</v>
      </c>
      <c r="J73" s="49"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24 Slab, Brickwork upto 13 Floor, Internal Plaster upto 10 Floor</v>
      </c>
      <c r="S73"/>
    </row>
    <row r="74" spans="1:19" x14ac:dyDescent="0.35">
      <c r="A74" s="89" t="s">
        <v>139</v>
      </c>
      <c r="B74" s="89">
        <f>IF(AND(ISNUMBER(SEARCH("1B",C73))),1,IF(AND(ISNUMBER(SEARCH("2B",C73))),2,IF(AND(ISNUMBER(SEARCH("3B",C73))),3,IF(AND(ISNUMBER(SEARCH("4B",C73))),4,IF(ISNUMBER(SEARCH("5B",C73)),5,0)))))</f>
        <v>1</v>
      </c>
      <c r="C74" s="89" t="s">
        <v>69</v>
      </c>
      <c r="D74" s="89">
        <v>1</v>
      </c>
      <c r="E74" s="89" t="s">
        <v>68</v>
      </c>
      <c r="F74" s="89">
        <v>0</v>
      </c>
      <c r="G74" s="89" t="s">
        <v>77</v>
      </c>
      <c r="H74" s="89">
        <f ca="1">--TRIM(RIGHT(SUBSTITUTE(LEFT(C73,_xlfn.AGGREGATE(16,6,FIND({0,1,2,3,4,5,6,7,8,9},C73,ROW(INDIRECT("1:"&amp;LEN(C73)))),1))," ",REPT(" ",LEN(C73))),LEN(C73)))</f>
        <v>32</v>
      </c>
      <c r="I74" s="83" t="str">
        <f ca="1">IF(D77=100%,"Excavation","")&amp;IF(D78=100%,", Plinth","")&amp;IF(D79=100%,", RCC Slab","")&amp;IF(D80=100%,", Brickwork","")&amp;IF(D81=100%,", Internal Plaster","")&amp;IF(D82=100%,", External Plaster","")&amp;IF(D83=100%,", Flooring","")&amp;IF(D84=100%,", Painting","")&amp;IF(D85=100%,", Building common Amenities","")</f>
        <v>Excavation, Plinth</v>
      </c>
      <c r="J74" s="5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2.25" customHeight="1" x14ac:dyDescent="0.35">
      <c r="A75" s="126" t="s">
        <v>87</v>
      </c>
      <c r="B75" s="127"/>
      <c r="C75" s="128" t="str">
        <f ca="1">I73</f>
        <v>Excavation, Plinth Completed, RCC upto 24 Slab, Brickwork upto 13 Floor, Internal Plaster upto 10 Floor Completed</v>
      </c>
      <c r="D75" s="128"/>
      <c r="E75" s="128"/>
      <c r="F75" s="128"/>
      <c r="G75" s="128"/>
      <c r="H75" s="129"/>
      <c r="I75" s="83" t="str">
        <f ca="1">IF(I74&lt;&gt;""," Completed","")</f>
        <v xml:space="preserve"> Completed</v>
      </c>
      <c r="J75" s="51" t="str">
        <f ca="1">IF(J73&lt;&gt;"","Completed","")</f>
        <v>Completed</v>
      </c>
      <c r="S75"/>
    </row>
    <row r="76" spans="1:19" ht="15.75" customHeight="1" x14ac:dyDescent="0.35">
      <c r="A76" s="134" t="s">
        <v>47</v>
      </c>
      <c r="B76" s="135"/>
      <c r="C76" s="80" t="s">
        <v>136</v>
      </c>
      <c r="D76" s="80" t="s">
        <v>80</v>
      </c>
      <c r="E76" s="135" t="s">
        <v>82</v>
      </c>
      <c r="F76" s="135"/>
      <c r="G76" s="135" t="s">
        <v>81</v>
      </c>
      <c r="H76" s="137"/>
      <c r="I76" s="13" t="s">
        <v>138</v>
      </c>
      <c r="J76" s="28">
        <f ca="1">H74*25%</f>
        <v>8</v>
      </c>
      <c r="S76"/>
    </row>
    <row r="77" spans="1:19" x14ac:dyDescent="0.35">
      <c r="A77" s="134" t="s">
        <v>125</v>
      </c>
      <c r="B77" s="135"/>
      <c r="C77" s="80">
        <f ca="1">J78</f>
        <v>32</v>
      </c>
      <c r="D77" s="75">
        <f ca="1">((100/H74)*C77)/100</f>
        <v>1</v>
      </c>
      <c r="E77" s="215">
        <f ca="1">(((C78/H74*10)+(40/(D74+F74+H74)*C79)+(7.5/(H74)*C80)+(7.5/(H74)*C81)+(10/H74*C82)+(10/H74*C83)+(5/H74*C84)+(5/H74*C85)+(5/H74*C86))/100)</f>
        <v>0.44481534090909092</v>
      </c>
      <c r="F77" s="215"/>
      <c r="G77" s="215">
        <f ca="1">((((C77/H74)*20)+((C78/H74)*25)+(30/(H74+F74+D74)*C79)+(5/H74*C80)+(5/H74*C81)+(5/H74*C82)+(5/H74*C83)+(0/H74*C84)+(0/H74*C85)+(5/H74*C86))/100)</f>
        <v>0.70411931818181817</v>
      </c>
      <c r="H77" s="217"/>
      <c r="I77" s="13" t="s">
        <v>96</v>
      </c>
      <c r="J77" s="29">
        <f ca="1">H74*50%</f>
        <v>16</v>
      </c>
    </row>
    <row r="78" spans="1:19" x14ac:dyDescent="0.35">
      <c r="A78" s="134" t="s">
        <v>48</v>
      </c>
      <c r="B78" s="135"/>
      <c r="C78" s="80">
        <f ca="1">J86</f>
        <v>32</v>
      </c>
      <c r="D78" s="75">
        <f ca="1">((100/H74)*C78)/100</f>
        <v>1</v>
      </c>
      <c r="E78" s="215"/>
      <c r="F78" s="215"/>
      <c r="G78" s="215"/>
      <c r="H78" s="217"/>
      <c r="I78" s="13" t="s">
        <v>97</v>
      </c>
      <c r="J78" s="29">
        <f ca="1">H74</f>
        <v>32</v>
      </c>
      <c r="S78"/>
    </row>
    <row r="79" spans="1:19" ht="15.75" customHeight="1" x14ac:dyDescent="0.35">
      <c r="A79" s="134" t="s">
        <v>126</v>
      </c>
      <c r="B79" s="135"/>
      <c r="C79" s="80">
        <v>24</v>
      </c>
      <c r="D79" s="75">
        <f ca="1">((100/(D74+F74+H74))*C79)/100</f>
        <v>0.72727272727272718</v>
      </c>
      <c r="E79" s="215"/>
      <c r="F79" s="215"/>
      <c r="G79" s="215"/>
      <c r="H79" s="217"/>
      <c r="I79" s="13" t="s">
        <v>98</v>
      </c>
      <c r="J79" s="30">
        <f ca="1">(IF(B74&gt;1,(H74/(B74+2)),H74/4))</f>
        <v>8</v>
      </c>
      <c r="S79"/>
    </row>
    <row r="80" spans="1:19" ht="15.75" customHeight="1" x14ac:dyDescent="0.35">
      <c r="A80" s="134" t="s">
        <v>133</v>
      </c>
      <c r="B80" s="135" t="s">
        <v>127</v>
      </c>
      <c r="C80" s="80">
        <v>13</v>
      </c>
      <c r="D80" s="75">
        <f ca="1">((100/H74)*C80)/100</f>
        <v>0.40625</v>
      </c>
      <c r="E80" s="215"/>
      <c r="F80" s="215"/>
      <c r="G80" s="215"/>
      <c r="H80" s="217"/>
      <c r="I80" s="13" t="s">
        <v>99</v>
      </c>
      <c r="J80" s="30">
        <f ca="1">(IF(B74&gt;1,(H74/(B74+2)+J79),H74/4+J79))</f>
        <v>16</v>
      </c>
    </row>
    <row r="81" spans="1:10" ht="15.75" customHeight="1" x14ac:dyDescent="0.35">
      <c r="A81" s="134" t="s">
        <v>134</v>
      </c>
      <c r="B81" s="135" t="s">
        <v>127</v>
      </c>
      <c r="C81" s="80">
        <v>10</v>
      </c>
      <c r="D81" s="75">
        <f ca="1">((100/H74)*C81)/100</f>
        <v>0.3125</v>
      </c>
      <c r="E81" s="215"/>
      <c r="F81" s="215"/>
      <c r="G81" s="215"/>
      <c r="H81" s="217"/>
      <c r="I81" s="13" t="s">
        <v>145</v>
      </c>
      <c r="J81" s="30">
        <f>(IF(B74&gt;1,(H74/(B74+2)+J80),0))</f>
        <v>0</v>
      </c>
    </row>
    <row r="82" spans="1:10" ht="15" customHeight="1" x14ac:dyDescent="0.35">
      <c r="A82" s="134" t="s">
        <v>132</v>
      </c>
      <c r="B82" s="135" t="s">
        <v>129</v>
      </c>
      <c r="C82" s="80">
        <v>0</v>
      </c>
      <c r="D82" s="75">
        <f ca="1">((100/(H74))*C82)/100</f>
        <v>0</v>
      </c>
      <c r="E82" s="215"/>
      <c r="F82" s="215"/>
      <c r="G82" s="215"/>
      <c r="H82" s="217"/>
      <c r="I82" s="13" t="s">
        <v>140</v>
      </c>
      <c r="J82" s="30">
        <f>(IF(B74&gt;2,(H74/(B74+2)+J81),0))</f>
        <v>0</v>
      </c>
    </row>
    <row r="83" spans="1:10" ht="15.75" customHeight="1" x14ac:dyDescent="0.35">
      <c r="A83" s="134" t="s">
        <v>128</v>
      </c>
      <c r="B83" s="135" t="s">
        <v>128</v>
      </c>
      <c r="C83" s="80">
        <v>0</v>
      </c>
      <c r="D83" s="75">
        <f ca="1">((100/H74)*C83)/100</f>
        <v>0</v>
      </c>
      <c r="E83" s="215"/>
      <c r="F83" s="215"/>
      <c r="G83" s="215"/>
      <c r="H83" s="217"/>
      <c r="I83" s="13" t="s">
        <v>141</v>
      </c>
      <c r="J83" s="31">
        <f>(IF(B74&gt;3,(H74/(B74+2)+J82),0))</f>
        <v>0</v>
      </c>
    </row>
    <row r="84" spans="1:10" ht="15.75" customHeight="1" x14ac:dyDescent="0.35">
      <c r="A84" s="134" t="s">
        <v>135</v>
      </c>
      <c r="B84" s="135"/>
      <c r="C84" s="80">
        <v>0</v>
      </c>
      <c r="D84" s="75">
        <f ca="1">((100/H74)*C84)/100</f>
        <v>0</v>
      </c>
      <c r="E84" s="215"/>
      <c r="F84" s="215"/>
      <c r="G84" s="215"/>
      <c r="H84" s="217"/>
      <c r="I84" s="13" t="s">
        <v>142</v>
      </c>
      <c r="J84" s="30">
        <f>(IF(B74&gt;4,(H74/(B74+2)+J83),0))</f>
        <v>0</v>
      </c>
    </row>
    <row r="85" spans="1:10" ht="15.75" customHeight="1" x14ac:dyDescent="0.35">
      <c r="A85" s="134" t="s">
        <v>130</v>
      </c>
      <c r="B85" s="135" t="s">
        <v>130</v>
      </c>
      <c r="C85" s="80">
        <v>0</v>
      </c>
      <c r="D85" s="75">
        <f ca="1">((100/(H74))*C85)/100</f>
        <v>0</v>
      </c>
      <c r="E85" s="215"/>
      <c r="F85" s="215"/>
      <c r="G85" s="215"/>
      <c r="H85" s="217"/>
      <c r="I85" s="13" t="s">
        <v>146</v>
      </c>
      <c r="J85" s="30">
        <f ca="1">(IF(B74=1,(H74/(B74+3)+J80),IF(B74=0,(H74/4+J80),IF(B74&gt;1,0))))</f>
        <v>24</v>
      </c>
    </row>
    <row r="86" spans="1:10" ht="16" thickBot="1" x14ac:dyDescent="0.4">
      <c r="A86" s="201" t="s">
        <v>131</v>
      </c>
      <c r="B86" s="202"/>
      <c r="C86" s="86">
        <v>0</v>
      </c>
      <c r="D86" s="87">
        <f ca="1">((100/(H74))*C86)/100</f>
        <v>0</v>
      </c>
      <c r="E86" s="216"/>
      <c r="F86" s="216"/>
      <c r="G86" s="216"/>
      <c r="H86" s="218"/>
      <c r="I86" s="15" t="s">
        <v>100</v>
      </c>
      <c r="J86" s="32">
        <f ca="1">(IF(B74&gt;1.5,(H74/(B74+2)+J80+MAX(0,J81-J80)+MAX(0,J82-J81)+MAX(0,J83-J82)+MAX(0,J84-J83)+MAX(0,J85-J84)),IF(B74=1,(H74/(B74+3)+J85),IF(B74=0,H74/4+J85))))</f>
        <v>32</v>
      </c>
    </row>
    <row r="87" spans="1:10" ht="15.75" hidden="1" customHeight="1" x14ac:dyDescent="0.35">
      <c r="A87" s="210" t="s">
        <v>137</v>
      </c>
      <c r="B87" s="211"/>
      <c r="C87" s="212" t="str">
        <f>D64</f>
        <v>B Wing = 1B + G + 1st to 19th Floor</v>
      </c>
      <c r="D87" s="213"/>
      <c r="E87" s="213"/>
      <c r="F87" s="213"/>
      <c r="G87" s="213"/>
      <c r="H87" s="214"/>
      <c r="I87" s="48" t="str">
        <f ca="1">IF(D100=100%,"All work Completed. Possession granted to the Building.",IF(D99=100%,"All work Completed, Waiting for OC",I88&amp;""&amp;I89&amp;""&amp;J88&amp;""&amp;J87&amp;" "&amp;J89))</f>
        <v xml:space="preserve">Excavation, Plinth Completed </v>
      </c>
      <c r="J87" s="49" t="str">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
      </c>
    </row>
    <row r="88" spans="1:10" hidden="1" x14ac:dyDescent="0.35">
      <c r="A88" s="16" t="s">
        <v>139</v>
      </c>
      <c r="B88" s="46">
        <f>IF(AND(ISNUMBER(SEARCH("1B",C87))),1,IF(AND(ISNUMBER(SEARCH("2B",C87))),2,IF(AND(ISNUMBER(SEARCH("3B",C87))),3,IF(AND(ISNUMBER(SEARCH("4B",C87))),4,IF(ISNUMBER(SEARCH("5B",C87)),5,0)))))</f>
        <v>1</v>
      </c>
      <c r="C88" s="46" t="s">
        <v>69</v>
      </c>
      <c r="D88" s="46">
        <v>1</v>
      </c>
      <c r="E88" s="46" t="s">
        <v>68</v>
      </c>
      <c r="F88" s="14">
        <v>0</v>
      </c>
      <c r="G88" s="47" t="s">
        <v>77</v>
      </c>
      <c r="H88" s="17">
        <f ca="1">--TRIM(RIGHT(SUBSTITUTE(LEFT(C87,_xlfn.AGGREGATE(16,6,FIND({0,1,2,3,4,5,6,7,8,9},C87,ROW(INDIRECT("1:"&amp;LEN(C87)))),1))," ",REPT(" ",LEN(C87))),LEN(C87)))</f>
        <v>19</v>
      </c>
      <c r="I88" s="50" t="str">
        <f ca="1">IF(D91=100%,"Excavation","")&amp;IF(D92=100%,", Plinth","")&amp;IF(D93=100%,", RCC Slab","")&amp;IF(D94=100%,", Brickwork","")&amp;IF(D95=100%,", Internal Plaster","")&amp;IF(D96=100%,", External Plaster","")&amp;IF(D97=100%,", Flooring","")&amp;IF(D98=100%,", Painting","")&amp;IF(D99=100%,", Building common Amenities","")</f>
        <v>Excavation, Plinth</v>
      </c>
      <c r="J88" s="51" t="str">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
      </c>
    </row>
    <row r="89" spans="1:10" hidden="1" x14ac:dyDescent="0.35">
      <c r="A89" s="126" t="s">
        <v>87</v>
      </c>
      <c r="B89" s="127"/>
      <c r="C89" s="128" t="str">
        <f ca="1">(IF($G$58="NA",I87,"All work Completed. OC Received."))</f>
        <v xml:space="preserve">Excavation, Plinth Completed </v>
      </c>
      <c r="D89" s="128"/>
      <c r="E89" s="128"/>
      <c r="F89" s="128"/>
      <c r="G89" s="128"/>
      <c r="H89" s="129"/>
      <c r="I89" s="50" t="str">
        <f ca="1">IF(I88&lt;&gt;""," Completed","")</f>
        <v xml:space="preserve"> Completed</v>
      </c>
      <c r="J89" s="51" t="str">
        <f ca="1">IF(J87&lt;&gt;"","Completed","")</f>
        <v/>
      </c>
    </row>
    <row r="90" spans="1:10" ht="15.75" hidden="1" customHeight="1" x14ac:dyDescent="0.35">
      <c r="A90" s="167" t="s">
        <v>47</v>
      </c>
      <c r="B90" s="168"/>
      <c r="C90" s="43" t="s">
        <v>136</v>
      </c>
      <c r="D90" s="43" t="s">
        <v>80</v>
      </c>
      <c r="E90" s="168" t="s">
        <v>82</v>
      </c>
      <c r="F90" s="168"/>
      <c r="G90" s="168" t="s">
        <v>81</v>
      </c>
      <c r="H90" s="182"/>
      <c r="I90" s="13" t="s">
        <v>138</v>
      </c>
      <c r="J90" s="28">
        <f ca="1">H88*25%</f>
        <v>4.75</v>
      </c>
    </row>
    <row r="91" spans="1:10" hidden="1" x14ac:dyDescent="0.35">
      <c r="A91" s="167" t="s">
        <v>125</v>
      </c>
      <c r="B91" s="168"/>
      <c r="C91" s="59">
        <f ca="1">J92</f>
        <v>19</v>
      </c>
      <c r="D91" s="19">
        <f ca="1">((100/H88)*C91)/100</f>
        <v>1</v>
      </c>
      <c r="E91" s="183">
        <f ca="1">(((C92/H88*10)+(40/(D88+F88+H88)*C93)+(7.5/(H88)*C94)+(7.5/(H88)*C95)+(10/H88*C96)+(10/H88*C97)+(5/H88*C98)+(5/H88*C99)+(5/H88*C100))/100)</f>
        <v>0.1</v>
      </c>
      <c r="F91" s="184"/>
      <c r="G91" s="183">
        <f ca="1">((((C91/H88)*20)+((C92/H88)*25)+(30/(H88+F88+D88)*C93)+(5/H88*C94)+(5/H88*C95)+(5/H88*C96)+(5/H88*C97)+(0/H88*C98)+(0/H88*C99)+(5/H88*C100))/100)</f>
        <v>0.45</v>
      </c>
      <c r="H91" s="192"/>
      <c r="I91" s="13" t="s">
        <v>96</v>
      </c>
      <c r="J91" s="29">
        <f ca="1">H88*50%</f>
        <v>9.5</v>
      </c>
    </row>
    <row r="92" spans="1:10" hidden="1" x14ac:dyDescent="0.35">
      <c r="A92" s="167" t="s">
        <v>48</v>
      </c>
      <c r="B92" s="168"/>
      <c r="C92" s="60">
        <v>19</v>
      </c>
      <c r="D92" s="19">
        <f ca="1">((100/H88)*C92)/100</f>
        <v>1</v>
      </c>
      <c r="E92" s="185"/>
      <c r="F92" s="186"/>
      <c r="G92" s="185"/>
      <c r="H92" s="193"/>
      <c r="I92" s="13" t="s">
        <v>97</v>
      </c>
      <c r="J92" s="29">
        <f ca="1">H88</f>
        <v>19</v>
      </c>
    </row>
    <row r="93" spans="1:10" ht="15.75" hidden="1" customHeight="1" x14ac:dyDescent="0.35">
      <c r="A93" s="167" t="s">
        <v>126</v>
      </c>
      <c r="B93" s="168"/>
      <c r="C93" s="43">
        <v>0</v>
      </c>
      <c r="D93" s="19">
        <f ca="1">((100/(D88+F88+H88))*C93)/100</f>
        <v>0</v>
      </c>
      <c r="E93" s="185"/>
      <c r="F93" s="186"/>
      <c r="G93" s="185"/>
      <c r="H93" s="193"/>
      <c r="I93" s="13" t="s">
        <v>98</v>
      </c>
      <c r="J93" s="30">
        <f ca="1">(IF(B88&gt;1,(H88/(B88+2)),H88/4))</f>
        <v>4.75</v>
      </c>
    </row>
    <row r="94" spans="1:10" ht="15.75" hidden="1" customHeight="1" x14ac:dyDescent="0.35">
      <c r="A94" s="167" t="s">
        <v>133</v>
      </c>
      <c r="B94" s="168" t="s">
        <v>127</v>
      </c>
      <c r="C94" s="43">
        <v>0</v>
      </c>
      <c r="D94" s="19">
        <f ca="1">((100/H88)*C94)/100</f>
        <v>0</v>
      </c>
      <c r="E94" s="185"/>
      <c r="F94" s="186"/>
      <c r="G94" s="185"/>
      <c r="H94" s="193"/>
      <c r="I94" s="13" t="s">
        <v>99</v>
      </c>
      <c r="J94" s="30">
        <f ca="1">(IF(B88&gt;1,(H88/(B88+2)+J93),H88/4+J93))</f>
        <v>9.5</v>
      </c>
    </row>
    <row r="95" spans="1:10" ht="15.75" hidden="1" customHeight="1" x14ac:dyDescent="0.35">
      <c r="A95" s="167" t="s">
        <v>134</v>
      </c>
      <c r="B95" s="168" t="s">
        <v>127</v>
      </c>
      <c r="C95" s="43">
        <v>0</v>
      </c>
      <c r="D95" s="19">
        <f ca="1">((100/H88)*C95)/100</f>
        <v>0</v>
      </c>
      <c r="E95" s="185"/>
      <c r="F95" s="186"/>
      <c r="G95" s="185"/>
      <c r="H95" s="193"/>
      <c r="I95" s="13" t="s">
        <v>145</v>
      </c>
      <c r="J95" s="30">
        <f>(IF(B88&gt;1,(H88/(B88+2)+J94),0))</f>
        <v>0</v>
      </c>
    </row>
    <row r="96" spans="1:10" ht="15" hidden="1" customHeight="1" x14ac:dyDescent="0.35">
      <c r="A96" s="167" t="s">
        <v>132</v>
      </c>
      <c r="B96" s="168" t="s">
        <v>129</v>
      </c>
      <c r="C96" s="43">
        <v>0</v>
      </c>
      <c r="D96" s="19">
        <f ca="1">((100/(H88))*C96)/100</f>
        <v>0</v>
      </c>
      <c r="E96" s="185"/>
      <c r="F96" s="186"/>
      <c r="G96" s="185"/>
      <c r="H96" s="193"/>
      <c r="I96" s="13" t="s">
        <v>140</v>
      </c>
      <c r="J96" s="30">
        <f>(IF(B88&gt;2,(H88/(B88+2)+J95),0))</f>
        <v>0</v>
      </c>
    </row>
    <row r="97" spans="1:22" ht="15.75" hidden="1" customHeight="1" x14ac:dyDescent="0.35">
      <c r="A97" s="167" t="s">
        <v>128</v>
      </c>
      <c r="B97" s="168" t="s">
        <v>128</v>
      </c>
      <c r="C97" s="43">
        <v>0</v>
      </c>
      <c r="D97" s="19">
        <f ca="1">((100/H88)*C97)/100</f>
        <v>0</v>
      </c>
      <c r="E97" s="185"/>
      <c r="F97" s="186"/>
      <c r="G97" s="185"/>
      <c r="H97" s="193"/>
      <c r="I97" s="13" t="s">
        <v>141</v>
      </c>
      <c r="J97" s="31">
        <f>(IF(B88&gt;3,(H88/(B88+2)+J96),0))</f>
        <v>0</v>
      </c>
    </row>
    <row r="98" spans="1:22" ht="15.75" hidden="1" customHeight="1" x14ac:dyDescent="0.35">
      <c r="A98" s="167" t="s">
        <v>135</v>
      </c>
      <c r="B98" s="168"/>
      <c r="C98" s="43">
        <v>0</v>
      </c>
      <c r="D98" s="19">
        <f ca="1">((100/H88)*C98)/100</f>
        <v>0</v>
      </c>
      <c r="E98" s="185"/>
      <c r="F98" s="186"/>
      <c r="G98" s="185"/>
      <c r="H98" s="193"/>
      <c r="I98" s="13" t="s">
        <v>142</v>
      </c>
      <c r="J98" s="30">
        <f>(IF(B88&gt;4,(H88/(B88+2)+J97),0))</f>
        <v>0</v>
      </c>
    </row>
    <row r="99" spans="1:22" ht="15.75" hidden="1" customHeight="1" x14ac:dyDescent="0.35">
      <c r="A99" s="167" t="s">
        <v>130</v>
      </c>
      <c r="B99" s="168" t="s">
        <v>130</v>
      </c>
      <c r="C99" s="43">
        <v>0</v>
      </c>
      <c r="D99" s="19">
        <f ca="1">((100/(H88))*C99)/100</f>
        <v>0</v>
      </c>
      <c r="E99" s="185"/>
      <c r="F99" s="186"/>
      <c r="G99" s="185"/>
      <c r="H99" s="193"/>
      <c r="I99" s="13" t="s">
        <v>146</v>
      </c>
      <c r="J99" s="30">
        <f ca="1">(IF(B88=1,(H88/(B88+3)+J94),IF(B88=0,(H88/4+J94),IF(B88&gt;1,0))))</f>
        <v>14.25</v>
      </c>
    </row>
    <row r="100" spans="1:22" ht="16" hidden="1" thickBot="1" x14ac:dyDescent="0.4">
      <c r="A100" s="206" t="s">
        <v>131</v>
      </c>
      <c r="B100" s="207"/>
      <c r="C100" s="44">
        <v>0</v>
      </c>
      <c r="D100" s="20">
        <f ca="1">((100/(H88))*C100)/100</f>
        <v>0</v>
      </c>
      <c r="E100" s="187"/>
      <c r="F100" s="188"/>
      <c r="G100" s="187"/>
      <c r="H100" s="194"/>
      <c r="I100" s="15" t="s">
        <v>100</v>
      </c>
      <c r="J100" s="32">
        <f ca="1">(IF(B88&gt;1.5,(H88/(B88+2)+J94+MAX(0,J95-J94)+MAX(0,J96-J95)+MAX(0,J97-J96)+MAX(0,J98-J97)+MAX(0,J99-J98)),IF(B88=1,(H88/(B88+3)+J99),IF(B88=0,H88/4+J99))))</f>
        <v>19</v>
      </c>
    </row>
    <row r="101" spans="1:22" x14ac:dyDescent="0.35">
      <c r="A101" s="200" t="s">
        <v>156</v>
      </c>
      <c r="B101" s="200"/>
      <c r="C101" s="200"/>
      <c r="D101" s="200"/>
      <c r="E101" s="200"/>
      <c r="F101" s="189" t="s">
        <v>158</v>
      </c>
      <c r="G101" s="189"/>
      <c r="H101" s="189"/>
      <c r="R101" t="s">
        <v>253</v>
      </c>
      <c r="S101" t="s">
        <v>171</v>
      </c>
      <c r="T101" t="s">
        <v>178</v>
      </c>
      <c r="U101" t="s">
        <v>193</v>
      </c>
      <c r="V101" t="s">
        <v>188</v>
      </c>
    </row>
    <row r="102" spans="1:22" x14ac:dyDescent="0.35">
      <c r="A102" s="114" t="s">
        <v>157</v>
      </c>
      <c r="B102" s="114"/>
      <c r="C102" s="114"/>
      <c r="D102" s="114"/>
      <c r="E102" s="114"/>
      <c r="F102" s="111">
        <v>30000</v>
      </c>
      <c r="G102" s="111"/>
      <c r="H102" s="111"/>
      <c r="I102" s="21" t="s">
        <v>410</v>
      </c>
      <c r="R102"/>
      <c r="S102">
        <v>900000</v>
      </c>
      <c r="T102">
        <v>200000</v>
      </c>
      <c r="U102">
        <v>150000</v>
      </c>
      <c r="V102">
        <v>150000</v>
      </c>
    </row>
    <row r="103" spans="1:22" x14ac:dyDescent="0.35">
      <c r="A103" s="114" t="s">
        <v>411</v>
      </c>
      <c r="B103" s="114"/>
      <c r="C103" s="114"/>
      <c r="D103" s="114"/>
      <c r="E103" s="114"/>
      <c r="F103" s="111">
        <v>19500</v>
      </c>
      <c r="G103" s="111"/>
      <c r="H103" s="111"/>
      <c r="I103" s="21" t="s">
        <v>412</v>
      </c>
      <c r="R103"/>
      <c r="S103">
        <v>800000</v>
      </c>
      <c r="T103">
        <v>150000</v>
      </c>
      <c r="U103">
        <v>100000</v>
      </c>
      <c r="V103">
        <v>100000</v>
      </c>
    </row>
    <row r="104" spans="1:22" s="33" customFormat="1" x14ac:dyDescent="0.35">
      <c r="A104" s="114" t="s">
        <v>409</v>
      </c>
      <c r="B104" s="114"/>
      <c r="C104" s="114"/>
      <c r="D104" s="114"/>
      <c r="E104" s="114"/>
      <c r="F104" s="111">
        <v>18500</v>
      </c>
      <c r="G104" s="111"/>
      <c r="H104" s="111"/>
      <c r="R104"/>
      <c r="S104">
        <v>1100000</v>
      </c>
      <c r="T104">
        <v>300000</v>
      </c>
      <c r="U104">
        <v>250000</v>
      </c>
      <c r="V104" s="23">
        <v>250000</v>
      </c>
    </row>
    <row r="105" spans="1:22" s="33" customFormat="1" x14ac:dyDescent="0.35">
      <c r="A105" s="114" t="s">
        <v>91</v>
      </c>
      <c r="B105" s="114"/>
      <c r="C105" s="114"/>
      <c r="D105" s="114"/>
      <c r="E105" s="114"/>
      <c r="F105" s="111">
        <v>100000</v>
      </c>
      <c r="G105" s="111"/>
      <c r="H105" s="111"/>
      <c r="I105" s="88">
        <f>F104*588+F105+F108+F109+F111+791000</f>
        <v>13144000</v>
      </c>
      <c r="R105"/>
      <c r="S105">
        <v>1200000</v>
      </c>
      <c r="T105">
        <v>350000</v>
      </c>
      <c r="U105">
        <v>300000</v>
      </c>
      <c r="V105">
        <v>300000</v>
      </c>
    </row>
    <row r="106" spans="1:22" s="33" customFormat="1" hidden="1" x14ac:dyDescent="0.35">
      <c r="A106" s="114" t="s">
        <v>92</v>
      </c>
      <c r="B106" s="114"/>
      <c r="C106" s="114"/>
      <c r="D106" s="114"/>
      <c r="E106" s="114"/>
      <c r="F106" s="111"/>
      <c r="G106" s="111"/>
      <c r="H106" s="111"/>
      <c r="R106"/>
      <c r="S106">
        <v>1300000</v>
      </c>
      <c r="T106">
        <v>400000</v>
      </c>
      <c r="U106">
        <v>350000</v>
      </c>
      <c r="V106" s="23">
        <v>400000</v>
      </c>
    </row>
    <row r="107" spans="1:22" s="33" customFormat="1" hidden="1" x14ac:dyDescent="0.35">
      <c r="A107" s="114" t="s">
        <v>93</v>
      </c>
      <c r="B107" s="114"/>
      <c r="C107" s="114"/>
      <c r="D107" s="114"/>
      <c r="E107" s="114"/>
      <c r="F107" s="111"/>
      <c r="G107" s="111"/>
      <c r="H107" s="111"/>
      <c r="R107"/>
      <c r="S107">
        <v>1400000</v>
      </c>
      <c r="T107">
        <v>500000</v>
      </c>
      <c r="U107">
        <v>400000</v>
      </c>
      <c r="V107"/>
    </row>
    <row r="108" spans="1:22" s="33" customFormat="1" x14ac:dyDescent="0.35">
      <c r="A108" s="114" t="s">
        <v>94</v>
      </c>
      <c r="B108" s="114"/>
      <c r="C108" s="114"/>
      <c r="D108" s="114"/>
      <c r="E108" s="114"/>
      <c r="F108" s="111">
        <v>125000</v>
      </c>
      <c r="G108" s="111"/>
      <c r="H108" s="111"/>
      <c r="R108"/>
      <c r="S108">
        <v>1500000</v>
      </c>
      <c r="T108">
        <v>600000</v>
      </c>
      <c r="U108">
        <v>500000</v>
      </c>
      <c r="V108" s="23"/>
    </row>
    <row r="109" spans="1:22" s="33" customFormat="1" x14ac:dyDescent="0.35">
      <c r="A109" s="114" t="s">
        <v>413</v>
      </c>
      <c r="B109" s="114"/>
      <c r="C109" s="114"/>
      <c r="D109" s="114"/>
      <c r="E109" s="114"/>
      <c r="F109" s="111">
        <v>50000</v>
      </c>
      <c r="G109" s="111"/>
      <c r="H109" s="111"/>
      <c r="R109"/>
      <c r="S109">
        <v>1600000</v>
      </c>
      <c r="T109">
        <v>700000</v>
      </c>
      <c r="U109">
        <v>600000</v>
      </c>
      <c r="V109"/>
    </row>
    <row r="110" spans="1:22" s="33" customFormat="1" hidden="1" x14ac:dyDescent="0.35">
      <c r="A110" s="114" t="s">
        <v>95</v>
      </c>
      <c r="B110" s="114"/>
      <c r="C110" s="114"/>
      <c r="D110" s="114"/>
      <c r="E110" s="114"/>
      <c r="F110" s="111"/>
      <c r="G110" s="111"/>
      <c r="H110" s="111"/>
      <c r="R110"/>
      <c r="S110">
        <v>1700000</v>
      </c>
      <c r="T110">
        <v>800000</v>
      </c>
      <c r="U110"/>
      <c r="V110" s="23"/>
    </row>
    <row r="111" spans="1:22" x14ac:dyDescent="0.35">
      <c r="A111" s="114" t="s">
        <v>49</v>
      </c>
      <c r="B111" s="114"/>
      <c r="C111" s="114"/>
      <c r="D111" s="114"/>
      <c r="E111" s="114"/>
      <c r="F111" s="111">
        <v>1200000</v>
      </c>
      <c r="G111" s="111"/>
      <c r="H111" s="111"/>
      <c r="R111"/>
      <c r="S111">
        <v>1800000</v>
      </c>
      <c r="T111">
        <v>900000</v>
      </c>
      <c r="U111"/>
    </row>
    <row r="112" spans="1:22" s="34" customFormat="1" x14ac:dyDescent="0.35">
      <c r="A112" s="198" t="s">
        <v>50</v>
      </c>
      <c r="B112" s="198"/>
      <c r="C112" s="198"/>
      <c r="D112" s="198"/>
      <c r="E112" s="198"/>
      <c r="F112" s="111">
        <f>F103*0.8</f>
        <v>15600</v>
      </c>
      <c r="G112" s="111"/>
      <c r="H112" s="111"/>
      <c r="R112" s="21"/>
      <c r="S112" s="21"/>
      <c r="T112">
        <v>1000000</v>
      </c>
      <c r="U112"/>
      <c r="V112" s="21"/>
    </row>
    <row r="113" spans="1:22" s="35" customFormat="1" ht="15.75" customHeight="1" x14ac:dyDescent="0.35">
      <c r="A113" s="197" t="s">
        <v>72</v>
      </c>
      <c r="B113" s="197"/>
      <c r="C113" s="197"/>
      <c r="D113" s="197"/>
      <c r="E113" s="197"/>
      <c r="F113" s="197"/>
      <c r="G113" s="197"/>
      <c r="H113" s="197"/>
      <c r="R113"/>
      <c r="S113" s="21"/>
      <c r="T113"/>
      <c r="U113"/>
      <c r="V113" s="21"/>
    </row>
    <row r="114" spans="1:22" s="35" customFormat="1" ht="15.75" customHeight="1" x14ac:dyDescent="0.35">
      <c r="A114" s="113" t="s">
        <v>51</v>
      </c>
      <c r="B114" s="113"/>
      <c r="C114" s="121" t="s">
        <v>75</v>
      </c>
      <c r="D114" s="121"/>
      <c r="E114" s="119" t="s">
        <v>52</v>
      </c>
      <c r="F114" s="119"/>
      <c r="G114" s="113" t="s">
        <v>53</v>
      </c>
      <c r="H114" s="113"/>
      <c r="R114"/>
      <c r="S114" s="21"/>
      <c r="T114"/>
      <c r="U114" s="21"/>
      <c r="V114" s="21"/>
    </row>
    <row r="115" spans="1:22" s="35" customFormat="1" x14ac:dyDescent="0.35">
      <c r="A115" s="120" t="s">
        <v>361</v>
      </c>
      <c r="B115" s="120"/>
      <c r="C115" s="169">
        <f>COUNT(F132:F139)</f>
        <v>8</v>
      </c>
      <c r="D115" s="170"/>
      <c r="E115" s="169">
        <f>SUM(F132:F139)</f>
        <v>4525.6161600000005</v>
      </c>
      <c r="F115" s="170"/>
      <c r="G115" s="169">
        <f>SUM(H132:H139)</f>
        <v>6788.4242400000003</v>
      </c>
      <c r="H115" s="170"/>
      <c r="R115"/>
      <c r="S115" s="21"/>
      <c r="T115"/>
      <c r="U115" s="21"/>
      <c r="V115" s="21"/>
    </row>
    <row r="116" spans="1:22" s="35" customFormat="1" x14ac:dyDescent="0.35">
      <c r="A116" s="120" t="s">
        <v>362</v>
      </c>
      <c r="B116" s="120"/>
      <c r="C116" s="169">
        <f>COUNT(F142:F151)+COUNT(F153:F162)*6+COUNT(F164:F170)+COUNT(F175:F184)+COUNT(F186:F195)*6+COUNT(F199:F204)+COUNT(F208:F227)+COUNT(F229:F248)*6+COUNT(F250:F259,F263:F266)+COUNT(F271:F290)+COUNT(F292:F311)*5+COUNT(F313:F322,F325:F330)</f>
        <v>443</v>
      </c>
      <c r="D116" s="169"/>
      <c r="E116" s="169">
        <f>SUM(F142:F151)+SUM(F153:F162)*6+SUM(F164:F170)+SUM(F175:F184)+SUM(F186:F195)*6+SUM(F199:F204)+SUM(F208:F227)+SUM(F229:F248)*6+SUM(F250:F259,F263:F266)+SUM(F271:F290)+SUM(F292:F311)*5+SUM(F313:F322,F325:F330)</f>
        <v>220285.93813199998</v>
      </c>
      <c r="F116" s="169"/>
      <c r="G116" s="169">
        <f>SUM(H142:H151)+SUM(H153:H162)*6+SUM(H164:H170)+SUM(H175:H184)+SUM(H186:H195)*6+SUM(H199:H204)+SUM(H208:H227)+SUM(H229:H248)*6+SUM(H250:H259,H263:H266)+SUM(H271:H290)+SUM(H292:H311)*5+SUM(H313:H322,H325:H330)</f>
        <v>330952.88257199997</v>
      </c>
      <c r="H116" s="169"/>
      <c r="R116"/>
      <c r="S116" s="21"/>
      <c r="T116"/>
      <c r="U116" s="21"/>
      <c r="V116" s="21"/>
    </row>
    <row r="117" spans="1:22" s="35" customFormat="1" x14ac:dyDescent="0.35">
      <c r="A117" s="197" t="s">
        <v>150</v>
      </c>
      <c r="B117" s="197"/>
      <c r="C117" s="205">
        <f>SUM(C115:D116)</f>
        <v>451</v>
      </c>
      <c r="D117" s="121"/>
      <c r="E117" s="205">
        <f>SUM(E115:F116)</f>
        <v>224811.55429199999</v>
      </c>
      <c r="F117" s="121"/>
      <c r="G117" s="205">
        <f>SUM(G115:H116)</f>
        <v>337741.306812</v>
      </c>
      <c r="H117" s="121"/>
      <c r="R117"/>
      <c r="S117" s="21"/>
      <c r="T117"/>
      <c r="U117" s="21"/>
      <c r="V117" s="21"/>
    </row>
    <row r="118" spans="1:22" s="35" customFormat="1" hidden="1" x14ac:dyDescent="0.35">
      <c r="A118" s="197" t="s">
        <v>67</v>
      </c>
      <c r="B118" s="197"/>
      <c r="C118" s="197"/>
      <c r="D118" s="197"/>
      <c r="E118" s="197"/>
      <c r="F118" s="197"/>
      <c r="G118" s="197"/>
      <c r="H118" s="197"/>
      <c r="T118"/>
    </row>
    <row r="119" spans="1:22" s="35" customFormat="1" ht="15.75" hidden="1" customHeight="1" x14ac:dyDescent="0.35">
      <c r="A119" s="113" t="s">
        <v>51</v>
      </c>
      <c r="B119" s="113"/>
      <c r="C119" s="121" t="s">
        <v>75</v>
      </c>
      <c r="D119" s="121"/>
      <c r="E119" s="119" t="s">
        <v>52</v>
      </c>
      <c r="F119" s="119"/>
      <c r="G119" s="113" t="s">
        <v>53</v>
      </c>
      <c r="H119" s="113"/>
      <c r="T119"/>
    </row>
    <row r="120" spans="1:22" s="35" customFormat="1" hidden="1" x14ac:dyDescent="0.35">
      <c r="A120" s="120"/>
      <c r="B120" s="120"/>
      <c r="C120" s="170"/>
      <c r="D120" s="170"/>
      <c r="E120" s="209"/>
      <c r="F120" s="209"/>
      <c r="G120" s="232"/>
      <c r="H120" s="232"/>
      <c r="T120"/>
    </row>
    <row r="121" spans="1:22" s="35" customFormat="1" hidden="1" x14ac:dyDescent="0.35">
      <c r="A121" s="120"/>
      <c r="B121" s="120"/>
      <c r="C121" s="170"/>
      <c r="D121" s="170"/>
      <c r="E121" s="209"/>
      <c r="F121" s="209"/>
      <c r="G121" s="232"/>
      <c r="H121" s="232"/>
      <c r="T121"/>
    </row>
    <row r="122" spans="1:22" s="35" customFormat="1" ht="16" hidden="1" thickBot="1" x14ac:dyDescent="0.4">
      <c r="A122" s="208" t="s">
        <v>150</v>
      </c>
      <c r="B122" s="208"/>
      <c r="C122" s="171"/>
      <c r="D122" s="171"/>
      <c r="E122" s="203"/>
      <c r="F122" s="203"/>
      <c r="G122" s="204"/>
      <c r="H122" s="204"/>
      <c r="T122"/>
    </row>
    <row r="123" spans="1:22" s="35" customFormat="1" ht="16" hidden="1" thickBot="1" x14ac:dyDescent="0.4">
      <c r="A123" s="176" t="s">
        <v>164</v>
      </c>
      <c r="B123" s="177"/>
      <c r="C123" s="178">
        <f>C117+C122</f>
        <v>451</v>
      </c>
      <c r="D123" s="178"/>
      <c r="E123" s="179">
        <f>E117+E122</f>
        <v>224811.55429199999</v>
      </c>
      <c r="F123" s="179"/>
      <c r="G123" s="236">
        <f>G117+G122</f>
        <v>337741.306812</v>
      </c>
      <c r="H123" s="237"/>
      <c r="T123"/>
    </row>
    <row r="124" spans="1:22" s="34" customFormat="1" x14ac:dyDescent="0.35">
      <c r="A124" s="189" t="s">
        <v>54</v>
      </c>
      <c r="B124" s="189"/>
      <c r="C124" s="189"/>
      <c r="D124" s="189"/>
      <c r="E124" s="189"/>
      <c r="F124" s="189"/>
      <c r="G124" s="189"/>
      <c r="H124" s="189"/>
      <c r="T124" s="35"/>
    </row>
    <row r="125" spans="1:22" x14ac:dyDescent="0.35">
      <c r="A125" s="112" t="s">
        <v>173</v>
      </c>
      <c r="B125" s="112"/>
      <c r="C125" s="112"/>
      <c r="D125" s="112"/>
      <c r="E125" s="112"/>
      <c r="F125" s="112"/>
      <c r="G125" s="112"/>
      <c r="H125" s="112"/>
      <c r="T125" s="35"/>
    </row>
    <row r="126" spans="1:22" ht="47.25" customHeight="1" x14ac:dyDescent="0.35">
      <c r="A126" s="130" t="s">
        <v>370</v>
      </c>
      <c r="B126" s="130" t="s">
        <v>175</v>
      </c>
      <c r="C126" s="130" t="s">
        <v>55</v>
      </c>
      <c r="D126" s="130" t="s">
        <v>232</v>
      </c>
      <c r="E126" s="132" t="s">
        <v>383</v>
      </c>
      <c r="F126" s="130" t="s">
        <v>56</v>
      </c>
      <c r="G126" s="132" t="s">
        <v>57</v>
      </c>
      <c r="H126" s="76" t="s">
        <v>148</v>
      </c>
      <c r="T126" s="35"/>
    </row>
    <row r="127" spans="1:22" s="37" customFormat="1" x14ac:dyDescent="0.35">
      <c r="A127" s="131"/>
      <c r="B127" s="131"/>
      <c r="C127" s="131"/>
      <c r="D127" s="131"/>
      <c r="E127" s="133"/>
      <c r="F127" s="131"/>
      <c r="G127" s="133"/>
      <c r="H127" s="77">
        <v>0.5</v>
      </c>
      <c r="T127" s="35"/>
    </row>
    <row r="128" spans="1:22" s="37" customFormat="1" x14ac:dyDescent="0.35">
      <c r="A128" s="108" t="s">
        <v>376</v>
      </c>
      <c r="B128" s="108"/>
      <c r="C128" s="108"/>
      <c r="D128" s="108"/>
      <c r="E128" s="108"/>
      <c r="F128" s="108"/>
      <c r="G128" s="108"/>
      <c r="H128" s="108"/>
      <c r="J128" s="36"/>
      <c r="T128" s="35"/>
    </row>
    <row r="129" spans="1:20" s="37" customFormat="1" x14ac:dyDescent="0.35">
      <c r="A129" s="108" t="s">
        <v>375</v>
      </c>
      <c r="B129" s="108"/>
      <c r="C129" s="108"/>
      <c r="D129" s="108"/>
      <c r="E129" s="108"/>
      <c r="F129" s="108"/>
      <c r="G129" s="108"/>
      <c r="H129" s="108"/>
      <c r="J129" s="36"/>
      <c r="T129" s="35"/>
    </row>
    <row r="130" spans="1:20" s="37" customFormat="1" x14ac:dyDescent="0.35">
      <c r="A130" s="108" t="s">
        <v>382</v>
      </c>
      <c r="B130" s="108"/>
      <c r="C130" s="108"/>
      <c r="D130" s="108"/>
      <c r="E130" s="108"/>
      <c r="F130" s="108"/>
      <c r="G130" s="108"/>
      <c r="H130" s="108"/>
      <c r="J130" s="36"/>
      <c r="T130" s="35"/>
    </row>
    <row r="131" spans="1:20" s="37" customFormat="1" x14ac:dyDescent="0.35">
      <c r="A131" s="108" t="s">
        <v>384</v>
      </c>
      <c r="B131" s="108"/>
      <c r="C131" s="108"/>
      <c r="D131" s="108"/>
      <c r="E131" s="108"/>
      <c r="F131" s="108"/>
      <c r="G131" s="108"/>
      <c r="H131" s="108"/>
      <c r="J131" s="74">
        <v>10.763999999999999</v>
      </c>
      <c r="T131" s="35"/>
    </row>
    <row r="132" spans="1:20" s="37" customFormat="1" ht="15.75" customHeight="1" x14ac:dyDescent="0.35">
      <c r="A132" s="104">
        <v>1</v>
      </c>
      <c r="B132" s="104"/>
      <c r="C132" s="84" t="s">
        <v>350</v>
      </c>
      <c r="D132" s="74">
        <f>(37.12)*10.764</f>
        <v>399.55967999999996</v>
      </c>
      <c r="E132" s="84">
        <v>0</v>
      </c>
      <c r="F132" s="84">
        <f t="shared" ref="F132:F139" si="0">D132+(IF(E132&lt;201,E132,IF(E132&lt;301,E132/2,E132/3)))</f>
        <v>399.55967999999996</v>
      </c>
      <c r="G132" s="84">
        <v>0</v>
      </c>
      <c r="H132" s="84">
        <f>F132*(($H$127)+1)+(IF(G132&lt;101,G132,IF(G132&lt;201,G132/2,IF(G132&lt;=301,G132/3,G132/4))))</f>
        <v>599.33951999999999</v>
      </c>
      <c r="I132" s="36">
        <f>5.45*2.6+5.3*4.15+2.7*0.35</f>
        <v>37.110000000000007</v>
      </c>
      <c r="J132" s="36">
        <f>F132*1.5</f>
        <v>599.33951999999999</v>
      </c>
      <c r="L132" s="94"/>
      <c r="M132" s="94"/>
      <c r="N132" s="36"/>
      <c r="T132" s="35"/>
    </row>
    <row r="133" spans="1:20" s="37" customFormat="1" ht="15.75" customHeight="1" x14ac:dyDescent="0.35">
      <c r="A133" s="104">
        <f t="shared" ref="A133:A139" si="1">A132+1</f>
        <v>2</v>
      </c>
      <c r="B133" s="104"/>
      <c r="C133" s="84" t="s">
        <v>350</v>
      </c>
      <c r="D133" s="74">
        <f>(58.22)*10.764</f>
        <v>626.68007999999998</v>
      </c>
      <c r="E133" s="84">
        <v>0</v>
      </c>
      <c r="F133" s="84">
        <f t="shared" si="0"/>
        <v>626.68007999999998</v>
      </c>
      <c r="G133" s="84">
        <v>0</v>
      </c>
      <c r="H133" s="84">
        <f t="shared" ref="H133:H139" si="2">F133*(($H$127)+1)+(IF(G133&lt;101,G133,IF(G133&lt;201,G133/2,IF(G133&lt;=301,G133/3,G133/4))))</f>
        <v>940.02011999999991</v>
      </c>
      <c r="I133" s="36"/>
      <c r="J133" s="36">
        <f t="shared" ref="J133:J196" si="3">F133*1.5</f>
        <v>940.02011999999991</v>
      </c>
      <c r="L133" s="94"/>
      <c r="M133" s="94"/>
      <c r="N133" s="36"/>
      <c r="T133" s="34"/>
    </row>
    <row r="134" spans="1:20" s="37" customFormat="1" ht="15.75" customHeight="1" x14ac:dyDescent="0.35">
      <c r="A134" s="104">
        <f t="shared" si="1"/>
        <v>3</v>
      </c>
      <c r="B134" s="104"/>
      <c r="C134" s="84" t="s">
        <v>350</v>
      </c>
      <c r="D134" s="74">
        <f>(57.71)*10.764</f>
        <v>621.19043999999997</v>
      </c>
      <c r="E134" s="84">
        <v>0</v>
      </c>
      <c r="F134" s="84">
        <f t="shared" si="0"/>
        <v>621.19043999999997</v>
      </c>
      <c r="G134" s="84">
        <v>0</v>
      </c>
      <c r="H134" s="84">
        <f t="shared" si="2"/>
        <v>931.78566000000001</v>
      </c>
      <c r="I134" s="36"/>
      <c r="J134" s="36">
        <f t="shared" si="3"/>
        <v>931.78566000000001</v>
      </c>
      <c r="L134" s="94"/>
      <c r="M134" s="94"/>
      <c r="N134" s="36"/>
      <c r="T134" s="21"/>
    </row>
    <row r="135" spans="1:20" s="37" customFormat="1" ht="15.75" customHeight="1" x14ac:dyDescent="0.35">
      <c r="A135" s="104">
        <f t="shared" si="1"/>
        <v>4</v>
      </c>
      <c r="B135" s="104"/>
      <c r="C135" s="84" t="s">
        <v>350</v>
      </c>
      <c r="D135" s="74">
        <f>(57.25)*10.764</f>
        <v>616.23899999999992</v>
      </c>
      <c r="E135" s="84">
        <v>0</v>
      </c>
      <c r="F135" s="84">
        <f t="shared" si="0"/>
        <v>616.23899999999992</v>
      </c>
      <c r="G135" s="84">
        <v>0</v>
      </c>
      <c r="H135" s="84">
        <f t="shared" si="2"/>
        <v>924.35849999999982</v>
      </c>
      <c r="I135" s="36"/>
      <c r="J135" s="36">
        <f t="shared" si="3"/>
        <v>924.35849999999982</v>
      </c>
      <c r="L135" s="94"/>
      <c r="M135" s="94"/>
      <c r="N135" s="36"/>
      <c r="T135" s="21"/>
    </row>
    <row r="136" spans="1:20" s="37" customFormat="1" ht="15.75" customHeight="1" x14ac:dyDescent="0.35">
      <c r="A136" s="104">
        <f t="shared" si="1"/>
        <v>5</v>
      </c>
      <c r="B136" s="104"/>
      <c r="C136" s="42" t="s">
        <v>350</v>
      </c>
      <c r="D136" s="74">
        <f>(57.26)*10.764</f>
        <v>616.34663999999998</v>
      </c>
      <c r="E136" s="42">
        <v>0</v>
      </c>
      <c r="F136" s="42">
        <f t="shared" si="0"/>
        <v>616.34663999999998</v>
      </c>
      <c r="G136" s="42">
        <v>0</v>
      </c>
      <c r="H136" s="42">
        <f>F136*(($H$127)+1)+(IF(G136&lt;101,G136,IF(G136&lt;201,G136/2,IF(G136&lt;=301,G136/3,G136/4))))</f>
        <v>924.51995999999997</v>
      </c>
      <c r="I136" s="36"/>
      <c r="J136" s="36">
        <f t="shared" si="3"/>
        <v>924.51995999999997</v>
      </c>
      <c r="L136" s="94"/>
      <c r="M136" s="94"/>
      <c r="N136" s="36"/>
      <c r="T136" s="34"/>
    </row>
    <row r="137" spans="1:20" s="37" customFormat="1" ht="15.75" customHeight="1" x14ac:dyDescent="0.35">
      <c r="A137" s="104">
        <f t="shared" si="1"/>
        <v>6</v>
      </c>
      <c r="B137" s="104"/>
      <c r="C137" s="42" t="s">
        <v>350</v>
      </c>
      <c r="D137" s="74">
        <f>(57.79)*10.764</f>
        <v>622.05155999999999</v>
      </c>
      <c r="E137" s="42">
        <v>0</v>
      </c>
      <c r="F137" s="42">
        <f t="shared" si="0"/>
        <v>622.05155999999999</v>
      </c>
      <c r="G137" s="42">
        <v>0</v>
      </c>
      <c r="H137" s="42">
        <f t="shared" si="2"/>
        <v>933.07734000000005</v>
      </c>
      <c r="I137" s="36"/>
      <c r="J137" s="36">
        <f t="shared" si="3"/>
        <v>933.07734000000005</v>
      </c>
      <c r="L137" s="94"/>
      <c r="M137" s="94"/>
      <c r="N137" s="36"/>
      <c r="T137" s="21"/>
    </row>
    <row r="138" spans="1:20" s="37" customFormat="1" ht="15.75" customHeight="1" x14ac:dyDescent="0.35">
      <c r="A138" s="104">
        <f t="shared" si="1"/>
        <v>7</v>
      </c>
      <c r="B138" s="104"/>
      <c r="C138" s="42" t="s">
        <v>350</v>
      </c>
      <c r="D138" s="74">
        <f>(57.76)*10.764</f>
        <v>621.72863999999993</v>
      </c>
      <c r="E138" s="42">
        <v>0</v>
      </c>
      <c r="F138" s="42">
        <f t="shared" si="0"/>
        <v>621.72863999999993</v>
      </c>
      <c r="G138" s="42">
        <v>0</v>
      </c>
      <c r="H138" s="42">
        <f t="shared" si="2"/>
        <v>932.59295999999995</v>
      </c>
      <c r="I138" s="36"/>
      <c r="J138" s="36">
        <f t="shared" si="3"/>
        <v>932.59295999999995</v>
      </c>
      <c r="L138" s="94"/>
      <c r="M138" s="94"/>
      <c r="N138" s="36"/>
      <c r="T138" s="21"/>
    </row>
    <row r="139" spans="1:20" s="37" customFormat="1" ht="15.75" customHeight="1" x14ac:dyDescent="0.35">
      <c r="A139" s="92">
        <f t="shared" si="1"/>
        <v>8</v>
      </c>
      <c r="B139" s="93"/>
      <c r="C139" s="42" t="s">
        <v>350</v>
      </c>
      <c r="D139" s="74">
        <f>(37.33)*10.764</f>
        <v>401.82011999999997</v>
      </c>
      <c r="E139" s="42">
        <v>0</v>
      </c>
      <c r="F139" s="42">
        <f t="shared" si="0"/>
        <v>401.82011999999997</v>
      </c>
      <c r="G139" s="42">
        <v>0</v>
      </c>
      <c r="H139" s="42">
        <f t="shared" si="2"/>
        <v>602.73018000000002</v>
      </c>
      <c r="I139" s="36"/>
      <c r="J139" s="36">
        <f t="shared" si="3"/>
        <v>602.73018000000002</v>
      </c>
      <c r="L139" s="94"/>
      <c r="M139" s="94"/>
      <c r="N139" s="36"/>
      <c r="T139" s="21"/>
    </row>
    <row r="140" spans="1:20" s="37" customFormat="1" x14ac:dyDescent="0.35">
      <c r="A140" s="101" t="s">
        <v>385</v>
      </c>
      <c r="B140" s="102"/>
      <c r="C140" s="102"/>
      <c r="D140" s="102"/>
      <c r="E140" s="102"/>
      <c r="F140" s="102"/>
      <c r="G140" s="102"/>
      <c r="H140" s="103"/>
      <c r="J140" s="36">
        <f t="shared" si="3"/>
        <v>0</v>
      </c>
      <c r="T140" s="35"/>
    </row>
    <row r="141" spans="1:20" s="37" customFormat="1" x14ac:dyDescent="0.35">
      <c r="A141" s="101" t="s">
        <v>386</v>
      </c>
      <c r="B141" s="102"/>
      <c r="C141" s="102"/>
      <c r="D141" s="102"/>
      <c r="E141" s="102"/>
      <c r="F141" s="102"/>
      <c r="G141" s="102"/>
      <c r="H141" s="103"/>
      <c r="J141" s="36">
        <f t="shared" si="3"/>
        <v>0</v>
      </c>
      <c r="T141" s="35"/>
    </row>
    <row r="142" spans="1:20" s="37" customFormat="1" ht="15.75" customHeight="1" x14ac:dyDescent="0.35">
      <c r="A142" s="92">
        <v>1</v>
      </c>
      <c r="B142" s="93"/>
      <c r="C142" s="42" t="s">
        <v>352</v>
      </c>
      <c r="D142" s="74">
        <f>(36.81)*10.764</f>
        <v>396.22284000000002</v>
      </c>
      <c r="E142" s="42">
        <v>0</v>
      </c>
      <c r="F142" s="42">
        <f t="shared" ref="F142:F151" si="4">D142+(IF(E142&lt;201,E142,IF(E142&lt;301,E142/2,E142/3)))</f>
        <v>396.22284000000002</v>
      </c>
      <c r="G142" s="42">
        <v>0</v>
      </c>
      <c r="H142" s="42">
        <f t="shared" ref="H142:H151" si="5">F142*(($H$127)+1)+(IF(G142&lt;101,G142,IF(G142&lt;201,G142/2,IF(G142&lt;=301,G142/3,G142/4))))</f>
        <v>594.33426000000009</v>
      </c>
      <c r="I142" s="36"/>
      <c r="J142" s="36">
        <f t="shared" si="3"/>
        <v>594.33426000000009</v>
      </c>
      <c r="L142" s="94"/>
      <c r="M142" s="94"/>
      <c r="N142" s="36"/>
      <c r="T142" s="35"/>
    </row>
    <row r="143" spans="1:20" s="37" customFormat="1" ht="15.75" customHeight="1" x14ac:dyDescent="0.35">
      <c r="A143" s="92">
        <f t="shared" ref="A143:A151" si="6">A142+1</f>
        <v>2</v>
      </c>
      <c r="B143" s="93"/>
      <c r="C143" s="42" t="s">
        <v>352</v>
      </c>
      <c r="D143" s="74">
        <f>(57.96)*10.764</f>
        <v>623.88144</v>
      </c>
      <c r="E143" s="42">
        <v>0</v>
      </c>
      <c r="F143" s="42">
        <f t="shared" si="4"/>
        <v>623.88144</v>
      </c>
      <c r="G143" s="42">
        <v>0</v>
      </c>
      <c r="H143" s="42">
        <f t="shared" si="5"/>
        <v>935.82215999999994</v>
      </c>
      <c r="I143" s="36"/>
      <c r="J143" s="36">
        <f t="shared" si="3"/>
        <v>935.82215999999994</v>
      </c>
      <c r="L143" s="94"/>
      <c r="M143" s="94"/>
      <c r="N143" s="36"/>
      <c r="T143" s="34"/>
    </row>
    <row r="144" spans="1:20" s="37" customFormat="1" ht="15.75" customHeight="1" x14ac:dyDescent="0.35">
      <c r="A144" s="92">
        <f t="shared" si="6"/>
        <v>3</v>
      </c>
      <c r="B144" s="93"/>
      <c r="C144" s="42" t="s">
        <v>352</v>
      </c>
      <c r="D144" s="74">
        <f>(57.35)*10.764</f>
        <v>617.31539999999995</v>
      </c>
      <c r="E144" s="42">
        <v>0</v>
      </c>
      <c r="F144" s="42">
        <f t="shared" si="4"/>
        <v>617.31539999999995</v>
      </c>
      <c r="G144" s="42">
        <v>0</v>
      </c>
      <c r="H144" s="42">
        <f t="shared" si="5"/>
        <v>925.97309999999993</v>
      </c>
      <c r="I144" s="36"/>
      <c r="J144" s="36">
        <f t="shared" si="3"/>
        <v>925.97309999999993</v>
      </c>
      <c r="L144" s="94"/>
      <c r="M144" s="94"/>
      <c r="N144" s="36"/>
      <c r="T144" s="21"/>
    </row>
    <row r="145" spans="1:20" s="37" customFormat="1" ht="15.75" customHeight="1" x14ac:dyDescent="0.35">
      <c r="A145" s="92">
        <f t="shared" si="6"/>
        <v>4</v>
      </c>
      <c r="B145" s="93"/>
      <c r="C145" s="42" t="s">
        <v>352</v>
      </c>
      <c r="D145" s="74">
        <f>(57.13)*10.764</f>
        <v>614.94731999999999</v>
      </c>
      <c r="E145" s="42">
        <v>0</v>
      </c>
      <c r="F145" s="42">
        <f t="shared" si="4"/>
        <v>614.94731999999999</v>
      </c>
      <c r="G145" s="42">
        <v>0</v>
      </c>
      <c r="H145" s="42">
        <f t="shared" si="5"/>
        <v>922.42097999999999</v>
      </c>
      <c r="I145" s="36"/>
      <c r="J145" s="36">
        <f t="shared" si="3"/>
        <v>922.42097999999999</v>
      </c>
      <c r="L145" s="94"/>
      <c r="M145" s="94"/>
      <c r="N145" s="36"/>
      <c r="T145" s="21"/>
    </row>
    <row r="146" spans="1:20" s="37" customFormat="1" ht="15.75" customHeight="1" x14ac:dyDescent="0.35">
      <c r="A146" s="92">
        <f t="shared" si="6"/>
        <v>5</v>
      </c>
      <c r="B146" s="93"/>
      <c r="C146" s="42" t="s">
        <v>352</v>
      </c>
      <c r="D146" s="74">
        <f>(56.58)*10.764</f>
        <v>609.02711999999997</v>
      </c>
      <c r="E146" s="42">
        <v>0</v>
      </c>
      <c r="F146" s="42">
        <f t="shared" si="4"/>
        <v>609.02711999999997</v>
      </c>
      <c r="G146" s="42">
        <v>0</v>
      </c>
      <c r="H146" s="42">
        <f t="shared" si="5"/>
        <v>913.54067999999995</v>
      </c>
      <c r="I146" s="36"/>
      <c r="J146" s="36">
        <f t="shared" si="3"/>
        <v>913.54067999999995</v>
      </c>
      <c r="L146" s="94"/>
      <c r="M146" s="94"/>
      <c r="N146" s="36"/>
      <c r="T146" s="34"/>
    </row>
    <row r="147" spans="1:20" s="37" customFormat="1" ht="15.75" customHeight="1" x14ac:dyDescent="0.35">
      <c r="A147" s="92">
        <f t="shared" si="6"/>
        <v>6</v>
      </c>
      <c r="B147" s="93"/>
      <c r="C147" s="42" t="s">
        <v>352</v>
      </c>
      <c r="D147" s="74">
        <f>(58.12)*10.764</f>
        <v>625.60367999999994</v>
      </c>
      <c r="E147" s="42">
        <v>0</v>
      </c>
      <c r="F147" s="42">
        <f t="shared" si="4"/>
        <v>625.60367999999994</v>
      </c>
      <c r="G147" s="42">
        <v>0</v>
      </c>
      <c r="H147" s="42">
        <f t="shared" si="5"/>
        <v>938.40551999999991</v>
      </c>
      <c r="I147" s="36"/>
      <c r="J147" s="36">
        <f t="shared" si="3"/>
        <v>938.40551999999991</v>
      </c>
      <c r="L147" s="94"/>
      <c r="M147" s="94"/>
      <c r="N147" s="36"/>
      <c r="T147" s="21"/>
    </row>
    <row r="148" spans="1:20" s="37" customFormat="1" ht="15.75" customHeight="1" x14ac:dyDescent="0.35">
      <c r="A148" s="92">
        <f t="shared" si="6"/>
        <v>7</v>
      </c>
      <c r="B148" s="93"/>
      <c r="C148" s="42" t="s">
        <v>352</v>
      </c>
      <c r="D148" s="74">
        <f>(56.89)*10.764</f>
        <v>612.36396000000002</v>
      </c>
      <c r="E148" s="42">
        <v>0</v>
      </c>
      <c r="F148" s="42">
        <f t="shared" si="4"/>
        <v>612.36396000000002</v>
      </c>
      <c r="G148" s="42">
        <v>0</v>
      </c>
      <c r="H148" s="42">
        <f t="shared" si="5"/>
        <v>918.54593999999997</v>
      </c>
      <c r="I148" s="36"/>
      <c r="J148" s="36">
        <f t="shared" si="3"/>
        <v>918.54593999999997</v>
      </c>
      <c r="L148" s="94"/>
      <c r="M148" s="94"/>
      <c r="N148" s="36"/>
      <c r="T148" s="21"/>
    </row>
    <row r="149" spans="1:20" s="37" customFormat="1" ht="15.75" customHeight="1" x14ac:dyDescent="0.35">
      <c r="A149" s="92">
        <f t="shared" si="6"/>
        <v>8</v>
      </c>
      <c r="B149" s="93"/>
      <c r="C149" s="42" t="s">
        <v>352</v>
      </c>
      <c r="D149" s="74">
        <f>(56.4-(5.45*0.2+5.24*2.07))*10.764</f>
        <v>478.60188479999999</v>
      </c>
      <c r="E149" s="42">
        <v>0</v>
      </c>
      <c r="F149" s="42">
        <f t="shared" si="4"/>
        <v>478.60188479999999</v>
      </c>
      <c r="G149" s="74">
        <f>(5.45*0.2+5.24*2.07)*10.764</f>
        <v>128.4877152</v>
      </c>
      <c r="H149" s="42">
        <f t="shared" si="5"/>
        <v>782.1466848</v>
      </c>
      <c r="I149" s="36"/>
      <c r="J149" s="36">
        <f t="shared" si="3"/>
        <v>717.90282720000005</v>
      </c>
      <c r="L149" s="94"/>
      <c r="M149" s="94"/>
      <c r="N149" s="36"/>
      <c r="T149" s="21"/>
    </row>
    <row r="150" spans="1:20" s="37" customFormat="1" ht="15.75" customHeight="1" x14ac:dyDescent="0.35">
      <c r="A150" s="92">
        <f t="shared" si="6"/>
        <v>9</v>
      </c>
      <c r="B150" s="93"/>
      <c r="C150" s="42" t="s">
        <v>352</v>
      </c>
      <c r="D150" s="74">
        <f>(56.4-(5.4*2.27))*10.764</f>
        <v>475.14448799999991</v>
      </c>
      <c r="E150" s="42">
        <v>0</v>
      </c>
      <c r="F150" s="42">
        <f t="shared" si="4"/>
        <v>475.14448799999991</v>
      </c>
      <c r="G150" s="74">
        <f>(5.4*2.27)*10.764</f>
        <v>131.94511199999999</v>
      </c>
      <c r="H150" s="42">
        <f t="shared" si="5"/>
        <v>778.68928799999981</v>
      </c>
      <c r="I150" s="36"/>
      <c r="J150" s="36">
        <f t="shared" si="3"/>
        <v>712.71673199999987</v>
      </c>
      <c r="L150" s="94"/>
      <c r="M150" s="94"/>
      <c r="N150" s="36"/>
      <c r="T150" s="21"/>
    </row>
    <row r="151" spans="1:20" s="37" customFormat="1" ht="15.75" customHeight="1" x14ac:dyDescent="0.35">
      <c r="A151" s="92">
        <f t="shared" si="6"/>
        <v>10</v>
      </c>
      <c r="B151" s="93"/>
      <c r="C151" s="42" t="s">
        <v>352</v>
      </c>
      <c r="D151" s="74">
        <f>(37.01)*10.764</f>
        <v>398.37563999999998</v>
      </c>
      <c r="E151" s="42">
        <v>0</v>
      </c>
      <c r="F151" s="42">
        <f t="shared" si="4"/>
        <v>398.37563999999998</v>
      </c>
      <c r="G151" s="42">
        <v>0</v>
      </c>
      <c r="H151" s="42">
        <f t="shared" si="5"/>
        <v>597.56345999999996</v>
      </c>
      <c r="I151" s="36"/>
      <c r="J151" s="36">
        <f t="shared" si="3"/>
        <v>597.56345999999996</v>
      </c>
      <c r="L151" s="94"/>
      <c r="M151" s="94"/>
      <c r="N151" s="36"/>
      <c r="T151" s="21"/>
    </row>
    <row r="152" spans="1:20" s="37" customFormat="1" x14ac:dyDescent="0.35">
      <c r="A152" s="101" t="s">
        <v>387</v>
      </c>
      <c r="B152" s="102"/>
      <c r="C152" s="102"/>
      <c r="D152" s="102"/>
      <c r="E152" s="102"/>
      <c r="F152" s="102"/>
      <c r="G152" s="102"/>
      <c r="H152" s="103"/>
      <c r="J152" s="36">
        <f t="shared" si="3"/>
        <v>0</v>
      </c>
      <c r="T152" s="35"/>
    </row>
    <row r="153" spans="1:20" s="37" customFormat="1" ht="15.75" customHeight="1" x14ac:dyDescent="0.35">
      <c r="A153" s="92">
        <v>1</v>
      </c>
      <c r="B153" s="93"/>
      <c r="C153" s="42" t="s">
        <v>352</v>
      </c>
      <c r="D153" s="74">
        <f>(36.81)*10.764</f>
        <v>396.22284000000002</v>
      </c>
      <c r="E153" s="42">
        <v>0</v>
      </c>
      <c r="F153" s="42">
        <f t="shared" ref="F153:F162" si="7">D153+(IF(E153&lt;201,E153,IF(E153&lt;301,E153/2,E153/3)))</f>
        <v>396.22284000000002</v>
      </c>
      <c r="G153" s="42">
        <v>0</v>
      </c>
      <c r="H153" s="42">
        <f t="shared" ref="H153:H162" si="8">F153*(($H$127)+1)+(IF(G153&lt;101,G153,IF(G153&lt;201,G153/2,IF(G153&lt;=301,G153/3,G153/4))))</f>
        <v>594.33426000000009</v>
      </c>
      <c r="I153" s="36"/>
      <c r="J153" s="36">
        <f t="shared" si="3"/>
        <v>594.33426000000009</v>
      </c>
      <c r="L153" s="94"/>
      <c r="M153" s="94"/>
      <c r="N153" s="36"/>
      <c r="T153" s="35"/>
    </row>
    <row r="154" spans="1:20" s="37" customFormat="1" ht="15.75" customHeight="1" x14ac:dyDescent="0.35">
      <c r="A154" s="92">
        <f t="shared" ref="A154:A162" si="9">A153+1</f>
        <v>2</v>
      </c>
      <c r="B154" s="93"/>
      <c r="C154" s="42" t="s">
        <v>352</v>
      </c>
      <c r="D154" s="74">
        <f>(57.96)*10.764</f>
        <v>623.88144</v>
      </c>
      <c r="E154" s="42">
        <v>0</v>
      </c>
      <c r="F154" s="42">
        <f t="shared" si="7"/>
        <v>623.88144</v>
      </c>
      <c r="G154" s="42">
        <v>0</v>
      </c>
      <c r="H154" s="42">
        <f t="shared" si="8"/>
        <v>935.82215999999994</v>
      </c>
      <c r="I154" s="36"/>
      <c r="J154" s="36">
        <f t="shared" si="3"/>
        <v>935.82215999999994</v>
      </c>
      <c r="L154" s="94"/>
      <c r="M154" s="94"/>
      <c r="N154" s="36"/>
      <c r="T154" s="34"/>
    </row>
    <row r="155" spans="1:20" s="37" customFormat="1" ht="15.75" customHeight="1" x14ac:dyDescent="0.35">
      <c r="A155" s="92">
        <f t="shared" si="9"/>
        <v>3</v>
      </c>
      <c r="B155" s="93"/>
      <c r="C155" s="42" t="s">
        <v>352</v>
      </c>
      <c r="D155" s="74">
        <f>(57.35)*10.764</f>
        <v>617.31539999999995</v>
      </c>
      <c r="E155" s="42">
        <v>0</v>
      </c>
      <c r="F155" s="42">
        <f t="shared" si="7"/>
        <v>617.31539999999995</v>
      </c>
      <c r="G155" s="42">
        <v>0</v>
      </c>
      <c r="H155" s="42">
        <f t="shared" si="8"/>
        <v>925.97309999999993</v>
      </c>
      <c r="I155" s="36"/>
      <c r="J155" s="36">
        <f t="shared" si="3"/>
        <v>925.97309999999993</v>
      </c>
      <c r="L155" s="94"/>
      <c r="M155" s="94"/>
      <c r="N155" s="36"/>
      <c r="T155" s="21"/>
    </row>
    <row r="156" spans="1:20" s="37" customFormat="1" ht="15.75" customHeight="1" x14ac:dyDescent="0.35">
      <c r="A156" s="92">
        <f t="shared" si="9"/>
        <v>4</v>
      </c>
      <c r="B156" s="93"/>
      <c r="C156" s="42" t="s">
        <v>352</v>
      </c>
      <c r="D156" s="74">
        <f>(57.13)*10.764</f>
        <v>614.94731999999999</v>
      </c>
      <c r="E156" s="42">
        <v>0</v>
      </c>
      <c r="F156" s="42">
        <f t="shared" si="7"/>
        <v>614.94731999999999</v>
      </c>
      <c r="G156" s="42">
        <v>0</v>
      </c>
      <c r="H156" s="42">
        <f t="shared" si="8"/>
        <v>922.42097999999999</v>
      </c>
      <c r="I156" s="36"/>
      <c r="J156" s="36">
        <f t="shared" si="3"/>
        <v>922.42097999999999</v>
      </c>
      <c r="L156" s="94"/>
      <c r="M156" s="94"/>
      <c r="N156" s="36"/>
      <c r="T156" s="21"/>
    </row>
    <row r="157" spans="1:20" s="37" customFormat="1" ht="15.75" customHeight="1" x14ac:dyDescent="0.35">
      <c r="A157" s="92">
        <f t="shared" si="9"/>
        <v>5</v>
      </c>
      <c r="B157" s="93"/>
      <c r="C157" s="42" t="s">
        <v>352</v>
      </c>
      <c r="D157" s="74">
        <f>(56.58)*10.764</f>
        <v>609.02711999999997</v>
      </c>
      <c r="E157" s="42">
        <v>0</v>
      </c>
      <c r="F157" s="42">
        <f t="shared" si="7"/>
        <v>609.02711999999997</v>
      </c>
      <c r="G157" s="42">
        <v>0</v>
      </c>
      <c r="H157" s="42">
        <f t="shared" si="8"/>
        <v>913.54067999999995</v>
      </c>
      <c r="I157" s="36"/>
      <c r="J157" s="36">
        <f t="shared" si="3"/>
        <v>913.54067999999995</v>
      </c>
      <c r="L157" s="94"/>
      <c r="M157" s="94"/>
      <c r="N157" s="36"/>
      <c r="T157" s="34"/>
    </row>
    <row r="158" spans="1:20" s="37" customFormat="1" ht="15.75" customHeight="1" x14ac:dyDescent="0.35">
      <c r="A158" s="92">
        <f t="shared" si="9"/>
        <v>6</v>
      </c>
      <c r="B158" s="93"/>
      <c r="C158" s="42" t="s">
        <v>352</v>
      </c>
      <c r="D158" s="74">
        <f>(58.12)*10.764</f>
        <v>625.60367999999994</v>
      </c>
      <c r="E158" s="42">
        <v>0</v>
      </c>
      <c r="F158" s="42">
        <f t="shared" si="7"/>
        <v>625.60367999999994</v>
      </c>
      <c r="G158" s="42">
        <v>0</v>
      </c>
      <c r="H158" s="42">
        <f t="shared" si="8"/>
        <v>938.40551999999991</v>
      </c>
      <c r="I158" s="36"/>
      <c r="J158" s="36">
        <f t="shared" si="3"/>
        <v>938.40551999999991</v>
      </c>
      <c r="L158" s="94"/>
      <c r="M158" s="94"/>
      <c r="N158" s="36"/>
      <c r="T158" s="21"/>
    </row>
    <row r="159" spans="1:20" s="37" customFormat="1" ht="15.75" customHeight="1" x14ac:dyDescent="0.35">
      <c r="A159" s="92">
        <f t="shared" si="9"/>
        <v>7</v>
      </c>
      <c r="B159" s="93"/>
      <c r="C159" s="42" t="s">
        <v>352</v>
      </c>
      <c r="D159" s="74">
        <f>(56.89)*10.764</f>
        <v>612.36396000000002</v>
      </c>
      <c r="E159" s="42">
        <v>0</v>
      </c>
      <c r="F159" s="42">
        <f t="shared" si="7"/>
        <v>612.36396000000002</v>
      </c>
      <c r="G159" s="42">
        <v>0</v>
      </c>
      <c r="H159" s="42">
        <f t="shared" si="8"/>
        <v>918.54593999999997</v>
      </c>
      <c r="I159" s="36"/>
      <c r="J159" s="36">
        <f t="shared" si="3"/>
        <v>918.54593999999997</v>
      </c>
      <c r="L159" s="94"/>
      <c r="M159" s="94"/>
      <c r="N159" s="36"/>
      <c r="T159" s="21"/>
    </row>
    <row r="160" spans="1:20" s="37" customFormat="1" ht="15.75" customHeight="1" x14ac:dyDescent="0.35">
      <c r="A160" s="92">
        <f t="shared" si="9"/>
        <v>8</v>
      </c>
      <c r="B160" s="93"/>
      <c r="C160" s="42" t="s">
        <v>352</v>
      </c>
      <c r="D160" s="74">
        <f>(44.46)*10.764</f>
        <v>478.56743999999998</v>
      </c>
      <c r="E160" s="42">
        <v>0</v>
      </c>
      <c r="F160" s="42">
        <f t="shared" si="7"/>
        <v>478.56743999999998</v>
      </c>
      <c r="G160" s="42">
        <v>0</v>
      </c>
      <c r="H160" s="42">
        <f t="shared" si="8"/>
        <v>717.85115999999994</v>
      </c>
      <c r="I160" s="36"/>
      <c r="J160" s="36">
        <f t="shared" si="3"/>
        <v>717.85115999999994</v>
      </c>
      <c r="L160" s="94"/>
      <c r="M160" s="94"/>
      <c r="N160" s="36"/>
      <c r="T160" s="21"/>
    </row>
    <row r="161" spans="1:20" s="37" customFormat="1" ht="15.75" customHeight="1" x14ac:dyDescent="0.35">
      <c r="A161" s="92">
        <f t="shared" si="9"/>
        <v>9</v>
      </c>
      <c r="B161" s="93"/>
      <c r="C161" s="42" t="s">
        <v>352</v>
      </c>
      <c r="D161" s="74">
        <f>(44.14)*10.764</f>
        <v>475.12295999999998</v>
      </c>
      <c r="E161" s="42">
        <v>0</v>
      </c>
      <c r="F161" s="42">
        <f t="shared" si="7"/>
        <v>475.12295999999998</v>
      </c>
      <c r="G161" s="42">
        <v>0</v>
      </c>
      <c r="H161" s="42">
        <f t="shared" si="8"/>
        <v>712.68444</v>
      </c>
      <c r="I161" s="36"/>
      <c r="J161" s="36">
        <f t="shared" si="3"/>
        <v>712.68444</v>
      </c>
      <c r="L161" s="94"/>
      <c r="M161" s="94"/>
      <c r="N161" s="36"/>
      <c r="T161" s="21"/>
    </row>
    <row r="162" spans="1:20" s="37" customFormat="1" ht="15.75" customHeight="1" x14ac:dyDescent="0.35">
      <c r="A162" s="92">
        <f t="shared" si="9"/>
        <v>10</v>
      </c>
      <c r="B162" s="93"/>
      <c r="C162" s="42" t="s">
        <v>352</v>
      </c>
      <c r="D162" s="74">
        <f>(37.01)*10.764</f>
        <v>398.37563999999998</v>
      </c>
      <c r="E162" s="42">
        <v>0</v>
      </c>
      <c r="F162" s="42">
        <f t="shared" si="7"/>
        <v>398.37563999999998</v>
      </c>
      <c r="G162" s="42">
        <v>0</v>
      </c>
      <c r="H162" s="42">
        <f t="shared" si="8"/>
        <v>597.56345999999996</v>
      </c>
      <c r="I162" s="36"/>
      <c r="J162" s="36">
        <f t="shared" si="3"/>
        <v>597.56345999999996</v>
      </c>
      <c r="L162" s="94"/>
      <c r="M162" s="94"/>
      <c r="N162" s="36"/>
      <c r="T162" s="21"/>
    </row>
    <row r="163" spans="1:20" s="37" customFormat="1" x14ac:dyDescent="0.35">
      <c r="A163" s="101" t="s">
        <v>388</v>
      </c>
      <c r="B163" s="102"/>
      <c r="C163" s="102"/>
      <c r="D163" s="102"/>
      <c r="E163" s="102"/>
      <c r="F163" s="102"/>
      <c r="G163" s="102"/>
      <c r="H163" s="103"/>
      <c r="J163" s="36">
        <f t="shared" si="3"/>
        <v>0</v>
      </c>
      <c r="T163" s="35"/>
    </row>
    <row r="164" spans="1:20" s="37" customFormat="1" ht="15.75" customHeight="1" x14ac:dyDescent="0.35">
      <c r="A164" s="92">
        <v>1</v>
      </c>
      <c r="B164" s="93"/>
      <c r="C164" s="42" t="s">
        <v>352</v>
      </c>
      <c r="D164" s="74">
        <f>(36.81)*10.764</f>
        <v>396.22284000000002</v>
      </c>
      <c r="E164" s="42">
        <v>0</v>
      </c>
      <c r="F164" s="42">
        <f t="shared" ref="F164:F170" si="10">D164+(IF(E164&lt;201,E164,IF(E164&lt;301,E164/2,E164/3)))</f>
        <v>396.22284000000002</v>
      </c>
      <c r="G164" s="42">
        <v>0</v>
      </c>
      <c r="H164" s="42">
        <f t="shared" ref="H164:H170" si="11">F164*(($H$127)+1)+(IF(G164&lt;101,G164,IF(G164&lt;201,G164/2,IF(G164&lt;=301,G164/3,G164/4))))</f>
        <v>594.33426000000009</v>
      </c>
      <c r="I164" s="36"/>
      <c r="J164" s="36">
        <f t="shared" si="3"/>
        <v>594.33426000000009</v>
      </c>
      <c r="L164" s="94"/>
      <c r="M164" s="94"/>
      <c r="N164" s="36"/>
      <c r="T164" s="35"/>
    </row>
    <row r="165" spans="1:20" s="37" customFormat="1" ht="15.75" customHeight="1" x14ac:dyDescent="0.35">
      <c r="A165" s="92">
        <f t="shared" ref="A165:A173" si="12">A164+1</f>
        <v>2</v>
      </c>
      <c r="B165" s="93"/>
      <c r="C165" s="42" t="s">
        <v>352</v>
      </c>
      <c r="D165" s="74">
        <f>(57.96)*10.764</f>
        <v>623.88144</v>
      </c>
      <c r="E165" s="42">
        <v>0</v>
      </c>
      <c r="F165" s="42">
        <f t="shared" si="10"/>
        <v>623.88144</v>
      </c>
      <c r="G165" s="42">
        <v>0</v>
      </c>
      <c r="H165" s="42">
        <f t="shared" si="11"/>
        <v>935.82215999999994</v>
      </c>
      <c r="I165" s="36"/>
      <c r="J165" s="36">
        <f t="shared" si="3"/>
        <v>935.82215999999994</v>
      </c>
      <c r="L165" s="94"/>
      <c r="M165" s="94"/>
      <c r="N165" s="36"/>
      <c r="T165" s="34"/>
    </row>
    <row r="166" spans="1:20" s="37" customFormat="1" ht="15.75" customHeight="1" x14ac:dyDescent="0.35">
      <c r="A166" s="92">
        <f t="shared" si="12"/>
        <v>3</v>
      </c>
      <c r="B166" s="93"/>
      <c r="C166" s="42" t="s">
        <v>352</v>
      </c>
      <c r="D166" s="74">
        <f>(57.35)*10.764</f>
        <v>617.31539999999995</v>
      </c>
      <c r="E166" s="42">
        <v>0</v>
      </c>
      <c r="F166" s="42">
        <f t="shared" si="10"/>
        <v>617.31539999999995</v>
      </c>
      <c r="G166" s="42">
        <v>0</v>
      </c>
      <c r="H166" s="42">
        <f t="shared" si="11"/>
        <v>925.97309999999993</v>
      </c>
      <c r="I166" s="36"/>
      <c r="J166" s="36">
        <f t="shared" si="3"/>
        <v>925.97309999999993</v>
      </c>
      <c r="L166" s="94"/>
      <c r="M166" s="94"/>
      <c r="N166" s="36"/>
      <c r="T166" s="21"/>
    </row>
    <row r="167" spans="1:20" s="37" customFormat="1" ht="15.75" customHeight="1" x14ac:dyDescent="0.35">
      <c r="A167" s="92">
        <f t="shared" si="12"/>
        <v>4</v>
      </c>
      <c r="B167" s="93"/>
      <c r="C167" s="42" t="s">
        <v>352</v>
      </c>
      <c r="D167" s="74">
        <f>(57.13)*10.764</f>
        <v>614.94731999999999</v>
      </c>
      <c r="E167" s="42">
        <v>0</v>
      </c>
      <c r="F167" s="42">
        <f t="shared" si="10"/>
        <v>614.94731999999999</v>
      </c>
      <c r="G167" s="42">
        <v>0</v>
      </c>
      <c r="H167" s="42">
        <f t="shared" si="11"/>
        <v>922.42097999999999</v>
      </c>
      <c r="I167" s="36"/>
      <c r="J167" s="36">
        <f t="shared" si="3"/>
        <v>922.42097999999999</v>
      </c>
      <c r="L167" s="94"/>
      <c r="M167" s="94"/>
      <c r="N167" s="36"/>
      <c r="T167" s="21"/>
    </row>
    <row r="168" spans="1:20" s="37" customFormat="1" ht="15.75" customHeight="1" x14ac:dyDescent="0.35">
      <c r="A168" s="92">
        <f t="shared" si="12"/>
        <v>5</v>
      </c>
      <c r="B168" s="93"/>
      <c r="C168" s="42" t="s">
        <v>352</v>
      </c>
      <c r="D168" s="74">
        <f>(56.58)*10.764</f>
        <v>609.02711999999997</v>
      </c>
      <c r="E168" s="42">
        <v>0</v>
      </c>
      <c r="F168" s="42">
        <f t="shared" si="10"/>
        <v>609.02711999999997</v>
      </c>
      <c r="G168" s="42">
        <v>0</v>
      </c>
      <c r="H168" s="42">
        <f t="shared" si="11"/>
        <v>913.54067999999995</v>
      </c>
      <c r="I168" s="36"/>
      <c r="J168" s="36">
        <f t="shared" si="3"/>
        <v>913.54067999999995</v>
      </c>
      <c r="L168" s="94"/>
      <c r="M168" s="94"/>
      <c r="N168" s="36"/>
      <c r="T168" s="34"/>
    </row>
    <row r="169" spans="1:20" s="37" customFormat="1" ht="15.75" customHeight="1" x14ac:dyDescent="0.35">
      <c r="A169" s="92">
        <f t="shared" si="12"/>
        <v>6</v>
      </c>
      <c r="B169" s="93"/>
      <c r="C169" s="42" t="s">
        <v>352</v>
      </c>
      <c r="D169" s="74">
        <f>(58.12)*10.764</f>
        <v>625.60367999999994</v>
      </c>
      <c r="E169" s="42">
        <v>0</v>
      </c>
      <c r="F169" s="42">
        <f t="shared" si="10"/>
        <v>625.60367999999994</v>
      </c>
      <c r="G169" s="42">
        <v>0</v>
      </c>
      <c r="H169" s="42">
        <f t="shared" si="11"/>
        <v>938.40551999999991</v>
      </c>
      <c r="I169" s="36"/>
      <c r="J169" s="36">
        <f t="shared" si="3"/>
        <v>938.40551999999991</v>
      </c>
      <c r="L169" s="94"/>
      <c r="M169" s="94"/>
      <c r="N169" s="36"/>
      <c r="T169" s="21"/>
    </row>
    <row r="170" spans="1:20" s="37" customFormat="1" ht="15.75" customHeight="1" x14ac:dyDescent="0.35">
      <c r="A170" s="92">
        <f t="shared" si="12"/>
        <v>7</v>
      </c>
      <c r="B170" s="93"/>
      <c r="C170" s="42" t="s">
        <v>352</v>
      </c>
      <c r="D170" s="74">
        <f>(36.15)*10.764</f>
        <v>389.11859999999996</v>
      </c>
      <c r="E170" s="42">
        <v>0</v>
      </c>
      <c r="F170" s="42">
        <f t="shared" si="10"/>
        <v>389.11859999999996</v>
      </c>
      <c r="G170" s="42">
        <v>0</v>
      </c>
      <c r="H170" s="42">
        <f t="shared" si="11"/>
        <v>583.67789999999991</v>
      </c>
      <c r="I170" s="36"/>
      <c r="J170" s="36">
        <f t="shared" si="3"/>
        <v>583.67789999999991</v>
      </c>
      <c r="L170" s="94"/>
      <c r="M170" s="94"/>
      <c r="N170" s="36"/>
      <c r="T170" s="21"/>
    </row>
    <row r="171" spans="1:20" s="37" customFormat="1" ht="15.75" customHeight="1" x14ac:dyDescent="0.35">
      <c r="A171" s="92">
        <f t="shared" si="12"/>
        <v>8</v>
      </c>
      <c r="B171" s="93"/>
      <c r="C171" s="95" t="s">
        <v>389</v>
      </c>
      <c r="D171" s="96"/>
      <c r="E171" s="96"/>
      <c r="F171" s="96"/>
      <c r="G171" s="96"/>
      <c r="H171" s="97"/>
      <c r="I171" s="36"/>
      <c r="J171" s="36">
        <f t="shared" si="3"/>
        <v>0</v>
      </c>
      <c r="L171" s="94"/>
      <c r="M171" s="94"/>
      <c r="N171" s="36"/>
      <c r="T171" s="21"/>
    </row>
    <row r="172" spans="1:20" s="37" customFormat="1" ht="15.75" customHeight="1" x14ac:dyDescent="0.35">
      <c r="A172" s="92">
        <f t="shared" si="12"/>
        <v>9</v>
      </c>
      <c r="B172" s="93"/>
      <c r="C172" s="105"/>
      <c r="D172" s="106"/>
      <c r="E172" s="106"/>
      <c r="F172" s="106"/>
      <c r="G172" s="106"/>
      <c r="H172" s="107"/>
      <c r="I172" s="36"/>
      <c r="J172" s="36">
        <f t="shared" si="3"/>
        <v>0</v>
      </c>
      <c r="L172" s="94"/>
      <c r="M172" s="94"/>
      <c r="N172" s="36"/>
      <c r="T172" s="21"/>
    </row>
    <row r="173" spans="1:20" s="37" customFormat="1" ht="15.75" customHeight="1" x14ac:dyDescent="0.35">
      <c r="A173" s="92">
        <f t="shared" si="12"/>
        <v>10</v>
      </c>
      <c r="B173" s="93"/>
      <c r="C173" s="98"/>
      <c r="D173" s="99"/>
      <c r="E173" s="99"/>
      <c r="F173" s="99"/>
      <c r="G173" s="99"/>
      <c r="H173" s="100"/>
      <c r="I173" s="36"/>
      <c r="J173" s="36">
        <f t="shared" si="3"/>
        <v>0</v>
      </c>
      <c r="L173" s="94"/>
      <c r="M173" s="94"/>
      <c r="N173" s="36"/>
      <c r="T173" s="21"/>
    </row>
    <row r="174" spans="1:20" s="37" customFormat="1" x14ac:dyDescent="0.35">
      <c r="A174" s="108" t="s">
        <v>390</v>
      </c>
      <c r="B174" s="108"/>
      <c r="C174" s="108"/>
      <c r="D174" s="108"/>
      <c r="E174" s="108"/>
      <c r="F174" s="108"/>
      <c r="G174" s="108"/>
      <c r="H174" s="108"/>
      <c r="J174" s="36">
        <f t="shared" si="3"/>
        <v>0</v>
      </c>
      <c r="T174" s="35"/>
    </row>
    <row r="175" spans="1:20" s="37" customFormat="1" ht="15.75" customHeight="1" x14ac:dyDescent="0.35">
      <c r="A175" s="104">
        <v>1</v>
      </c>
      <c r="B175" s="104"/>
      <c r="C175" s="42" t="s">
        <v>352</v>
      </c>
      <c r="D175" s="74">
        <f>(36.81)*10.764</f>
        <v>396.22284000000002</v>
      </c>
      <c r="E175" s="42">
        <v>0</v>
      </c>
      <c r="F175" s="42">
        <f t="shared" ref="F175:F184" si="13">D175+(IF(E175&lt;201,E175,IF(E175&lt;301,E175/2,E175/3)))</f>
        <v>396.22284000000002</v>
      </c>
      <c r="G175" s="42">
        <v>0</v>
      </c>
      <c r="H175" s="42">
        <f t="shared" ref="H175:H184" si="14">F175*(($H$127)+1)+(IF(G175&lt;101,G175,IF(G175&lt;201,G175/2,IF(G175&lt;=301,G175/3,G175/4))))</f>
        <v>594.33426000000009</v>
      </c>
      <c r="I175" s="36"/>
      <c r="J175" s="36">
        <f t="shared" si="3"/>
        <v>594.33426000000009</v>
      </c>
      <c r="L175" s="94"/>
      <c r="M175" s="94"/>
      <c r="N175" s="36"/>
      <c r="T175" s="35"/>
    </row>
    <row r="176" spans="1:20" s="37" customFormat="1" ht="15.75" customHeight="1" x14ac:dyDescent="0.35">
      <c r="A176" s="104">
        <f t="shared" ref="A176:A184" si="15">A175+1</f>
        <v>2</v>
      </c>
      <c r="B176" s="104"/>
      <c r="C176" s="42" t="s">
        <v>352</v>
      </c>
      <c r="D176" s="74">
        <f>(56.87-(5.45*2.27))*10.764</f>
        <v>478.98185399999988</v>
      </c>
      <c r="E176" s="42">
        <v>0</v>
      </c>
      <c r="F176" s="42">
        <f t="shared" si="13"/>
        <v>478.98185399999988</v>
      </c>
      <c r="G176" s="74">
        <f>(5.45*2.27)*10.764</f>
        <v>133.16682600000001</v>
      </c>
      <c r="H176" s="42">
        <f t="shared" si="14"/>
        <v>785.05619399999978</v>
      </c>
      <c r="I176" s="36"/>
      <c r="J176" s="36">
        <f t="shared" si="3"/>
        <v>718.47278099999983</v>
      </c>
      <c r="L176" s="94"/>
      <c r="M176" s="94"/>
      <c r="N176" s="36"/>
      <c r="T176" s="34"/>
    </row>
    <row r="177" spans="1:20" s="37" customFormat="1" ht="15.75" customHeight="1" x14ac:dyDescent="0.35">
      <c r="A177" s="104">
        <f t="shared" si="15"/>
        <v>3</v>
      </c>
      <c r="B177" s="104"/>
      <c r="C177" s="42" t="s">
        <v>352</v>
      </c>
      <c r="D177" s="74">
        <f>(56.31-(5.4*0.2+5.21*2.07))*10.764</f>
        <v>478.40920920000002</v>
      </c>
      <c r="E177" s="42">
        <v>0</v>
      </c>
      <c r="F177" s="42">
        <f t="shared" si="13"/>
        <v>478.40920920000002</v>
      </c>
      <c r="G177" s="74">
        <f>(5.4*0.2+5.21*2.07)*10.764</f>
        <v>127.71163079999998</v>
      </c>
      <c r="H177" s="42">
        <f t="shared" si="14"/>
        <v>781.46962919999999</v>
      </c>
      <c r="I177" s="36"/>
      <c r="J177" s="36">
        <f t="shared" si="3"/>
        <v>717.6138138</v>
      </c>
      <c r="L177" s="94"/>
      <c r="M177" s="94"/>
      <c r="N177" s="36"/>
      <c r="T177" s="21"/>
    </row>
    <row r="178" spans="1:20" s="37" customFormat="1" ht="15.75" customHeight="1" x14ac:dyDescent="0.35">
      <c r="A178" s="104">
        <f t="shared" si="15"/>
        <v>4</v>
      </c>
      <c r="B178" s="104"/>
      <c r="C178" s="42" t="s">
        <v>352</v>
      </c>
      <c r="D178" s="74">
        <f>(57.13)*10.764</f>
        <v>614.94731999999999</v>
      </c>
      <c r="E178" s="42">
        <v>0</v>
      </c>
      <c r="F178" s="42">
        <f t="shared" si="13"/>
        <v>614.94731999999999</v>
      </c>
      <c r="G178" s="42">
        <v>0</v>
      </c>
      <c r="H178" s="42">
        <f t="shared" si="14"/>
        <v>922.42097999999999</v>
      </c>
      <c r="I178" s="36"/>
      <c r="J178" s="36">
        <f t="shared" si="3"/>
        <v>922.42097999999999</v>
      </c>
      <c r="L178" s="94"/>
      <c r="M178" s="94"/>
      <c r="N178" s="36"/>
      <c r="T178" s="21"/>
    </row>
    <row r="179" spans="1:20" s="37" customFormat="1" ht="15.75" customHeight="1" x14ac:dyDescent="0.35">
      <c r="A179" s="104">
        <f t="shared" si="15"/>
        <v>5</v>
      </c>
      <c r="B179" s="104"/>
      <c r="C179" s="42" t="s">
        <v>352</v>
      </c>
      <c r="D179" s="74">
        <f>(56.58)*10.764</f>
        <v>609.02711999999997</v>
      </c>
      <c r="E179" s="42">
        <v>0</v>
      </c>
      <c r="F179" s="42">
        <f t="shared" si="13"/>
        <v>609.02711999999997</v>
      </c>
      <c r="G179" s="42">
        <v>0</v>
      </c>
      <c r="H179" s="42">
        <f t="shared" si="14"/>
        <v>913.54067999999995</v>
      </c>
      <c r="I179" s="36"/>
      <c r="J179" s="36">
        <f t="shared" si="3"/>
        <v>913.54067999999995</v>
      </c>
      <c r="L179" s="94"/>
      <c r="M179" s="94"/>
      <c r="N179" s="36"/>
      <c r="T179" s="34"/>
    </row>
    <row r="180" spans="1:20" s="37" customFormat="1" ht="15.75" customHeight="1" x14ac:dyDescent="0.35">
      <c r="A180" s="104">
        <f t="shared" si="15"/>
        <v>6</v>
      </c>
      <c r="B180" s="104"/>
      <c r="C180" s="42" t="s">
        <v>352</v>
      </c>
      <c r="D180" s="74">
        <f>(58.12)*10.764</f>
        <v>625.60367999999994</v>
      </c>
      <c r="E180" s="42">
        <v>0</v>
      </c>
      <c r="F180" s="42">
        <f t="shared" si="13"/>
        <v>625.60367999999994</v>
      </c>
      <c r="G180" s="42">
        <v>0</v>
      </c>
      <c r="H180" s="42">
        <f t="shared" si="14"/>
        <v>938.40551999999991</v>
      </c>
      <c r="I180" s="36"/>
      <c r="J180" s="36">
        <f t="shared" si="3"/>
        <v>938.40551999999991</v>
      </c>
      <c r="L180" s="94"/>
      <c r="M180" s="94"/>
      <c r="N180" s="36"/>
      <c r="T180" s="21"/>
    </row>
    <row r="181" spans="1:20" s="37" customFormat="1" ht="15.75" customHeight="1" x14ac:dyDescent="0.35">
      <c r="A181" s="104">
        <f t="shared" si="15"/>
        <v>7</v>
      </c>
      <c r="B181" s="104"/>
      <c r="C181" s="42" t="s">
        <v>352</v>
      </c>
      <c r="D181" s="74">
        <f>(56.89)*10.764</f>
        <v>612.36396000000002</v>
      </c>
      <c r="E181" s="42">
        <v>0</v>
      </c>
      <c r="F181" s="42">
        <f t="shared" si="13"/>
        <v>612.36396000000002</v>
      </c>
      <c r="G181" s="42">
        <v>0</v>
      </c>
      <c r="H181" s="42">
        <f t="shared" si="14"/>
        <v>918.54593999999997</v>
      </c>
      <c r="I181" s="36"/>
      <c r="J181" s="36">
        <f t="shared" si="3"/>
        <v>918.54593999999997</v>
      </c>
      <c r="L181" s="94"/>
      <c r="M181" s="94"/>
      <c r="N181" s="36"/>
      <c r="T181" s="21"/>
    </row>
    <row r="182" spans="1:20" s="37" customFormat="1" ht="15.75" customHeight="1" x14ac:dyDescent="0.35">
      <c r="A182" s="104">
        <f t="shared" si="15"/>
        <v>8</v>
      </c>
      <c r="B182" s="104"/>
      <c r="C182" s="42" t="s">
        <v>352</v>
      </c>
      <c r="D182" s="74">
        <f>(57.44)*10.764</f>
        <v>618.28415999999993</v>
      </c>
      <c r="E182" s="42">
        <v>0</v>
      </c>
      <c r="F182" s="42">
        <f t="shared" si="13"/>
        <v>618.28415999999993</v>
      </c>
      <c r="G182" s="42">
        <v>0</v>
      </c>
      <c r="H182" s="42">
        <f t="shared" si="14"/>
        <v>927.42623999999989</v>
      </c>
      <c r="I182" s="36"/>
      <c r="J182" s="36">
        <f t="shared" si="3"/>
        <v>927.42623999999989</v>
      </c>
      <c r="L182" s="94"/>
      <c r="M182" s="94"/>
      <c r="N182" s="36"/>
      <c r="T182" s="21"/>
    </row>
    <row r="183" spans="1:20" s="37" customFormat="1" ht="15.75" customHeight="1" x14ac:dyDescent="0.35">
      <c r="A183" s="92">
        <f t="shared" si="15"/>
        <v>9</v>
      </c>
      <c r="B183" s="93"/>
      <c r="C183" s="42" t="s">
        <v>352</v>
      </c>
      <c r="D183" s="74">
        <f>(57.48)*10.764</f>
        <v>618.71471999999994</v>
      </c>
      <c r="E183" s="42">
        <v>0</v>
      </c>
      <c r="F183" s="42">
        <f t="shared" si="13"/>
        <v>618.71471999999994</v>
      </c>
      <c r="G183" s="42">
        <v>0</v>
      </c>
      <c r="H183" s="42">
        <f t="shared" si="14"/>
        <v>928.07207999999991</v>
      </c>
      <c r="I183" s="36"/>
      <c r="J183" s="36">
        <f t="shared" si="3"/>
        <v>928.07207999999991</v>
      </c>
      <c r="L183" s="94"/>
      <c r="M183" s="94"/>
      <c r="N183" s="36"/>
      <c r="T183" s="21"/>
    </row>
    <row r="184" spans="1:20" s="37" customFormat="1" ht="15.75" customHeight="1" x14ac:dyDescent="0.35">
      <c r="A184" s="92">
        <f t="shared" si="15"/>
        <v>10</v>
      </c>
      <c r="B184" s="93"/>
      <c r="C184" s="42" t="s">
        <v>352</v>
      </c>
      <c r="D184" s="74">
        <f>(37.01)*10.764</f>
        <v>398.37563999999998</v>
      </c>
      <c r="E184" s="42">
        <v>0</v>
      </c>
      <c r="F184" s="42">
        <f t="shared" si="13"/>
        <v>398.37563999999998</v>
      </c>
      <c r="G184" s="42">
        <v>0</v>
      </c>
      <c r="H184" s="42">
        <f t="shared" si="14"/>
        <v>597.56345999999996</v>
      </c>
      <c r="I184" s="36"/>
      <c r="J184" s="36">
        <f t="shared" si="3"/>
        <v>597.56345999999996</v>
      </c>
      <c r="L184" s="94"/>
      <c r="M184" s="94"/>
      <c r="N184" s="36"/>
      <c r="T184" s="21"/>
    </row>
    <row r="185" spans="1:20" s="37" customFormat="1" x14ac:dyDescent="0.35">
      <c r="A185" s="101" t="s">
        <v>391</v>
      </c>
      <c r="B185" s="102"/>
      <c r="C185" s="102"/>
      <c r="D185" s="102"/>
      <c r="E185" s="102"/>
      <c r="F185" s="102"/>
      <c r="G185" s="102"/>
      <c r="H185" s="103"/>
      <c r="J185" s="36">
        <f t="shared" si="3"/>
        <v>0</v>
      </c>
      <c r="T185" s="35"/>
    </row>
    <row r="186" spans="1:20" s="37" customFormat="1" ht="15.75" customHeight="1" x14ac:dyDescent="0.35">
      <c r="A186" s="92">
        <v>1</v>
      </c>
      <c r="B186" s="93"/>
      <c r="C186" s="42" t="s">
        <v>352</v>
      </c>
      <c r="D186" s="74">
        <f>(36.81)*10.764</f>
        <v>396.22284000000002</v>
      </c>
      <c r="E186" s="42">
        <v>0</v>
      </c>
      <c r="F186" s="42">
        <f t="shared" ref="F186:F195" si="16">D186+(IF(E186&lt;201,E186,IF(E186&lt;301,E186/2,E186/3)))</f>
        <v>396.22284000000002</v>
      </c>
      <c r="G186" s="42">
        <v>0</v>
      </c>
      <c r="H186" s="42">
        <f t="shared" ref="H186:H195" si="17">F186*(($H$127)+1)+(IF(G186&lt;101,G186,IF(G186&lt;201,G186/2,IF(G186&lt;=301,G186/3,G186/4))))</f>
        <v>594.33426000000009</v>
      </c>
      <c r="I186" s="36"/>
      <c r="J186" s="36">
        <f t="shared" si="3"/>
        <v>594.33426000000009</v>
      </c>
      <c r="L186" s="94"/>
      <c r="M186" s="94"/>
      <c r="N186" s="36"/>
      <c r="T186" s="35"/>
    </row>
    <row r="187" spans="1:20" s="37" customFormat="1" ht="15.75" customHeight="1" x14ac:dyDescent="0.35">
      <c r="A187" s="92">
        <f t="shared" ref="A187:A195" si="18">A186+1</f>
        <v>2</v>
      </c>
      <c r="B187" s="93"/>
      <c r="C187" s="42" t="s">
        <v>352</v>
      </c>
      <c r="D187" s="74">
        <f>(44.5)*10.764</f>
        <v>478.99799999999999</v>
      </c>
      <c r="E187" s="42">
        <v>0</v>
      </c>
      <c r="F187" s="42">
        <f t="shared" si="16"/>
        <v>478.99799999999999</v>
      </c>
      <c r="G187" s="42">
        <v>0</v>
      </c>
      <c r="H187" s="42">
        <f t="shared" si="17"/>
        <v>718.49699999999996</v>
      </c>
      <c r="I187" s="36"/>
      <c r="J187" s="36">
        <f t="shared" si="3"/>
        <v>718.49699999999996</v>
      </c>
      <c r="L187" s="94"/>
      <c r="M187" s="94"/>
      <c r="N187" s="36"/>
      <c r="T187" s="34"/>
    </row>
    <row r="188" spans="1:20" s="37" customFormat="1" ht="15.75" customHeight="1" x14ac:dyDescent="0.35">
      <c r="A188" s="92">
        <f t="shared" si="18"/>
        <v>3</v>
      </c>
      <c r="B188" s="93"/>
      <c r="C188" s="42" t="s">
        <v>352</v>
      </c>
      <c r="D188" s="74">
        <f>(44.44)*10.764</f>
        <v>478.35215999999997</v>
      </c>
      <c r="E188" s="42">
        <v>0</v>
      </c>
      <c r="F188" s="42">
        <f t="shared" si="16"/>
        <v>478.35215999999997</v>
      </c>
      <c r="G188" s="42">
        <v>0</v>
      </c>
      <c r="H188" s="42">
        <f t="shared" si="17"/>
        <v>717.52823999999998</v>
      </c>
      <c r="I188" s="36"/>
      <c r="J188" s="36">
        <f t="shared" si="3"/>
        <v>717.52823999999998</v>
      </c>
      <c r="L188" s="94"/>
      <c r="M188" s="94"/>
      <c r="N188" s="36"/>
      <c r="T188" s="21"/>
    </row>
    <row r="189" spans="1:20" s="37" customFormat="1" ht="15.75" customHeight="1" x14ac:dyDescent="0.35">
      <c r="A189" s="92">
        <f t="shared" si="18"/>
        <v>4</v>
      </c>
      <c r="B189" s="93"/>
      <c r="C189" s="42" t="s">
        <v>352</v>
      </c>
      <c r="D189" s="74">
        <f>(57.13)*10.764</f>
        <v>614.94731999999999</v>
      </c>
      <c r="E189" s="42">
        <v>0</v>
      </c>
      <c r="F189" s="42">
        <f t="shared" si="16"/>
        <v>614.94731999999999</v>
      </c>
      <c r="G189" s="42">
        <v>0</v>
      </c>
      <c r="H189" s="42">
        <f t="shared" si="17"/>
        <v>922.42097999999999</v>
      </c>
      <c r="I189" s="36"/>
      <c r="J189" s="36">
        <f t="shared" si="3"/>
        <v>922.42097999999999</v>
      </c>
      <c r="L189" s="94"/>
      <c r="M189" s="94"/>
      <c r="N189" s="36"/>
      <c r="T189" s="21"/>
    </row>
    <row r="190" spans="1:20" s="37" customFormat="1" ht="15.75" customHeight="1" x14ac:dyDescent="0.35">
      <c r="A190" s="92">
        <f t="shared" si="18"/>
        <v>5</v>
      </c>
      <c r="B190" s="93"/>
      <c r="C190" s="42" t="s">
        <v>352</v>
      </c>
      <c r="D190" s="74">
        <f>(56.58)*10.764</f>
        <v>609.02711999999997</v>
      </c>
      <c r="E190" s="42">
        <v>0</v>
      </c>
      <c r="F190" s="42">
        <f t="shared" si="16"/>
        <v>609.02711999999997</v>
      </c>
      <c r="G190" s="42">
        <v>0</v>
      </c>
      <c r="H190" s="42">
        <f t="shared" si="17"/>
        <v>913.54067999999995</v>
      </c>
      <c r="I190" s="36"/>
      <c r="J190" s="36">
        <f t="shared" si="3"/>
        <v>913.54067999999995</v>
      </c>
      <c r="L190" s="94"/>
      <c r="M190" s="94"/>
      <c r="N190" s="36"/>
      <c r="T190" s="34"/>
    </row>
    <row r="191" spans="1:20" s="37" customFormat="1" ht="15.75" customHeight="1" x14ac:dyDescent="0.35">
      <c r="A191" s="92">
        <f t="shared" si="18"/>
        <v>6</v>
      </c>
      <c r="B191" s="93"/>
      <c r="C191" s="42" t="s">
        <v>352</v>
      </c>
      <c r="D191" s="74">
        <f>(58.12)*10.764</f>
        <v>625.60367999999994</v>
      </c>
      <c r="E191" s="42">
        <v>0</v>
      </c>
      <c r="F191" s="42">
        <f t="shared" si="16"/>
        <v>625.60367999999994</v>
      </c>
      <c r="G191" s="42">
        <v>0</v>
      </c>
      <c r="H191" s="42">
        <f t="shared" si="17"/>
        <v>938.40551999999991</v>
      </c>
      <c r="I191" s="36"/>
      <c r="J191" s="36">
        <f t="shared" si="3"/>
        <v>938.40551999999991</v>
      </c>
      <c r="L191" s="94"/>
      <c r="M191" s="94"/>
      <c r="N191" s="36"/>
      <c r="T191" s="21"/>
    </row>
    <row r="192" spans="1:20" s="37" customFormat="1" ht="15.75" customHeight="1" x14ac:dyDescent="0.35">
      <c r="A192" s="92">
        <f t="shared" si="18"/>
        <v>7</v>
      </c>
      <c r="B192" s="93"/>
      <c r="C192" s="42" t="s">
        <v>352</v>
      </c>
      <c r="D192" s="74">
        <f>(56.89)*10.764</f>
        <v>612.36396000000002</v>
      </c>
      <c r="E192" s="42">
        <v>0</v>
      </c>
      <c r="F192" s="42">
        <f t="shared" si="16"/>
        <v>612.36396000000002</v>
      </c>
      <c r="G192" s="42">
        <v>0</v>
      </c>
      <c r="H192" s="42">
        <f t="shared" si="17"/>
        <v>918.54593999999997</v>
      </c>
      <c r="I192" s="36"/>
      <c r="J192" s="36">
        <f t="shared" si="3"/>
        <v>918.54593999999997</v>
      </c>
      <c r="L192" s="94"/>
      <c r="M192" s="94"/>
      <c r="N192" s="36"/>
      <c r="T192" s="21"/>
    </row>
    <row r="193" spans="1:20" s="37" customFormat="1" ht="15.75" customHeight="1" x14ac:dyDescent="0.35">
      <c r="A193" s="92">
        <f t="shared" si="18"/>
        <v>8</v>
      </c>
      <c r="B193" s="93"/>
      <c r="C193" s="42" t="s">
        <v>352</v>
      </c>
      <c r="D193" s="74">
        <f>(57.44)*10.764</f>
        <v>618.28415999999993</v>
      </c>
      <c r="E193" s="42">
        <v>0</v>
      </c>
      <c r="F193" s="42">
        <f t="shared" si="16"/>
        <v>618.28415999999993</v>
      </c>
      <c r="G193" s="42">
        <v>0</v>
      </c>
      <c r="H193" s="42">
        <f t="shared" si="17"/>
        <v>927.42623999999989</v>
      </c>
      <c r="I193" s="36"/>
      <c r="J193" s="36">
        <f t="shared" si="3"/>
        <v>927.42623999999989</v>
      </c>
      <c r="L193" s="94"/>
      <c r="M193" s="94"/>
      <c r="N193" s="36"/>
      <c r="T193" s="21"/>
    </row>
    <row r="194" spans="1:20" s="37" customFormat="1" ht="15.75" customHeight="1" x14ac:dyDescent="0.35">
      <c r="A194" s="92">
        <f t="shared" si="18"/>
        <v>9</v>
      </c>
      <c r="B194" s="93"/>
      <c r="C194" s="42" t="s">
        <v>352</v>
      </c>
      <c r="D194" s="74">
        <f>(57.48)*10.764</f>
        <v>618.71471999999994</v>
      </c>
      <c r="E194" s="42">
        <v>0</v>
      </c>
      <c r="F194" s="42">
        <f t="shared" si="16"/>
        <v>618.71471999999994</v>
      </c>
      <c r="G194" s="42">
        <v>0</v>
      </c>
      <c r="H194" s="42">
        <f t="shared" si="17"/>
        <v>928.07207999999991</v>
      </c>
      <c r="I194" s="36"/>
      <c r="J194" s="36">
        <f t="shared" si="3"/>
        <v>928.07207999999991</v>
      </c>
      <c r="L194" s="94"/>
      <c r="M194" s="94"/>
      <c r="N194" s="36"/>
      <c r="T194" s="21"/>
    </row>
    <row r="195" spans="1:20" s="37" customFormat="1" ht="15.75" customHeight="1" x14ac:dyDescent="0.35">
      <c r="A195" s="92">
        <f t="shared" si="18"/>
        <v>10</v>
      </c>
      <c r="B195" s="93"/>
      <c r="C195" s="42" t="s">
        <v>352</v>
      </c>
      <c r="D195" s="74">
        <f>(37.01)*10.764</f>
        <v>398.37563999999998</v>
      </c>
      <c r="E195" s="42">
        <v>0</v>
      </c>
      <c r="F195" s="42">
        <f t="shared" si="16"/>
        <v>398.37563999999998</v>
      </c>
      <c r="G195" s="42">
        <v>0</v>
      </c>
      <c r="H195" s="42">
        <f t="shared" si="17"/>
        <v>597.56345999999996</v>
      </c>
      <c r="I195" s="36"/>
      <c r="J195" s="36">
        <f t="shared" si="3"/>
        <v>597.56345999999996</v>
      </c>
      <c r="L195" s="94"/>
      <c r="M195" s="94"/>
      <c r="N195" s="36"/>
      <c r="T195" s="21"/>
    </row>
    <row r="196" spans="1:20" s="37" customFormat="1" x14ac:dyDescent="0.35">
      <c r="A196" s="101" t="s">
        <v>392</v>
      </c>
      <c r="B196" s="102"/>
      <c r="C196" s="102"/>
      <c r="D196" s="102"/>
      <c r="E196" s="102"/>
      <c r="F196" s="102"/>
      <c r="G196" s="102"/>
      <c r="H196" s="103"/>
      <c r="J196" s="36">
        <f t="shared" si="3"/>
        <v>0</v>
      </c>
      <c r="T196" s="35"/>
    </row>
    <row r="197" spans="1:20" s="37" customFormat="1" ht="15.75" customHeight="1" x14ac:dyDescent="0.35">
      <c r="A197" s="92">
        <v>1</v>
      </c>
      <c r="B197" s="93"/>
      <c r="C197" s="95" t="s">
        <v>389</v>
      </c>
      <c r="D197" s="96"/>
      <c r="E197" s="96"/>
      <c r="F197" s="96"/>
      <c r="G197" s="96"/>
      <c r="H197" s="97"/>
      <c r="I197" s="36"/>
      <c r="J197" s="36">
        <f t="shared" ref="J197:J260" si="19">F197*1.5</f>
        <v>0</v>
      </c>
      <c r="L197" s="94"/>
      <c r="M197" s="94"/>
      <c r="N197" s="36"/>
      <c r="T197" s="35"/>
    </row>
    <row r="198" spans="1:20" s="37" customFormat="1" ht="15.75" customHeight="1" x14ac:dyDescent="0.35">
      <c r="A198" s="92">
        <f t="shared" ref="A198:A206" si="20">A197+1</f>
        <v>2</v>
      </c>
      <c r="B198" s="93"/>
      <c r="C198" s="98"/>
      <c r="D198" s="99"/>
      <c r="E198" s="99"/>
      <c r="F198" s="99"/>
      <c r="G198" s="99"/>
      <c r="H198" s="100"/>
      <c r="I198" s="36"/>
      <c r="J198" s="36">
        <f t="shared" si="19"/>
        <v>0</v>
      </c>
      <c r="L198" s="94"/>
      <c r="M198" s="94"/>
      <c r="N198" s="36"/>
      <c r="T198" s="34"/>
    </row>
    <row r="199" spans="1:20" s="37" customFormat="1" ht="15.75" customHeight="1" x14ac:dyDescent="0.35">
      <c r="A199" s="92">
        <f t="shared" si="20"/>
        <v>3</v>
      </c>
      <c r="B199" s="93"/>
      <c r="C199" s="42" t="s">
        <v>352</v>
      </c>
      <c r="D199" s="74">
        <f>(44.44)*10.764</f>
        <v>478.35215999999997</v>
      </c>
      <c r="E199" s="42">
        <v>0</v>
      </c>
      <c r="F199" s="42">
        <f t="shared" ref="F199:F204" si="21">D199+(IF(E199&lt;201,E199,IF(E199&lt;301,E199/2,E199/3)))</f>
        <v>478.35215999999997</v>
      </c>
      <c r="G199" s="42">
        <v>0</v>
      </c>
      <c r="H199" s="42">
        <f t="shared" ref="H199:H204" si="22">F199*(($H$127)+1)+(IF(G199&lt;101,G199,IF(G199&lt;201,G199/2,IF(G199&lt;=301,G199/3,G199/4))))</f>
        <v>717.52823999999998</v>
      </c>
      <c r="I199" s="36"/>
      <c r="J199" s="36">
        <f t="shared" si="19"/>
        <v>717.52823999999998</v>
      </c>
      <c r="L199" s="94"/>
      <c r="M199" s="94"/>
      <c r="N199" s="36"/>
      <c r="T199" s="21"/>
    </row>
    <row r="200" spans="1:20" s="37" customFormat="1" ht="15.75" customHeight="1" x14ac:dyDescent="0.35">
      <c r="A200" s="92">
        <f t="shared" si="20"/>
        <v>4</v>
      </c>
      <c r="B200" s="93"/>
      <c r="C200" s="42" t="s">
        <v>352</v>
      </c>
      <c r="D200" s="74">
        <f>(57.13)*10.764</f>
        <v>614.94731999999999</v>
      </c>
      <c r="E200" s="42">
        <v>0</v>
      </c>
      <c r="F200" s="42">
        <f t="shared" si="21"/>
        <v>614.94731999999999</v>
      </c>
      <c r="G200" s="42">
        <v>0</v>
      </c>
      <c r="H200" s="42">
        <f t="shared" si="22"/>
        <v>922.42097999999999</v>
      </c>
      <c r="I200" s="36"/>
      <c r="J200" s="36">
        <f t="shared" si="19"/>
        <v>922.42097999999999</v>
      </c>
      <c r="L200" s="94"/>
      <c r="M200" s="94"/>
      <c r="N200" s="36"/>
      <c r="T200" s="21"/>
    </row>
    <row r="201" spans="1:20" s="37" customFormat="1" ht="15.75" customHeight="1" x14ac:dyDescent="0.35">
      <c r="A201" s="92">
        <f t="shared" si="20"/>
        <v>5</v>
      </c>
      <c r="B201" s="93"/>
      <c r="C201" s="42" t="s">
        <v>352</v>
      </c>
      <c r="D201" s="74">
        <f>(56.58)*10.764</f>
        <v>609.02711999999997</v>
      </c>
      <c r="E201" s="42">
        <v>0</v>
      </c>
      <c r="F201" s="42">
        <f t="shared" si="21"/>
        <v>609.02711999999997</v>
      </c>
      <c r="G201" s="42">
        <v>0</v>
      </c>
      <c r="H201" s="42">
        <f t="shared" si="22"/>
        <v>913.54067999999995</v>
      </c>
      <c r="I201" s="36"/>
      <c r="J201" s="36">
        <f t="shared" si="19"/>
        <v>913.54067999999995</v>
      </c>
      <c r="L201" s="94"/>
      <c r="M201" s="94"/>
      <c r="N201" s="36"/>
      <c r="T201" s="34"/>
    </row>
    <row r="202" spans="1:20" s="37" customFormat="1" ht="15.75" customHeight="1" x14ac:dyDescent="0.35">
      <c r="A202" s="92">
        <f t="shared" si="20"/>
        <v>6</v>
      </c>
      <c r="B202" s="93"/>
      <c r="C202" s="42" t="s">
        <v>352</v>
      </c>
      <c r="D202" s="74">
        <f>(58.12)*10.764</f>
        <v>625.60367999999994</v>
      </c>
      <c r="E202" s="42">
        <v>0</v>
      </c>
      <c r="F202" s="42">
        <f t="shared" si="21"/>
        <v>625.60367999999994</v>
      </c>
      <c r="G202" s="42">
        <v>0</v>
      </c>
      <c r="H202" s="42">
        <f t="shared" si="22"/>
        <v>938.40551999999991</v>
      </c>
      <c r="I202" s="36"/>
      <c r="J202" s="36">
        <f t="shared" si="19"/>
        <v>938.40551999999991</v>
      </c>
      <c r="L202" s="94"/>
      <c r="M202" s="94"/>
      <c r="N202" s="36"/>
      <c r="T202" s="21"/>
    </row>
    <row r="203" spans="1:20" s="37" customFormat="1" ht="15.75" customHeight="1" x14ac:dyDescent="0.35">
      <c r="A203" s="92">
        <f t="shared" si="20"/>
        <v>7</v>
      </c>
      <c r="B203" s="93"/>
      <c r="C203" s="42" t="s">
        <v>352</v>
      </c>
      <c r="D203" s="74">
        <f>(56.89)*10.764</f>
        <v>612.36396000000002</v>
      </c>
      <c r="E203" s="42">
        <v>0</v>
      </c>
      <c r="F203" s="42">
        <f t="shared" si="21"/>
        <v>612.36396000000002</v>
      </c>
      <c r="G203" s="42">
        <v>0</v>
      </c>
      <c r="H203" s="42">
        <f t="shared" si="22"/>
        <v>918.54593999999997</v>
      </c>
      <c r="I203" s="36"/>
      <c r="J203" s="36">
        <f t="shared" si="19"/>
        <v>918.54593999999997</v>
      </c>
      <c r="L203" s="94"/>
      <c r="M203" s="94"/>
      <c r="N203" s="36"/>
      <c r="T203" s="21"/>
    </row>
    <row r="204" spans="1:20" s="37" customFormat="1" ht="15.75" customHeight="1" x14ac:dyDescent="0.35">
      <c r="A204" s="92">
        <f t="shared" si="20"/>
        <v>8</v>
      </c>
      <c r="B204" s="93"/>
      <c r="C204" s="42" t="s">
        <v>352</v>
      </c>
      <c r="D204" s="74">
        <f>(57.44)*10.764</f>
        <v>618.28415999999993</v>
      </c>
      <c r="E204" s="42">
        <v>0</v>
      </c>
      <c r="F204" s="42">
        <f t="shared" si="21"/>
        <v>618.28415999999993</v>
      </c>
      <c r="G204" s="42">
        <v>0</v>
      </c>
      <c r="H204" s="42">
        <f t="shared" si="22"/>
        <v>927.42623999999989</v>
      </c>
      <c r="I204" s="36"/>
      <c r="J204" s="36">
        <f t="shared" si="19"/>
        <v>927.42623999999989</v>
      </c>
      <c r="L204" s="94"/>
      <c r="M204" s="94"/>
      <c r="N204" s="36"/>
      <c r="T204" s="21"/>
    </row>
    <row r="205" spans="1:20" s="37" customFormat="1" ht="15.75" customHeight="1" x14ac:dyDescent="0.35">
      <c r="A205" s="92">
        <f t="shared" si="20"/>
        <v>9</v>
      </c>
      <c r="B205" s="93"/>
      <c r="C205" s="95" t="s">
        <v>389</v>
      </c>
      <c r="D205" s="96"/>
      <c r="E205" s="96"/>
      <c r="F205" s="96"/>
      <c r="G205" s="96"/>
      <c r="H205" s="97"/>
      <c r="I205" s="36"/>
      <c r="J205" s="36">
        <f t="shared" si="19"/>
        <v>0</v>
      </c>
      <c r="L205" s="94"/>
      <c r="M205" s="94"/>
      <c r="N205" s="36"/>
      <c r="T205" s="21"/>
    </row>
    <row r="206" spans="1:20" s="37" customFormat="1" ht="15.75" customHeight="1" x14ac:dyDescent="0.35">
      <c r="A206" s="92">
        <f t="shared" si="20"/>
        <v>10</v>
      </c>
      <c r="B206" s="93"/>
      <c r="C206" s="98"/>
      <c r="D206" s="99"/>
      <c r="E206" s="99"/>
      <c r="F206" s="99"/>
      <c r="G206" s="99"/>
      <c r="H206" s="100"/>
      <c r="I206" s="36"/>
      <c r="J206" s="36">
        <f t="shared" si="19"/>
        <v>0</v>
      </c>
      <c r="L206" s="94"/>
      <c r="M206" s="94"/>
      <c r="N206" s="36"/>
      <c r="T206" s="21"/>
    </row>
    <row r="207" spans="1:20" s="37" customFormat="1" x14ac:dyDescent="0.35">
      <c r="A207" s="101" t="s">
        <v>393</v>
      </c>
      <c r="B207" s="102"/>
      <c r="C207" s="102"/>
      <c r="D207" s="102"/>
      <c r="E207" s="102"/>
      <c r="F207" s="102"/>
      <c r="G207" s="102"/>
      <c r="H207" s="103"/>
      <c r="J207" s="36">
        <f t="shared" si="19"/>
        <v>0</v>
      </c>
      <c r="T207" s="35"/>
    </row>
    <row r="208" spans="1:20" s="37" customFormat="1" ht="15.75" customHeight="1" x14ac:dyDescent="0.35">
      <c r="A208" s="92">
        <v>1</v>
      </c>
      <c r="B208" s="93"/>
      <c r="C208" s="42" t="s">
        <v>352</v>
      </c>
      <c r="D208" s="74">
        <f>(36.81)*10.764</f>
        <v>396.22284000000002</v>
      </c>
      <c r="E208" s="42">
        <v>0</v>
      </c>
      <c r="F208" s="42">
        <f t="shared" ref="F208:F227" si="23">D208+(IF(E208&lt;201,E208,IF(E208&lt;301,E208/2,E208/3)))</f>
        <v>396.22284000000002</v>
      </c>
      <c r="G208" s="42">
        <v>0</v>
      </c>
      <c r="H208" s="42">
        <f t="shared" ref="H208:H227" si="24">F208*(($H$127)+1)+(IF(G208&lt;101,G208,IF(G208&lt;201,G208/2,IF(G208&lt;=301,G208/3,G208/4))))</f>
        <v>594.33426000000009</v>
      </c>
      <c r="I208" s="36"/>
      <c r="J208" s="36">
        <f t="shared" si="19"/>
        <v>594.33426000000009</v>
      </c>
      <c r="L208" s="94"/>
      <c r="M208" s="94"/>
      <c r="N208" s="36"/>
      <c r="T208" s="35"/>
    </row>
    <row r="209" spans="1:20" s="37" customFormat="1" ht="15.75" customHeight="1" x14ac:dyDescent="0.35">
      <c r="A209" s="92">
        <f t="shared" ref="A209:A227" si="25">A208+1</f>
        <v>2</v>
      </c>
      <c r="B209" s="93"/>
      <c r="C209" s="42" t="s">
        <v>352</v>
      </c>
      <c r="D209" s="74">
        <f>(57.96)*10.764</f>
        <v>623.88144</v>
      </c>
      <c r="E209" s="42">
        <v>0</v>
      </c>
      <c r="F209" s="42">
        <f t="shared" si="23"/>
        <v>623.88144</v>
      </c>
      <c r="G209" s="42">
        <v>0</v>
      </c>
      <c r="H209" s="42">
        <f t="shared" si="24"/>
        <v>935.82215999999994</v>
      </c>
      <c r="I209" s="36"/>
      <c r="J209" s="36">
        <f t="shared" si="19"/>
        <v>935.82215999999994</v>
      </c>
      <c r="L209" s="94"/>
      <c r="M209" s="94"/>
      <c r="N209" s="36"/>
      <c r="T209" s="34"/>
    </row>
    <row r="210" spans="1:20" s="37" customFormat="1" ht="15.75" customHeight="1" x14ac:dyDescent="0.35">
      <c r="A210" s="92">
        <f t="shared" si="25"/>
        <v>3</v>
      </c>
      <c r="B210" s="93"/>
      <c r="C210" s="42" t="s">
        <v>352</v>
      </c>
      <c r="D210" s="74">
        <f>(57.35)*10.764</f>
        <v>617.31539999999995</v>
      </c>
      <c r="E210" s="42">
        <v>0</v>
      </c>
      <c r="F210" s="42">
        <f t="shared" si="23"/>
        <v>617.31539999999995</v>
      </c>
      <c r="G210" s="42">
        <v>0</v>
      </c>
      <c r="H210" s="42">
        <f t="shared" si="24"/>
        <v>925.97309999999993</v>
      </c>
      <c r="I210" s="36"/>
      <c r="J210" s="36">
        <f t="shared" si="19"/>
        <v>925.97309999999993</v>
      </c>
      <c r="L210" s="94"/>
      <c r="M210" s="94"/>
      <c r="N210" s="36"/>
      <c r="T210" s="21"/>
    </row>
    <row r="211" spans="1:20" s="37" customFormat="1" ht="15.75" customHeight="1" x14ac:dyDescent="0.35">
      <c r="A211" s="92">
        <f t="shared" si="25"/>
        <v>4</v>
      </c>
      <c r="B211" s="93"/>
      <c r="C211" s="42" t="s">
        <v>352</v>
      </c>
      <c r="D211" s="74">
        <f>(57.13)*10.764</f>
        <v>614.94731999999999</v>
      </c>
      <c r="E211" s="42">
        <v>0</v>
      </c>
      <c r="F211" s="42">
        <f t="shared" si="23"/>
        <v>614.94731999999999</v>
      </c>
      <c r="G211" s="42">
        <v>0</v>
      </c>
      <c r="H211" s="42">
        <f t="shared" si="24"/>
        <v>922.42097999999999</v>
      </c>
      <c r="I211" s="36"/>
      <c r="J211" s="36">
        <f t="shared" si="19"/>
        <v>922.42097999999999</v>
      </c>
      <c r="L211" s="94"/>
      <c r="M211" s="94"/>
      <c r="N211" s="36"/>
      <c r="T211" s="21"/>
    </row>
    <row r="212" spans="1:20" s="37" customFormat="1" ht="15.75" customHeight="1" x14ac:dyDescent="0.35">
      <c r="A212" s="92">
        <f t="shared" si="25"/>
        <v>5</v>
      </c>
      <c r="B212" s="93"/>
      <c r="C212" s="42" t="s">
        <v>352</v>
      </c>
      <c r="D212" s="74">
        <f>(56.58)*10.764</f>
        <v>609.02711999999997</v>
      </c>
      <c r="E212" s="42">
        <v>0</v>
      </c>
      <c r="F212" s="42">
        <f t="shared" si="23"/>
        <v>609.02711999999997</v>
      </c>
      <c r="G212" s="42">
        <v>0</v>
      </c>
      <c r="H212" s="42">
        <f t="shared" si="24"/>
        <v>913.54067999999995</v>
      </c>
      <c r="I212" s="36"/>
      <c r="J212" s="36">
        <f t="shared" si="19"/>
        <v>913.54067999999995</v>
      </c>
      <c r="L212" s="94"/>
      <c r="M212" s="94"/>
      <c r="N212" s="36"/>
      <c r="T212" s="34"/>
    </row>
    <row r="213" spans="1:20" s="37" customFormat="1" ht="15.75" customHeight="1" x14ac:dyDescent="0.35">
      <c r="A213" s="92">
        <f t="shared" si="25"/>
        <v>6</v>
      </c>
      <c r="B213" s="93"/>
      <c r="C213" s="42" t="s">
        <v>352</v>
      </c>
      <c r="D213" s="74">
        <f>(58.12)*10.764</f>
        <v>625.60367999999994</v>
      </c>
      <c r="E213" s="42">
        <v>0</v>
      </c>
      <c r="F213" s="42">
        <f t="shared" si="23"/>
        <v>625.60367999999994</v>
      </c>
      <c r="G213" s="42">
        <v>0</v>
      </c>
      <c r="H213" s="42">
        <f t="shared" si="24"/>
        <v>938.40551999999991</v>
      </c>
      <c r="I213" s="36"/>
      <c r="J213" s="36">
        <f t="shared" si="19"/>
        <v>938.40551999999991</v>
      </c>
      <c r="L213" s="94"/>
      <c r="M213" s="94"/>
      <c r="N213" s="36"/>
      <c r="T213" s="21"/>
    </row>
    <row r="214" spans="1:20" s="37" customFormat="1" ht="15.75" customHeight="1" x14ac:dyDescent="0.35">
      <c r="A214" s="92">
        <f t="shared" si="25"/>
        <v>7</v>
      </c>
      <c r="B214" s="93"/>
      <c r="C214" s="42" t="s">
        <v>352</v>
      </c>
      <c r="D214" s="74">
        <f>(56.89)*10.764</f>
        <v>612.36396000000002</v>
      </c>
      <c r="E214" s="42">
        <v>0</v>
      </c>
      <c r="F214" s="42">
        <f t="shared" si="23"/>
        <v>612.36396000000002</v>
      </c>
      <c r="G214" s="42">
        <v>0</v>
      </c>
      <c r="H214" s="42">
        <f t="shared" si="24"/>
        <v>918.54593999999997</v>
      </c>
      <c r="I214" s="36"/>
      <c r="J214" s="36">
        <f t="shared" si="19"/>
        <v>918.54593999999997</v>
      </c>
      <c r="L214" s="94"/>
      <c r="M214" s="94"/>
      <c r="N214" s="36"/>
      <c r="T214" s="21"/>
    </row>
    <row r="215" spans="1:20" s="37" customFormat="1" ht="15.75" customHeight="1" x14ac:dyDescent="0.35">
      <c r="A215" s="104">
        <f t="shared" si="25"/>
        <v>8</v>
      </c>
      <c r="B215" s="104"/>
      <c r="C215" s="42" t="s">
        <v>352</v>
      </c>
      <c r="D215" s="74">
        <f>(56.4-(5.45*0.2+5.24*2.07))*10.764</f>
        <v>478.60188479999999</v>
      </c>
      <c r="E215" s="42">
        <v>0</v>
      </c>
      <c r="F215" s="42">
        <f t="shared" si="23"/>
        <v>478.60188479999999</v>
      </c>
      <c r="G215" s="74">
        <f>(5.45*0.2+5.24*2.07)*10.764</f>
        <v>128.4877152</v>
      </c>
      <c r="H215" s="42">
        <f t="shared" si="24"/>
        <v>782.1466848</v>
      </c>
      <c r="I215" s="36"/>
      <c r="J215" s="36">
        <f t="shared" si="19"/>
        <v>717.90282720000005</v>
      </c>
      <c r="L215" s="94"/>
      <c r="M215" s="94"/>
      <c r="N215" s="36"/>
      <c r="T215" s="21"/>
    </row>
    <row r="216" spans="1:20" s="37" customFormat="1" ht="15.75" customHeight="1" x14ac:dyDescent="0.35">
      <c r="A216" s="104">
        <f t="shared" si="25"/>
        <v>9</v>
      </c>
      <c r="B216" s="104"/>
      <c r="C216" s="42" t="s">
        <v>352</v>
      </c>
      <c r="D216" s="74">
        <f>(56.4-(5.4*2.27))*10.764</f>
        <v>475.14448799999991</v>
      </c>
      <c r="E216" s="42">
        <v>0</v>
      </c>
      <c r="F216" s="42">
        <f t="shared" si="23"/>
        <v>475.14448799999991</v>
      </c>
      <c r="G216" s="74">
        <f>(5.4*2.27)*10.764</f>
        <v>131.94511199999999</v>
      </c>
      <c r="H216" s="42">
        <f t="shared" si="24"/>
        <v>778.68928799999981</v>
      </c>
      <c r="I216" s="36"/>
      <c r="J216" s="36">
        <f t="shared" si="19"/>
        <v>712.71673199999987</v>
      </c>
      <c r="L216" s="94"/>
      <c r="M216" s="94"/>
      <c r="N216" s="36"/>
      <c r="T216" s="34"/>
    </row>
    <row r="217" spans="1:20" s="37" customFormat="1" ht="15.75" customHeight="1" x14ac:dyDescent="0.35">
      <c r="A217" s="104">
        <f t="shared" si="25"/>
        <v>10</v>
      </c>
      <c r="B217" s="104"/>
      <c r="C217" s="42" t="s">
        <v>352</v>
      </c>
      <c r="D217" s="74">
        <f>(37.01)*10.764</f>
        <v>398.37563999999998</v>
      </c>
      <c r="E217" s="42">
        <v>0</v>
      </c>
      <c r="F217" s="42">
        <f t="shared" si="23"/>
        <v>398.37563999999998</v>
      </c>
      <c r="G217" s="42">
        <v>0</v>
      </c>
      <c r="H217" s="42">
        <f t="shared" si="24"/>
        <v>597.56345999999996</v>
      </c>
      <c r="I217" s="36"/>
      <c r="J217" s="36">
        <f t="shared" si="19"/>
        <v>597.56345999999996</v>
      </c>
      <c r="L217" s="94"/>
      <c r="M217" s="94"/>
      <c r="N217" s="36"/>
      <c r="T217" s="21"/>
    </row>
    <row r="218" spans="1:20" s="37" customFormat="1" ht="15.75" customHeight="1" x14ac:dyDescent="0.35">
      <c r="A218" s="104">
        <f t="shared" si="25"/>
        <v>11</v>
      </c>
      <c r="B218" s="104"/>
      <c r="C218" s="42" t="s">
        <v>352</v>
      </c>
      <c r="D218" s="74">
        <f>(35.99)*10.764</f>
        <v>387.39636000000002</v>
      </c>
      <c r="E218" s="42">
        <v>0</v>
      </c>
      <c r="F218" s="42">
        <f t="shared" si="23"/>
        <v>387.39636000000002</v>
      </c>
      <c r="G218" s="42">
        <v>0</v>
      </c>
      <c r="H218" s="42">
        <f t="shared" si="24"/>
        <v>581.09454000000005</v>
      </c>
      <c r="I218" s="36"/>
      <c r="J218" s="36">
        <f t="shared" si="19"/>
        <v>581.09454000000005</v>
      </c>
      <c r="L218" s="94"/>
      <c r="M218" s="94"/>
      <c r="N218" s="36"/>
      <c r="T218" s="21"/>
    </row>
    <row r="219" spans="1:20" s="37" customFormat="1" ht="15.75" customHeight="1" x14ac:dyDescent="0.35">
      <c r="A219" s="104">
        <f t="shared" si="25"/>
        <v>12</v>
      </c>
      <c r="B219" s="104"/>
      <c r="C219" s="42" t="s">
        <v>352</v>
      </c>
      <c r="D219" s="74">
        <f t="shared" ref="D219:D226" si="26">(36.44)*10.764</f>
        <v>392.24015999999995</v>
      </c>
      <c r="E219" s="42">
        <v>0</v>
      </c>
      <c r="F219" s="42">
        <f t="shared" si="23"/>
        <v>392.24015999999995</v>
      </c>
      <c r="G219" s="42">
        <v>0</v>
      </c>
      <c r="H219" s="42">
        <f t="shared" si="24"/>
        <v>588.36023999999998</v>
      </c>
      <c r="I219" s="36"/>
      <c r="J219" s="36">
        <f t="shared" si="19"/>
        <v>588.36023999999998</v>
      </c>
      <c r="L219" s="94"/>
      <c r="M219" s="94"/>
      <c r="N219" s="36"/>
      <c r="T219" s="34"/>
    </row>
    <row r="220" spans="1:20" s="37" customFormat="1" ht="15.75" customHeight="1" x14ac:dyDescent="0.35">
      <c r="A220" s="104">
        <f t="shared" si="25"/>
        <v>13</v>
      </c>
      <c r="B220" s="104"/>
      <c r="C220" s="42" t="s">
        <v>352</v>
      </c>
      <c r="D220" s="74">
        <f t="shared" si="26"/>
        <v>392.24015999999995</v>
      </c>
      <c r="E220" s="42">
        <v>0</v>
      </c>
      <c r="F220" s="42">
        <f t="shared" si="23"/>
        <v>392.24015999999995</v>
      </c>
      <c r="G220" s="42">
        <v>0</v>
      </c>
      <c r="H220" s="42">
        <f t="shared" si="24"/>
        <v>588.36023999999998</v>
      </c>
      <c r="I220" s="36"/>
      <c r="J220" s="36">
        <f t="shared" si="19"/>
        <v>588.36023999999998</v>
      </c>
      <c r="L220" s="94"/>
      <c r="M220" s="94"/>
      <c r="N220" s="36"/>
      <c r="T220" s="21"/>
    </row>
    <row r="221" spans="1:20" s="37" customFormat="1" ht="15.75" customHeight="1" x14ac:dyDescent="0.35">
      <c r="A221" s="104">
        <f t="shared" si="25"/>
        <v>14</v>
      </c>
      <c r="B221" s="104"/>
      <c r="C221" s="42" t="s">
        <v>352</v>
      </c>
      <c r="D221" s="74">
        <f t="shared" si="26"/>
        <v>392.24015999999995</v>
      </c>
      <c r="E221" s="42">
        <v>0</v>
      </c>
      <c r="F221" s="42">
        <f t="shared" si="23"/>
        <v>392.24015999999995</v>
      </c>
      <c r="G221" s="42">
        <v>0</v>
      </c>
      <c r="H221" s="42">
        <f t="shared" si="24"/>
        <v>588.36023999999998</v>
      </c>
      <c r="I221" s="36"/>
      <c r="J221" s="36">
        <f t="shared" si="19"/>
        <v>588.36023999999998</v>
      </c>
      <c r="L221" s="94"/>
      <c r="M221" s="94"/>
      <c r="N221" s="36"/>
      <c r="T221" s="21"/>
    </row>
    <row r="222" spans="1:20" s="37" customFormat="1" ht="15.75" customHeight="1" x14ac:dyDescent="0.35">
      <c r="A222" s="104">
        <f t="shared" si="25"/>
        <v>15</v>
      </c>
      <c r="B222" s="104"/>
      <c r="C222" s="42" t="s">
        <v>352</v>
      </c>
      <c r="D222" s="74">
        <f t="shared" si="26"/>
        <v>392.24015999999995</v>
      </c>
      <c r="E222" s="42">
        <v>0</v>
      </c>
      <c r="F222" s="42">
        <f t="shared" si="23"/>
        <v>392.24015999999995</v>
      </c>
      <c r="G222" s="42">
        <v>0</v>
      </c>
      <c r="H222" s="42">
        <f t="shared" si="24"/>
        <v>588.36023999999998</v>
      </c>
      <c r="I222" s="36"/>
      <c r="J222" s="36">
        <f t="shared" si="19"/>
        <v>588.36023999999998</v>
      </c>
      <c r="L222" s="94"/>
      <c r="M222" s="94"/>
      <c r="N222" s="36"/>
      <c r="T222" s="21"/>
    </row>
    <row r="223" spans="1:20" s="37" customFormat="1" ht="15.75" customHeight="1" x14ac:dyDescent="0.35">
      <c r="A223" s="104">
        <f t="shared" si="25"/>
        <v>16</v>
      </c>
      <c r="B223" s="104"/>
      <c r="C223" s="42" t="s">
        <v>352</v>
      </c>
      <c r="D223" s="74">
        <f t="shared" si="26"/>
        <v>392.24015999999995</v>
      </c>
      <c r="E223" s="42">
        <v>0</v>
      </c>
      <c r="F223" s="42">
        <f t="shared" si="23"/>
        <v>392.24015999999995</v>
      </c>
      <c r="G223" s="42">
        <v>0</v>
      </c>
      <c r="H223" s="42">
        <f t="shared" si="24"/>
        <v>588.36023999999998</v>
      </c>
      <c r="I223" s="36"/>
      <c r="J223" s="36">
        <f t="shared" si="19"/>
        <v>588.36023999999998</v>
      </c>
      <c r="L223" s="94"/>
      <c r="M223" s="94"/>
      <c r="N223" s="36"/>
      <c r="T223" s="21"/>
    </row>
    <row r="224" spans="1:20" s="37" customFormat="1" ht="15.75" customHeight="1" x14ac:dyDescent="0.35">
      <c r="A224" s="104">
        <f t="shared" si="25"/>
        <v>17</v>
      </c>
      <c r="B224" s="104"/>
      <c r="C224" s="42" t="s">
        <v>352</v>
      </c>
      <c r="D224" s="74">
        <f t="shared" si="26"/>
        <v>392.24015999999995</v>
      </c>
      <c r="E224" s="42">
        <v>0</v>
      </c>
      <c r="F224" s="42">
        <f t="shared" si="23"/>
        <v>392.24015999999995</v>
      </c>
      <c r="G224" s="42">
        <v>0</v>
      </c>
      <c r="H224" s="42">
        <f t="shared" si="24"/>
        <v>588.36023999999998</v>
      </c>
      <c r="I224" s="36"/>
      <c r="J224" s="36">
        <f t="shared" si="19"/>
        <v>588.36023999999998</v>
      </c>
      <c r="L224" s="94"/>
      <c r="M224" s="94"/>
      <c r="N224" s="36"/>
      <c r="T224" s="21"/>
    </row>
    <row r="225" spans="1:20" s="37" customFormat="1" ht="15.75" customHeight="1" x14ac:dyDescent="0.35">
      <c r="A225" s="104">
        <f t="shared" si="25"/>
        <v>18</v>
      </c>
      <c r="B225" s="104"/>
      <c r="C225" s="42" t="s">
        <v>352</v>
      </c>
      <c r="D225" s="74">
        <f t="shared" si="26"/>
        <v>392.24015999999995</v>
      </c>
      <c r="E225" s="42">
        <v>0</v>
      </c>
      <c r="F225" s="42">
        <f t="shared" si="23"/>
        <v>392.24015999999995</v>
      </c>
      <c r="G225" s="42">
        <v>0</v>
      </c>
      <c r="H225" s="42">
        <f t="shared" si="24"/>
        <v>588.36023999999998</v>
      </c>
      <c r="I225" s="36"/>
      <c r="J225" s="36">
        <f t="shared" si="19"/>
        <v>588.36023999999998</v>
      </c>
      <c r="L225" s="94"/>
      <c r="M225" s="94"/>
      <c r="N225" s="36"/>
      <c r="T225" s="34"/>
    </row>
    <row r="226" spans="1:20" s="37" customFormat="1" ht="15.75" customHeight="1" x14ac:dyDescent="0.35">
      <c r="A226" s="92">
        <f t="shared" si="25"/>
        <v>19</v>
      </c>
      <c r="B226" s="93"/>
      <c r="C226" s="42" t="s">
        <v>352</v>
      </c>
      <c r="D226" s="74">
        <f t="shared" si="26"/>
        <v>392.24015999999995</v>
      </c>
      <c r="E226" s="42">
        <v>0</v>
      </c>
      <c r="F226" s="42">
        <f t="shared" si="23"/>
        <v>392.24015999999995</v>
      </c>
      <c r="G226" s="42">
        <v>0</v>
      </c>
      <c r="H226" s="42">
        <f t="shared" si="24"/>
        <v>588.36023999999998</v>
      </c>
      <c r="I226" s="36"/>
      <c r="J226" s="36">
        <f t="shared" si="19"/>
        <v>588.36023999999998</v>
      </c>
      <c r="L226" s="94"/>
      <c r="M226" s="94"/>
      <c r="N226" s="36"/>
      <c r="T226" s="21"/>
    </row>
    <row r="227" spans="1:20" s="37" customFormat="1" ht="15.75" customHeight="1" x14ac:dyDescent="0.35">
      <c r="A227" s="92">
        <f t="shared" si="25"/>
        <v>20</v>
      </c>
      <c r="B227" s="93"/>
      <c r="C227" s="42" t="s">
        <v>352</v>
      </c>
      <c r="D227" s="74">
        <f>(35.75)*10.764</f>
        <v>384.81299999999999</v>
      </c>
      <c r="E227" s="42">
        <v>0</v>
      </c>
      <c r="F227" s="42">
        <f t="shared" si="23"/>
        <v>384.81299999999999</v>
      </c>
      <c r="G227" s="42">
        <v>0</v>
      </c>
      <c r="H227" s="42">
        <f t="shared" si="24"/>
        <v>577.21949999999993</v>
      </c>
      <c r="I227" s="36"/>
      <c r="J227" s="36">
        <f t="shared" si="19"/>
        <v>577.21949999999993</v>
      </c>
      <c r="L227" s="94"/>
      <c r="M227" s="94"/>
      <c r="N227" s="36"/>
      <c r="T227" s="21"/>
    </row>
    <row r="228" spans="1:20" s="37" customFormat="1" x14ac:dyDescent="0.35">
      <c r="A228" s="101" t="s">
        <v>394</v>
      </c>
      <c r="B228" s="102"/>
      <c r="C228" s="102"/>
      <c r="D228" s="102"/>
      <c r="E228" s="102"/>
      <c r="F228" s="102"/>
      <c r="G228" s="102"/>
      <c r="H228" s="103"/>
      <c r="J228" s="36">
        <f t="shared" si="19"/>
        <v>0</v>
      </c>
      <c r="T228" s="35"/>
    </row>
    <row r="229" spans="1:20" s="37" customFormat="1" ht="15.75" customHeight="1" x14ac:dyDescent="0.35">
      <c r="A229" s="92">
        <v>1</v>
      </c>
      <c r="B229" s="93"/>
      <c r="C229" s="42" t="s">
        <v>352</v>
      </c>
      <c r="D229" s="74">
        <f>(36.81)*10.764</f>
        <v>396.22284000000002</v>
      </c>
      <c r="E229" s="42">
        <v>0</v>
      </c>
      <c r="F229" s="42">
        <f t="shared" ref="F229:F248" si="27">D229+(IF(E229&lt;201,E229,IF(E229&lt;301,E229/2,E229/3)))</f>
        <v>396.22284000000002</v>
      </c>
      <c r="G229" s="42">
        <v>0</v>
      </c>
      <c r="H229" s="42">
        <f t="shared" ref="H229:H248" si="28">F229*(($H$127)+1)+(IF(G229&lt;101,G229,IF(G229&lt;201,G229/2,IF(G229&lt;=301,G229/3,G229/4))))</f>
        <v>594.33426000000009</v>
      </c>
      <c r="I229" s="36"/>
      <c r="J229" s="36">
        <f t="shared" si="19"/>
        <v>594.33426000000009</v>
      </c>
      <c r="L229" s="94"/>
      <c r="M229" s="94"/>
      <c r="N229" s="36"/>
      <c r="T229" s="35"/>
    </row>
    <row r="230" spans="1:20" s="37" customFormat="1" ht="15.75" customHeight="1" x14ac:dyDescent="0.35">
      <c r="A230" s="92">
        <f t="shared" ref="A230:A248" si="29">A229+1</f>
        <v>2</v>
      </c>
      <c r="B230" s="93"/>
      <c r="C230" s="42" t="s">
        <v>352</v>
      </c>
      <c r="D230" s="74">
        <f>(57.96)*10.764</f>
        <v>623.88144</v>
      </c>
      <c r="E230" s="42">
        <v>0</v>
      </c>
      <c r="F230" s="42">
        <f t="shared" si="27"/>
        <v>623.88144</v>
      </c>
      <c r="G230" s="42">
        <v>0</v>
      </c>
      <c r="H230" s="42">
        <f t="shared" si="28"/>
        <v>935.82215999999994</v>
      </c>
      <c r="I230" s="36"/>
      <c r="J230" s="36">
        <f t="shared" si="19"/>
        <v>935.82215999999994</v>
      </c>
      <c r="L230" s="94"/>
      <c r="M230" s="94"/>
      <c r="N230" s="36"/>
      <c r="T230" s="34"/>
    </row>
    <row r="231" spans="1:20" s="37" customFormat="1" ht="15.75" customHeight="1" x14ac:dyDescent="0.35">
      <c r="A231" s="92">
        <f t="shared" si="29"/>
        <v>3</v>
      </c>
      <c r="B231" s="93"/>
      <c r="C231" s="42" t="s">
        <v>352</v>
      </c>
      <c r="D231" s="74">
        <f>(57.35)*10.764</f>
        <v>617.31539999999995</v>
      </c>
      <c r="E231" s="42">
        <v>0</v>
      </c>
      <c r="F231" s="42">
        <f t="shared" si="27"/>
        <v>617.31539999999995</v>
      </c>
      <c r="G231" s="42">
        <v>0</v>
      </c>
      <c r="H231" s="42">
        <f t="shared" si="28"/>
        <v>925.97309999999993</v>
      </c>
      <c r="I231" s="36"/>
      <c r="J231" s="36">
        <f t="shared" si="19"/>
        <v>925.97309999999993</v>
      </c>
      <c r="L231" s="94"/>
      <c r="M231" s="94"/>
      <c r="N231" s="36"/>
      <c r="T231" s="21"/>
    </row>
    <row r="232" spans="1:20" s="37" customFormat="1" ht="15.75" customHeight="1" x14ac:dyDescent="0.35">
      <c r="A232" s="92">
        <f t="shared" si="29"/>
        <v>4</v>
      </c>
      <c r="B232" s="93"/>
      <c r="C232" s="42" t="s">
        <v>352</v>
      </c>
      <c r="D232" s="74">
        <f>(57.13)*10.764</f>
        <v>614.94731999999999</v>
      </c>
      <c r="E232" s="42">
        <v>0</v>
      </c>
      <c r="F232" s="42">
        <f t="shared" si="27"/>
        <v>614.94731999999999</v>
      </c>
      <c r="G232" s="42">
        <v>0</v>
      </c>
      <c r="H232" s="42">
        <f t="shared" si="28"/>
        <v>922.42097999999999</v>
      </c>
      <c r="I232" s="36"/>
      <c r="J232" s="36">
        <f t="shared" si="19"/>
        <v>922.42097999999999</v>
      </c>
      <c r="L232" s="94"/>
      <c r="M232" s="94"/>
      <c r="N232" s="36"/>
      <c r="T232" s="21"/>
    </row>
    <row r="233" spans="1:20" s="37" customFormat="1" ht="15.75" customHeight="1" x14ac:dyDescent="0.35">
      <c r="A233" s="92">
        <f t="shared" si="29"/>
        <v>5</v>
      </c>
      <c r="B233" s="93"/>
      <c r="C233" s="42" t="s">
        <v>352</v>
      </c>
      <c r="D233" s="74">
        <f>(56.58)*10.764</f>
        <v>609.02711999999997</v>
      </c>
      <c r="E233" s="42">
        <v>0</v>
      </c>
      <c r="F233" s="42">
        <f t="shared" si="27"/>
        <v>609.02711999999997</v>
      </c>
      <c r="G233" s="42">
        <v>0</v>
      </c>
      <c r="H233" s="42">
        <f t="shared" si="28"/>
        <v>913.54067999999995</v>
      </c>
      <c r="I233" s="36"/>
      <c r="J233" s="36">
        <f t="shared" si="19"/>
        <v>913.54067999999995</v>
      </c>
      <c r="L233" s="94"/>
      <c r="M233" s="94"/>
      <c r="N233" s="36"/>
      <c r="T233" s="34"/>
    </row>
    <row r="234" spans="1:20" s="37" customFormat="1" ht="15.75" customHeight="1" x14ac:dyDescent="0.35">
      <c r="A234" s="92">
        <f t="shared" si="29"/>
        <v>6</v>
      </c>
      <c r="B234" s="93"/>
      <c r="C234" s="42" t="s">
        <v>352</v>
      </c>
      <c r="D234" s="74">
        <f>(58.12)*10.764</f>
        <v>625.60367999999994</v>
      </c>
      <c r="E234" s="42">
        <v>0</v>
      </c>
      <c r="F234" s="42">
        <f t="shared" si="27"/>
        <v>625.60367999999994</v>
      </c>
      <c r="G234" s="42">
        <v>0</v>
      </c>
      <c r="H234" s="42">
        <f t="shared" si="28"/>
        <v>938.40551999999991</v>
      </c>
      <c r="I234" s="36"/>
      <c r="J234" s="36">
        <f t="shared" si="19"/>
        <v>938.40551999999991</v>
      </c>
      <c r="L234" s="94"/>
      <c r="M234" s="94"/>
      <c r="N234" s="36"/>
      <c r="T234" s="21"/>
    </row>
    <row r="235" spans="1:20" s="37" customFormat="1" ht="15.75" customHeight="1" x14ac:dyDescent="0.35">
      <c r="A235" s="92">
        <f t="shared" si="29"/>
        <v>7</v>
      </c>
      <c r="B235" s="93"/>
      <c r="C235" s="42" t="s">
        <v>352</v>
      </c>
      <c r="D235" s="74">
        <f>(56.89)*10.764</f>
        <v>612.36396000000002</v>
      </c>
      <c r="E235" s="42">
        <v>0</v>
      </c>
      <c r="F235" s="42">
        <f t="shared" si="27"/>
        <v>612.36396000000002</v>
      </c>
      <c r="G235" s="42">
        <v>0</v>
      </c>
      <c r="H235" s="42">
        <f t="shared" si="28"/>
        <v>918.54593999999997</v>
      </c>
      <c r="I235" s="36"/>
      <c r="J235" s="36">
        <f t="shared" si="19"/>
        <v>918.54593999999997</v>
      </c>
      <c r="L235" s="94"/>
      <c r="M235" s="94"/>
      <c r="N235" s="36"/>
      <c r="T235" s="21"/>
    </row>
    <row r="236" spans="1:20" s="37" customFormat="1" ht="15.75" customHeight="1" x14ac:dyDescent="0.35">
      <c r="A236" s="92">
        <f t="shared" si="29"/>
        <v>8</v>
      </c>
      <c r="B236" s="93"/>
      <c r="C236" s="42" t="s">
        <v>352</v>
      </c>
      <c r="D236" s="74">
        <f>(44.46)*10.764</f>
        <v>478.56743999999998</v>
      </c>
      <c r="E236" s="42">
        <v>0</v>
      </c>
      <c r="F236" s="42">
        <f t="shared" si="27"/>
        <v>478.56743999999998</v>
      </c>
      <c r="G236" s="42">
        <v>0</v>
      </c>
      <c r="H236" s="42">
        <f t="shared" si="28"/>
        <v>717.85115999999994</v>
      </c>
      <c r="I236" s="36"/>
      <c r="J236" s="36">
        <f t="shared" si="19"/>
        <v>717.85115999999994</v>
      </c>
      <c r="L236" s="94"/>
      <c r="M236" s="94"/>
      <c r="N236" s="36"/>
      <c r="T236" s="21"/>
    </row>
    <row r="237" spans="1:20" s="37" customFormat="1" ht="15.75" customHeight="1" x14ac:dyDescent="0.35">
      <c r="A237" s="92">
        <f t="shared" si="29"/>
        <v>9</v>
      </c>
      <c r="B237" s="93"/>
      <c r="C237" s="42" t="s">
        <v>352</v>
      </c>
      <c r="D237" s="74">
        <f>(44.14)*10.764</f>
        <v>475.12295999999998</v>
      </c>
      <c r="E237" s="42">
        <v>0</v>
      </c>
      <c r="F237" s="42">
        <f t="shared" si="27"/>
        <v>475.12295999999998</v>
      </c>
      <c r="G237" s="42">
        <v>0</v>
      </c>
      <c r="H237" s="42">
        <f t="shared" si="28"/>
        <v>712.68444</v>
      </c>
      <c r="I237" s="36"/>
      <c r="J237" s="36">
        <f t="shared" si="19"/>
        <v>712.68444</v>
      </c>
      <c r="L237" s="94"/>
      <c r="M237" s="94"/>
      <c r="N237" s="36"/>
      <c r="T237" s="34"/>
    </row>
    <row r="238" spans="1:20" s="37" customFormat="1" ht="15.75" customHeight="1" x14ac:dyDescent="0.35">
      <c r="A238" s="92">
        <f t="shared" si="29"/>
        <v>10</v>
      </c>
      <c r="B238" s="93"/>
      <c r="C238" s="42" t="s">
        <v>352</v>
      </c>
      <c r="D238" s="74">
        <f>(37.01)*10.764</f>
        <v>398.37563999999998</v>
      </c>
      <c r="E238" s="42">
        <v>0</v>
      </c>
      <c r="F238" s="42">
        <f t="shared" si="27"/>
        <v>398.37563999999998</v>
      </c>
      <c r="G238" s="42">
        <v>0</v>
      </c>
      <c r="H238" s="42">
        <f t="shared" si="28"/>
        <v>597.56345999999996</v>
      </c>
      <c r="I238" s="36"/>
      <c r="J238" s="36">
        <f t="shared" si="19"/>
        <v>597.56345999999996</v>
      </c>
      <c r="L238" s="94"/>
      <c r="M238" s="94"/>
      <c r="N238" s="36"/>
      <c r="T238" s="21"/>
    </row>
    <row r="239" spans="1:20" s="37" customFormat="1" ht="15.75" customHeight="1" x14ac:dyDescent="0.35">
      <c r="A239" s="92">
        <f t="shared" si="29"/>
        <v>11</v>
      </c>
      <c r="B239" s="93"/>
      <c r="C239" s="42" t="s">
        <v>352</v>
      </c>
      <c r="D239" s="74">
        <f>(35.99)*10.764</f>
        <v>387.39636000000002</v>
      </c>
      <c r="E239" s="42">
        <v>0</v>
      </c>
      <c r="F239" s="42">
        <f t="shared" si="27"/>
        <v>387.39636000000002</v>
      </c>
      <c r="G239" s="42">
        <v>0</v>
      </c>
      <c r="H239" s="42">
        <f t="shared" si="28"/>
        <v>581.09454000000005</v>
      </c>
      <c r="I239" s="36"/>
      <c r="J239" s="36">
        <f t="shared" si="19"/>
        <v>581.09454000000005</v>
      </c>
      <c r="L239" s="94"/>
      <c r="M239" s="94"/>
      <c r="N239" s="36"/>
      <c r="T239" s="21"/>
    </row>
    <row r="240" spans="1:20" s="37" customFormat="1" ht="15.75" customHeight="1" x14ac:dyDescent="0.35">
      <c r="A240" s="92">
        <f t="shared" si="29"/>
        <v>12</v>
      </c>
      <c r="B240" s="93"/>
      <c r="C240" s="42" t="s">
        <v>352</v>
      </c>
      <c r="D240" s="74">
        <f t="shared" ref="D240:D247" si="30">(36.44)*10.764</f>
        <v>392.24015999999995</v>
      </c>
      <c r="E240" s="42">
        <v>0</v>
      </c>
      <c r="F240" s="42">
        <f t="shared" si="27"/>
        <v>392.24015999999995</v>
      </c>
      <c r="G240" s="42">
        <v>0</v>
      </c>
      <c r="H240" s="42">
        <f t="shared" si="28"/>
        <v>588.36023999999998</v>
      </c>
      <c r="I240" s="36"/>
      <c r="J240" s="36">
        <f t="shared" si="19"/>
        <v>588.36023999999998</v>
      </c>
      <c r="L240" s="94"/>
      <c r="M240" s="94"/>
      <c r="N240" s="36"/>
      <c r="T240" s="34"/>
    </row>
    <row r="241" spans="1:20" s="37" customFormat="1" ht="15.75" customHeight="1" x14ac:dyDescent="0.35">
      <c r="A241" s="92">
        <f t="shared" si="29"/>
        <v>13</v>
      </c>
      <c r="B241" s="93"/>
      <c r="C241" s="42" t="s">
        <v>352</v>
      </c>
      <c r="D241" s="74">
        <f t="shared" si="30"/>
        <v>392.24015999999995</v>
      </c>
      <c r="E241" s="42">
        <v>0</v>
      </c>
      <c r="F241" s="42">
        <f t="shared" si="27"/>
        <v>392.24015999999995</v>
      </c>
      <c r="G241" s="42">
        <v>0</v>
      </c>
      <c r="H241" s="42">
        <f t="shared" si="28"/>
        <v>588.36023999999998</v>
      </c>
      <c r="I241" s="36"/>
      <c r="J241" s="36">
        <f t="shared" si="19"/>
        <v>588.36023999999998</v>
      </c>
      <c r="L241" s="94"/>
      <c r="M241" s="94"/>
      <c r="N241" s="36"/>
      <c r="T241" s="21"/>
    </row>
    <row r="242" spans="1:20" s="37" customFormat="1" ht="15.75" customHeight="1" x14ac:dyDescent="0.35">
      <c r="A242" s="92">
        <f t="shared" si="29"/>
        <v>14</v>
      </c>
      <c r="B242" s="93"/>
      <c r="C242" s="42" t="s">
        <v>352</v>
      </c>
      <c r="D242" s="74">
        <f t="shared" si="30"/>
        <v>392.24015999999995</v>
      </c>
      <c r="E242" s="42">
        <v>0</v>
      </c>
      <c r="F242" s="42">
        <f t="shared" si="27"/>
        <v>392.24015999999995</v>
      </c>
      <c r="G242" s="42">
        <v>0</v>
      </c>
      <c r="H242" s="42">
        <f t="shared" si="28"/>
        <v>588.36023999999998</v>
      </c>
      <c r="I242" s="36"/>
      <c r="J242" s="36">
        <f t="shared" si="19"/>
        <v>588.36023999999998</v>
      </c>
      <c r="L242" s="94"/>
      <c r="M242" s="94"/>
      <c r="N242" s="36"/>
      <c r="T242" s="21"/>
    </row>
    <row r="243" spans="1:20" s="37" customFormat="1" ht="15.75" customHeight="1" x14ac:dyDescent="0.35">
      <c r="A243" s="92">
        <f t="shared" si="29"/>
        <v>15</v>
      </c>
      <c r="B243" s="93"/>
      <c r="C243" s="42" t="s">
        <v>352</v>
      </c>
      <c r="D243" s="74">
        <f t="shared" si="30"/>
        <v>392.24015999999995</v>
      </c>
      <c r="E243" s="42">
        <v>0</v>
      </c>
      <c r="F243" s="42">
        <f t="shared" si="27"/>
        <v>392.24015999999995</v>
      </c>
      <c r="G243" s="42">
        <v>0</v>
      </c>
      <c r="H243" s="42">
        <f t="shared" si="28"/>
        <v>588.36023999999998</v>
      </c>
      <c r="I243" s="36"/>
      <c r="J243" s="36">
        <f t="shared" si="19"/>
        <v>588.36023999999998</v>
      </c>
      <c r="L243" s="94"/>
      <c r="M243" s="94"/>
      <c r="N243" s="36"/>
      <c r="T243" s="21"/>
    </row>
    <row r="244" spans="1:20" s="37" customFormat="1" ht="15.75" customHeight="1" x14ac:dyDescent="0.35">
      <c r="A244" s="92">
        <f t="shared" si="29"/>
        <v>16</v>
      </c>
      <c r="B244" s="93"/>
      <c r="C244" s="42" t="s">
        <v>352</v>
      </c>
      <c r="D244" s="74">
        <f t="shared" si="30"/>
        <v>392.24015999999995</v>
      </c>
      <c r="E244" s="42">
        <v>0</v>
      </c>
      <c r="F244" s="42">
        <f t="shared" si="27"/>
        <v>392.24015999999995</v>
      </c>
      <c r="G244" s="42">
        <v>0</v>
      </c>
      <c r="H244" s="42">
        <f t="shared" si="28"/>
        <v>588.36023999999998</v>
      </c>
      <c r="I244" s="36"/>
      <c r="J244" s="36">
        <f t="shared" si="19"/>
        <v>588.36023999999998</v>
      </c>
      <c r="L244" s="94"/>
      <c r="M244" s="94"/>
      <c r="N244" s="36"/>
      <c r="T244" s="21"/>
    </row>
    <row r="245" spans="1:20" s="37" customFormat="1" ht="15.75" customHeight="1" x14ac:dyDescent="0.35">
      <c r="A245" s="92">
        <f t="shared" si="29"/>
        <v>17</v>
      </c>
      <c r="B245" s="93"/>
      <c r="C245" s="42" t="s">
        <v>352</v>
      </c>
      <c r="D245" s="74">
        <f t="shared" si="30"/>
        <v>392.24015999999995</v>
      </c>
      <c r="E245" s="42">
        <v>0</v>
      </c>
      <c r="F245" s="42">
        <f t="shared" si="27"/>
        <v>392.24015999999995</v>
      </c>
      <c r="G245" s="42">
        <v>0</v>
      </c>
      <c r="H245" s="42">
        <f t="shared" si="28"/>
        <v>588.36023999999998</v>
      </c>
      <c r="I245" s="36"/>
      <c r="J245" s="36">
        <f t="shared" si="19"/>
        <v>588.36023999999998</v>
      </c>
      <c r="L245" s="94"/>
      <c r="M245" s="94"/>
      <c r="N245" s="36"/>
      <c r="T245" s="21"/>
    </row>
    <row r="246" spans="1:20" s="37" customFormat="1" ht="15.75" customHeight="1" x14ac:dyDescent="0.35">
      <c r="A246" s="92">
        <f t="shared" si="29"/>
        <v>18</v>
      </c>
      <c r="B246" s="93"/>
      <c r="C246" s="42" t="s">
        <v>352</v>
      </c>
      <c r="D246" s="74">
        <f t="shared" si="30"/>
        <v>392.24015999999995</v>
      </c>
      <c r="E246" s="42">
        <v>0</v>
      </c>
      <c r="F246" s="42">
        <f t="shared" si="27"/>
        <v>392.24015999999995</v>
      </c>
      <c r="G246" s="42">
        <v>0</v>
      </c>
      <c r="H246" s="42">
        <f t="shared" si="28"/>
        <v>588.36023999999998</v>
      </c>
      <c r="I246" s="36"/>
      <c r="J246" s="36">
        <f t="shared" si="19"/>
        <v>588.36023999999998</v>
      </c>
      <c r="L246" s="94"/>
      <c r="M246" s="94"/>
      <c r="N246" s="36"/>
      <c r="T246" s="34"/>
    </row>
    <row r="247" spans="1:20" s="37" customFormat="1" ht="15.75" customHeight="1" x14ac:dyDescent="0.35">
      <c r="A247" s="92">
        <f t="shared" si="29"/>
        <v>19</v>
      </c>
      <c r="B247" s="93"/>
      <c r="C247" s="42" t="s">
        <v>352</v>
      </c>
      <c r="D247" s="74">
        <f t="shared" si="30"/>
        <v>392.24015999999995</v>
      </c>
      <c r="E247" s="42">
        <v>0</v>
      </c>
      <c r="F247" s="42">
        <f t="shared" si="27"/>
        <v>392.24015999999995</v>
      </c>
      <c r="G247" s="42">
        <v>0</v>
      </c>
      <c r="H247" s="42">
        <f t="shared" si="28"/>
        <v>588.36023999999998</v>
      </c>
      <c r="I247" s="36"/>
      <c r="J247" s="36">
        <f t="shared" si="19"/>
        <v>588.36023999999998</v>
      </c>
      <c r="L247" s="94"/>
      <c r="M247" s="94"/>
      <c r="N247" s="36"/>
      <c r="T247" s="21"/>
    </row>
    <row r="248" spans="1:20" s="37" customFormat="1" ht="15.75" customHeight="1" x14ac:dyDescent="0.35">
      <c r="A248" s="92">
        <f t="shared" si="29"/>
        <v>20</v>
      </c>
      <c r="B248" s="93"/>
      <c r="C248" s="42" t="s">
        <v>352</v>
      </c>
      <c r="D248" s="74">
        <f>(35.75)*10.764</f>
        <v>384.81299999999999</v>
      </c>
      <c r="E248" s="42">
        <v>0</v>
      </c>
      <c r="F248" s="42">
        <f t="shared" si="27"/>
        <v>384.81299999999999</v>
      </c>
      <c r="G248" s="42">
        <v>0</v>
      </c>
      <c r="H248" s="42">
        <f t="shared" si="28"/>
        <v>577.21949999999993</v>
      </c>
      <c r="I248" s="36"/>
      <c r="J248" s="36">
        <f t="shared" si="19"/>
        <v>577.21949999999993</v>
      </c>
      <c r="L248" s="94"/>
      <c r="M248" s="94"/>
      <c r="N248" s="36"/>
      <c r="T248" s="21"/>
    </row>
    <row r="249" spans="1:20" s="37" customFormat="1" x14ac:dyDescent="0.35">
      <c r="A249" s="108" t="s">
        <v>395</v>
      </c>
      <c r="B249" s="108"/>
      <c r="C249" s="108"/>
      <c r="D249" s="108"/>
      <c r="E249" s="108"/>
      <c r="F249" s="108"/>
      <c r="G249" s="108"/>
      <c r="H249" s="108"/>
      <c r="J249" s="36">
        <f t="shared" si="19"/>
        <v>0</v>
      </c>
      <c r="T249" s="35"/>
    </row>
    <row r="250" spans="1:20" s="37" customFormat="1" ht="15.75" customHeight="1" x14ac:dyDescent="0.35">
      <c r="A250" s="104">
        <v>1</v>
      </c>
      <c r="B250" s="104"/>
      <c r="C250" s="42" t="s">
        <v>352</v>
      </c>
      <c r="D250" s="74">
        <f>(36.81)*10.764</f>
        <v>396.22284000000002</v>
      </c>
      <c r="E250" s="42">
        <v>0</v>
      </c>
      <c r="F250" s="42">
        <f t="shared" ref="F250:F259" si="31">D250+(IF(E250&lt;201,E250,IF(E250&lt;301,E250/2,E250/3)))</f>
        <v>396.22284000000002</v>
      </c>
      <c r="G250" s="42">
        <v>0</v>
      </c>
      <c r="H250" s="42">
        <f t="shared" ref="H250:H259" si="32">F250*(($H$127)+1)+(IF(G250&lt;101,G250,IF(G250&lt;201,G250/2,IF(G250&lt;=301,G250/3,G250/4))))</f>
        <v>594.33426000000009</v>
      </c>
      <c r="I250" s="36"/>
      <c r="J250" s="36">
        <f t="shared" si="19"/>
        <v>594.33426000000009</v>
      </c>
      <c r="L250" s="94"/>
      <c r="M250" s="94"/>
      <c r="N250" s="36"/>
      <c r="T250" s="35"/>
    </row>
    <row r="251" spans="1:20" s="37" customFormat="1" ht="15.75" customHeight="1" x14ac:dyDescent="0.35">
      <c r="A251" s="104">
        <f t="shared" ref="A251:A269" si="33">A250+1</f>
        <v>2</v>
      </c>
      <c r="B251" s="104"/>
      <c r="C251" s="42" t="s">
        <v>352</v>
      </c>
      <c r="D251" s="74">
        <f>(57.96)*10.764</f>
        <v>623.88144</v>
      </c>
      <c r="E251" s="42">
        <v>0</v>
      </c>
      <c r="F251" s="42">
        <f t="shared" si="31"/>
        <v>623.88144</v>
      </c>
      <c r="G251" s="42">
        <v>0</v>
      </c>
      <c r="H251" s="42">
        <f t="shared" si="32"/>
        <v>935.82215999999994</v>
      </c>
      <c r="I251" s="36"/>
      <c r="J251" s="36">
        <f t="shared" si="19"/>
        <v>935.82215999999994</v>
      </c>
      <c r="L251" s="94"/>
      <c r="M251" s="94"/>
      <c r="N251" s="36"/>
      <c r="T251" s="34"/>
    </row>
    <row r="252" spans="1:20" s="37" customFormat="1" ht="15.75" customHeight="1" x14ac:dyDescent="0.35">
      <c r="A252" s="104">
        <f t="shared" si="33"/>
        <v>3</v>
      </c>
      <c r="B252" s="104"/>
      <c r="C252" s="42" t="s">
        <v>352</v>
      </c>
      <c r="D252" s="74">
        <f>(57.35)*10.764</f>
        <v>617.31539999999995</v>
      </c>
      <c r="E252" s="42">
        <v>0</v>
      </c>
      <c r="F252" s="42">
        <f t="shared" si="31"/>
        <v>617.31539999999995</v>
      </c>
      <c r="G252" s="42">
        <v>0</v>
      </c>
      <c r="H252" s="42">
        <f t="shared" si="32"/>
        <v>925.97309999999993</v>
      </c>
      <c r="I252" s="36"/>
      <c r="J252" s="36">
        <f t="shared" si="19"/>
        <v>925.97309999999993</v>
      </c>
      <c r="L252" s="94"/>
      <c r="M252" s="94"/>
      <c r="N252" s="36"/>
      <c r="T252" s="21"/>
    </row>
    <row r="253" spans="1:20" s="37" customFormat="1" ht="15.75" customHeight="1" x14ac:dyDescent="0.35">
      <c r="A253" s="104">
        <f t="shared" si="33"/>
        <v>4</v>
      </c>
      <c r="B253" s="104"/>
      <c r="C253" s="42" t="s">
        <v>352</v>
      </c>
      <c r="D253" s="74">
        <f>(57.13)*10.764</f>
        <v>614.94731999999999</v>
      </c>
      <c r="E253" s="42">
        <v>0</v>
      </c>
      <c r="F253" s="42">
        <f t="shared" si="31"/>
        <v>614.94731999999999</v>
      </c>
      <c r="G253" s="42">
        <v>0</v>
      </c>
      <c r="H253" s="42">
        <f t="shared" si="32"/>
        <v>922.42097999999999</v>
      </c>
      <c r="I253" s="36"/>
      <c r="J253" s="36">
        <f t="shared" si="19"/>
        <v>922.42097999999999</v>
      </c>
      <c r="L253" s="94"/>
      <c r="M253" s="94"/>
      <c r="N253" s="36"/>
      <c r="T253" s="21"/>
    </row>
    <row r="254" spans="1:20" s="37" customFormat="1" ht="15.75" customHeight="1" x14ac:dyDescent="0.35">
      <c r="A254" s="104">
        <f t="shared" si="33"/>
        <v>5</v>
      </c>
      <c r="B254" s="104"/>
      <c r="C254" s="42" t="s">
        <v>352</v>
      </c>
      <c r="D254" s="74">
        <f>(56.58)*10.764</f>
        <v>609.02711999999997</v>
      </c>
      <c r="E254" s="42">
        <v>0</v>
      </c>
      <c r="F254" s="42">
        <f t="shared" si="31"/>
        <v>609.02711999999997</v>
      </c>
      <c r="G254" s="42">
        <v>0</v>
      </c>
      <c r="H254" s="42">
        <f t="shared" si="32"/>
        <v>913.54067999999995</v>
      </c>
      <c r="I254" s="36"/>
      <c r="J254" s="36">
        <f t="shared" si="19"/>
        <v>913.54067999999995</v>
      </c>
      <c r="L254" s="94"/>
      <c r="M254" s="94"/>
      <c r="N254" s="36"/>
      <c r="T254" s="34"/>
    </row>
    <row r="255" spans="1:20" s="37" customFormat="1" ht="15.75" customHeight="1" x14ac:dyDescent="0.35">
      <c r="A255" s="104">
        <f t="shared" si="33"/>
        <v>6</v>
      </c>
      <c r="B255" s="104"/>
      <c r="C255" s="42" t="s">
        <v>352</v>
      </c>
      <c r="D255" s="74">
        <f>(58.12)*10.764</f>
        <v>625.60367999999994</v>
      </c>
      <c r="E255" s="42">
        <v>0</v>
      </c>
      <c r="F255" s="42">
        <f t="shared" si="31"/>
        <v>625.60367999999994</v>
      </c>
      <c r="G255" s="42">
        <v>0</v>
      </c>
      <c r="H255" s="42">
        <f t="shared" si="32"/>
        <v>938.40551999999991</v>
      </c>
      <c r="I255" s="36"/>
      <c r="J255" s="36">
        <f t="shared" si="19"/>
        <v>938.40551999999991</v>
      </c>
      <c r="L255" s="94"/>
      <c r="M255" s="94"/>
      <c r="N255" s="36"/>
      <c r="T255" s="21"/>
    </row>
    <row r="256" spans="1:20" s="37" customFormat="1" ht="15.75" customHeight="1" x14ac:dyDescent="0.35">
      <c r="A256" s="104">
        <f t="shared" si="33"/>
        <v>7</v>
      </c>
      <c r="B256" s="104"/>
      <c r="C256" s="42" t="s">
        <v>352</v>
      </c>
      <c r="D256" s="74">
        <f>(56.89)*10.764</f>
        <v>612.36396000000002</v>
      </c>
      <c r="E256" s="42">
        <v>0</v>
      </c>
      <c r="F256" s="42">
        <f t="shared" si="31"/>
        <v>612.36396000000002</v>
      </c>
      <c r="G256" s="42">
        <v>0</v>
      </c>
      <c r="H256" s="42">
        <f t="shared" si="32"/>
        <v>918.54593999999997</v>
      </c>
      <c r="I256" s="36"/>
      <c r="J256" s="36">
        <f t="shared" si="19"/>
        <v>918.54593999999997</v>
      </c>
      <c r="L256" s="94"/>
      <c r="M256" s="94"/>
      <c r="N256" s="36"/>
      <c r="T256" s="21"/>
    </row>
    <row r="257" spans="1:20" s="37" customFormat="1" ht="15.75" customHeight="1" x14ac:dyDescent="0.35">
      <c r="A257" s="104">
        <f t="shared" si="33"/>
        <v>8</v>
      </c>
      <c r="B257" s="104"/>
      <c r="C257" s="42" t="s">
        <v>352</v>
      </c>
      <c r="D257" s="74">
        <f>(44.46)*10.764</f>
        <v>478.56743999999998</v>
      </c>
      <c r="E257" s="42">
        <v>0</v>
      </c>
      <c r="F257" s="42">
        <f t="shared" si="31"/>
        <v>478.56743999999998</v>
      </c>
      <c r="G257" s="42">
        <v>0</v>
      </c>
      <c r="H257" s="42">
        <f t="shared" si="32"/>
        <v>717.85115999999994</v>
      </c>
      <c r="I257" s="36"/>
      <c r="J257" s="36">
        <f t="shared" si="19"/>
        <v>717.85115999999994</v>
      </c>
      <c r="L257" s="94"/>
      <c r="M257" s="94"/>
      <c r="N257" s="36"/>
      <c r="T257" s="21"/>
    </row>
    <row r="258" spans="1:20" s="37" customFormat="1" ht="15.75" customHeight="1" x14ac:dyDescent="0.35">
      <c r="A258" s="104">
        <f t="shared" si="33"/>
        <v>9</v>
      </c>
      <c r="B258" s="104"/>
      <c r="C258" s="42" t="s">
        <v>352</v>
      </c>
      <c r="D258" s="74">
        <f>(44.14)*10.764</f>
        <v>475.12295999999998</v>
      </c>
      <c r="E258" s="42">
        <v>0</v>
      </c>
      <c r="F258" s="42">
        <f t="shared" si="31"/>
        <v>475.12295999999998</v>
      </c>
      <c r="G258" s="42">
        <v>0</v>
      </c>
      <c r="H258" s="42">
        <f t="shared" si="32"/>
        <v>712.68444</v>
      </c>
      <c r="I258" s="36"/>
      <c r="J258" s="36">
        <f t="shared" si="19"/>
        <v>712.68444</v>
      </c>
      <c r="L258" s="94"/>
      <c r="M258" s="94"/>
      <c r="N258" s="36"/>
      <c r="T258" s="34"/>
    </row>
    <row r="259" spans="1:20" s="37" customFormat="1" ht="15.75" customHeight="1" x14ac:dyDescent="0.35">
      <c r="A259" s="104">
        <f t="shared" si="33"/>
        <v>10</v>
      </c>
      <c r="B259" s="104"/>
      <c r="C259" s="42" t="s">
        <v>352</v>
      </c>
      <c r="D259" s="74">
        <f>(37.01)*10.764</f>
        <v>398.37563999999998</v>
      </c>
      <c r="E259" s="42">
        <v>0</v>
      </c>
      <c r="F259" s="42">
        <f t="shared" si="31"/>
        <v>398.37563999999998</v>
      </c>
      <c r="G259" s="42">
        <v>0</v>
      </c>
      <c r="H259" s="42">
        <f t="shared" si="32"/>
        <v>597.56345999999996</v>
      </c>
      <c r="I259" s="36"/>
      <c r="J259" s="36">
        <f t="shared" si="19"/>
        <v>597.56345999999996</v>
      </c>
      <c r="L259" s="94"/>
      <c r="M259" s="94"/>
      <c r="N259" s="36"/>
      <c r="T259" s="21"/>
    </row>
    <row r="260" spans="1:20" s="37" customFormat="1" ht="15.75" customHeight="1" x14ac:dyDescent="0.35">
      <c r="A260" s="104">
        <f t="shared" si="33"/>
        <v>11</v>
      </c>
      <c r="B260" s="104"/>
      <c r="C260" s="104" t="s">
        <v>389</v>
      </c>
      <c r="D260" s="104"/>
      <c r="E260" s="104"/>
      <c r="F260" s="104"/>
      <c r="G260" s="104"/>
      <c r="H260" s="104"/>
      <c r="I260" s="36"/>
      <c r="J260" s="36">
        <f t="shared" si="19"/>
        <v>0</v>
      </c>
      <c r="L260" s="94"/>
      <c r="M260" s="94"/>
      <c r="N260" s="36"/>
      <c r="T260" s="21"/>
    </row>
    <row r="261" spans="1:20" s="37" customFormat="1" ht="15.75" customHeight="1" x14ac:dyDescent="0.35">
      <c r="A261" s="104">
        <f t="shared" si="33"/>
        <v>12</v>
      </c>
      <c r="B261" s="104"/>
      <c r="C261" s="104"/>
      <c r="D261" s="104"/>
      <c r="E261" s="104"/>
      <c r="F261" s="104"/>
      <c r="G261" s="104"/>
      <c r="H261" s="104"/>
      <c r="I261" s="36"/>
      <c r="J261" s="36">
        <f t="shared" ref="J261:J324" si="34">F261*1.5</f>
        <v>0</v>
      </c>
      <c r="L261" s="94"/>
      <c r="M261" s="94"/>
      <c r="N261" s="36"/>
      <c r="T261" s="34"/>
    </row>
    <row r="262" spans="1:20" s="37" customFormat="1" ht="15.75" customHeight="1" x14ac:dyDescent="0.35">
      <c r="A262" s="104">
        <f t="shared" si="33"/>
        <v>13</v>
      </c>
      <c r="B262" s="104"/>
      <c r="C262" s="104"/>
      <c r="D262" s="104"/>
      <c r="E262" s="104"/>
      <c r="F262" s="104"/>
      <c r="G262" s="104"/>
      <c r="H262" s="104"/>
      <c r="I262" s="36"/>
      <c r="J262" s="36">
        <f t="shared" si="34"/>
        <v>0</v>
      </c>
      <c r="L262" s="94"/>
      <c r="M262" s="94"/>
      <c r="N262" s="36"/>
      <c r="T262" s="21"/>
    </row>
    <row r="263" spans="1:20" s="37" customFormat="1" ht="15.75" customHeight="1" x14ac:dyDescent="0.35">
      <c r="A263" s="104">
        <f t="shared" si="33"/>
        <v>14</v>
      </c>
      <c r="B263" s="104"/>
      <c r="C263" s="42" t="s">
        <v>352</v>
      </c>
      <c r="D263" s="74">
        <f>(37.66)*10.764</f>
        <v>405.37223999999992</v>
      </c>
      <c r="E263" s="42">
        <v>0</v>
      </c>
      <c r="F263" s="42">
        <f>D263+(IF(E263&lt;201,E263,IF(E263&lt;301,E263/2,E263/3)))</f>
        <v>405.37223999999992</v>
      </c>
      <c r="G263" s="42">
        <v>0</v>
      </c>
      <c r="H263" s="42">
        <f t="shared" ref="H263:H266" si="35">F263*(($H$127)+1)+(IF(G263&lt;101,G263,IF(G263&lt;201,G263/2,IF(G263&lt;=301,G263/3,G263/4))))</f>
        <v>608.05835999999988</v>
      </c>
      <c r="I263" s="36"/>
      <c r="J263" s="36">
        <f t="shared" si="34"/>
        <v>608.05835999999988</v>
      </c>
      <c r="L263" s="94"/>
      <c r="M263" s="94"/>
      <c r="N263" s="36"/>
      <c r="T263" s="21"/>
    </row>
    <row r="264" spans="1:20" s="37" customFormat="1" ht="15.75" customHeight="1" x14ac:dyDescent="0.35">
      <c r="A264" s="104">
        <f t="shared" si="33"/>
        <v>15</v>
      </c>
      <c r="B264" s="104"/>
      <c r="C264" s="42" t="s">
        <v>352</v>
      </c>
      <c r="D264" s="74">
        <f>(36.44)*10.764</f>
        <v>392.24015999999995</v>
      </c>
      <c r="E264" s="42">
        <v>0</v>
      </c>
      <c r="F264" s="42">
        <f>D264+(IF(E264&lt;201,E264,IF(E264&lt;301,E264/2,E264/3)))</f>
        <v>392.24015999999995</v>
      </c>
      <c r="G264" s="42">
        <v>0</v>
      </c>
      <c r="H264" s="42">
        <f t="shared" si="35"/>
        <v>588.36023999999998</v>
      </c>
      <c r="I264" s="36"/>
      <c r="J264" s="36">
        <f t="shared" si="34"/>
        <v>588.36023999999998</v>
      </c>
      <c r="L264" s="94"/>
      <c r="M264" s="94"/>
      <c r="N264" s="36"/>
      <c r="T264" s="21"/>
    </row>
    <row r="265" spans="1:20" s="37" customFormat="1" ht="15.75" customHeight="1" x14ac:dyDescent="0.35">
      <c r="A265" s="104">
        <f t="shared" si="33"/>
        <v>16</v>
      </c>
      <c r="B265" s="104"/>
      <c r="C265" s="42" t="s">
        <v>352</v>
      </c>
      <c r="D265" s="74">
        <f>(36.44)*10.764</f>
        <v>392.24015999999995</v>
      </c>
      <c r="E265" s="42">
        <v>0</v>
      </c>
      <c r="F265" s="42">
        <f>D265+(IF(E265&lt;201,E265,IF(E265&lt;301,E265/2,E265/3)))</f>
        <v>392.24015999999995</v>
      </c>
      <c r="G265" s="42">
        <v>0</v>
      </c>
      <c r="H265" s="42">
        <f t="shared" si="35"/>
        <v>588.36023999999998</v>
      </c>
      <c r="I265" s="36"/>
      <c r="J265" s="36">
        <f t="shared" si="34"/>
        <v>588.36023999999998</v>
      </c>
      <c r="L265" s="94"/>
      <c r="M265" s="94"/>
      <c r="N265" s="36"/>
      <c r="T265" s="21"/>
    </row>
    <row r="266" spans="1:20" s="37" customFormat="1" ht="15.75" customHeight="1" x14ac:dyDescent="0.35">
      <c r="A266" s="104">
        <f t="shared" si="33"/>
        <v>17</v>
      </c>
      <c r="B266" s="104"/>
      <c r="C266" s="42" t="s">
        <v>352</v>
      </c>
      <c r="D266" s="74">
        <f>(36.44)*10.764</f>
        <v>392.24015999999995</v>
      </c>
      <c r="E266" s="42">
        <v>0</v>
      </c>
      <c r="F266" s="42">
        <f>D266+(IF(E266&lt;201,E266,IF(E266&lt;301,E266/2,E266/3)))</f>
        <v>392.24015999999995</v>
      </c>
      <c r="G266" s="42">
        <v>0</v>
      </c>
      <c r="H266" s="42">
        <f t="shared" si="35"/>
        <v>588.36023999999998</v>
      </c>
      <c r="I266" s="36"/>
      <c r="J266" s="36">
        <f t="shared" si="34"/>
        <v>588.36023999999998</v>
      </c>
      <c r="L266" s="94"/>
      <c r="M266" s="94"/>
      <c r="N266" s="36"/>
      <c r="T266" s="21"/>
    </row>
    <row r="267" spans="1:20" s="37" customFormat="1" ht="15.75" customHeight="1" x14ac:dyDescent="0.35">
      <c r="A267" s="92">
        <f t="shared" si="33"/>
        <v>18</v>
      </c>
      <c r="B267" s="93"/>
      <c r="C267" s="95" t="s">
        <v>389</v>
      </c>
      <c r="D267" s="96"/>
      <c r="E267" s="96"/>
      <c r="F267" s="96"/>
      <c r="G267" s="96"/>
      <c r="H267" s="97"/>
      <c r="I267" s="36"/>
      <c r="J267" s="36">
        <f t="shared" si="34"/>
        <v>0</v>
      </c>
      <c r="L267" s="94"/>
      <c r="M267" s="94"/>
      <c r="N267" s="36"/>
      <c r="T267" s="34"/>
    </row>
    <row r="268" spans="1:20" s="37" customFormat="1" ht="15.75" customHeight="1" x14ac:dyDescent="0.35">
      <c r="A268" s="92">
        <f t="shared" si="33"/>
        <v>19</v>
      </c>
      <c r="B268" s="93"/>
      <c r="C268" s="105"/>
      <c r="D268" s="106"/>
      <c r="E268" s="106"/>
      <c r="F268" s="106"/>
      <c r="G268" s="106"/>
      <c r="H268" s="107"/>
      <c r="I268" s="36"/>
      <c r="J268" s="36">
        <f t="shared" si="34"/>
        <v>0</v>
      </c>
      <c r="L268" s="94"/>
      <c r="M268" s="94"/>
      <c r="N268" s="36"/>
      <c r="T268" s="21"/>
    </row>
    <row r="269" spans="1:20" s="37" customFormat="1" ht="15.75" customHeight="1" x14ac:dyDescent="0.35">
      <c r="A269" s="92">
        <f t="shared" si="33"/>
        <v>20</v>
      </c>
      <c r="B269" s="93"/>
      <c r="C269" s="98"/>
      <c r="D269" s="99"/>
      <c r="E269" s="99"/>
      <c r="F269" s="99"/>
      <c r="G269" s="99"/>
      <c r="H269" s="100"/>
      <c r="I269" s="36"/>
      <c r="J269" s="36">
        <f t="shared" si="34"/>
        <v>0</v>
      </c>
      <c r="L269" s="94"/>
      <c r="M269" s="94"/>
      <c r="N269" s="36"/>
      <c r="T269" s="21"/>
    </row>
    <row r="270" spans="1:20" s="37" customFormat="1" x14ac:dyDescent="0.35">
      <c r="A270" s="101" t="s">
        <v>396</v>
      </c>
      <c r="B270" s="102"/>
      <c r="C270" s="102"/>
      <c r="D270" s="102"/>
      <c r="E270" s="102"/>
      <c r="F270" s="102"/>
      <c r="G270" s="102"/>
      <c r="H270" s="103"/>
      <c r="J270" s="36">
        <f t="shared" si="34"/>
        <v>0</v>
      </c>
      <c r="T270" s="35"/>
    </row>
    <row r="271" spans="1:20" s="37" customFormat="1" ht="15.75" customHeight="1" x14ac:dyDescent="0.35">
      <c r="A271" s="92">
        <v>1</v>
      </c>
      <c r="B271" s="93"/>
      <c r="C271" s="42" t="s">
        <v>352</v>
      </c>
      <c r="D271" s="74">
        <f>(36.81)*10.764</f>
        <v>396.22284000000002</v>
      </c>
      <c r="E271" s="42">
        <v>0</v>
      </c>
      <c r="F271" s="42">
        <f t="shared" ref="F271:F290" si="36">D271+(IF(E271&lt;201,E271,IF(E271&lt;301,E271/2,E271/3)))</f>
        <v>396.22284000000002</v>
      </c>
      <c r="G271" s="42">
        <v>0</v>
      </c>
      <c r="H271" s="42">
        <f>F271*(($H$127)+1)+(IF(G271&lt;101,G271,IF(G271&lt;201,G271/2,IF(G271&lt;=301,G271/3,G271/4))))</f>
        <v>594.33426000000009</v>
      </c>
      <c r="I271" s="36"/>
      <c r="J271" s="36">
        <f t="shared" si="34"/>
        <v>594.33426000000009</v>
      </c>
      <c r="L271" s="94"/>
      <c r="M271" s="94"/>
      <c r="N271" s="36"/>
      <c r="T271" s="35"/>
    </row>
    <row r="272" spans="1:20" s="37" customFormat="1" ht="15.75" customHeight="1" x14ac:dyDescent="0.35">
      <c r="A272" s="92">
        <f t="shared" ref="A272:A290" si="37">A271+1</f>
        <v>2</v>
      </c>
      <c r="B272" s="93"/>
      <c r="C272" s="42" t="s">
        <v>352</v>
      </c>
      <c r="D272" s="74">
        <f>(57.14-(5.45*2.32))*10.764</f>
        <v>478.95494400000001</v>
      </c>
      <c r="E272" s="42">
        <v>0</v>
      </c>
      <c r="F272" s="42">
        <f t="shared" si="36"/>
        <v>478.95494400000001</v>
      </c>
      <c r="G272" s="74">
        <f>(5.45*2.32)*10.764</f>
        <v>136.10001599999998</v>
      </c>
      <c r="H272" s="42">
        <f t="shared" ref="H272:H290" si="38">F272*(($H$127)+1)+(IF(G272&lt;101,G272,IF(G272&lt;201,G272/2,IF(G272&lt;=301,G272/3,G272/4))))</f>
        <v>786.48242400000004</v>
      </c>
      <c r="I272" s="36"/>
      <c r="J272" s="36">
        <f t="shared" si="34"/>
        <v>718.43241599999999</v>
      </c>
      <c r="L272" s="94"/>
      <c r="M272" s="94"/>
      <c r="N272" s="36"/>
      <c r="T272" s="34"/>
    </row>
    <row r="273" spans="1:20" s="37" customFormat="1" ht="15.75" customHeight="1" x14ac:dyDescent="0.35">
      <c r="A273" s="92">
        <f t="shared" si="37"/>
        <v>3</v>
      </c>
      <c r="B273" s="93"/>
      <c r="C273" s="42" t="s">
        <v>352</v>
      </c>
      <c r="D273" s="74">
        <f>(56.53-(5.21*2.32))*10.764</f>
        <v>478.38229920000003</v>
      </c>
      <c r="E273" s="42">
        <v>0</v>
      </c>
      <c r="F273" s="42">
        <f t="shared" si="36"/>
        <v>478.38229920000003</v>
      </c>
      <c r="G273" s="74">
        <f>(5.21*2.32)*10.764</f>
        <v>130.10662079999997</v>
      </c>
      <c r="H273" s="42">
        <f t="shared" si="38"/>
        <v>782.62675920000004</v>
      </c>
      <c r="I273" s="36"/>
      <c r="J273" s="36">
        <f t="shared" si="34"/>
        <v>717.57344880000005</v>
      </c>
      <c r="L273" s="94"/>
      <c r="M273" s="94"/>
      <c r="N273" s="36"/>
      <c r="T273" s="21"/>
    </row>
    <row r="274" spans="1:20" s="37" customFormat="1" ht="15.75" customHeight="1" x14ac:dyDescent="0.35">
      <c r="A274" s="92">
        <f t="shared" si="37"/>
        <v>4</v>
      </c>
      <c r="B274" s="93"/>
      <c r="C274" s="42" t="s">
        <v>352</v>
      </c>
      <c r="D274" s="74">
        <f>(57.13)*10.764</f>
        <v>614.94731999999999</v>
      </c>
      <c r="E274" s="42">
        <v>0</v>
      </c>
      <c r="F274" s="42">
        <f t="shared" si="36"/>
        <v>614.94731999999999</v>
      </c>
      <c r="G274" s="42">
        <v>0</v>
      </c>
      <c r="H274" s="42">
        <f t="shared" si="38"/>
        <v>922.42097999999999</v>
      </c>
      <c r="I274" s="36"/>
      <c r="J274" s="36">
        <f t="shared" si="34"/>
        <v>922.42097999999999</v>
      </c>
      <c r="L274" s="94"/>
      <c r="M274" s="94"/>
      <c r="N274" s="36"/>
      <c r="T274" s="21"/>
    </row>
    <row r="275" spans="1:20" s="37" customFormat="1" ht="15.75" customHeight="1" x14ac:dyDescent="0.35">
      <c r="A275" s="92">
        <f t="shared" si="37"/>
        <v>5</v>
      </c>
      <c r="B275" s="93"/>
      <c r="C275" s="42" t="s">
        <v>352</v>
      </c>
      <c r="D275" s="74">
        <f>(56.58)*10.764</f>
        <v>609.02711999999997</v>
      </c>
      <c r="E275" s="42">
        <v>0</v>
      </c>
      <c r="F275" s="42">
        <f t="shared" si="36"/>
        <v>609.02711999999997</v>
      </c>
      <c r="G275" s="42">
        <v>0</v>
      </c>
      <c r="H275" s="42">
        <f t="shared" si="38"/>
        <v>913.54067999999995</v>
      </c>
      <c r="I275" s="36"/>
      <c r="J275" s="36">
        <f t="shared" si="34"/>
        <v>913.54067999999995</v>
      </c>
      <c r="L275" s="94"/>
      <c r="M275" s="94"/>
      <c r="N275" s="36"/>
      <c r="T275" s="34"/>
    </row>
    <row r="276" spans="1:20" s="37" customFormat="1" ht="15.75" customHeight="1" x14ac:dyDescent="0.35">
      <c r="A276" s="92">
        <f t="shared" si="37"/>
        <v>6</v>
      </c>
      <c r="B276" s="93"/>
      <c r="C276" s="42" t="s">
        <v>352</v>
      </c>
      <c r="D276" s="74">
        <f>(58.12)*10.764</f>
        <v>625.60367999999994</v>
      </c>
      <c r="E276" s="42">
        <v>0</v>
      </c>
      <c r="F276" s="42">
        <f t="shared" si="36"/>
        <v>625.60367999999994</v>
      </c>
      <c r="G276" s="42">
        <v>0</v>
      </c>
      <c r="H276" s="42">
        <f t="shared" si="38"/>
        <v>938.40551999999991</v>
      </c>
      <c r="I276" s="36"/>
      <c r="J276" s="36">
        <f t="shared" si="34"/>
        <v>938.40551999999991</v>
      </c>
      <c r="L276" s="94"/>
      <c r="M276" s="94"/>
      <c r="N276" s="36"/>
      <c r="T276" s="21"/>
    </row>
    <row r="277" spans="1:20" s="37" customFormat="1" ht="15.75" customHeight="1" x14ac:dyDescent="0.35">
      <c r="A277" s="92">
        <f t="shared" si="37"/>
        <v>7</v>
      </c>
      <c r="B277" s="93"/>
      <c r="C277" s="42" t="s">
        <v>352</v>
      </c>
      <c r="D277" s="74">
        <f>(56.89)*10.764</f>
        <v>612.36396000000002</v>
      </c>
      <c r="E277" s="42">
        <v>0</v>
      </c>
      <c r="F277" s="42">
        <f t="shared" si="36"/>
        <v>612.36396000000002</v>
      </c>
      <c r="G277" s="42">
        <v>0</v>
      </c>
      <c r="H277" s="42">
        <f t="shared" si="38"/>
        <v>918.54593999999997</v>
      </c>
      <c r="I277" s="36"/>
      <c r="J277" s="36">
        <f t="shared" si="34"/>
        <v>918.54593999999997</v>
      </c>
      <c r="L277" s="94"/>
      <c r="M277" s="94"/>
      <c r="N277" s="36"/>
      <c r="T277" s="21"/>
    </row>
    <row r="278" spans="1:20" s="37" customFormat="1" ht="15.75" customHeight="1" x14ac:dyDescent="0.35">
      <c r="A278" s="92">
        <f t="shared" si="37"/>
        <v>8</v>
      </c>
      <c r="B278" s="93"/>
      <c r="C278" s="42" t="s">
        <v>352</v>
      </c>
      <c r="D278" s="74">
        <f>(57.44)*10.764</f>
        <v>618.28415999999993</v>
      </c>
      <c r="E278" s="42">
        <v>0</v>
      </c>
      <c r="F278" s="42">
        <f t="shared" si="36"/>
        <v>618.28415999999993</v>
      </c>
      <c r="G278" s="42">
        <v>0</v>
      </c>
      <c r="H278" s="42">
        <f t="shared" si="38"/>
        <v>927.42623999999989</v>
      </c>
      <c r="I278" s="36"/>
      <c r="J278" s="36">
        <f t="shared" si="34"/>
        <v>927.42623999999989</v>
      </c>
      <c r="L278" s="94"/>
      <c r="M278" s="94"/>
      <c r="N278" s="36"/>
      <c r="T278" s="21"/>
    </row>
    <row r="279" spans="1:20" s="37" customFormat="1" ht="15.75" customHeight="1" x14ac:dyDescent="0.35">
      <c r="A279" s="92">
        <f t="shared" si="37"/>
        <v>9</v>
      </c>
      <c r="B279" s="93"/>
      <c r="C279" s="42" t="s">
        <v>352</v>
      </c>
      <c r="D279" s="74">
        <f>(57.48)*10.764</f>
        <v>618.71471999999994</v>
      </c>
      <c r="E279" s="42">
        <v>0</v>
      </c>
      <c r="F279" s="42">
        <f t="shared" si="36"/>
        <v>618.71471999999994</v>
      </c>
      <c r="G279" s="42">
        <v>0</v>
      </c>
      <c r="H279" s="42">
        <f t="shared" si="38"/>
        <v>928.07207999999991</v>
      </c>
      <c r="I279" s="36"/>
      <c r="J279" s="36">
        <f t="shared" si="34"/>
        <v>928.07207999999991</v>
      </c>
      <c r="L279" s="94"/>
      <c r="M279" s="94"/>
      <c r="N279" s="36"/>
      <c r="T279" s="34"/>
    </row>
    <row r="280" spans="1:20" s="37" customFormat="1" ht="15.75" customHeight="1" x14ac:dyDescent="0.35">
      <c r="A280" s="92">
        <f t="shared" si="37"/>
        <v>10</v>
      </c>
      <c r="B280" s="93"/>
      <c r="C280" s="42" t="s">
        <v>352</v>
      </c>
      <c r="D280" s="74">
        <f>(37.01)*10.764</f>
        <v>398.37563999999998</v>
      </c>
      <c r="E280" s="42">
        <v>0</v>
      </c>
      <c r="F280" s="42">
        <f t="shared" si="36"/>
        <v>398.37563999999998</v>
      </c>
      <c r="G280" s="42">
        <v>0</v>
      </c>
      <c r="H280" s="42">
        <f t="shared" si="38"/>
        <v>597.56345999999996</v>
      </c>
      <c r="I280" s="36"/>
      <c r="J280" s="36">
        <f t="shared" si="34"/>
        <v>597.56345999999996</v>
      </c>
      <c r="L280" s="94"/>
      <c r="M280" s="94"/>
      <c r="N280" s="36"/>
      <c r="T280" s="21"/>
    </row>
    <row r="281" spans="1:20" s="37" customFormat="1" ht="15.75" customHeight="1" x14ac:dyDescent="0.35">
      <c r="A281" s="92">
        <f t="shared" si="37"/>
        <v>11</v>
      </c>
      <c r="B281" s="93"/>
      <c r="C281" s="42" t="s">
        <v>352</v>
      </c>
      <c r="D281" s="74">
        <f>(35.99)*10.764</f>
        <v>387.39636000000002</v>
      </c>
      <c r="E281" s="42">
        <v>0</v>
      </c>
      <c r="F281" s="42">
        <f t="shared" si="36"/>
        <v>387.39636000000002</v>
      </c>
      <c r="G281" s="42">
        <v>0</v>
      </c>
      <c r="H281" s="42">
        <f t="shared" si="38"/>
        <v>581.09454000000005</v>
      </c>
      <c r="I281" s="36"/>
      <c r="J281" s="36">
        <f t="shared" si="34"/>
        <v>581.09454000000005</v>
      </c>
      <c r="L281" s="94"/>
      <c r="M281" s="94"/>
      <c r="N281" s="36"/>
      <c r="T281" s="21"/>
    </row>
    <row r="282" spans="1:20" s="37" customFormat="1" ht="15.75" customHeight="1" x14ac:dyDescent="0.35">
      <c r="A282" s="92">
        <f t="shared" si="37"/>
        <v>12</v>
      </c>
      <c r="B282" s="93"/>
      <c r="C282" s="42" t="s">
        <v>352</v>
      </c>
      <c r="D282" s="74">
        <f t="shared" ref="D282:D289" si="39">(36.44)*10.764</f>
        <v>392.24015999999995</v>
      </c>
      <c r="E282" s="42">
        <v>0</v>
      </c>
      <c r="F282" s="42">
        <f t="shared" si="36"/>
        <v>392.24015999999995</v>
      </c>
      <c r="G282" s="42">
        <v>0</v>
      </c>
      <c r="H282" s="42">
        <f t="shared" si="38"/>
        <v>588.36023999999998</v>
      </c>
      <c r="I282" s="36"/>
      <c r="J282" s="36">
        <f t="shared" si="34"/>
        <v>588.36023999999998</v>
      </c>
      <c r="L282" s="94"/>
      <c r="M282" s="94"/>
      <c r="N282" s="36"/>
      <c r="T282" s="34"/>
    </row>
    <row r="283" spans="1:20" s="37" customFormat="1" ht="15.75" customHeight="1" x14ac:dyDescent="0.35">
      <c r="A283" s="92">
        <f t="shared" si="37"/>
        <v>13</v>
      </c>
      <c r="B283" s="93"/>
      <c r="C283" s="42" t="s">
        <v>352</v>
      </c>
      <c r="D283" s="74">
        <f t="shared" si="39"/>
        <v>392.24015999999995</v>
      </c>
      <c r="E283" s="42">
        <v>0</v>
      </c>
      <c r="F283" s="42">
        <f t="shared" si="36"/>
        <v>392.24015999999995</v>
      </c>
      <c r="G283" s="42">
        <v>0</v>
      </c>
      <c r="H283" s="42">
        <f t="shared" si="38"/>
        <v>588.36023999999998</v>
      </c>
      <c r="I283" s="36"/>
      <c r="J283" s="36">
        <f t="shared" si="34"/>
        <v>588.36023999999998</v>
      </c>
      <c r="L283" s="94"/>
      <c r="M283" s="94"/>
      <c r="N283" s="36"/>
      <c r="T283" s="21"/>
    </row>
    <row r="284" spans="1:20" s="37" customFormat="1" ht="15.75" customHeight="1" x14ac:dyDescent="0.35">
      <c r="A284" s="92">
        <f t="shared" si="37"/>
        <v>14</v>
      </c>
      <c r="B284" s="93"/>
      <c r="C284" s="42" t="s">
        <v>352</v>
      </c>
      <c r="D284" s="74">
        <f t="shared" si="39"/>
        <v>392.24015999999995</v>
      </c>
      <c r="E284" s="42">
        <v>0</v>
      </c>
      <c r="F284" s="42">
        <f t="shared" si="36"/>
        <v>392.24015999999995</v>
      </c>
      <c r="G284" s="42">
        <v>0</v>
      </c>
      <c r="H284" s="42">
        <f t="shared" si="38"/>
        <v>588.36023999999998</v>
      </c>
      <c r="I284" s="36"/>
      <c r="J284" s="36">
        <f t="shared" si="34"/>
        <v>588.36023999999998</v>
      </c>
      <c r="L284" s="94"/>
      <c r="M284" s="94"/>
      <c r="N284" s="36"/>
      <c r="T284" s="21"/>
    </row>
    <row r="285" spans="1:20" s="37" customFormat="1" ht="15.75" customHeight="1" x14ac:dyDescent="0.35">
      <c r="A285" s="92">
        <f t="shared" si="37"/>
        <v>15</v>
      </c>
      <c r="B285" s="93"/>
      <c r="C285" s="42" t="s">
        <v>352</v>
      </c>
      <c r="D285" s="74">
        <f t="shared" si="39"/>
        <v>392.24015999999995</v>
      </c>
      <c r="E285" s="42">
        <v>0</v>
      </c>
      <c r="F285" s="42">
        <f t="shared" si="36"/>
        <v>392.24015999999995</v>
      </c>
      <c r="G285" s="42">
        <v>0</v>
      </c>
      <c r="H285" s="42">
        <f t="shared" si="38"/>
        <v>588.36023999999998</v>
      </c>
      <c r="I285" s="36"/>
      <c r="J285" s="36">
        <f t="shared" si="34"/>
        <v>588.36023999999998</v>
      </c>
      <c r="L285" s="94"/>
      <c r="M285" s="94"/>
      <c r="N285" s="36"/>
      <c r="T285" s="21"/>
    </row>
    <row r="286" spans="1:20" s="37" customFormat="1" ht="15.75" customHeight="1" x14ac:dyDescent="0.35">
      <c r="A286" s="92">
        <f t="shared" si="37"/>
        <v>16</v>
      </c>
      <c r="B286" s="93"/>
      <c r="C286" s="42" t="s">
        <v>352</v>
      </c>
      <c r="D286" s="74">
        <f t="shared" si="39"/>
        <v>392.24015999999995</v>
      </c>
      <c r="E286" s="42">
        <v>0</v>
      </c>
      <c r="F286" s="42">
        <f t="shared" si="36"/>
        <v>392.24015999999995</v>
      </c>
      <c r="G286" s="42">
        <v>0</v>
      </c>
      <c r="H286" s="42">
        <f t="shared" si="38"/>
        <v>588.36023999999998</v>
      </c>
      <c r="I286" s="36"/>
      <c r="J286" s="36">
        <f t="shared" si="34"/>
        <v>588.36023999999998</v>
      </c>
      <c r="L286" s="94"/>
      <c r="M286" s="94"/>
      <c r="N286" s="36"/>
      <c r="T286" s="21"/>
    </row>
    <row r="287" spans="1:20" s="37" customFormat="1" ht="15.75" customHeight="1" x14ac:dyDescent="0.35">
      <c r="A287" s="92">
        <f t="shared" si="37"/>
        <v>17</v>
      </c>
      <c r="B287" s="93"/>
      <c r="C287" s="42" t="s">
        <v>352</v>
      </c>
      <c r="D287" s="74">
        <f t="shared" si="39"/>
        <v>392.24015999999995</v>
      </c>
      <c r="E287" s="42">
        <v>0</v>
      </c>
      <c r="F287" s="42">
        <f t="shared" si="36"/>
        <v>392.24015999999995</v>
      </c>
      <c r="G287" s="42">
        <v>0</v>
      </c>
      <c r="H287" s="42">
        <f t="shared" si="38"/>
        <v>588.36023999999998</v>
      </c>
      <c r="I287" s="36"/>
      <c r="J287" s="36">
        <f t="shared" si="34"/>
        <v>588.36023999999998</v>
      </c>
      <c r="L287" s="94"/>
      <c r="M287" s="94"/>
      <c r="N287" s="36"/>
      <c r="T287" s="21"/>
    </row>
    <row r="288" spans="1:20" s="37" customFormat="1" ht="15.75" customHeight="1" x14ac:dyDescent="0.35">
      <c r="A288" s="92">
        <f t="shared" si="37"/>
        <v>18</v>
      </c>
      <c r="B288" s="93"/>
      <c r="C288" s="42" t="s">
        <v>352</v>
      </c>
      <c r="D288" s="74">
        <f t="shared" si="39"/>
        <v>392.24015999999995</v>
      </c>
      <c r="E288" s="42">
        <v>0</v>
      </c>
      <c r="F288" s="42">
        <f t="shared" si="36"/>
        <v>392.24015999999995</v>
      </c>
      <c r="G288" s="42">
        <v>0</v>
      </c>
      <c r="H288" s="42">
        <f t="shared" si="38"/>
        <v>588.36023999999998</v>
      </c>
      <c r="I288" s="36"/>
      <c r="J288" s="36">
        <f t="shared" si="34"/>
        <v>588.36023999999998</v>
      </c>
      <c r="L288" s="94"/>
      <c r="M288" s="94"/>
      <c r="N288" s="36"/>
      <c r="T288" s="34"/>
    </row>
    <row r="289" spans="1:20" s="37" customFormat="1" ht="15.75" customHeight="1" x14ac:dyDescent="0.35">
      <c r="A289" s="92">
        <f t="shared" si="37"/>
        <v>19</v>
      </c>
      <c r="B289" s="93"/>
      <c r="C289" s="42" t="s">
        <v>352</v>
      </c>
      <c r="D289" s="74">
        <f t="shared" si="39"/>
        <v>392.24015999999995</v>
      </c>
      <c r="E289" s="42">
        <v>0</v>
      </c>
      <c r="F289" s="42">
        <f t="shared" si="36"/>
        <v>392.24015999999995</v>
      </c>
      <c r="G289" s="42">
        <v>0</v>
      </c>
      <c r="H289" s="42">
        <f t="shared" si="38"/>
        <v>588.36023999999998</v>
      </c>
      <c r="I289" s="36"/>
      <c r="J289" s="36">
        <f t="shared" si="34"/>
        <v>588.36023999999998</v>
      </c>
      <c r="L289" s="94"/>
      <c r="M289" s="94"/>
      <c r="N289" s="36"/>
      <c r="T289" s="21"/>
    </row>
    <row r="290" spans="1:20" s="37" customFormat="1" ht="15.75" customHeight="1" x14ac:dyDescent="0.35">
      <c r="A290" s="92">
        <f t="shared" si="37"/>
        <v>20</v>
      </c>
      <c r="B290" s="93"/>
      <c r="C290" s="42" t="s">
        <v>352</v>
      </c>
      <c r="D290" s="74">
        <f>(35.75)*10.764</f>
        <v>384.81299999999999</v>
      </c>
      <c r="E290" s="42">
        <v>0</v>
      </c>
      <c r="F290" s="42">
        <f t="shared" si="36"/>
        <v>384.81299999999999</v>
      </c>
      <c r="G290" s="42">
        <v>0</v>
      </c>
      <c r="H290" s="42">
        <f t="shared" si="38"/>
        <v>577.21949999999993</v>
      </c>
      <c r="I290" s="36"/>
      <c r="J290" s="36">
        <f t="shared" si="34"/>
        <v>577.21949999999993</v>
      </c>
      <c r="L290" s="94"/>
      <c r="M290" s="94"/>
      <c r="N290" s="36"/>
      <c r="T290" s="21"/>
    </row>
    <row r="291" spans="1:20" s="37" customFormat="1" x14ac:dyDescent="0.35">
      <c r="A291" s="101" t="s">
        <v>397</v>
      </c>
      <c r="B291" s="102"/>
      <c r="C291" s="102"/>
      <c r="D291" s="102"/>
      <c r="E291" s="102"/>
      <c r="F291" s="102"/>
      <c r="G291" s="102"/>
      <c r="H291" s="103"/>
      <c r="J291" s="36">
        <f t="shared" si="34"/>
        <v>0</v>
      </c>
      <c r="T291" s="35"/>
    </row>
    <row r="292" spans="1:20" s="37" customFormat="1" ht="15.75" customHeight="1" x14ac:dyDescent="0.35">
      <c r="A292" s="92">
        <v>1</v>
      </c>
      <c r="B292" s="93"/>
      <c r="C292" s="42" t="s">
        <v>352</v>
      </c>
      <c r="D292" s="74">
        <f>(36.81)*10.764</f>
        <v>396.22284000000002</v>
      </c>
      <c r="E292" s="42">
        <v>0</v>
      </c>
      <c r="F292" s="42">
        <f t="shared" ref="F292:F311" si="40">D292+(IF(E292&lt;201,E292,IF(E292&lt;301,E292/2,E292/3)))</f>
        <v>396.22284000000002</v>
      </c>
      <c r="G292" s="42">
        <v>0</v>
      </c>
      <c r="H292" s="42">
        <f t="shared" ref="H292:H311" si="41">F292*(($H$127)+1)+(IF(G292&lt;101,G292,IF(G292&lt;201,G292/2,IF(G292&lt;=301,G292/3,G292/4))))</f>
        <v>594.33426000000009</v>
      </c>
      <c r="I292" s="36"/>
      <c r="J292" s="36">
        <f t="shared" si="34"/>
        <v>594.33426000000009</v>
      </c>
      <c r="L292" s="94"/>
      <c r="M292" s="94"/>
      <c r="N292" s="36"/>
      <c r="T292" s="35"/>
    </row>
    <row r="293" spans="1:20" s="37" customFormat="1" ht="15.75" customHeight="1" x14ac:dyDescent="0.35">
      <c r="A293" s="92">
        <f t="shared" ref="A293:A311" si="42">A292+1</f>
        <v>2</v>
      </c>
      <c r="B293" s="93"/>
      <c r="C293" s="42" t="s">
        <v>352</v>
      </c>
      <c r="D293" s="74">
        <f>(44.5)*10.764</f>
        <v>478.99799999999999</v>
      </c>
      <c r="E293" s="42">
        <v>0</v>
      </c>
      <c r="F293" s="42">
        <f t="shared" si="40"/>
        <v>478.99799999999999</v>
      </c>
      <c r="G293" s="42">
        <v>0</v>
      </c>
      <c r="H293" s="42">
        <f t="shared" si="41"/>
        <v>718.49699999999996</v>
      </c>
      <c r="I293" s="36"/>
      <c r="J293" s="36">
        <f t="shared" si="34"/>
        <v>718.49699999999996</v>
      </c>
      <c r="L293" s="94"/>
      <c r="M293" s="94"/>
      <c r="N293" s="36"/>
      <c r="T293" s="34"/>
    </row>
    <row r="294" spans="1:20" s="37" customFormat="1" ht="15.75" customHeight="1" x14ac:dyDescent="0.35">
      <c r="A294" s="92">
        <f t="shared" si="42"/>
        <v>3</v>
      </c>
      <c r="B294" s="93"/>
      <c r="C294" s="42" t="s">
        <v>352</v>
      </c>
      <c r="D294" s="74">
        <f>(44.44)*10.764</f>
        <v>478.35215999999997</v>
      </c>
      <c r="E294" s="42">
        <v>0</v>
      </c>
      <c r="F294" s="42">
        <f t="shared" si="40"/>
        <v>478.35215999999997</v>
      </c>
      <c r="G294" s="42">
        <v>0</v>
      </c>
      <c r="H294" s="42">
        <f t="shared" si="41"/>
        <v>717.52823999999998</v>
      </c>
      <c r="I294" s="36"/>
      <c r="J294" s="36">
        <f t="shared" si="34"/>
        <v>717.52823999999998</v>
      </c>
      <c r="L294" s="94"/>
      <c r="M294" s="94"/>
      <c r="N294" s="36"/>
      <c r="T294" s="21"/>
    </row>
    <row r="295" spans="1:20" s="37" customFormat="1" ht="15.75" customHeight="1" x14ac:dyDescent="0.35">
      <c r="A295" s="92">
        <f t="shared" si="42"/>
        <v>4</v>
      </c>
      <c r="B295" s="93"/>
      <c r="C295" s="42" t="s">
        <v>352</v>
      </c>
      <c r="D295" s="74">
        <f>(57.13)*10.764</f>
        <v>614.94731999999999</v>
      </c>
      <c r="E295" s="42">
        <v>0</v>
      </c>
      <c r="F295" s="42">
        <f t="shared" si="40"/>
        <v>614.94731999999999</v>
      </c>
      <c r="G295" s="42">
        <v>0</v>
      </c>
      <c r="H295" s="42">
        <f t="shared" si="41"/>
        <v>922.42097999999999</v>
      </c>
      <c r="I295" s="36"/>
      <c r="J295" s="36">
        <f t="shared" si="34"/>
        <v>922.42097999999999</v>
      </c>
      <c r="L295" s="94"/>
      <c r="M295" s="94"/>
      <c r="N295" s="36"/>
      <c r="T295" s="21"/>
    </row>
    <row r="296" spans="1:20" s="37" customFormat="1" ht="15.75" customHeight="1" x14ac:dyDescent="0.35">
      <c r="A296" s="92">
        <f t="shared" si="42"/>
        <v>5</v>
      </c>
      <c r="B296" s="93"/>
      <c r="C296" s="42" t="s">
        <v>352</v>
      </c>
      <c r="D296" s="74">
        <f>(56.58)*10.764</f>
        <v>609.02711999999997</v>
      </c>
      <c r="E296" s="42">
        <v>0</v>
      </c>
      <c r="F296" s="42">
        <f t="shared" si="40"/>
        <v>609.02711999999997</v>
      </c>
      <c r="G296" s="42">
        <v>0</v>
      </c>
      <c r="H296" s="42">
        <f t="shared" si="41"/>
        <v>913.54067999999995</v>
      </c>
      <c r="I296" s="36"/>
      <c r="J296" s="36">
        <f t="shared" si="34"/>
        <v>913.54067999999995</v>
      </c>
      <c r="L296" s="94"/>
      <c r="M296" s="94"/>
      <c r="N296" s="36"/>
      <c r="T296" s="34"/>
    </row>
    <row r="297" spans="1:20" s="37" customFormat="1" ht="15.75" customHeight="1" x14ac:dyDescent="0.35">
      <c r="A297" s="92">
        <f t="shared" si="42"/>
        <v>6</v>
      </c>
      <c r="B297" s="93"/>
      <c r="C297" s="42" t="s">
        <v>352</v>
      </c>
      <c r="D297" s="74">
        <f>(58.12)*10.764</f>
        <v>625.60367999999994</v>
      </c>
      <c r="E297" s="42">
        <v>0</v>
      </c>
      <c r="F297" s="42">
        <f t="shared" si="40"/>
        <v>625.60367999999994</v>
      </c>
      <c r="G297" s="42">
        <v>0</v>
      </c>
      <c r="H297" s="42">
        <f t="shared" si="41"/>
        <v>938.40551999999991</v>
      </c>
      <c r="I297" s="36"/>
      <c r="J297" s="36">
        <f t="shared" si="34"/>
        <v>938.40551999999991</v>
      </c>
      <c r="L297" s="94"/>
      <c r="M297" s="94"/>
      <c r="N297" s="36"/>
      <c r="T297" s="21"/>
    </row>
    <row r="298" spans="1:20" s="37" customFormat="1" ht="15.75" customHeight="1" x14ac:dyDescent="0.35">
      <c r="A298" s="92">
        <f t="shared" si="42"/>
        <v>7</v>
      </c>
      <c r="B298" s="93"/>
      <c r="C298" s="42" t="s">
        <v>352</v>
      </c>
      <c r="D298" s="74">
        <f>(56.89)*10.764</f>
        <v>612.36396000000002</v>
      </c>
      <c r="E298" s="42">
        <v>0</v>
      </c>
      <c r="F298" s="42">
        <f t="shared" si="40"/>
        <v>612.36396000000002</v>
      </c>
      <c r="G298" s="42">
        <v>0</v>
      </c>
      <c r="H298" s="42">
        <f t="shared" si="41"/>
        <v>918.54593999999997</v>
      </c>
      <c r="I298" s="36"/>
      <c r="J298" s="36">
        <f t="shared" si="34"/>
        <v>918.54593999999997</v>
      </c>
      <c r="L298" s="94"/>
      <c r="M298" s="94"/>
      <c r="N298" s="36"/>
      <c r="T298" s="21"/>
    </row>
    <row r="299" spans="1:20" s="37" customFormat="1" ht="15.75" customHeight="1" x14ac:dyDescent="0.35">
      <c r="A299" s="92">
        <f t="shared" si="42"/>
        <v>8</v>
      </c>
      <c r="B299" s="93"/>
      <c r="C299" s="42" t="s">
        <v>352</v>
      </c>
      <c r="D299" s="74">
        <f>(57.44)*10.764</f>
        <v>618.28415999999993</v>
      </c>
      <c r="E299" s="42">
        <v>0</v>
      </c>
      <c r="F299" s="42">
        <f t="shared" si="40"/>
        <v>618.28415999999993</v>
      </c>
      <c r="G299" s="42">
        <v>0</v>
      </c>
      <c r="H299" s="42">
        <f t="shared" si="41"/>
        <v>927.42623999999989</v>
      </c>
      <c r="I299" s="36"/>
      <c r="J299" s="36">
        <f t="shared" si="34"/>
        <v>927.42623999999989</v>
      </c>
      <c r="L299" s="94"/>
      <c r="M299" s="94"/>
      <c r="N299" s="36"/>
      <c r="T299" s="21"/>
    </row>
    <row r="300" spans="1:20" s="37" customFormat="1" ht="15.75" customHeight="1" x14ac:dyDescent="0.35">
      <c r="A300" s="92">
        <f t="shared" si="42"/>
        <v>9</v>
      </c>
      <c r="B300" s="93"/>
      <c r="C300" s="42" t="s">
        <v>352</v>
      </c>
      <c r="D300" s="74">
        <f>(57.48)*10.764</f>
        <v>618.71471999999994</v>
      </c>
      <c r="E300" s="42">
        <v>0</v>
      </c>
      <c r="F300" s="42">
        <f t="shared" si="40"/>
        <v>618.71471999999994</v>
      </c>
      <c r="G300" s="42">
        <v>0</v>
      </c>
      <c r="H300" s="42">
        <f t="shared" si="41"/>
        <v>928.07207999999991</v>
      </c>
      <c r="I300" s="36"/>
      <c r="J300" s="36">
        <f t="shared" si="34"/>
        <v>928.07207999999991</v>
      </c>
      <c r="L300" s="94"/>
      <c r="M300" s="94"/>
      <c r="N300" s="36"/>
      <c r="T300" s="34"/>
    </row>
    <row r="301" spans="1:20" s="37" customFormat="1" ht="15.75" customHeight="1" x14ac:dyDescent="0.35">
      <c r="A301" s="92">
        <f t="shared" si="42"/>
        <v>10</v>
      </c>
      <c r="B301" s="93"/>
      <c r="C301" s="42" t="s">
        <v>352</v>
      </c>
      <c r="D301" s="74">
        <f>(37.01)*10.764</f>
        <v>398.37563999999998</v>
      </c>
      <c r="E301" s="42">
        <v>0</v>
      </c>
      <c r="F301" s="42">
        <f t="shared" si="40"/>
        <v>398.37563999999998</v>
      </c>
      <c r="G301" s="42">
        <v>0</v>
      </c>
      <c r="H301" s="42">
        <f t="shared" si="41"/>
        <v>597.56345999999996</v>
      </c>
      <c r="I301" s="36"/>
      <c r="J301" s="36">
        <f t="shared" si="34"/>
        <v>597.56345999999996</v>
      </c>
      <c r="L301" s="94"/>
      <c r="M301" s="94"/>
      <c r="N301" s="36"/>
      <c r="T301" s="21"/>
    </row>
    <row r="302" spans="1:20" s="37" customFormat="1" ht="15.75" customHeight="1" x14ac:dyDescent="0.35">
      <c r="A302" s="92">
        <f t="shared" si="42"/>
        <v>11</v>
      </c>
      <c r="B302" s="93"/>
      <c r="C302" s="42" t="s">
        <v>352</v>
      </c>
      <c r="D302" s="74">
        <f>(35.99)*10.764</f>
        <v>387.39636000000002</v>
      </c>
      <c r="E302" s="42">
        <v>0</v>
      </c>
      <c r="F302" s="42">
        <f t="shared" si="40"/>
        <v>387.39636000000002</v>
      </c>
      <c r="G302" s="42">
        <v>0</v>
      </c>
      <c r="H302" s="42">
        <f t="shared" si="41"/>
        <v>581.09454000000005</v>
      </c>
      <c r="I302" s="36"/>
      <c r="J302" s="36">
        <f t="shared" si="34"/>
        <v>581.09454000000005</v>
      </c>
      <c r="L302" s="94"/>
      <c r="M302" s="94"/>
      <c r="N302" s="36"/>
      <c r="T302" s="21"/>
    </row>
    <row r="303" spans="1:20" s="37" customFormat="1" ht="15.75" customHeight="1" x14ac:dyDescent="0.35">
      <c r="A303" s="92">
        <f t="shared" si="42"/>
        <v>12</v>
      </c>
      <c r="B303" s="93"/>
      <c r="C303" s="42" t="s">
        <v>352</v>
      </c>
      <c r="D303" s="74">
        <f t="shared" ref="D303:D310" si="43">(36.44)*10.764</f>
        <v>392.24015999999995</v>
      </c>
      <c r="E303" s="42">
        <v>0</v>
      </c>
      <c r="F303" s="42">
        <f t="shared" si="40"/>
        <v>392.24015999999995</v>
      </c>
      <c r="G303" s="42">
        <v>0</v>
      </c>
      <c r="H303" s="42">
        <f t="shared" si="41"/>
        <v>588.36023999999998</v>
      </c>
      <c r="I303" s="36"/>
      <c r="J303" s="36">
        <f t="shared" si="34"/>
        <v>588.36023999999998</v>
      </c>
      <c r="L303" s="94"/>
      <c r="M303" s="94"/>
      <c r="N303" s="36"/>
      <c r="T303" s="34"/>
    </row>
    <row r="304" spans="1:20" s="37" customFormat="1" ht="15.75" customHeight="1" x14ac:dyDescent="0.35">
      <c r="A304" s="92">
        <f t="shared" si="42"/>
        <v>13</v>
      </c>
      <c r="B304" s="93"/>
      <c r="C304" s="42" t="s">
        <v>352</v>
      </c>
      <c r="D304" s="74">
        <f t="shared" si="43"/>
        <v>392.24015999999995</v>
      </c>
      <c r="E304" s="42">
        <v>0</v>
      </c>
      <c r="F304" s="42">
        <f t="shared" si="40"/>
        <v>392.24015999999995</v>
      </c>
      <c r="G304" s="42">
        <v>0</v>
      </c>
      <c r="H304" s="42">
        <f t="shared" si="41"/>
        <v>588.36023999999998</v>
      </c>
      <c r="I304" s="36"/>
      <c r="J304" s="36">
        <f t="shared" si="34"/>
        <v>588.36023999999998</v>
      </c>
      <c r="L304" s="94"/>
      <c r="M304" s="94"/>
      <c r="N304" s="36"/>
      <c r="T304" s="21"/>
    </row>
    <row r="305" spans="1:20" s="37" customFormat="1" ht="15.75" customHeight="1" x14ac:dyDescent="0.35">
      <c r="A305" s="92">
        <f t="shared" si="42"/>
        <v>14</v>
      </c>
      <c r="B305" s="93"/>
      <c r="C305" s="42" t="s">
        <v>352</v>
      </c>
      <c r="D305" s="74">
        <f t="shared" si="43"/>
        <v>392.24015999999995</v>
      </c>
      <c r="E305" s="42">
        <v>0</v>
      </c>
      <c r="F305" s="42">
        <f t="shared" si="40"/>
        <v>392.24015999999995</v>
      </c>
      <c r="G305" s="42">
        <v>0</v>
      </c>
      <c r="H305" s="42">
        <f t="shared" si="41"/>
        <v>588.36023999999998</v>
      </c>
      <c r="I305" s="36"/>
      <c r="J305" s="36">
        <f t="shared" si="34"/>
        <v>588.36023999999998</v>
      </c>
      <c r="L305" s="94"/>
      <c r="M305" s="94"/>
      <c r="N305" s="36"/>
      <c r="T305" s="21"/>
    </row>
    <row r="306" spans="1:20" s="37" customFormat="1" ht="15.75" customHeight="1" x14ac:dyDescent="0.35">
      <c r="A306" s="92">
        <f t="shared" si="42"/>
        <v>15</v>
      </c>
      <c r="B306" s="93"/>
      <c r="C306" s="42" t="s">
        <v>352</v>
      </c>
      <c r="D306" s="74">
        <f t="shared" si="43"/>
        <v>392.24015999999995</v>
      </c>
      <c r="E306" s="42">
        <v>0</v>
      </c>
      <c r="F306" s="42">
        <f t="shared" si="40"/>
        <v>392.24015999999995</v>
      </c>
      <c r="G306" s="42">
        <v>0</v>
      </c>
      <c r="H306" s="42">
        <f t="shared" si="41"/>
        <v>588.36023999999998</v>
      </c>
      <c r="I306" s="36"/>
      <c r="J306" s="36">
        <f t="shared" si="34"/>
        <v>588.36023999999998</v>
      </c>
      <c r="L306" s="94"/>
      <c r="M306" s="94"/>
      <c r="N306" s="36"/>
      <c r="T306" s="21"/>
    </row>
    <row r="307" spans="1:20" s="37" customFormat="1" ht="15.75" customHeight="1" x14ac:dyDescent="0.35">
      <c r="A307" s="92">
        <f t="shared" si="42"/>
        <v>16</v>
      </c>
      <c r="B307" s="93"/>
      <c r="C307" s="42" t="s">
        <v>352</v>
      </c>
      <c r="D307" s="74">
        <f t="shared" si="43"/>
        <v>392.24015999999995</v>
      </c>
      <c r="E307" s="42">
        <v>0</v>
      </c>
      <c r="F307" s="42">
        <f t="shared" si="40"/>
        <v>392.24015999999995</v>
      </c>
      <c r="G307" s="42">
        <v>0</v>
      </c>
      <c r="H307" s="42">
        <f t="shared" si="41"/>
        <v>588.36023999999998</v>
      </c>
      <c r="I307" s="36"/>
      <c r="J307" s="36">
        <f t="shared" si="34"/>
        <v>588.36023999999998</v>
      </c>
      <c r="L307" s="94"/>
      <c r="M307" s="94"/>
      <c r="N307" s="36"/>
      <c r="T307" s="21"/>
    </row>
    <row r="308" spans="1:20" s="37" customFormat="1" ht="15.75" customHeight="1" x14ac:dyDescent="0.35">
      <c r="A308" s="92">
        <f t="shared" si="42"/>
        <v>17</v>
      </c>
      <c r="B308" s="93"/>
      <c r="C308" s="42" t="s">
        <v>352</v>
      </c>
      <c r="D308" s="74">
        <f t="shared" si="43"/>
        <v>392.24015999999995</v>
      </c>
      <c r="E308" s="42">
        <v>0</v>
      </c>
      <c r="F308" s="42">
        <f t="shared" si="40"/>
        <v>392.24015999999995</v>
      </c>
      <c r="G308" s="42">
        <v>0</v>
      </c>
      <c r="H308" s="42">
        <f t="shared" si="41"/>
        <v>588.36023999999998</v>
      </c>
      <c r="I308" s="36"/>
      <c r="J308" s="36">
        <f t="shared" si="34"/>
        <v>588.36023999999998</v>
      </c>
      <c r="L308" s="94"/>
      <c r="M308" s="94"/>
      <c r="N308" s="36"/>
      <c r="T308" s="21"/>
    </row>
    <row r="309" spans="1:20" s="37" customFormat="1" ht="15.75" customHeight="1" x14ac:dyDescent="0.35">
      <c r="A309" s="92">
        <f t="shared" si="42"/>
        <v>18</v>
      </c>
      <c r="B309" s="93"/>
      <c r="C309" s="42" t="s">
        <v>352</v>
      </c>
      <c r="D309" s="74">
        <f t="shared" si="43"/>
        <v>392.24015999999995</v>
      </c>
      <c r="E309" s="42">
        <v>0</v>
      </c>
      <c r="F309" s="42">
        <f t="shared" si="40"/>
        <v>392.24015999999995</v>
      </c>
      <c r="G309" s="42">
        <v>0</v>
      </c>
      <c r="H309" s="42">
        <f t="shared" si="41"/>
        <v>588.36023999999998</v>
      </c>
      <c r="I309" s="36"/>
      <c r="J309" s="36">
        <f t="shared" si="34"/>
        <v>588.36023999999998</v>
      </c>
      <c r="L309" s="94"/>
      <c r="M309" s="94"/>
      <c r="N309" s="36"/>
      <c r="T309" s="34"/>
    </row>
    <row r="310" spans="1:20" s="37" customFormat="1" ht="15.75" customHeight="1" x14ac:dyDescent="0.35">
      <c r="A310" s="92">
        <f t="shared" si="42"/>
        <v>19</v>
      </c>
      <c r="B310" s="93"/>
      <c r="C310" s="42" t="s">
        <v>352</v>
      </c>
      <c r="D310" s="74">
        <f t="shared" si="43"/>
        <v>392.24015999999995</v>
      </c>
      <c r="E310" s="42">
        <v>0</v>
      </c>
      <c r="F310" s="42">
        <f t="shared" si="40"/>
        <v>392.24015999999995</v>
      </c>
      <c r="G310" s="42">
        <v>0</v>
      </c>
      <c r="H310" s="42">
        <f t="shared" si="41"/>
        <v>588.36023999999998</v>
      </c>
      <c r="I310" s="36"/>
      <c r="J310" s="36">
        <f t="shared" si="34"/>
        <v>588.36023999999998</v>
      </c>
      <c r="L310" s="94"/>
      <c r="M310" s="94"/>
      <c r="N310" s="36"/>
      <c r="T310" s="21"/>
    </row>
    <row r="311" spans="1:20" s="37" customFormat="1" ht="15.75" customHeight="1" x14ac:dyDescent="0.35">
      <c r="A311" s="92">
        <f t="shared" si="42"/>
        <v>20</v>
      </c>
      <c r="B311" s="93"/>
      <c r="C311" s="42" t="s">
        <v>352</v>
      </c>
      <c r="D311" s="74">
        <f>(35.75)*10.764</f>
        <v>384.81299999999999</v>
      </c>
      <c r="E311" s="42">
        <v>0</v>
      </c>
      <c r="F311" s="42">
        <f t="shared" si="40"/>
        <v>384.81299999999999</v>
      </c>
      <c r="G311" s="42">
        <v>0</v>
      </c>
      <c r="H311" s="42">
        <f t="shared" si="41"/>
        <v>577.21949999999993</v>
      </c>
      <c r="I311" s="36"/>
      <c r="J311" s="36">
        <f t="shared" si="34"/>
        <v>577.21949999999993</v>
      </c>
      <c r="L311" s="94"/>
      <c r="M311" s="94"/>
      <c r="N311" s="36"/>
      <c r="T311" s="21"/>
    </row>
    <row r="312" spans="1:20" s="37" customFormat="1" x14ac:dyDescent="0.35">
      <c r="A312" s="101" t="s">
        <v>398</v>
      </c>
      <c r="B312" s="102"/>
      <c r="C312" s="102"/>
      <c r="D312" s="102"/>
      <c r="E312" s="102"/>
      <c r="F312" s="102"/>
      <c r="G312" s="102"/>
      <c r="H312" s="103"/>
      <c r="J312" s="36">
        <f t="shared" si="34"/>
        <v>0</v>
      </c>
      <c r="T312" s="35"/>
    </row>
    <row r="313" spans="1:20" s="37" customFormat="1" ht="15.75" customHeight="1" x14ac:dyDescent="0.35">
      <c r="A313" s="92">
        <v>1</v>
      </c>
      <c r="B313" s="93"/>
      <c r="C313" s="42" t="s">
        <v>352</v>
      </c>
      <c r="D313" s="74">
        <f>(36.81)*10.764</f>
        <v>396.22284000000002</v>
      </c>
      <c r="E313" s="42">
        <v>0</v>
      </c>
      <c r="F313" s="42">
        <f t="shared" ref="F313:F322" si="44">D313+(IF(E313&lt;201,E313,IF(E313&lt;301,E313/2,E313/3)))</f>
        <v>396.22284000000002</v>
      </c>
      <c r="G313" s="42">
        <v>0</v>
      </c>
      <c r="H313" s="42">
        <f t="shared" ref="H313:H322" si="45">F313*(($H$127)+1)+(IF(G313&lt;101,G313,IF(G313&lt;201,G313/2,IF(G313&lt;=301,G313/3,G313/4))))</f>
        <v>594.33426000000009</v>
      </c>
      <c r="I313" s="36"/>
      <c r="J313" s="36">
        <f t="shared" si="34"/>
        <v>594.33426000000009</v>
      </c>
      <c r="L313" s="94"/>
      <c r="M313" s="94"/>
      <c r="N313" s="36"/>
      <c r="T313" s="35"/>
    </row>
    <row r="314" spans="1:20" s="37" customFormat="1" ht="15.75" customHeight="1" x14ac:dyDescent="0.35">
      <c r="A314" s="92">
        <f t="shared" ref="A314:A332" si="46">A313+1</f>
        <v>2</v>
      </c>
      <c r="B314" s="93"/>
      <c r="C314" s="42" t="s">
        <v>352</v>
      </c>
      <c r="D314" s="74">
        <f>(44.5)*10.764</f>
        <v>478.99799999999999</v>
      </c>
      <c r="E314" s="42">
        <v>0</v>
      </c>
      <c r="F314" s="42">
        <f t="shared" si="44"/>
        <v>478.99799999999999</v>
      </c>
      <c r="G314" s="42">
        <v>0</v>
      </c>
      <c r="H314" s="42">
        <f t="shared" si="45"/>
        <v>718.49699999999996</v>
      </c>
      <c r="I314" s="36"/>
      <c r="J314" s="36">
        <f t="shared" si="34"/>
        <v>718.49699999999996</v>
      </c>
      <c r="L314" s="94"/>
      <c r="M314" s="94"/>
      <c r="N314" s="36"/>
      <c r="T314" s="34"/>
    </row>
    <row r="315" spans="1:20" s="37" customFormat="1" ht="15.75" customHeight="1" x14ac:dyDescent="0.35">
      <c r="A315" s="92">
        <f t="shared" si="46"/>
        <v>3</v>
      </c>
      <c r="B315" s="93"/>
      <c r="C315" s="42" t="s">
        <v>352</v>
      </c>
      <c r="D315" s="74">
        <f>(44.44)*10.764</f>
        <v>478.35215999999997</v>
      </c>
      <c r="E315" s="42">
        <v>0</v>
      </c>
      <c r="F315" s="42">
        <f t="shared" si="44"/>
        <v>478.35215999999997</v>
      </c>
      <c r="G315" s="42">
        <v>0</v>
      </c>
      <c r="H315" s="42">
        <f t="shared" si="45"/>
        <v>717.52823999999998</v>
      </c>
      <c r="I315" s="36"/>
      <c r="J315" s="36">
        <f t="shared" si="34"/>
        <v>717.52823999999998</v>
      </c>
      <c r="L315" s="94"/>
      <c r="M315" s="94"/>
      <c r="N315" s="36"/>
      <c r="T315" s="21"/>
    </row>
    <row r="316" spans="1:20" s="37" customFormat="1" ht="15.75" customHeight="1" x14ac:dyDescent="0.35">
      <c r="A316" s="92">
        <f t="shared" si="46"/>
        <v>4</v>
      </c>
      <c r="B316" s="93"/>
      <c r="C316" s="42" t="s">
        <v>352</v>
      </c>
      <c r="D316" s="74">
        <f>(57.13)*10.764</f>
        <v>614.94731999999999</v>
      </c>
      <c r="E316" s="42">
        <v>0</v>
      </c>
      <c r="F316" s="42">
        <f t="shared" si="44"/>
        <v>614.94731999999999</v>
      </c>
      <c r="G316" s="42">
        <v>0</v>
      </c>
      <c r="H316" s="42">
        <f t="shared" si="45"/>
        <v>922.42097999999999</v>
      </c>
      <c r="I316" s="36"/>
      <c r="J316" s="36">
        <f t="shared" si="34"/>
        <v>922.42097999999999</v>
      </c>
      <c r="L316" s="94"/>
      <c r="M316" s="94"/>
      <c r="N316" s="36"/>
      <c r="T316" s="21"/>
    </row>
    <row r="317" spans="1:20" s="37" customFormat="1" ht="15.75" customHeight="1" x14ac:dyDescent="0.35">
      <c r="A317" s="92">
        <f t="shared" si="46"/>
        <v>5</v>
      </c>
      <c r="B317" s="93"/>
      <c r="C317" s="42" t="s">
        <v>352</v>
      </c>
      <c r="D317" s="74">
        <f>(56.58)*10.764</f>
        <v>609.02711999999997</v>
      </c>
      <c r="E317" s="42">
        <v>0</v>
      </c>
      <c r="F317" s="42">
        <f t="shared" si="44"/>
        <v>609.02711999999997</v>
      </c>
      <c r="G317" s="42">
        <v>0</v>
      </c>
      <c r="H317" s="42">
        <f t="shared" si="45"/>
        <v>913.54067999999995</v>
      </c>
      <c r="I317" s="36"/>
      <c r="J317" s="36">
        <f t="shared" si="34"/>
        <v>913.54067999999995</v>
      </c>
      <c r="L317" s="94"/>
      <c r="M317" s="94"/>
      <c r="N317" s="36"/>
      <c r="T317" s="34"/>
    </row>
    <row r="318" spans="1:20" s="37" customFormat="1" ht="15.75" customHeight="1" x14ac:dyDescent="0.35">
      <c r="A318" s="92">
        <f t="shared" si="46"/>
        <v>6</v>
      </c>
      <c r="B318" s="93"/>
      <c r="C318" s="42" t="s">
        <v>352</v>
      </c>
      <c r="D318" s="74">
        <f>(58.12)*10.764</f>
        <v>625.60367999999994</v>
      </c>
      <c r="E318" s="42">
        <v>0</v>
      </c>
      <c r="F318" s="42">
        <f t="shared" si="44"/>
        <v>625.60367999999994</v>
      </c>
      <c r="G318" s="42">
        <v>0</v>
      </c>
      <c r="H318" s="42">
        <f t="shared" si="45"/>
        <v>938.40551999999991</v>
      </c>
      <c r="I318" s="36"/>
      <c r="J318" s="36">
        <f t="shared" si="34"/>
        <v>938.40551999999991</v>
      </c>
      <c r="L318" s="94"/>
      <c r="M318" s="94"/>
      <c r="N318" s="36"/>
      <c r="T318" s="21"/>
    </row>
    <row r="319" spans="1:20" s="37" customFormat="1" ht="15.75" customHeight="1" x14ac:dyDescent="0.35">
      <c r="A319" s="92">
        <f t="shared" si="46"/>
        <v>7</v>
      </c>
      <c r="B319" s="93"/>
      <c r="C319" s="42" t="s">
        <v>352</v>
      </c>
      <c r="D319" s="74">
        <f>(56.89)*10.764</f>
        <v>612.36396000000002</v>
      </c>
      <c r="E319" s="42">
        <v>0</v>
      </c>
      <c r="F319" s="42">
        <f t="shared" si="44"/>
        <v>612.36396000000002</v>
      </c>
      <c r="G319" s="42">
        <v>0</v>
      </c>
      <c r="H319" s="42">
        <f t="shared" si="45"/>
        <v>918.54593999999997</v>
      </c>
      <c r="I319" s="36"/>
      <c r="J319" s="36">
        <f t="shared" si="34"/>
        <v>918.54593999999997</v>
      </c>
      <c r="L319" s="94"/>
      <c r="M319" s="94"/>
      <c r="N319" s="36"/>
      <c r="T319" s="21"/>
    </row>
    <row r="320" spans="1:20" s="37" customFormat="1" ht="15.75" customHeight="1" x14ac:dyDescent="0.35">
      <c r="A320" s="92">
        <f t="shared" si="46"/>
        <v>8</v>
      </c>
      <c r="B320" s="93"/>
      <c r="C320" s="42" t="s">
        <v>352</v>
      </c>
      <c r="D320" s="74">
        <f>(57.44)*10.764</f>
        <v>618.28415999999993</v>
      </c>
      <c r="E320" s="42">
        <v>0</v>
      </c>
      <c r="F320" s="42">
        <f t="shared" si="44"/>
        <v>618.28415999999993</v>
      </c>
      <c r="G320" s="42">
        <v>0</v>
      </c>
      <c r="H320" s="42">
        <f t="shared" si="45"/>
        <v>927.42623999999989</v>
      </c>
      <c r="I320" s="36"/>
      <c r="J320" s="36">
        <f t="shared" si="34"/>
        <v>927.42623999999989</v>
      </c>
      <c r="L320" s="94"/>
      <c r="M320" s="94"/>
      <c r="N320" s="36"/>
      <c r="T320" s="21"/>
    </row>
    <row r="321" spans="1:20" s="37" customFormat="1" ht="15.75" customHeight="1" x14ac:dyDescent="0.35">
      <c r="A321" s="92">
        <f t="shared" si="46"/>
        <v>9</v>
      </c>
      <c r="B321" s="93"/>
      <c r="C321" s="42" t="s">
        <v>352</v>
      </c>
      <c r="D321" s="74">
        <f>(57.48)*10.764</f>
        <v>618.71471999999994</v>
      </c>
      <c r="E321" s="42">
        <v>0</v>
      </c>
      <c r="F321" s="42">
        <f t="shared" si="44"/>
        <v>618.71471999999994</v>
      </c>
      <c r="G321" s="42">
        <v>0</v>
      </c>
      <c r="H321" s="42">
        <f t="shared" si="45"/>
        <v>928.07207999999991</v>
      </c>
      <c r="I321" s="36"/>
      <c r="J321" s="36">
        <f t="shared" si="34"/>
        <v>928.07207999999991</v>
      </c>
      <c r="L321" s="94"/>
      <c r="M321" s="94"/>
      <c r="N321" s="36"/>
      <c r="T321" s="34"/>
    </row>
    <row r="322" spans="1:20" s="37" customFormat="1" ht="15.75" customHeight="1" x14ac:dyDescent="0.35">
      <c r="A322" s="92">
        <f t="shared" si="46"/>
        <v>10</v>
      </c>
      <c r="B322" s="93"/>
      <c r="C322" s="42" t="s">
        <v>352</v>
      </c>
      <c r="D322" s="74">
        <f>(37.01)*10.764</f>
        <v>398.37563999999998</v>
      </c>
      <c r="E322" s="42">
        <v>0</v>
      </c>
      <c r="F322" s="42">
        <f t="shared" si="44"/>
        <v>398.37563999999998</v>
      </c>
      <c r="G322" s="42">
        <v>0</v>
      </c>
      <c r="H322" s="42">
        <f t="shared" si="45"/>
        <v>597.56345999999996</v>
      </c>
      <c r="I322" s="36"/>
      <c r="J322" s="36">
        <f t="shared" si="34"/>
        <v>597.56345999999996</v>
      </c>
      <c r="L322" s="94"/>
      <c r="M322" s="94"/>
      <c r="N322" s="36"/>
      <c r="T322" s="21"/>
    </row>
    <row r="323" spans="1:20" s="37" customFormat="1" ht="15.75" customHeight="1" x14ac:dyDescent="0.35">
      <c r="A323" s="92">
        <f t="shared" si="46"/>
        <v>11</v>
      </c>
      <c r="B323" s="93"/>
      <c r="C323" s="95" t="s">
        <v>389</v>
      </c>
      <c r="D323" s="96"/>
      <c r="E323" s="96"/>
      <c r="F323" s="96"/>
      <c r="G323" s="96"/>
      <c r="H323" s="97"/>
      <c r="I323" s="36"/>
      <c r="J323" s="36">
        <f t="shared" si="34"/>
        <v>0</v>
      </c>
      <c r="L323" s="94"/>
      <c r="M323" s="94"/>
      <c r="N323" s="36"/>
      <c r="T323" s="21"/>
    </row>
    <row r="324" spans="1:20" s="37" customFormat="1" ht="15.75" customHeight="1" x14ac:dyDescent="0.35">
      <c r="A324" s="92">
        <f t="shared" si="46"/>
        <v>12</v>
      </c>
      <c r="B324" s="93"/>
      <c r="C324" s="98"/>
      <c r="D324" s="99"/>
      <c r="E324" s="99"/>
      <c r="F324" s="99"/>
      <c r="G324" s="99"/>
      <c r="H324" s="100"/>
      <c r="I324" s="36"/>
      <c r="J324" s="36">
        <f t="shared" si="34"/>
        <v>0</v>
      </c>
      <c r="L324" s="94"/>
      <c r="M324" s="94"/>
      <c r="N324" s="36"/>
      <c r="T324" s="34"/>
    </row>
    <row r="325" spans="1:20" s="37" customFormat="1" ht="15.75" customHeight="1" x14ac:dyDescent="0.35">
      <c r="A325" s="92">
        <f t="shared" si="46"/>
        <v>13</v>
      </c>
      <c r="B325" s="93"/>
      <c r="C325" s="42" t="s">
        <v>352</v>
      </c>
      <c r="D325" s="74">
        <f t="shared" ref="D325:D330" si="47">(36.44)*10.764</f>
        <v>392.24015999999995</v>
      </c>
      <c r="E325" s="42">
        <v>0</v>
      </c>
      <c r="F325" s="42">
        <f t="shared" ref="F325:F330" si="48">D325+(IF(E325&lt;201,E325,IF(E325&lt;301,E325/2,E325/3)))</f>
        <v>392.24015999999995</v>
      </c>
      <c r="G325" s="42">
        <v>0</v>
      </c>
      <c r="H325" s="42">
        <f t="shared" ref="H325:H330" si="49">F325*(($H$127)+1)+(IF(G325&lt;101,G325,IF(G325&lt;201,G325/2,IF(G325&lt;=301,G325/3,G325/4))))</f>
        <v>588.36023999999998</v>
      </c>
      <c r="I325" s="36"/>
      <c r="J325" s="36">
        <f t="shared" ref="J325:J330" si="50">F325*1.5</f>
        <v>588.36023999999998</v>
      </c>
      <c r="L325" s="94"/>
      <c r="M325" s="94"/>
      <c r="N325" s="36"/>
      <c r="T325" s="21"/>
    </row>
    <row r="326" spans="1:20" s="37" customFormat="1" ht="15.75" customHeight="1" x14ac:dyDescent="0.35">
      <c r="A326" s="92">
        <f t="shared" si="46"/>
        <v>14</v>
      </c>
      <c r="B326" s="93"/>
      <c r="C326" s="42" t="s">
        <v>352</v>
      </c>
      <c r="D326" s="74">
        <f t="shared" si="47"/>
        <v>392.24015999999995</v>
      </c>
      <c r="E326" s="42">
        <v>0</v>
      </c>
      <c r="F326" s="42">
        <f t="shared" si="48"/>
        <v>392.24015999999995</v>
      </c>
      <c r="G326" s="42">
        <v>0</v>
      </c>
      <c r="H326" s="42">
        <f t="shared" si="49"/>
        <v>588.36023999999998</v>
      </c>
      <c r="I326" s="36"/>
      <c r="J326" s="36">
        <f t="shared" si="50"/>
        <v>588.36023999999998</v>
      </c>
      <c r="L326" s="94"/>
      <c r="M326" s="94"/>
      <c r="N326" s="36"/>
      <c r="T326" s="21"/>
    </row>
    <row r="327" spans="1:20" s="37" customFormat="1" ht="15.75" customHeight="1" x14ac:dyDescent="0.35">
      <c r="A327" s="92">
        <f t="shared" si="46"/>
        <v>15</v>
      </c>
      <c r="B327" s="93"/>
      <c r="C327" s="42" t="s">
        <v>352</v>
      </c>
      <c r="D327" s="74">
        <f t="shared" si="47"/>
        <v>392.24015999999995</v>
      </c>
      <c r="E327" s="42">
        <v>0</v>
      </c>
      <c r="F327" s="42">
        <f t="shared" si="48"/>
        <v>392.24015999999995</v>
      </c>
      <c r="G327" s="42">
        <v>0</v>
      </c>
      <c r="H327" s="42">
        <f>F327*(($H$127)+1)+(IF(G327&lt;101,G327,IF(G327&lt;201,G327/2,IF(G327&lt;=301,G327/3,G327/4))))</f>
        <v>588.36023999999998</v>
      </c>
      <c r="I327" s="36"/>
      <c r="J327" s="36">
        <f t="shared" si="50"/>
        <v>588.36023999999998</v>
      </c>
      <c r="L327" s="94"/>
      <c r="M327" s="94"/>
      <c r="N327" s="36"/>
      <c r="T327" s="21"/>
    </row>
    <row r="328" spans="1:20" s="37" customFormat="1" ht="15.75" customHeight="1" x14ac:dyDescent="0.35">
      <c r="A328" s="92">
        <f t="shared" si="46"/>
        <v>16</v>
      </c>
      <c r="B328" s="93"/>
      <c r="C328" s="42" t="s">
        <v>352</v>
      </c>
      <c r="D328" s="74">
        <f t="shared" si="47"/>
        <v>392.24015999999995</v>
      </c>
      <c r="E328" s="42">
        <v>0</v>
      </c>
      <c r="F328" s="42">
        <f t="shared" si="48"/>
        <v>392.24015999999995</v>
      </c>
      <c r="G328" s="42">
        <v>0</v>
      </c>
      <c r="H328" s="42">
        <f>F328*(($H$127)+1)+(IF(G328&lt;101,G328,IF(G328&lt;201,G328/2,IF(G328&lt;=301,G328/3,G328/4))))</f>
        <v>588.36023999999998</v>
      </c>
      <c r="I328" s="36"/>
      <c r="J328" s="36">
        <f t="shared" si="50"/>
        <v>588.36023999999998</v>
      </c>
      <c r="L328" s="94"/>
      <c r="M328" s="94"/>
      <c r="N328" s="36"/>
      <c r="T328" s="21"/>
    </row>
    <row r="329" spans="1:20" s="37" customFormat="1" ht="15.75" customHeight="1" x14ac:dyDescent="0.35">
      <c r="A329" s="92">
        <f t="shared" si="46"/>
        <v>17</v>
      </c>
      <c r="B329" s="93"/>
      <c r="C329" s="42" t="s">
        <v>352</v>
      </c>
      <c r="D329" s="74">
        <f t="shared" si="47"/>
        <v>392.24015999999995</v>
      </c>
      <c r="E329" s="42">
        <v>0</v>
      </c>
      <c r="F329" s="42">
        <f t="shared" si="48"/>
        <v>392.24015999999995</v>
      </c>
      <c r="G329" s="42">
        <v>0</v>
      </c>
      <c r="H329" s="42">
        <f t="shared" si="49"/>
        <v>588.36023999999998</v>
      </c>
      <c r="I329" s="36"/>
      <c r="J329" s="36">
        <f t="shared" si="50"/>
        <v>588.36023999999998</v>
      </c>
      <c r="L329" s="94"/>
      <c r="M329" s="94"/>
      <c r="N329" s="36"/>
      <c r="T329" s="21"/>
    </row>
    <row r="330" spans="1:20" s="37" customFormat="1" ht="15.75" customHeight="1" x14ac:dyDescent="0.35">
      <c r="A330" s="92">
        <f t="shared" si="46"/>
        <v>18</v>
      </c>
      <c r="B330" s="93"/>
      <c r="C330" s="42" t="s">
        <v>352</v>
      </c>
      <c r="D330" s="74">
        <f t="shared" si="47"/>
        <v>392.24015999999995</v>
      </c>
      <c r="E330" s="42">
        <v>0</v>
      </c>
      <c r="F330" s="42">
        <f t="shared" si="48"/>
        <v>392.24015999999995</v>
      </c>
      <c r="G330" s="42">
        <v>0</v>
      </c>
      <c r="H330" s="42">
        <f t="shared" si="49"/>
        <v>588.36023999999998</v>
      </c>
      <c r="I330" s="36"/>
      <c r="J330" s="36">
        <f t="shared" si="50"/>
        <v>588.36023999999998</v>
      </c>
      <c r="L330" s="94"/>
      <c r="M330" s="94"/>
      <c r="N330" s="36"/>
      <c r="T330" s="34"/>
    </row>
    <row r="331" spans="1:20" s="37" customFormat="1" ht="15.75" customHeight="1" x14ac:dyDescent="0.35">
      <c r="A331" s="92">
        <f t="shared" si="46"/>
        <v>19</v>
      </c>
      <c r="B331" s="93"/>
      <c r="C331" s="95" t="s">
        <v>389</v>
      </c>
      <c r="D331" s="96"/>
      <c r="E331" s="96"/>
      <c r="F331" s="96"/>
      <c r="G331" s="96"/>
      <c r="H331" s="97"/>
      <c r="I331" s="36"/>
      <c r="L331" s="94"/>
      <c r="M331" s="94"/>
      <c r="N331" s="36"/>
      <c r="T331" s="21"/>
    </row>
    <row r="332" spans="1:20" s="37" customFormat="1" ht="15.75" customHeight="1" x14ac:dyDescent="0.35">
      <c r="A332" s="92">
        <f t="shared" si="46"/>
        <v>20</v>
      </c>
      <c r="B332" s="93"/>
      <c r="C332" s="98"/>
      <c r="D332" s="99"/>
      <c r="E332" s="99"/>
      <c r="F332" s="99"/>
      <c r="G332" s="99"/>
      <c r="H332" s="100"/>
      <c r="I332" s="36"/>
      <c r="L332" s="94"/>
      <c r="M332" s="94"/>
      <c r="N332" s="36"/>
      <c r="T332" s="21"/>
    </row>
    <row r="333" spans="1:20" s="37" customFormat="1" hidden="1" x14ac:dyDescent="0.35">
      <c r="A333" s="101" t="s">
        <v>115</v>
      </c>
      <c r="B333" s="102"/>
      <c r="C333" s="102"/>
      <c r="D333" s="102"/>
      <c r="E333" s="102"/>
      <c r="F333" s="102"/>
      <c r="G333" s="102"/>
      <c r="H333" s="103"/>
      <c r="J333" s="36"/>
      <c r="T333" s="35"/>
    </row>
    <row r="334" spans="1:20" s="37" customFormat="1" ht="15.75" hidden="1" customHeight="1" x14ac:dyDescent="0.35">
      <c r="A334" s="92">
        <v>1</v>
      </c>
      <c r="B334" s="93"/>
      <c r="C334" s="42"/>
      <c r="D334" s="42">
        <v>0</v>
      </c>
      <c r="E334" s="42">
        <v>0</v>
      </c>
      <c r="F334" s="42">
        <f t="shared" ref="F334:F341" si="51">D334+(IF(E334&lt;201,E334,IF(E334&lt;301,E334/2,E334/3)))</f>
        <v>0</v>
      </c>
      <c r="G334" s="42">
        <v>0</v>
      </c>
      <c r="H334" s="42">
        <f t="shared" ref="H334:H341" si="52">(F334+(IF(G334&lt;101,G334,IF(G334&lt;201,G334/2,IF(G334&lt;=301,G334/3,G334/4)))))*(($H$345)+1)</f>
        <v>0</v>
      </c>
      <c r="I334" s="36"/>
      <c r="L334" s="94"/>
      <c r="M334" s="94"/>
      <c r="N334" s="36"/>
      <c r="T334" s="35"/>
    </row>
    <row r="335" spans="1:20" s="37" customFormat="1" ht="15.75" hidden="1" customHeight="1" x14ac:dyDescent="0.35">
      <c r="A335" s="92">
        <f t="shared" ref="A335:A341" si="53">A334+1</f>
        <v>2</v>
      </c>
      <c r="B335" s="93"/>
      <c r="C335" s="42"/>
      <c r="D335" s="42"/>
      <c r="E335" s="42">
        <v>0</v>
      </c>
      <c r="F335" s="42">
        <f t="shared" si="51"/>
        <v>0</v>
      </c>
      <c r="G335" s="42">
        <v>0</v>
      </c>
      <c r="H335" s="42">
        <f t="shared" si="52"/>
        <v>0</v>
      </c>
      <c r="I335" s="36"/>
      <c r="L335" s="94"/>
      <c r="M335" s="94"/>
      <c r="N335" s="36"/>
      <c r="T335" s="34"/>
    </row>
    <row r="336" spans="1:20" s="37" customFormat="1" ht="15.75" hidden="1" customHeight="1" x14ac:dyDescent="0.35">
      <c r="A336" s="92">
        <f t="shared" si="53"/>
        <v>3</v>
      </c>
      <c r="B336" s="93"/>
      <c r="C336" s="42"/>
      <c r="D336" s="42"/>
      <c r="E336" s="42">
        <v>0</v>
      </c>
      <c r="F336" s="42">
        <f t="shared" si="51"/>
        <v>0</v>
      </c>
      <c r="G336" s="42">
        <v>0</v>
      </c>
      <c r="H336" s="42">
        <f t="shared" si="52"/>
        <v>0</v>
      </c>
      <c r="I336" s="36"/>
      <c r="L336" s="94"/>
      <c r="M336" s="94"/>
      <c r="N336" s="36"/>
      <c r="T336" s="21"/>
    </row>
    <row r="337" spans="1:20" s="37" customFormat="1" ht="15.75" hidden="1" customHeight="1" x14ac:dyDescent="0.35">
      <c r="A337" s="92">
        <f t="shared" si="53"/>
        <v>4</v>
      </c>
      <c r="B337" s="93"/>
      <c r="C337" s="42"/>
      <c r="D337" s="42"/>
      <c r="E337" s="42">
        <v>0</v>
      </c>
      <c r="F337" s="42">
        <f t="shared" si="51"/>
        <v>0</v>
      </c>
      <c r="G337" s="42">
        <v>0</v>
      </c>
      <c r="H337" s="42">
        <f t="shared" si="52"/>
        <v>0</v>
      </c>
      <c r="I337" s="36"/>
      <c r="L337" s="94"/>
      <c r="M337" s="94"/>
      <c r="N337" s="36"/>
      <c r="T337" s="21"/>
    </row>
    <row r="338" spans="1:20" s="37" customFormat="1" ht="15.75" hidden="1" customHeight="1" x14ac:dyDescent="0.35">
      <c r="A338" s="92">
        <f t="shared" si="53"/>
        <v>5</v>
      </c>
      <c r="B338" s="93"/>
      <c r="C338" s="42"/>
      <c r="D338" s="42"/>
      <c r="E338" s="42">
        <v>0</v>
      </c>
      <c r="F338" s="42">
        <f t="shared" si="51"/>
        <v>0</v>
      </c>
      <c r="G338" s="42">
        <v>0</v>
      </c>
      <c r="H338" s="42">
        <f t="shared" si="52"/>
        <v>0</v>
      </c>
      <c r="I338" s="36"/>
      <c r="L338" s="94"/>
      <c r="M338" s="94"/>
      <c r="N338" s="36"/>
      <c r="T338" s="34"/>
    </row>
    <row r="339" spans="1:20" s="37" customFormat="1" ht="15.75" hidden="1" customHeight="1" x14ac:dyDescent="0.35">
      <c r="A339" s="92">
        <f t="shared" si="53"/>
        <v>6</v>
      </c>
      <c r="B339" s="93"/>
      <c r="C339" s="42"/>
      <c r="D339" s="42"/>
      <c r="E339" s="42">
        <v>0</v>
      </c>
      <c r="F339" s="42">
        <f t="shared" si="51"/>
        <v>0</v>
      </c>
      <c r="G339" s="42">
        <v>0</v>
      </c>
      <c r="H339" s="42">
        <f t="shared" si="52"/>
        <v>0</v>
      </c>
      <c r="I339" s="36"/>
      <c r="L339" s="94"/>
      <c r="M339" s="94"/>
      <c r="N339" s="36"/>
      <c r="T339" s="21"/>
    </row>
    <row r="340" spans="1:20" s="37" customFormat="1" ht="15.75" hidden="1" customHeight="1" x14ac:dyDescent="0.35">
      <c r="A340" s="92">
        <f t="shared" si="53"/>
        <v>7</v>
      </c>
      <c r="B340" s="93"/>
      <c r="C340" s="42"/>
      <c r="D340" s="42"/>
      <c r="E340" s="42">
        <v>0</v>
      </c>
      <c r="F340" s="42">
        <f t="shared" si="51"/>
        <v>0</v>
      </c>
      <c r="G340" s="42">
        <v>0</v>
      </c>
      <c r="H340" s="42">
        <f t="shared" si="52"/>
        <v>0</v>
      </c>
      <c r="I340" s="36"/>
      <c r="L340" s="94"/>
      <c r="M340" s="94"/>
      <c r="N340" s="36"/>
      <c r="T340" s="21"/>
    </row>
    <row r="341" spans="1:20" s="37" customFormat="1" ht="15.75" hidden="1" customHeight="1" x14ac:dyDescent="0.35">
      <c r="A341" s="92">
        <f t="shared" si="53"/>
        <v>8</v>
      </c>
      <c r="B341" s="93"/>
      <c r="C341" s="42"/>
      <c r="D341" s="42"/>
      <c r="E341" s="42">
        <v>0</v>
      </c>
      <c r="F341" s="42">
        <f t="shared" si="51"/>
        <v>0</v>
      </c>
      <c r="G341" s="42">
        <v>0</v>
      </c>
      <c r="H341" s="42">
        <f t="shared" si="52"/>
        <v>0</v>
      </c>
      <c r="I341" s="36"/>
      <c r="L341" s="94"/>
      <c r="M341" s="94"/>
      <c r="N341" s="36"/>
      <c r="T341" s="21"/>
    </row>
    <row r="342" spans="1:20" s="37" customFormat="1" hidden="1" x14ac:dyDescent="0.35">
      <c r="A342" s="92"/>
      <c r="B342" s="125"/>
      <c r="C342" s="125"/>
      <c r="D342" s="125"/>
      <c r="E342" s="125"/>
      <c r="F342" s="125"/>
      <c r="G342" s="125"/>
      <c r="H342" s="93"/>
      <c r="I342" s="36"/>
      <c r="N342" s="36"/>
    </row>
    <row r="343" spans="1:20" ht="47.25" hidden="1" customHeight="1" x14ac:dyDescent="0.35">
      <c r="A343" s="130" t="s">
        <v>370</v>
      </c>
      <c r="B343" s="130" t="s">
        <v>175</v>
      </c>
      <c r="C343" s="130" t="s">
        <v>55</v>
      </c>
      <c r="D343" s="130" t="s">
        <v>232</v>
      </c>
      <c r="E343" s="132" t="s">
        <v>369</v>
      </c>
      <c r="F343" s="130" t="s">
        <v>56</v>
      </c>
      <c r="G343" s="132" t="s">
        <v>57</v>
      </c>
      <c r="H343" s="76" t="s">
        <v>148</v>
      </c>
      <c r="T343" s="35"/>
    </row>
    <row r="344" spans="1:20" s="37" customFormat="1" hidden="1" x14ac:dyDescent="0.35">
      <c r="A344" s="131"/>
      <c r="B344" s="131"/>
      <c r="C344" s="131"/>
      <c r="D344" s="131"/>
      <c r="E344" s="133"/>
      <c r="F344" s="131"/>
      <c r="G344" s="133"/>
      <c r="H344" s="77">
        <v>0.5</v>
      </c>
      <c r="T344" s="35"/>
    </row>
    <row r="345" spans="1:20" s="37" customFormat="1" hidden="1" x14ac:dyDescent="0.35">
      <c r="A345" s="172" t="s">
        <v>376</v>
      </c>
      <c r="B345" s="173"/>
      <c r="C345" s="173"/>
      <c r="D345" s="173"/>
      <c r="E345" s="173"/>
      <c r="F345" s="173"/>
      <c r="G345" s="173"/>
      <c r="H345" s="174"/>
      <c r="J345" s="36"/>
      <c r="T345" s="35"/>
    </row>
    <row r="346" spans="1:20" s="37" customFormat="1" hidden="1" x14ac:dyDescent="0.35">
      <c r="A346" s="172" t="s">
        <v>375</v>
      </c>
      <c r="B346" s="173"/>
      <c r="C346" s="173"/>
      <c r="D346" s="173"/>
      <c r="E346" s="173"/>
      <c r="F346" s="173"/>
      <c r="G346" s="173"/>
      <c r="H346" s="174"/>
      <c r="J346" s="36"/>
      <c r="T346" s="35"/>
    </row>
    <row r="347" spans="1:20" s="37" customFormat="1" hidden="1" x14ac:dyDescent="0.35">
      <c r="A347" s="172" t="s">
        <v>382</v>
      </c>
      <c r="B347" s="173"/>
      <c r="C347" s="173"/>
      <c r="D347" s="173"/>
      <c r="E347" s="173"/>
      <c r="F347" s="173"/>
      <c r="G347" s="173"/>
      <c r="H347" s="174"/>
      <c r="J347" s="36"/>
      <c r="T347" s="35"/>
    </row>
    <row r="348" spans="1:20" s="37" customFormat="1" hidden="1" x14ac:dyDescent="0.35">
      <c r="A348" s="172" t="s">
        <v>349</v>
      </c>
      <c r="B348" s="173"/>
      <c r="C348" s="173"/>
      <c r="D348" s="173"/>
      <c r="E348" s="173"/>
      <c r="F348" s="173"/>
      <c r="G348" s="173"/>
      <c r="H348" s="174"/>
      <c r="J348" s="36"/>
      <c r="T348" s="35"/>
    </row>
    <row r="349" spans="1:20" s="37" customFormat="1" ht="15.75" hidden="1" customHeight="1" x14ac:dyDescent="0.35">
      <c r="A349" s="92">
        <v>1</v>
      </c>
      <c r="B349" s="93"/>
      <c r="C349" s="42" t="s">
        <v>350</v>
      </c>
      <c r="D349" s="74">
        <f>(220.38)*(10.764)</f>
        <v>2372.1703199999997</v>
      </c>
      <c r="E349" s="42">
        <f>(18.01*1.7+6.1*3.9+14.8*3.9)*(10.764)</f>
        <v>1206.9350279999999</v>
      </c>
      <c r="F349" s="42">
        <f>D349+(IF(E349&lt;201,E349,IF(E349&lt;301,E349/2,E349/3)))</f>
        <v>2774.4819959999995</v>
      </c>
      <c r="G349" s="42">
        <v>0</v>
      </c>
      <c r="H349" s="42">
        <f>(F349+(IF(G349&lt;101,G349,IF(G349&lt;201,G349/2,IF(G349&lt;=301,G349/3,G349/4)))))*(($H$344)+1)</f>
        <v>4161.7229939999997</v>
      </c>
      <c r="I349" s="36"/>
      <c r="J349" s="74">
        <f>10.764</f>
        <v>10.763999999999999</v>
      </c>
      <c r="L349" s="94"/>
      <c r="M349" s="94"/>
      <c r="N349" s="36"/>
      <c r="T349" s="35"/>
    </row>
    <row r="350" spans="1:20" s="37" customFormat="1" ht="15.75" hidden="1" customHeight="1" x14ac:dyDescent="0.35">
      <c r="A350" s="92">
        <f>A349+1</f>
        <v>2</v>
      </c>
      <c r="B350" s="93"/>
      <c r="C350" s="42" t="s">
        <v>350</v>
      </c>
      <c r="D350" s="74">
        <f>(189.02)*(10.764)</f>
        <v>2034.6112800000001</v>
      </c>
      <c r="E350" s="42">
        <f>(13.31*1.7+6.1*3.9+11.8*3.9)*(10.764)</f>
        <v>994.99186800000007</v>
      </c>
      <c r="F350" s="42">
        <f t="shared" ref="F350" si="54">D350+(IF(E350&lt;201,E350,IF(E350&lt;301,E350/2,E350/3)))</f>
        <v>2366.2752359999999</v>
      </c>
      <c r="G350" s="42">
        <v>0</v>
      </c>
      <c r="H350" s="42">
        <f t="shared" ref="H350" si="55">(F350+(IF(G350&lt;101,G350,IF(G350&lt;201,G350/2,IF(G350&lt;=301,G350/3,G350/4)))))*(($H$344)+1)</f>
        <v>3549.4128540000002</v>
      </c>
      <c r="I350" s="36">
        <f>11*10+13.31*1.7+5.9*6.87+3*2.95</f>
        <v>182.01000000000002</v>
      </c>
      <c r="L350" s="94"/>
      <c r="M350" s="94"/>
      <c r="N350" s="36"/>
      <c r="T350" s="34"/>
    </row>
    <row r="351" spans="1:20" s="37" customFormat="1" hidden="1" x14ac:dyDescent="0.35">
      <c r="A351" s="172" t="s">
        <v>351</v>
      </c>
      <c r="B351" s="173"/>
      <c r="C351" s="173"/>
      <c r="D351" s="173"/>
      <c r="E351" s="173"/>
      <c r="F351" s="173"/>
      <c r="G351" s="173"/>
      <c r="H351" s="174"/>
      <c r="J351" s="36"/>
      <c r="T351" s="35"/>
    </row>
    <row r="352" spans="1:20" s="37" customFormat="1" ht="15.75" hidden="1" customHeight="1" x14ac:dyDescent="0.35">
      <c r="A352" s="92">
        <v>1</v>
      </c>
      <c r="B352" s="93"/>
      <c r="C352" s="42" t="s">
        <v>352</v>
      </c>
      <c r="D352" s="74">
        <f>(180.75)*(10.764)</f>
        <v>1945.5929999999998</v>
      </c>
      <c r="E352" s="42">
        <v>0</v>
      </c>
      <c r="F352" s="42">
        <f>D352+(IF(E352&lt;201,E352,IF(E352&lt;301,E352/2,E352/3)))</f>
        <v>1945.5929999999998</v>
      </c>
      <c r="G352" s="42">
        <v>0</v>
      </c>
      <c r="H352" s="42">
        <f>(F352+(IF(G352&lt;101,G352,IF(G352&lt;201,G352/2,IF(G352&lt;=301,G352/3,G352/4)))))*(($H$344)+1)</f>
        <v>2918.3894999999998</v>
      </c>
      <c r="I352" s="36"/>
      <c r="L352" s="94"/>
      <c r="M352" s="94"/>
      <c r="N352" s="36"/>
      <c r="T352" s="35"/>
    </row>
    <row r="353" spans="1:20" s="37" customFormat="1" ht="15.75" hidden="1" customHeight="1" x14ac:dyDescent="0.35">
      <c r="A353" s="92">
        <f>A352+1</f>
        <v>2</v>
      </c>
      <c r="B353" s="93"/>
      <c r="C353" s="42" t="s">
        <v>352</v>
      </c>
      <c r="D353" s="74">
        <f>(153.97)*(10.764)</f>
        <v>1657.3330799999999</v>
      </c>
      <c r="E353" s="42">
        <v>0</v>
      </c>
      <c r="F353" s="42">
        <f t="shared" ref="F353" si="56">D353+(IF(E353&lt;201,E353,IF(E353&lt;301,E353/2,E353/3)))</f>
        <v>1657.3330799999999</v>
      </c>
      <c r="G353" s="42">
        <v>0</v>
      </c>
      <c r="H353" s="42">
        <f t="shared" ref="H353" si="57">(F353+(IF(G353&lt;101,G353,IF(G353&lt;201,G353/2,IF(G353&lt;=301,G353/3,G353/4)))))*(($H$344)+1)</f>
        <v>2485.9996199999996</v>
      </c>
      <c r="I353" s="36">
        <f>11*10.5+5.6*6.87</f>
        <v>153.97200000000001</v>
      </c>
      <c r="L353" s="94"/>
      <c r="M353" s="94"/>
      <c r="N353" s="36"/>
      <c r="T353" s="34"/>
    </row>
    <row r="354" spans="1:20" s="37" customFormat="1" hidden="1" x14ac:dyDescent="0.35">
      <c r="A354" s="172" t="s">
        <v>354</v>
      </c>
      <c r="B354" s="173"/>
      <c r="C354" s="173"/>
      <c r="D354" s="173"/>
      <c r="E354" s="173"/>
      <c r="F354" s="173"/>
      <c r="G354" s="173"/>
      <c r="H354" s="174"/>
      <c r="J354" s="36"/>
      <c r="T354" s="35"/>
    </row>
    <row r="355" spans="1:20" s="37" customFormat="1" ht="15.75" hidden="1" customHeight="1" x14ac:dyDescent="0.35">
      <c r="A355" s="92">
        <v>1</v>
      </c>
      <c r="B355" s="93"/>
      <c r="C355" s="42" t="s">
        <v>352</v>
      </c>
      <c r="D355" s="74">
        <f>(37.1)*(10.764)</f>
        <v>399.34440000000001</v>
      </c>
      <c r="E355" s="42">
        <v>0</v>
      </c>
      <c r="F355" s="42">
        <f>D355+(IF(E355&lt;201,E355,IF(E355&lt;301,E355/2,E355/3)))</f>
        <v>399.34440000000001</v>
      </c>
      <c r="G355" s="42">
        <v>0</v>
      </c>
      <c r="H355" s="42">
        <f>(F355+(IF(G355&lt;101,G355,IF(G355&lt;201,G355/2,IF(G355&lt;=301,G355/3,G355/4)))))*(($H$344)+1)</f>
        <v>599.01660000000004</v>
      </c>
      <c r="I355" s="36">
        <f>5.4*6.87</f>
        <v>37.098000000000006</v>
      </c>
      <c r="L355" s="94"/>
      <c r="M355" s="94"/>
      <c r="N355" s="36"/>
      <c r="T355" s="35"/>
    </row>
    <row r="356" spans="1:20" s="37" customFormat="1" ht="15.75" hidden="1" customHeight="1" x14ac:dyDescent="0.35">
      <c r="A356" s="92">
        <f t="shared" ref="A356:A364" si="58">A355+1</f>
        <v>2</v>
      </c>
      <c r="B356" s="93"/>
      <c r="C356" s="42" t="s">
        <v>352</v>
      </c>
      <c r="D356" s="74">
        <f t="shared" ref="D356:D361" si="59">(56.7)*(10.764)</f>
        <v>610.31880000000001</v>
      </c>
      <c r="E356" s="42">
        <v>0</v>
      </c>
      <c r="F356" s="42">
        <f t="shared" ref="F356:F358" si="60">D356+(IF(E356&lt;201,E356,IF(E356&lt;301,E356/2,E356/3)))</f>
        <v>610.31880000000001</v>
      </c>
      <c r="G356" s="42">
        <v>0</v>
      </c>
      <c r="H356" s="42">
        <f t="shared" ref="H356:H358" si="61">(F356+(IF(G356&lt;101,G356,IF(G356&lt;201,G356/2,IF(G356&lt;=301,G356/3,G356/4)))))*(($H$344)+1)</f>
        <v>915.47820000000002</v>
      </c>
      <c r="I356" s="36">
        <f>5.4*10.5</f>
        <v>56.7</v>
      </c>
      <c r="L356" s="94"/>
      <c r="M356" s="94"/>
      <c r="N356" s="36"/>
      <c r="T356" s="34"/>
    </row>
    <row r="357" spans="1:20" s="37" customFormat="1" ht="15.75" hidden="1" customHeight="1" x14ac:dyDescent="0.35">
      <c r="A357" s="92">
        <f t="shared" si="58"/>
        <v>3</v>
      </c>
      <c r="B357" s="93"/>
      <c r="C357" s="42" t="s">
        <v>352</v>
      </c>
      <c r="D357" s="74">
        <f t="shared" si="59"/>
        <v>610.31880000000001</v>
      </c>
      <c r="E357" s="42">
        <v>0</v>
      </c>
      <c r="F357" s="42">
        <f t="shared" si="60"/>
        <v>610.31880000000001</v>
      </c>
      <c r="G357" s="42">
        <v>0</v>
      </c>
      <c r="H357" s="42">
        <f t="shared" si="61"/>
        <v>915.47820000000002</v>
      </c>
      <c r="I357" s="36"/>
      <c r="L357" s="94"/>
      <c r="M357" s="94"/>
      <c r="N357" s="36"/>
      <c r="T357" s="21"/>
    </row>
    <row r="358" spans="1:20" s="37" customFormat="1" ht="15.75" hidden="1" customHeight="1" x14ac:dyDescent="0.35">
      <c r="A358" s="92">
        <f t="shared" si="58"/>
        <v>4</v>
      </c>
      <c r="B358" s="93"/>
      <c r="C358" s="42" t="s">
        <v>352</v>
      </c>
      <c r="D358" s="74">
        <f t="shared" si="59"/>
        <v>610.31880000000001</v>
      </c>
      <c r="E358" s="42">
        <v>0</v>
      </c>
      <c r="F358" s="42">
        <f t="shared" si="60"/>
        <v>610.31880000000001</v>
      </c>
      <c r="G358" s="42">
        <v>0</v>
      </c>
      <c r="H358" s="42">
        <f t="shared" si="61"/>
        <v>915.47820000000002</v>
      </c>
      <c r="I358" s="36"/>
      <c r="L358" s="94"/>
      <c r="M358" s="94"/>
      <c r="N358" s="36"/>
      <c r="T358" s="21"/>
    </row>
    <row r="359" spans="1:20" s="37" customFormat="1" ht="15.75" hidden="1" customHeight="1" x14ac:dyDescent="0.35">
      <c r="A359" s="92">
        <f t="shared" si="58"/>
        <v>5</v>
      </c>
      <c r="B359" s="93"/>
      <c r="C359" s="42" t="s">
        <v>352</v>
      </c>
      <c r="D359" s="74">
        <f t="shared" si="59"/>
        <v>610.31880000000001</v>
      </c>
      <c r="E359" s="42">
        <v>0</v>
      </c>
      <c r="F359" s="42">
        <f t="shared" ref="F359:F361" si="62">D359+(IF(E359&lt;201,E359,IF(E359&lt;301,E359/2,E359/3)))</f>
        <v>610.31880000000001</v>
      </c>
      <c r="G359" s="42">
        <v>0</v>
      </c>
      <c r="H359" s="42">
        <f t="shared" ref="H359:H361" si="63">(F359+(IF(G359&lt;101,G359,IF(G359&lt;201,G359/2,IF(G359&lt;=301,G359/3,G359/4)))))*(($H$344)+1)</f>
        <v>915.47820000000002</v>
      </c>
      <c r="I359" s="36"/>
      <c r="L359" s="94"/>
      <c r="M359" s="94"/>
      <c r="N359" s="36"/>
      <c r="T359" s="34"/>
    </row>
    <row r="360" spans="1:20" s="37" customFormat="1" ht="15.75" hidden="1" customHeight="1" x14ac:dyDescent="0.35">
      <c r="A360" s="92">
        <f t="shared" si="58"/>
        <v>6</v>
      </c>
      <c r="B360" s="93"/>
      <c r="C360" s="42" t="s">
        <v>352</v>
      </c>
      <c r="D360" s="74">
        <f t="shared" si="59"/>
        <v>610.31880000000001</v>
      </c>
      <c r="E360" s="42">
        <v>0</v>
      </c>
      <c r="F360" s="42">
        <f t="shared" si="62"/>
        <v>610.31880000000001</v>
      </c>
      <c r="G360" s="42">
        <v>0</v>
      </c>
      <c r="H360" s="42">
        <f t="shared" si="63"/>
        <v>915.47820000000002</v>
      </c>
      <c r="I360" s="36"/>
      <c r="L360" s="94"/>
      <c r="M360" s="94"/>
      <c r="N360" s="36"/>
      <c r="T360" s="21"/>
    </row>
    <row r="361" spans="1:20" s="37" customFormat="1" ht="15.75" hidden="1" customHeight="1" x14ac:dyDescent="0.35">
      <c r="A361" s="92">
        <f t="shared" si="58"/>
        <v>7</v>
      </c>
      <c r="B361" s="93"/>
      <c r="C361" s="42" t="s">
        <v>352</v>
      </c>
      <c r="D361" s="74">
        <f t="shared" si="59"/>
        <v>610.31880000000001</v>
      </c>
      <c r="E361" s="42">
        <v>0</v>
      </c>
      <c r="F361" s="42">
        <f t="shared" si="62"/>
        <v>610.31880000000001</v>
      </c>
      <c r="G361" s="42">
        <v>0</v>
      </c>
      <c r="H361" s="42">
        <f t="shared" si="63"/>
        <v>915.47820000000002</v>
      </c>
      <c r="I361" s="36"/>
      <c r="L361" s="94"/>
      <c r="M361" s="94"/>
      <c r="N361" s="36"/>
      <c r="T361" s="21"/>
    </row>
    <row r="362" spans="1:20" s="37" customFormat="1" ht="15.75" hidden="1" customHeight="1" x14ac:dyDescent="0.35">
      <c r="A362" s="92">
        <f t="shared" si="58"/>
        <v>8</v>
      </c>
      <c r="B362" s="93"/>
      <c r="C362" s="42" t="s">
        <v>352</v>
      </c>
      <c r="D362" s="74">
        <f>(45.9)*(10.764)</f>
        <v>494.06759999999997</v>
      </c>
      <c r="E362" s="42">
        <v>0</v>
      </c>
      <c r="F362" s="42">
        <f t="shared" ref="F362:F364" si="64">D362+(IF(E362&lt;201,E362,IF(E362&lt;301,E362/2,E362/3)))</f>
        <v>494.06759999999997</v>
      </c>
      <c r="G362" s="74">
        <f>(5.4*2)*(10.764)</f>
        <v>116.2512</v>
      </c>
      <c r="H362" s="42">
        <f t="shared" ref="H362:H364" si="65">(F362+(IF(G362&lt;101,G362,IF(G362&lt;201,G362/2,IF(G362&lt;=301,G362/3,G362/4)))))*(($H$344)+1)</f>
        <v>828.2897999999999</v>
      </c>
      <c r="I362" s="36"/>
      <c r="L362" s="94"/>
      <c r="M362" s="94"/>
      <c r="N362" s="36"/>
      <c r="T362" s="34"/>
    </row>
    <row r="363" spans="1:20" s="37" customFormat="1" ht="15.75" hidden="1" customHeight="1" x14ac:dyDescent="0.35">
      <c r="A363" s="92">
        <f t="shared" si="58"/>
        <v>9</v>
      </c>
      <c r="B363" s="93"/>
      <c r="C363" s="42" t="s">
        <v>352</v>
      </c>
      <c r="D363" s="74">
        <f>(45.9)*(10.764)</f>
        <v>494.06759999999997</v>
      </c>
      <c r="E363" s="42">
        <v>0</v>
      </c>
      <c r="F363" s="42">
        <f t="shared" si="64"/>
        <v>494.06759999999997</v>
      </c>
      <c r="G363" s="74">
        <f>(5.4*2)*(10.764)</f>
        <v>116.2512</v>
      </c>
      <c r="H363" s="42">
        <f t="shared" si="65"/>
        <v>828.2897999999999</v>
      </c>
      <c r="I363" s="36"/>
      <c r="L363" s="94"/>
      <c r="M363" s="94"/>
      <c r="N363" s="36"/>
      <c r="T363" s="21"/>
    </row>
    <row r="364" spans="1:20" s="37" customFormat="1" ht="15.75" hidden="1" customHeight="1" x14ac:dyDescent="0.35">
      <c r="A364" s="92">
        <f t="shared" si="58"/>
        <v>10</v>
      </c>
      <c r="B364" s="93"/>
      <c r="C364" s="42" t="s">
        <v>352</v>
      </c>
      <c r="D364" s="74">
        <f>(37.1)*(10.764)</f>
        <v>399.34440000000001</v>
      </c>
      <c r="E364" s="42">
        <v>0</v>
      </c>
      <c r="F364" s="42">
        <f t="shared" si="64"/>
        <v>399.34440000000001</v>
      </c>
      <c r="G364" s="74">
        <f>(5.4*3.63)*(10.764)</f>
        <v>210.99592799999999</v>
      </c>
      <c r="H364" s="42">
        <f t="shared" si="65"/>
        <v>704.51456400000006</v>
      </c>
      <c r="I364" s="36"/>
      <c r="L364" s="94"/>
      <c r="M364" s="94"/>
      <c r="N364" s="36"/>
      <c r="T364" s="21"/>
    </row>
    <row r="365" spans="1:20" s="37" customFormat="1" hidden="1" x14ac:dyDescent="0.35">
      <c r="A365" s="172" t="s">
        <v>353</v>
      </c>
      <c r="B365" s="173"/>
      <c r="C365" s="173"/>
      <c r="D365" s="173"/>
      <c r="E365" s="173"/>
      <c r="F365" s="173"/>
      <c r="G365" s="173"/>
      <c r="H365" s="174"/>
      <c r="J365" s="36"/>
      <c r="T365" s="35"/>
    </row>
    <row r="366" spans="1:20" s="37" customFormat="1" ht="15.75" hidden="1" customHeight="1" x14ac:dyDescent="0.35">
      <c r="A366" s="92">
        <v>1</v>
      </c>
      <c r="B366" s="93"/>
      <c r="C366" s="42" t="s">
        <v>352</v>
      </c>
      <c r="D366" s="74">
        <f>(37.1)*(10.764)</f>
        <v>399.34440000000001</v>
      </c>
      <c r="E366" s="42">
        <v>0</v>
      </c>
      <c r="F366" s="42">
        <f>D366+(IF(E366&lt;201,E366,IF(E366&lt;301,E366/2,E366/3)))</f>
        <v>399.34440000000001</v>
      </c>
      <c r="G366" s="42">
        <v>0</v>
      </c>
      <c r="H366" s="42">
        <f>(F366+(IF(G366&lt;101,G366,IF(G366&lt;201,G366/2,IF(G366&lt;=301,G366/3,G366/4)))))*(($H$344)+1)</f>
        <v>599.01660000000004</v>
      </c>
      <c r="I366" s="36"/>
      <c r="L366" s="94"/>
      <c r="M366" s="94"/>
      <c r="N366" s="36"/>
      <c r="T366" s="35"/>
    </row>
    <row r="367" spans="1:20" s="37" customFormat="1" ht="15.75" hidden="1" customHeight="1" x14ac:dyDescent="0.35">
      <c r="A367" s="92">
        <f t="shared" ref="A367:A375" si="66">A366+1</f>
        <v>2</v>
      </c>
      <c r="B367" s="93"/>
      <c r="C367" s="42" t="s">
        <v>352</v>
      </c>
      <c r="D367" s="74">
        <f t="shared" ref="D367:D372" si="67">(56.7)*(10.764)</f>
        <v>610.31880000000001</v>
      </c>
      <c r="E367" s="42">
        <v>0</v>
      </c>
      <c r="F367" s="42">
        <f t="shared" ref="F367:F375" si="68">D367+(IF(E367&lt;201,E367,IF(E367&lt;301,E367/2,E367/3)))</f>
        <v>610.31880000000001</v>
      </c>
      <c r="G367" s="42">
        <v>0</v>
      </c>
      <c r="H367" s="42">
        <f t="shared" ref="H367:H375" si="69">(F367+(IF(G367&lt;101,G367,IF(G367&lt;201,G367/2,IF(G367&lt;=301,G367/3,G367/4)))))*(($H$344)+1)</f>
        <v>915.47820000000002</v>
      </c>
      <c r="I367" s="36"/>
      <c r="L367" s="94"/>
      <c r="M367" s="94"/>
      <c r="N367" s="36"/>
      <c r="T367" s="34"/>
    </row>
    <row r="368" spans="1:20" s="37" customFormat="1" ht="15.75" hidden="1" customHeight="1" x14ac:dyDescent="0.35">
      <c r="A368" s="92">
        <f t="shared" si="66"/>
        <v>3</v>
      </c>
      <c r="B368" s="93"/>
      <c r="C368" s="42" t="s">
        <v>352</v>
      </c>
      <c r="D368" s="74">
        <f t="shared" si="67"/>
        <v>610.31880000000001</v>
      </c>
      <c r="E368" s="42">
        <v>0</v>
      </c>
      <c r="F368" s="42">
        <f t="shared" si="68"/>
        <v>610.31880000000001</v>
      </c>
      <c r="G368" s="42">
        <v>0</v>
      </c>
      <c r="H368" s="42">
        <f t="shared" si="69"/>
        <v>915.47820000000002</v>
      </c>
      <c r="I368" s="36"/>
      <c r="L368" s="94"/>
      <c r="M368" s="94"/>
      <c r="N368" s="36"/>
      <c r="T368" s="21"/>
    </row>
    <row r="369" spans="1:20" s="37" customFormat="1" ht="15.75" hidden="1" customHeight="1" x14ac:dyDescent="0.35">
      <c r="A369" s="92">
        <f t="shared" si="66"/>
        <v>4</v>
      </c>
      <c r="B369" s="93"/>
      <c r="C369" s="42" t="s">
        <v>352</v>
      </c>
      <c r="D369" s="74">
        <f t="shared" si="67"/>
        <v>610.31880000000001</v>
      </c>
      <c r="E369" s="42">
        <v>0</v>
      </c>
      <c r="F369" s="42">
        <f t="shared" si="68"/>
        <v>610.31880000000001</v>
      </c>
      <c r="G369" s="42">
        <v>0</v>
      </c>
      <c r="H369" s="42">
        <f t="shared" si="69"/>
        <v>915.47820000000002</v>
      </c>
      <c r="I369" s="36"/>
      <c r="L369" s="94"/>
      <c r="M369" s="94"/>
      <c r="N369" s="36"/>
      <c r="T369" s="21"/>
    </row>
    <row r="370" spans="1:20" s="37" customFormat="1" ht="15.75" hidden="1" customHeight="1" x14ac:dyDescent="0.35">
      <c r="A370" s="92">
        <f t="shared" si="66"/>
        <v>5</v>
      </c>
      <c r="B370" s="93"/>
      <c r="C370" s="42" t="s">
        <v>352</v>
      </c>
      <c r="D370" s="74">
        <f t="shared" si="67"/>
        <v>610.31880000000001</v>
      </c>
      <c r="E370" s="42">
        <v>0</v>
      </c>
      <c r="F370" s="42">
        <f t="shared" si="68"/>
        <v>610.31880000000001</v>
      </c>
      <c r="G370" s="42">
        <v>0</v>
      </c>
      <c r="H370" s="42">
        <f t="shared" si="69"/>
        <v>915.47820000000002</v>
      </c>
      <c r="I370" s="36"/>
      <c r="L370" s="94"/>
      <c r="M370" s="94"/>
      <c r="N370" s="36"/>
      <c r="T370" s="34"/>
    </row>
    <row r="371" spans="1:20" s="37" customFormat="1" ht="15.75" hidden="1" customHeight="1" x14ac:dyDescent="0.35">
      <c r="A371" s="92">
        <f t="shared" si="66"/>
        <v>6</v>
      </c>
      <c r="B371" s="93"/>
      <c r="C371" s="42" t="s">
        <v>352</v>
      </c>
      <c r="D371" s="74">
        <f t="shared" si="67"/>
        <v>610.31880000000001</v>
      </c>
      <c r="E371" s="42">
        <v>0</v>
      </c>
      <c r="F371" s="42">
        <f t="shared" si="68"/>
        <v>610.31880000000001</v>
      </c>
      <c r="G371" s="42">
        <v>0</v>
      </c>
      <c r="H371" s="42">
        <f t="shared" si="69"/>
        <v>915.47820000000002</v>
      </c>
      <c r="I371" s="36"/>
      <c r="L371" s="94"/>
      <c r="M371" s="94"/>
      <c r="N371" s="36"/>
      <c r="T371" s="21"/>
    </row>
    <row r="372" spans="1:20" s="37" customFormat="1" ht="15.75" hidden="1" customHeight="1" x14ac:dyDescent="0.35">
      <c r="A372" s="92">
        <f t="shared" si="66"/>
        <v>7</v>
      </c>
      <c r="B372" s="93"/>
      <c r="C372" s="42" t="s">
        <v>352</v>
      </c>
      <c r="D372" s="74">
        <f t="shared" si="67"/>
        <v>610.31880000000001</v>
      </c>
      <c r="E372" s="42">
        <v>0</v>
      </c>
      <c r="F372" s="42">
        <f t="shared" si="68"/>
        <v>610.31880000000001</v>
      </c>
      <c r="G372" s="42">
        <v>0</v>
      </c>
      <c r="H372" s="42">
        <f t="shared" si="69"/>
        <v>915.47820000000002</v>
      </c>
      <c r="I372" s="36"/>
      <c r="L372" s="94"/>
      <c r="M372" s="94"/>
      <c r="N372" s="36"/>
      <c r="T372" s="21"/>
    </row>
    <row r="373" spans="1:20" s="37" customFormat="1" ht="15.75" hidden="1" customHeight="1" x14ac:dyDescent="0.35">
      <c r="A373" s="92">
        <f t="shared" si="66"/>
        <v>8</v>
      </c>
      <c r="B373" s="93"/>
      <c r="C373" s="42" t="s">
        <v>352</v>
      </c>
      <c r="D373" s="74">
        <f>(45.9)*(10.764)</f>
        <v>494.06759999999997</v>
      </c>
      <c r="E373" s="42">
        <v>0</v>
      </c>
      <c r="F373" s="42">
        <f t="shared" si="68"/>
        <v>494.06759999999997</v>
      </c>
      <c r="G373" s="42">
        <v>0</v>
      </c>
      <c r="H373" s="42">
        <f t="shared" si="69"/>
        <v>741.10140000000001</v>
      </c>
      <c r="I373" s="36"/>
      <c r="L373" s="94"/>
      <c r="M373" s="94"/>
      <c r="N373" s="36"/>
      <c r="T373" s="34"/>
    </row>
    <row r="374" spans="1:20" s="37" customFormat="1" ht="15.75" hidden="1" customHeight="1" x14ac:dyDescent="0.35">
      <c r="A374" s="92">
        <f t="shared" si="66"/>
        <v>9</v>
      </c>
      <c r="B374" s="93"/>
      <c r="C374" s="42" t="s">
        <v>352</v>
      </c>
      <c r="D374" s="74">
        <f>(45.9)*(10.764)</f>
        <v>494.06759999999997</v>
      </c>
      <c r="E374" s="42">
        <v>0</v>
      </c>
      <c r="F374" s="42">
        <f t="shared" si="68"/>
        <v>494.06759999999997</v>
      </c>
      <c r="G374" s="42">
        <v>0</v>
      </c>
      <c r="H374" s="42">
        <f t="shared" si="69"/>
        <v>741.10140000000001</v>
      </c>
      <c r="I374" s="36"/>
      <c r="L374" s="94"/>
      <c r="M374" s="94"/>
      <c r="N374" s="36"/>
      <c r="T374" s="21"/>
    </row>
    <row r="375" spans="1:20" s="37" customFormat="1" ht="15.75" hidden="1" customHeight="1" x14ac:dyDescent="0.35">
      <c r="A375" s="92">
        <f t="shared" si="66"/>
        <v>10</v>
      </c>
      <c r="B375" s="93"/>
      <c r="C375" s="42" t="s">
        <v>352</v>
      </c>
      <c r="D375" s="74">
        <f>(37.1)*(10.764)</f>
        <v>399.34440000000001</v>
      </c>
      <c r="E375" s="42">
        <v>0</v>
      </c>
      <c r="F375" s="42">
        <f t="shared" si="68"/>
        <v>399.34440000000001</v>
      </c>
      <c r="G375" s="42">
        <v>0</v>
      </c>
      <c r="H375" s="42">
        <f t="shared" si="69"/>
        <v>599.01660000000004</v>
      </c>
      <c r="I375" s="36"/>
      <c r="L375" s="94"/>
      <c r="M375" s="94"/>
      <c r="N375" s="36"/>
      <c r="T375" s="21"/>
    </row>
    <row r="376" spans="1:20" s="37" customFormat="1" hidden="1" x14ac:dyDescent="0.35">
      <c r="A376" s="172" t="s">
        <v>356</v>
      </c>
      <c r="B376" s="173"/>
      <c r="C376" s="173"/>
      <c r="D376" s="173"/>
      <c r="E376" s="173"/>
      <c r="F376" s="173"/>
      <c r="G376" s="173"/>
      <c r="H376" s="174"/>
      <c r="J376" s="36"/>
      <c r="T376" s="35"/>
    </row>
    <row r="377" spans="1:20" s="37" customFormat="1" ht="15.75" hidden="1" customHeight="1" x14ac:dyDescent="0.35">
      <c r="A377" s="92">
        <v>1</v>
      </c>
      <c r="B377" s="93"/>
      <c r="C377" s="42" t="s">
        <v>352</v>
      </c>
      <c r="D377" s="74">
        <f>(37.1)*(10.764)</f>
        <v>399.34440000000001</v>
      </c>
      <c r="E377" s="42">
        <v>0</v>
      </c>
      <c r="F377" s="42">
        <f>D377+(IF(E377&lt;201,E377,IF(E377&lt;301,E377/2,E377/3)))</f>
        <v>399.34440000000001</v>
      </c>
      <c r="G377" s="42">
        <v>0</v>
      </c>
      <c r="H377" s="42">
        <f>(F377+(IF(G377&lt;101,G377,IF(G377&lt;201,G377/2,IF(G377&lt;=301,G377/3,G377/4)))))*(($H$344)+1)</f>
        <v>599.01660000000004</v>
      </c>
      <c r="I377" s="36"/>
      <c r="L377" s="94"/>
      <c r="M377" s="94"/>
      <c r="N377" s="36"/>
      <c r="T377" s="35"/>
    </row>
    <row r="378" spans="1:20" s="37" customFormat="1" ht="15.75" hidden="1" customHeight="1" x14ac:dyDescent="0.35">
      <c r="A378" s="92">
        <f t="shared" ref="A378:A386" si="70">A377+1</f>
        <v>2</v>
      </c>
      <c r="B378" s="93"/>
      <c r="C378" s="42" t="s">
        <v>352</v>
      </c>
      <c r="D378" s="74">
        <f t="shared" ref="D378:D383" si="71">(56.7)*(10.764)</f>
        <v>610.31880000000001</v>
      </c>
      <c r="E378" s="42">
        <v>0</v>
      </c>
      <c r="F378" s="42">
        <f t="shared" ref="F378:F386" si="72">D378+(IF(E378&lt;201,E378,IF(E378&lt;301,E378/2,E378/3)))</f>
        <v>610.31880000000001</v>
      </c>
      <c r="G378" s="42">
        <v>0</v>
      </c>
      <c r="H378" s="42">
        <f t="shared" ref="H378:H386" si="73">(F378+(IF(G378&lt;101,G378,IF(G378&lt;201,G378/2,IF(G378&lt;=301,G378/3,G378/4)))))*(($H$344)+1)</f>
        <v>915.47820000000002</v>
      </c>
      <c r="I378" s="36"/>
      <c r="L378" s="94"/>
      <c r="M378" s="94"/>
      <c r="N378" s="36"/>
      <c r="T378" s="34"/>
    </row>
    <row r="379" spans="1:20" s="37" customFormat="1" ht="15.75" hidden="1" customHeight="1" x14ac:dyDescent="0.35">
      <c r="A379" s="92">
        <f t="shared" si="70"/>
        <v>3</v>
      </c>
      <c r="B379" s="93"/>
      <c r="C379" s="42" t="s">
        <v>352</v>
      </c>
      <c r="D379" s="74">
        <f t="shared" si="71"/>
        <v>610.31880000000001</v>
      </c>
      <c r="E379" s="42">
        <v>0</v>
      </c>
      <c r="F379" s="42">
        <f t="shared" si="72"/>
        <v>610.31880000000001</v>
      </c>
      <c r="G379" s="42">
        <v>0</v>
      </c>
      <c r="H379" s="42">
        <f t="shared" si="73"/>
        <v>915.47820000000002</v>
      </c>
      <c r="I379" s="36"/>
      <c r="L379" s="94"/>
      <c r="M379" s="94"/>
      <c r="N379" s="36"/>
      <c r="T379" s="21"/>
    </row>
    <row r="380" spans="1:20" s="37" customFormat="1" ht="15.75" hidden="1" customHeight="1" x14ac:dyDescent="0.35">
      <c r="A380" s="92">
        <f t="shared" si="70"/>
        <v>4</v>
      </c>
      <c r="B380" s="93"/>
      <c r="C380" s="42" t="s">
        <v>352</v>
      </c>
      <c r="D380" s="74">
        <f t="shared" si="71"/>
        <v>610.31880000000001</v>
      </c>
      <c r="E380" s="42">
        <v>0</v>
      </c>
      <c r="F380" s="42">
        <f t="shared" si="72"/>
        <v>610.31880000000001</v>
      </c>
      <c r="G380" s="42">
        <v>0</v>
      </c>
      <c r="H380" s="42">
        <f t="shared" si="73"/>
        <v>915.47820000000002</v>
      </c>
      <c r="I380" s="36"/>
      <c r="L380" s="94"/>
      <c r="M380" s="94"/>
      <c r="N380" s="36"/>
      <c r="T380" s="21"/>
    </row>
    <row r="381" spans="1:20" s="37" customFormat="1" ht="15.75" hidden="1" customHeight="1" x14ac:dyDescent="0.35">
      <c r="A381" s="92">
        <f t="shared" si="70"/>
        <v>5</v>
      </c>
      <c r="B381" s="93"/>
      <c r="C381" s="42" t="s">
        <v>352</v>
      </c>
      <c r="D381" s="74">
        <f t="shared" si="71"/>
        <v>610.31880000000001</v>
      </c>
      <c r="E381" s="42">
        <v>0</v>
      </c>
      <c r="F381" s="42">
        <f t="shared" si="72"/>
        <v>610.31880000000001</v>
      </c>
      <c r="G381" s="42">
        <v>0</v>
      </c>
      <c r="H381" s="42">
        <f t="shared" si="73"/>
        <v>915.47820000000002</v>
      </c>
      <c r="I381" s="36"/>
      <c r="L381" s="94"/>
      <c r="M381" s="94"/>
      <c r="N381" s="36"/>
      <c r="T381" s="34"/>
    </row>
    <row r="382" spans="1:20" s="37" customFormat="1" ht="15.75" hidden="1" customHeight="1" x14ac:dyDescent="0.35">
      <c r="A382" s="92">
        <f t="shared" si="70"/>
        <v>6</v>
      </c>
      <c r="B382" s="93"/>
      <c r="C382" s="42" t="s">
        <v>352</v>
      </c>
      <c r="D382" s="74">
        <f t="shared" si="71"/>
        <v>610.31880000000001</v>
      </c>
      <c r="E382" s="42">
        <v>0</v>
      </c>
      <c r="F382" s="42">
        <f t="shared" si="72"/>
        <v>610.31880000000001</v>
      </c>
      <c r="G382" s="42">
        <v>0</v>
      </c>
      <c r="H382" s="42">
        <f t="shared" si="73"/>
        <v>915.47820000000002</v>
      </c>
      <c r="I382" s="36"/>
      <c r="L382" s="94"/>
      <c r="M382" s="94"/>
      <c r="N382" s="36"/>
      <c r="T382" s="21"/>
    </row>
    <row r="383" spans="1:20" s="37" customFormat="1" ht="15.75" hidden="1" customHeight="1" x14ac:dyDescent="0.35">
      <c r="A383" s="92">
        <f t="shared" si="70"/>
        <v>7</v>
      </c>
      <c r="B383" s="93"/>
      <c r="C383" s="42" t="s">
        <v>352</v>
      </c>
      <c r="D383" s="74">
        <f t="shared" si="71"/>
        <v>610.31880000000001</v>
      </c>
      <c r="E383" s="42">
        <v>0</v>
      </c>
      <c r="F383" s="42">
        <f t="shared" si="72"/>
        <v>610.31880000000001</v>
      </c>
      <c r="G383" s="42">
        <v>0</v>
      </c>
      <c r="H383" s="42">
        <f t="shared" si="73"/>
        <v>915.47820000000002</v>
      </c>
      <c r="I383" s="36"/>
      <c r="L383" s="94"/>
      <c r="M383" s="94"/>
      <c r="N383" s="36"/>
      <c r="T383" s="21"/>
    </row>
    <row r="384" spans="1:20" s="37" customFormat="1" ht="15.75" hidden="1" customHeight="1" x14ac:dyDescent="0.35">
      <c r="A384" s="92">
        <f t="shared" si="70"/>
        <v>8</v>
      </c>
      <c r="B384" s="93"/>
      <c r="C384" s="42" t="s">
        <v>352</v>
      </c>
      <c r="D384" s="74">
        <f>(45.9)*(10.764)</f>
        <v>494.06759999999997</v>
      </c>
      <c r="E384" s="42">
        <v>0</v>
      </c>
      <c r="F384" s="42">
        <f t="shared" si="72"/>
        <v>494.06759999999997</v>
      </c>
      <c r="G384" s="42">
        <v>0</v>
      </c>
      <c r="H384" s="42">
        <f t="shared" si="73"/>
        <v>741.10140000000001</v>
      </c>
      <c r="I384" s="36"/>
      <c r="L384" s="94"/>
      <c r="M384" s="94"/>
      <c r="N384" s="36"/>
      <c r="T384" s="34"/>
    </row>
    <row r="385" spans="1:20" s="37" customFormat="1" ht="15.75" hidden="1" customHeight="1" x14ac:dyDescent="0.35">
      <c r="A385" s="92">
        <f t="shared" si="70"/>
        <v>9</v>
      </c>
      <c r="B385" s="93"/>
      <c r="C385" s="42" t="s">
        <v>352</v>
      </c>
      <c r="D385" s="74">
        <f>(45.9)*(10.764)</f>
        <v>494.06759999999997</v>
      </c>
      <c r="E385" s="42">
        <v>0</v>
      </c>
      <c r="F385" s="42">
        <f t="shared" si="72"/>
        <v>494.06759999999997</v>
      </c>
      <c r="G385" s="42">
        <v>0</v>
      </c>
      <c r="H385" s="42">
        <f t="shared" si="73"/>
        <v>741.10140000000001</v>
      </c>
      <c r="I385" s="36"/>
      <c r="L385" s="94"/>
      <c r="M385" s="94"/>
      <c r="N385" s="36"/>
      <c r="T385" s="21"/>
    </row>
    <row r="386" spans="1:20" s="37" customFormat="1" ht="15.75" hidden="1" customHeight="1" x14ac:dyDescent="0.35">
      <c r="A386" s="92">
        <f t="shared" si="70"/>
        <v>10</v>
      </c>
      <c r="B386" s="93"/>
      <c r="C386" s="42" t="s">
        <v>352</v>
      </c>
      <c r="D386" s="74">
        <f>(37.1)*(10.764)</f>
        <v>399.34440000000001</v>
      </c>
      <c r="E386" s="42">
        <v>0</v>
      </c>
      <c r="F386" s="42">
        <f t="shared" si="72"/>
        <v>399.34440000000001</v>
      </c>
      <c r="G386" s="42">
        <v>0</v>
      </c>
      <c r="H386" s="42">
        <f t="shared" si="73"/>
        <v>599.01660000000004</v>
      </c>
      <c r="I386" s="36"/>
      <c r="L386" s="94"/>
      <c r="M386" s="94"/>
      <c r="N386" s="36"/>
      <c r="T386" s="21"/>
    </row>
    <row r="387" spans="1:20" s="37" customFormat="1" ht="36" hidden="1" customHeight="1" x14ac:dyDescent="0.35">
      <c r="A387" s="172" t="s">
        <v>355</v>
      </c>
      <c r="B387" s="173"/>
      <c r="C387" s="173"/>
      <c r="D387" s="173"/>
      <c r="E387" s="173"/>
      <c r="F387" s="173"/>
      <c r="G387" s="173"/>
      <c r="H387" s="174"/>
      <c r="J387" s="36"/>
      <c r="T387" s="35"/>
    </row>
    <row r="388" spans="1:20" s="37" customFormat="1" ht="15.75" hidden="1" customHeight="1" x14ac:dyDescent="0.35">
      <c r="A388" s="92">
        <v>1</v>
      </c>
      <c r="B388" s="93"/>
      <c r="C388" s="42" t="s">
        <v>352</v>
      </c>
      <c r="D388" s="74">
        <f>(37.1)*(10.764)</f>
        <v>399.34440000000001</v>
      </c>
      <c r="E388" s="42">
        <v>0</v>
      </c>
      <c r="F388" s="42">
        <f>D388+(IF(E388&lt;201,E388,IF(E388&lt;301,E388/2,E388/3)))</f>
        <v>399.34440000000001</v>
      </c>
      <c r="G388" s="42">
        <v>0</v>
      </c>
      <c r="H388" s="42">
        <f>(F388+(IF(G388&lt;101,G388,IF(G388&lt;201,G388/2,IF(G388&lt;=301,G388/3,G388/4)))))*(($H$344)+1)</f>
        <v>599.01660000000004</v>
      </c>
      <c r="I388" s="36"/>
      <c r="L388" s="94"/>
      <c r="M388" s="94"/>
      <c r="N388" s="36"/>
      <c r="T388" s="35"/>
    </row>
    <row r="389" spans="1:20" s="37" customFormat="1" ht="15.75" hidden="1" customHeight="1" x14ac:dyDescent="0.35">
      <c r="A389" s="92">
        <f t="shared" ref="A389:A397" si="74">A388+1</f>
        <v>2</v>
      </c>
      <c r="B389" s="93"/>
      <c r="C389" s="42" t="s">
        <v>352</v>
      </c>
      <c r="D389" s="74">
        <f>(45.9)*(10.764)</f>
        <v>494.06759999999997</v>
      </c>
      <c r="E389" s="42">
        <v>0</v>
      </c>
      <c r="F389" s="42">
        <f t="shared" ref="F389:F397" si="75">D389+(IF(E389&lt;201,E389,IF(E389&lt;301,E389/2,E389/3)))</f>
        <v>494.06759999999997</v>
      </c>
      <c r="G389" s="42">
        <v>0</v>
      </c>
      <c r="H389" s="42">
        <f t="shared" ref="H389:H397" si="76">(F389+(IF(G389&lt;101,G389,IF(G389&lt;201,G389/2,IF(G389&lt;=301,G389/3,G389/4)))))*(($H$344)+1)</f>
        <v>741.10140000000001</v>
      </c>
      <c r="I389" s="36"/>
      <c r="L389" s="94"/>
      <c r="M389" s="94"/>
      <c r="N389" s="36"/>
      <c r="T389" s="34"/>
    </row>
    <row r="390" spans="1:20" s="37" customFormat="1" ht="15.75" hidden="1" customHeight="1" x14ac:dyDescent="0.35">
      <c r="A390" s="92">
        <f t="shared" si="74"/>
        <v>3</v>
      </c>
      <c r="B390" s="93"/>
      <c r="C390" s="42" t="s">
        <v>352</v>
      </c>
      <c r="D390" s="74">
        <f>(45.9)*(10.764)</f>
        <v>494.06759999999997</v>
      </c>
      <c r="E390" s="42">
        <v>0</v>
      </c>
      <c r="F390" s="42">
        <f t="shared" si="75"/>
        <v>494.06759999999997</v>
      </c>
      <c r="G390" s="42">
        <v>0</v>
      </c>
      <c r="H390" s="42">
        <f t="shared" si="76"/>
        <v>741.10140000000001</v>
      </c>
      <c r="I390" s="36"/>
      <c r="L390" s="94"/>
      <c r="M390" s="94"/>
      <c r="N390" s="36"/>
      <c r="T390" s="21"/>
    </row>
    <row r="391" spans="1:20" s="37" customFormat="1" ht="15.75" hidden="1" customHeight="1" x14ac:dyDescent="0.35">
      <c r="A391" s="92">
        <f t="shared" si="74"/>
        <v>4</v>
      </c>
      <c r="B391" s="93"/>
      <c r="C391" s="42" t="s">
        <v>352</v>
      </c>
      <c r="D391" s="74">
        <f t="shared" ref="D391:D396" si="77">(56.7)*(10.764)</f>
        <v>610.31880000000001</v>
      </c>
      <c r="E391" s="42">
        <v>0</v>
      </c>
      <c r="F391" s="42">
        <f t="shared" si="75"/>
        <v>610.31880000000001</v>
      </c>
      <c r="G391" s="42">
        <v>0</v>
      </c>
      <c r="H391" s="42">
        <f t="shared" si="76"/>
        <v>915.47820000000002</v>
      </c>
      <c r="I391" s="36"/>
      <c r="L391" s="94"/>
      <c r="M391" s="94"/>
      <c r="N391" s="36"/>
      <c r="T391" s="21"/>
    </row>
    <row r="392" spans="1:20" s="37" customFormat="1" ht="15.75" hidden="1" customHeight="1" x14ac:dyDescent="0.35">
      <c r="A392" s="92">
        <f t="shared" si="74"/>
        <v>5</v>
      </c>
      <c r="B392" s="93"/>
      <c r="C392" s="42" t="s">
        <v>352</v>
      </c>
      <c r="D392" s="74">
        <f t="shared" si="77"/>
        <v>610.31880000000001</v>
      </c>
      <c r="E392" s="42">
        <v>0</v>
      </c>
      <c r="F392" s="42">
        <f t="shared" si="75"/>
        <v>610.31880000000001</v>
      </c>
      <c r="G392" s="42">
        <v>0</v>
      </c>
      <c r="H392" s="42">
        <f t="shared" si="76"/>
        <v>915.47820000000002</v>
      </c>
      <c r="I392" s="36"/>
      <c r="L392" s="94"/>
      <c r="M392" s="94"/>
      <c r="N392" s="36"/>
      <c r="T392" s="34"/>
    </row>
    <row r="393" spans="1:20" s="37" customFormat="1" ht="15.75" hidden="1" customHeight="1" x14ac:dyDescent="0.35">
      <c r="A393" s="92">
        <f t="shared" si="74"/>
        <v>6</v>
      </c>
      <c r="B393" s="93"/>
      <c r="C393" s="42" t="s">
        <v>352</v>
      </c>
      <c r="D393" s="74">
        <f t="shared" si="77"/>
        <v>610.31880000000001</v>
      </c>
      <c r="E393" s="42">
        <v>0</v>
      </c>
      <c r="F393" s="42">
        <f t="shared" si="75"/>
        <v>610.31880000000001</v>
      </c>
      <c r="G393" s="42">
        <v>0</v>
      </c>
      <c r="H393" s="42">
        <f t="shared" si="76"/>
        <v>915.47820000000002</v>
      </c>
      <c r="I393" s="36"/>
      <c r="L393" s="94"/>
      <c r="M393" s="94"/>
      <c r="N393" s="36"/>
      <c r="T393" s="21"/>
    </row>
    <row r="394" spans="1:20" s="37" customFormat="1" ht="15.75" hidden="1" customHeight="1" x14ac:dyDescent="0.35">
      <c r="A394" s="92">
        <f t="shared" si="74"/>
        <v>7</v>
      </c>
      <c r="B394" s="93"/>
      <c r="C394" s="42" t="s">
        <v>352</v>
      </c>
      <c r="D394" s="74">
        <f t="shared" si="77"/>
        <v>610.31880000000001</v>
      </c>
      <c r="E394" s="42">
        <v>0</v>
      </c>
      <c r="F394" s="42">
        <f t="shared" si="75"/>
        <v>610.31880000000001</v>
      </c>
      <c r="G394" s="42">
        <v>0</v>
      </c>
      <c r="H394" s="42">
        <f t="shared" si="76"/>
        <v>915.47820000000002</v>
      </c>
      <c r="I394" s="36"/>
      <c r="L394" s="94"/>
      <c r="M394" s="94"/>
      <c r="N394" s="36"/>
      <c r="T394" s="21"/>
    </row>
    <row r="395" spans="1:20" s="37" customFormat="1" ht="15.75" hidden="1" customHeight="1" x14ac:dyDescent="0.35">
      <c r="A395" s="92">
        <f t="shared" si="74"/>
        <v>8</v>
      </c>
      <c r="B395" s="93"/>
      <c r="C395" s="42" t="s">
        <v>352</v>
      </c>
      <c r="D395" s="74">
        <f t="shared" si="77"/>
        <v>610.31880000000001</v>
      </c>
      <c r="E395" s="42">
        <v>0</v>
      </c>
      <c r="F395" s="42">
        <f t="shared" si="75"/>
        <v>610.31880000000001</v>
      </c>
      <c r="G395" s="42">
        <v>0</v>
      </c>
      <c r="H395" s="42">
        <f t="shared" si="76"/>
        <v>915.47820000000002</v>
      </c>
      <c r="I395" s="36"/>
      <c r="L395" s="94"/>
      <c r="M395" s="94"/>
      <c r="N395" s="36"/>
      <c r="T395" s="34"/>
    </row>
    <row r="396" spans="1:20" s="37" customFormat="1" ht="15.75" hidden="1" customHeight="1" x14ac:dyDescent="0.35">
      <c r="A396" s="92">
        <f t="shared" si="74"/>
        <v>9</v>
      </c>
      <c r="B396" s="93"/>
      <c r="C396" s="42" t="s">
        <v>352</v>
      </c>
      <c r="D396" s="74">
        <f t="shared" si="77"/>
        <v>610.31880000000001</v>
      </c>
      <c r="E396" s="42">
        <v>0</v>
      </c>
      <c r="F396" s="42">
        <f t="shared" si="75"/>
        <v>610.31880000000001</v>
      </c>
      <c r="G396" s="42">
        <v>0</v>
      </c>
      <c r="H396" s="42">
        <f t="shared" si="76"/>
        <v>915.47820000000002</v>
      </c>
      <c r="I396" s="36"/>
      <c r="L396" s="94"/>
      <c r="M396" s="94"/>
      <c r="N396" s="36"/>
      <c r="T396" s="21"/>
    </row>
    <row r="397" spans="1:20" s="37" customFormat="1" ht="15.75" hidden="1" customHeight="1" x14ac:dyDescent="0.35">
      <c r="A397" s="92">
        <f t="shared" si="74"/>
        <v>10</v>
      </c>
      <c r="B397" s="93"/>
      <c r="C397" s="42" t="s">
        <v>352</v>
      </c>
      <c r="D397" s="74">
        <f>(37.1)*(10.764)</f>
        <v>399.34440000000001</v>
      </c>
      <c r="E397" s="42">
        <v>0</v>
      </c>
      <c r="F397" s="42">
        <f t="shared" si="75"/>
        <v>399.34440000000001</v>
      </c>
      <c r="G397" s="42">
        <v>0</v>
      </c>
      <c r="H397" s="42">
        <f t="shared" si="76"/>
        <v>599.01660000000004</v>
      </c>
      <c r="I397" s="36"/>
      <c r="L397" s="94"/>
      <c r="M397" s="94"/>
      <c r="N397" s="36"/>
      <c r="T397" s="21"/>
    </row>
    <row r="398" spans="1:20" s="37" customFormat="1" hidden="1" x14ac:dyDescent="0.35">
      <c r="A398" s="172" t="s">
        <v>357</v>
      </c>
      <c r="B398" s="173"/>
      <c r="C398" s="173"/>
      <c r="D398" s="173"/>
      <c r="E398" s="173"/>
      <c r="F398" s="173"/>
      <c r="G398" s="173"/>
      <c r="H398" s="174"/>
      <c r="J398" s="36"/>
      <c r="T398" s="35"/>
    </row>
    <row r="399" spans="1:20" s="37" customFormat="1" ht="15.75" hidden="1" customHeight="1" x14ac:dyDescent="0.35">
      <c r="A399" s="92">
        <v>1</v>
      </c>
      <c r="B399" s="93"/>
      <c r="C399" s="42" t="s">
        <v>352</v>
      </c>
      <c r="D399" s="74">
        <f>(37.1)*(10.764)</f>
        <v>399.34440000000001</v>
      </c>
      <c r="E399" s="42">
        <v>0</v>
      </c>
      <c r="F399" s="42">
        <f>D399+(IF(E399&lt;201,E399,IF(E399&lt;301,E399/2,E399/3)))</f>
        <v>399.34440000000001</v>
      </c>
      <c r="G399" s="42">
        <v>0</v>
      </c>
      <c r="H399" s="42">
        <f>(F399+(IF(G399&lt;101,G399,IF(G399&lt;201,G399/2,IF(G399&lt;=301,G399/3,G399/4)))))*(($H$344)+1)</f>
        <v>599.01660000000004</v>
      </c>
      <c r="I399" s="36"/>
      <c r="L399" s="94"/>
      <c r="M399" s="94"/>
      <c r="N399" s="36"/>
      <c r="T399" s="35"/>
    </row>
    <row r="400" spans="1:20" s="37" customFormat="1" ht="15.75" hidden="1" customHeight="1" x14ac:dyDescent="0.35">
      <c r="A400" s="92">
        <f t="shared" ref="A400:A408" si="78">A399+1</f>
        <v>2</v>
      </c>
      <c r="B400" s="93"/>
      <c r="C400" s="42" t="s">
        <v>352</v>
      </c>
      <c r="D400" s="74">
        <f>(45.9)*(10.764)</f>
        <v>494.06759999999997</v>
      </c>
      <c r="E400" s="42">
        <v>0</v>
      </c>
      <c r="F400" s="42">
        <f t="shared" ref="F400:F408" si="79">D400+(IF(E400&lt;201,E400,IF(E400&lt;301,E400/2,E400/3)))</f>
        <v>494.06759999999997</v>
      </c>
      <c r="G400" s="42">
        <v>0</v>
      </c>
      <c r="H400" s="42">
        <f t="shared" ref="H400:H408" si="80">(F400+(IF(G400&lt;101,G400,IF(G400&lt;201,G400/2,IF(G400&lt;=301,G400/3,G400/4)))))*(($H$344)+1)</f>
        <v>741.10140000000001</v>
      </c>
      <c r="I400" s="36"/>
      <c r="L400" s="94"/>
      <c r="M400" s="94"/>
      <c r="N400" s="36"/>
      <c r="T400" s="34"/>
    </row>
    <row r="401" spans="1:20" s="37" customFormat="1" ht="15.75" hidden="1" customHeight="1" x14ac:dyDescent="0.35">
      <c r="A401" s="92">
        <f t="shared" si="78"/>
        <v>3</v>
      </c>
      <c r="B401" s="93"/>
      <c r="C401" s="42" t="s">
        <v>352</v>
      </c>
      <c r="D401" s="74">
        <f>(45.9)*(10.764)</f>
        <v>494.06759999999997</v>
      </c>
      <c r="E401" s="42">
        <v>0</v>
      </c>
      <c r="F401" s="42">
        <f t="shared" si="79"/>
        <v>494.06759999999997</v>
      </c>
      <c r="G401" s="42">
        <v>0</v>
      </c>
      <c r="H401" s="42">
        <f t="shared" si="80"/>
        <v>741.10140000000001</v>
      </c>
      <c r="I401" s="36"/>
      <c r="L401" s="94"/>
      <c r="M401" s="94"/>
      <c r="N401" s="36"/>
      <c r="T401" s="21"/>
    </row>
    <row r="402" spans="1:20" s="37" customFormat="1" ht="15.75" hidden="1" customHeight="1" x14ac:dyDescent="0.35">
      <c r="A402" s="92">
        <f t="shared" si="78"/>
        <v>4</v>
      </c>
      <c r="B402" s="93"/>
      <c r="C402" s="42" t="s">
        <v>352</v>
      </c>
      <c r="D402" s="74">
        <f t="shared" ref="D402:D407" si="81">(56.7)*(10.764)</f>
        <v>610.31880000000001</v>
      </c>
      <c r="E402" s="42">
        <v>0</v>
      </c>
      <c r="F402" s="42">
        <f t="shared" si="79"/>
        <v>610.31880000000001</v>
      </c>
      <c r="G402" s="42">
        <v>0</v>
      </c>
      <c r="H402" s="42">
        <f t="shared" si="80"/>
        <v>915.47820000000002</v>
      </c>
      <c r="I402" s="36"/>
      <c r="L402" s="94"/>
      <c r="M402" s="94"/>
      <c r="N402" s="36"/>
      <c r="T402" s="21"/>
    </row>
    <row r="403" spans="1:20" s="37" customFormat="1" ht="15.75" hidden="1" customHeight="1" x14ac:dyDescent="0.35">
      <c r="A403" s="92">
        <f t="shared" si="78"/>
        <v>5</v>
      </c>
      <c r="B403" s="93"/>
      <c r="C403" s="42" t="s">
        <v>352</v>
      </c>
      <c r="D403" s="74">
        <f t="shared" si="81"/>
        <v>610.31880000000001</v>
      </c>
      <c r="E403" s="42">
        <v>0</v>
      </c>
      <c r="F403" s="42">
        <f t="shared" si="79"/>
        <v>610.31880000000001</v>
      </c>
      <c r="G403" s="42">
        <v>0</v>
      </c>
      <c r="H403" s="42">
        <f t="shared" si="80"/>
        <v>915.47820000000002</v>
      </c>
      <c r="I403" s="36"/>
      <c r="L403" s="94"/>
      <c r="M403" s="94"/>
      <c r="N403" s="36"/>
      <c r="T403" s="34"/>
    </row>
    <row r="404" spans="1:20" s="37" customFormat="1" ht="15.75" hidden="1" customHeight="1" x14ac:dyDescent="0.35">
      <c r="A404" s="92">
        <f t="shared" si="78"/>
        <v>6</v>
      </c>
      <c r="B404" s="93"/>
      <c r="C404" s="42" t="s">
        <v>352</v>
      </c>
      <c r="D404" s="74">
        <f t="shared" si="81"/>
        <v>610.31880000000001</v>
      </c>
      <c r="E404" s="42">
        <v>0</v>
      </c>
      <c r="F404" s="42">
        <f t="shared" si="79"/>
        <v>610.31880000000001</v>
      </c>
      <c r="G404" s="42">
        <v>0</v>
      </c>
      <c r="H404" s="42">
        <f t="shared" si="80"/>
        <v>915.47820000000002</v>
      </c>
      <c r="I404" s="36"/>
      <c r="L404" s="94"/>
      <c r="M404" s="94"/>
      <c r="N404" s="36"/>
      <c r="T404" s="21"/>
    </row>
    <row r="405" spans="1:20" s="37" customFormat="1" ht="15.75" hidden="1" customHeight="1" x14ac:dyDescent="0.35">
      <c r="A405" s="92">
        <f t="shared" si="78"/>
        <v>7</v>
      </c>
      <c r="B405" s="93"/>
      <c r="C405" s="42" t="s">
        <v>352</v>
      </c>
      <c r="D405" s="74">
        <f t="shared" si="81"/>
        <v>610.31880000000001</v>
      </c>
      <c r="E405" s="42">
        <v>0</v>
      </c>
      <c r="F405" s="42">
        <f t="shared" si="79"/>
        <v>610.31880000000001</v>
      </c>
      <c r="G405" s="42">
        <v>0</v>
      </c>
      <c r="H405" s="42">
        <f t="shared" si="80"/>
        <v>915.47820000000002</v>
      </c>
      <c r="I405" s="36"/>
      <c r="L405" s="94"/>
      <c r="M405" s="94"/>
      <c r="N405" s="36"/>
      <c r="T405" s="21"/>
    </row>
    <row r="406" spans="1:20" s="37" customFormat="1" ht="15.75" hidden="1" customHeight="1" x14ac:dyDescent="0.35">
      <c r="A406" s="92">
        <f t="shared" si="78"/>
        <v>8</v>
      </c>
      <c r="B406" s="93"/>
      <c r="C406" s="42" t="s">
        <v>352</v>
      </c>
      <c r="D406" s="74">
        <f t="shared" si="81"/>
        <v>610.31880000000001</v>
      </c>
      <c r="E406" s="42">
        <v>0</v>
      </c>
      <c r="F406" s="42">
        <f t="shared" si="79"/>
        <v>610.31880000000001</v>
      </c>
      <c r="G406" s="42">
        <v>0</v>
      </c>
      <c r="H406" s="42">
        <f t="shared" si="80"/>
        <v>915.47820000000002</v>
      </c>
      <c r="I406" s="36"/>
      <c r="L406" s="94"/>
      <c r="M406" s="94"/>
      <c r="N406" s="36"/>
      <c r="T406" s="34"/>
    </row>
    <row r="407" spans="1:20" s="37" customFormat="1" ht="15.75" hidden="1" customHeight="1" x14ac:dyDescent="0.35">
      <c r="A407" s="92">
        <f t="shared" si="78"/>
        <v>9</v>
      </c>
      <c r="B407" s="93"/>
      <c r="C407" s="42" t="s">
        <v>352</v>
      </c>
      <c r="D407" s="74">
        <f t="shared" si="81"/>
        <v>610.31880000000001</v>
      </c>
      <c r="E407" s="42">
        <v>0</v>
      </c>
      <c r="F407" s="42">
        <f t="shared" si="79"/>
        <v>610.31880000000001</v>
      </c>
      <c r="G407" s="42">
        <v>0</v>
      </c>
      <c r="H407" s="42">
        <f t="shared" si="80"/>
        <v>915.47820000000002</v>
      </c>
      <c r="I407" s="36"/>
      <c r="L407" s="94"/>
      <c r="M407" s="94"/>
      <c r="N407" s="36"/>
      <c r="T407" s="21"/>
    </row>
    <row r="408" spans="1:20" s="37" customFormat="1" ht="15.75" hidden="1" customHeight="1" x14ac:dyDescent="0.35">
      <c r="A408" s="92">
        <f t="shared" si="78"/>
        <v>10</v>
      </c>
      <c r="B408" s="93"/>
      <c r="C408" s="42" t="s">
        <v>352</v>
      </c>
      <c r="D408" s="74">
        <f>(37.1)*(10.764)</f>
        <v>399.34440000000001</v>
      </c>
      <c r="E408" s="42">
        <v>0</v>
      </c>
      <c r="F408" s="42">
        <f t="shared" si="79"/>
        <v>399.34440000000001</v>
      </c>
      <c r="G408" s="42">
        <v>0</v>
      </c>
      <c r="H408" s="42">
        <f t="shared" si="80"/>
        <v>599.01660000000004</v>
      </c>
      <c r="I408" s="36"/>
      <c r="L408" s="94"/>
      <c r="M408" s="94"/>
      <c r="N408" s="36"/>
      <c r="T408" s="21"/>
    </row>
    <row r="409" spans="1:20" s="37" customFormat="1" hidden="1" x14ac:dyDescent="0.35">
      <c r="A409" s="172" t="s">
        <v>359</v>
      </c>
      <c r="B409" s="173"/>
      <c r="C409" s="173"/>
      <c r="D409" s="173"/>
      <c r="E409" s="173"/>
      <c r="F409" s="173"/>
      <c r="G409" s="173"/>
      <c r="H409" s="174"/>
      <c r="J409" s="36"/>
      <c r="T409" s="35"/>
    </row>
    <row r="410" spans="1:20" s="37" customFormat="1" ht="15.75" hidden="1" customHeight="1" x14ac:dyDescent="0.35">
      <c r="A410" s="92">
        <v>1</v>
      </c>
      <c r="B410" s="93"/>
      <c r="C410" s="42" t="s">
        <v>352</v>
      </c>
      <c r="D410" s="74">
        <f>(37.1)*(10.764)</f>
        <v>399.34440000000001</v>
      </c>
      <c r="E410" s="42">
        <v>0</v>
      </c>
      <c r="F410" s="42">
        <f>D410+(IF(E410&lt;201,E410,IF(E410&lt;301,E410/2,E410/3)))</f>
        <v>399.34440000000001</v>
      </c>
      <c r="G410" s="42">
        <v>0</v>
      </c>
      <c r="H410" s="42">
        <f>(F410+(IF(G410&lt;101,G410,IF(G410&lt;201,G410/2,IF(G410&lt;=301,G410/3,G410/4)))))*(($H$344)+1)</f>
        <v>599.01660000000004</v>
      </c>
      <c r="I410" s="36"/>
      <c r="L410" s="94"/>
      <c r="M410" s="94"/>
      <c r="N410" s="36"/>
      <c r="T410" s="35"/>
    </row>
    <row r="411" spans="1:20" s="37" customFormat="1" ht="15.75" hidden="1" customHeight="1" x14ac:dyDescent="0.35">
      <c r="A411" s="92">
        <f t="shared" ref="A411:A429" si="82">A410+1</f>
        <v>2</v>
      </c>
      <c r="B411" s="93"/>
      <c r="C411" s="42" t="s">
        <v>352</v>
      </c>
      <c r="D411" s="74">
        <f t="shared" ref="D411:D416" si="83">(56.7)*(10.764)</f>
        <v>610.31880000000001</v>
      </c>
      <c r="E411" s="42">
        <v>0</v>
      </c>
      <c r="F411" s="42">
        <f t="shared" ref="F411:F419" si="84">D411+(IF(E411&lt;201,E411,IF(E411&lt;301,E411/2,E411/3)))</f>
        <v>610.31880000000001</v>
      </c>
      <c r="G411" s="42">
        <v>0</v>
      </c>
      <c r="H411" s="42">
        <f t="shared" ref="H411:H419" si="85">(F411+(IF(G411&lt;101,G411,IF(G411&lt;201,G411/2,IF(G411&lt;=301,G411/3,G411/4)))))*(($H$344)+1)</f>
        <v>915.47820000000002</v>
      </c>
      <c r="I411" s="36"/>
      <c r="L411" s="94"/>
      <c r="M411" s="94"/>
      <c r="N411" s="36"/>
      <c r="T411" s="34"/>
    </row>
    <row r="412" spans="1:20" s="37" customFormat="1" ht="15.75" hidden="1" customHeight="1" x14ac:dyDescent="0.35">
      <c r="A412" s="92">
        <f t="shared" si="82"/>
        <v>3</v>
      </c>
      <c r="B412" s="93"/>
      <c r="C412" s="42" t="s">
        <v>352</v>
      </c>
      <c r="D412" s="74">
        <f t="shared" si="83"/>
        <v>610.31880000000001</v>
      </c>
      <c r="E412" s="42">
        <v>0</v>
      </c>
      <c r="F412" s="42">
        <f t="shared" si="84"/>
        <v>610.31880000000001</v>
      </c>
      <c r="G412" s="42">
        <v>0</v>
      </c>
      <c r="H412" s="42">
        <f t="shared" si="85"/>
        <v>915.47820000000002</v>
      </c>
      <c r="I412" s="36"/>
      <c r="L412" s="94"/>
      <c r="M412" s="94"/>
      <c r="N412" s="36"/>
      <c r="T412" s="21"/>
    </row>
    <row r="413" spans="1:20" s="37" customFormat="1" ht="15.75" hidden="1" customHeight="1" x14ac:dyDescent="0.35">
      <c r="A413" s="92">
        <f t="shared" si="82"/>
        <v>4</v>
      </c>
      <c r="B413" s="93"/>
      <c r="C413" s="42" t="s">
        <v>352</v>
      </c>
      <c r="D413" s="74">
        <f t="shared" si="83"/>
        <v>610.31880000000001</v>
      </c>
      <c r="E413" s="42">
        <v>0</v>
      </c>
      <c r="F413" s="42">
        <f t="shared" si="84"/>
        <v>610.31880000000001</v>
      </c>
      <c r="G413" s="42">
        <v>0</v>
      </c>
      <c r="H413" s="42">
        <f t="shared" si="85"/>
        <v>915.47820000000002</v>
      </c>
      <c r="I413" s="36"/>
      <c r="L413" s="94"/>
      <c r="M413" s="94"/>
      <c r="N413" s="36"/>
      <c r="T413" s="21"/>
    </row>
    <row r="414" spans="1:20" s="37" customFormat="1" ht="15.75" hidden="1" customHeight="1" x14ac:dyDescent="0.35">
      <c r="A414" s="92">
        <f t="shared" si="82"/>
        <v>5</v>
      </c>
      <c r="B414" s="93"/>
      <c r="C414" s="42" t="s">
        <v>352</v>
      </c>
      <c r="D414" s="74">
        <f t="shared" si="83"/>
        <v>610.31880000000001</v>
      </c>
      <c r="E414" s="42">
        <v>0</v>
      </c>
      <c r="F414" s="42">
        <f t="shared" si="84"/>
        <v>610.31880000000001</v>
      </c>
      <c r="G414" s="42">
        <v>0</v>
      </c>
      <c r="H414" s="42">
        <f t="shared" si="85"/>
        <v>915.47820000000002</v>
      </c>
      <c r="I414" s="36"/>
      <c r="L414" s="94"/>
      <c r="M414" s="94"/>
      <c r="N414" s="36"/>
      <c r="T414" s="34"/>
    </row>
    <row r="415" spans="1:20" s="37" customFormat="1" ht="15.75" hidden="1" customHeight="1" x14ac:dyDescent="0.35">
      <c r="A415" s="92">
        <f t="shared" si="82"/>
        <v>6</v>
      </c>
      <c r="B415" s="93"/>
      <c r="C415" s="42" t="s">
        <v>352</v>
      </c>
      <c r="D415" s="74">
        <f t="shared" si="83"/>
        <v>610.31880000000001</v>
      </c>
      <c r="E415" s="42">
        <v>0</v>
      </c>
      <c r="F415" s="42">
        <f t="shared" si="84"/>
        <v>610.31880000000001</v>
      </c>
      <c r="G415" s="42">
        <v>0</v>
      </c>
      <c r="H415" s="42">
        <f t="shared" si="85"/>
        <v>915.47820000000002</v>
      </c>
      <c r="I415" s="36"/>
      <c r="L415" s="94"/>
      <c r="M415" s="94"/>
      <c r="N415" s="36"/>
      <c r="T415" s="21"/>
    </row>
    <row r="416" spans="1:20" s="37" customFormat="1" ht="15.75" hidden="1" customHeight="1" x14ac:dyDescent="0.35">
      <c r="A416" s="92">
        <f t="shared" si="82"/>
        <v>7</v>
      </c>
      <c r="B416" s="93"/>
      <c r="C416" s="42" t="s">
        <v>352</v>
      </c>
      <c r="D416" s="74">
        <f t="shared" si="83"/>
        <v>610.31880000000001</v>
      </c>
      <c r="E416" s="42">
        <v>0</v>
      </c>
      <c r="F416" s="42">
        <f t="shared" si="84"/>
        <v>610.31880000000001</v>
      </c>
      <c r="G416" s="42">
        <v>0</v>
      </c>
      <c r="H416" s="42">
        <f t="shared" si="85"/>
        <v>915.47820000000002</v>
      </c>
      <c r="I416" s="36"/>
      <c r="L416" s="94"/>
      <c r="M416" s="94"/>
      <c r="N416" s="36"/>
      <c r="T416" s="21"/>
    </row>
    <row r="417" spans="1:20" s="37" customFormat="1" ht="15.75" hidden="1" customHeight="1" x14ac:dyDescent="0.35">
      <c r="A417" s="92">
        <f t="shared" si="82"/>
        <v>8</v>
      </c>
      <c r="B417" s="93"/>
      <c r="C417" s="42" t="s">
        <v>352</v>
      </c>
      <c r="D417" s="74">
        <f>(45.9)*(10.764)</f>
        <v>494.06759999999997</v>
      </c>
      <c r="E417" s="42">
        <v>0</v>
      </c>
      <c r="F417" s="42">
        <f t="shared" si="84"/>
        <v>494.06759999999997</v>
      </c>
      <c r="G417" s="42">
        <v>0</v>
      </c>
      <c r="H417" s="42">
        <f t="shared" si="85"/>
        <v>741.10140000000001</v>
      </c>
      <c r="I417" s="36"/>
      <c r="L417" s="94"/>
      <c r="M417" s="94"/>
      <c r="N417" s="36"/>
      <c r="T417" s="34"/>
    </row>
    <row r="418" spans="1:20" s="37" customFormat="1" ht="15.75" hidden="1" customHeight="1" x14ac:dyDescent="0.35">
      <c r="A418" s="92">
        <f t="shared" si="82"/>
        <v>9</v>
      </c>
      <c r="B418" s="93"/>
      <c r="C418" s="42" t="s">
        <v>352</v>
      </c>
      <c r="D418" s="74">
        <f>(45.9)*(10.764)</f>
        <v>494.06759999999997</v>
      </c>
      <c r="E418" s="42">
        <v>0</v>
      </c>
      <c r="F418" s="42">
        <f t="shared" si="84"/>
        <v>494.06759999999997</v>
      </c>
      <c r="G418" s="42">
        <v>0</v>
      </c>
      <c r="H418" s="42">
        <f t="shared" si="85"/>
        <v>741.10140000000001</v>
      </c>
      <c r="I418" s="36"/>
      <c r="L418" s="94"/>
      <c r="M418" s="94"/>
      <c r="N418" s="36"/>
      <c r="T418" s="21"/>
    </row>
    <row r="419" spans="1:20" s="37" customFormat="1" ht="15.75" hidden="1" customHeight="1" x14ac:dyDescent="0.35">
      <c r="A419" s="92">
        <f t="shared" si="82"/>
        <v>10</v>
      </c>
      <c r="B419" s="93"/>
      <c r="C419" s="42" t="s">
        <v>352</v>
      </c>
      <c r="D419" s="74">
        <f>(37.1)*(10.764)</f>
        <v>399.34440000000001</v>
      </c>
      <c r="E419" s="42">
        <v>0</v>
      </c>
      <c r="F419" s="42">
        <f t="shared" si="84"/>
        <v>399.34440000000001</v>
      </c>
      <c r="G419" s="42">
        <v>0</v>
      </c>
      <c r="H419" s="42">
        <f t="shared" si="85"/>
        <v>599.01660000000004</v>
      </c>
      <c r="I419" s="36"/>
      <c r="L419" s="94"/>
      <c r="M419" s="94"/>
      <c r="N419" s="36"/>
      <c r="T419" s="21"/>
    </row>
    <row r="420" spans="1:20" s="37" customFormat="1" ht="15.75" hidden="1" customHeight="1" x14ac:dyDescent="0.35">
      <c r="A420" s="92">
        <f t="shared" si="82"/>
        <v>11</v>
      </c>
      <c r="B420" s="93"/>
      <c r="C420" s="42" t="s">
        <v>352</v>
      </c>
      <c r="D420" s="74">
        <f>(48.38)*(10.764)</f>
        <v>520.76232000000005</v>
      </c>
      <c r="E420" s="42">
        <v>0</v>
      </c>
      <c r="F420" s="42">
        <f t="shared" ref="F420:F428" si="86">D420+(IF(E420&lt;201,E420,IF(E420&lt;301,E420/2,E420/3)))</f>
        <v>520.76232000000005</v>
      </c>
      <c r="G420" s="42">
        <v>0</v>
      </c>
      <c r="H420" s="42">
        <f t="shared" ref="H420:H428" si="87">(F420+(IF(G420&lt;101,G420,IF(G420&lt;201,G420/2,IF(G420&lt;=301,G420/3,G420/4)))))*(($H$344)+1)</f>
        <v>781.14348000000007</v>
      </c>
      <c r="I420" s="36"/>
      <c r="L420" s="94"/>
      <c r="M420" s="94"/>
      <c r="N420" s="36"/>
      <c r="T420" s="34"/>
    </row>
    <row r="421" spans="1:20" s="37" customFormat="1" ht="15.75" hidden="1" customHeight="1" x14ac:dyDescent="0.35">
      <c r="A421" s="92">
        <f t="shared" si="82"/>
        <v>12</v>
      </c>
      <c r="B421" s="93"/>
      <c r="C421" s="42" t="s">
        <v>352</v>
      </c>
      <c r="D421" s="74">
        <f t="shared" ref="D421:D428" si="88">(38.88)*(10.764)</f>
        <v>418.50432000000001</v>
      </c>
      <c r="E421" s="42">
        <v>0</v>
      </c>
      <c r="F421" s="42">
        <f t="shared" si="86"/>
        <v>418.50432000000001</v>
      </c>
      <c r="G421" s="42">
        <v>0</v>
      </c>
      <c r="H421" s="42">
        <f t="shared" si="87"/>
        <v>627.75648000000001</v>
      </c>
      <c r="I421" s="36"/>
      <c r="L421" s="94"/>
      <c r="M421" s="94"/>
      <c r="N421" s="36"/>
      <c r="T421" s="21"/>
    </row>
    <row r="422" spans="1:20" s="37" customFormat="1" ht="15.75" hidden="1" customHeight="1" x14ac:dyDescent="0.35">
      <c r="A422" s="92">
        <f t="shared" si="82"/>
        <v>13</v>
      </c>
      <c r="B422" s="93"/>
      <c r="C422" s="42" t="s">
        <v>352</v>
      </c>
      <c r="D422" s="74">
        <f t="shared" si="88"/>
        <v>418.50432000000001</v>
      </c>
      <c r="E422" s="42">
        <v>0</v>
      </c>
      <c r="F422" s="42">
        <f t="shared" si="86"/>
        <v>418.50432000000001</v>
      </c>
      <c r="G422" s="42">
        <v>0</v>
      </c>
      <c r="H422" s="42">
        <f t="shared" si="87"/>
        <v>627.75648000000001</v>
      </c>
      <c r="I422" s="36">
        <f>5.4*7.2</f>
        <v>38.880000000000003</v>
      </c>
      <c r="L422" s="94"/>
      <c r="M422" s="94"/>
      <c r="N422" s="36"/>
      <c r="T422" s="21"/>
    </row>
    <row r="423" spans="1:20" s="37" customFormat="1" ht="15.75" hidden="1" customHeight="1" x14ac:dyDescent="0.35">
      <c r="A423" s="92">
        <f t="shared" si="82"/>
        <v>14</v>
      </c>
      <c r="B423" s="93"/>
      <c r="C423" s="42" t="s">
        <v>352</v>
      </c>
      <c r="D423" s="74">
        <f t="shared" si="88"/>
        <v>418.50432000000001</v>
      </c>
      <c r="E423" s="42">
        <v>0</v>
      </c>
      <c r="F423" s="42">
        <f t="shared" si="86"/>
        <v>418.50432000000001</v>
      </c>
      <c r="G423" s="42">
        <v>0</v>
      </c>
      <c r="H423" s="42">
        <f t="shared" si="87"/>
        <v>627.75648000000001</v>
      </c>
      <c r="I423" s="36"/>
      <c r="L423" s="94"/>
      <c r="M423" s="94"/>
      <c r="N423" s="36"/>
      <c r="T423" s="34"/>
    </row>
    <row r="424" spans="1:20" s="37" customFormat="1" ht="15.75" hidden="1" customHeight="1" x14ac:dyDescent="0.35">
      <c r="A424" s="92">
        <f t="shared" si="82"/>
        <v>15</v>
      </c>
      <c r="B424" s="93"/>
      <c r="C424" s="42" t="s">
        <v>352</v>
      </c>
      <c r="D424" s="74">
        <f t="shared" si="88"/>
        <v>418.50432000000001</v>
      </c>
      <c r="E424" s="42">
        <v>0</v>
      </c>
      <c r="F424" s="42">
        <f t="shared" si="86"/>
        <v>418.50432000000001</v>
      </c>
      <c r="G424" s="42">
        <v>0</v>
      </c>
      <c r="H424" s="42">
        <f t="shared" si="87"/>
        <v>627.75648000000001</v>
      </c>
      <c r="I424" s="36"/>
      <c r="L424" s="94"/>
      <c r="M424" s="94"/>
      <c r="N424" s="36"/>
      <c r="T424" s="21"/>
    </row>
    <row r="425" spans="1:20" s="37" customFormat="1" ht="15.75" hidden="1" customHeight="1" x14ac:dyDescent="0.35">
      <c r="A425" s="92">
        <f t="shared" si="82"/>
        <v>16</v>
      </c>
      <c r="B425" s="93"/>
      <c r="C425" s="42" t="s">
        <v>352</v>
      </c>
      <c r="D425" s="74">
        <f t="shared" si="88"/>
        <v>418.50432000000001</v>
      </c>
      <c r="E425" s="42">
        <v>0</v>
      </c>
      <c r="F425" s="42">
        <f t="shared" si="86"/>
        <v>418.50432000000001</v>
      </c>
      <c r="G425" s="42">
        <v>0</v>
      </c>
      <c r="H425" s="42">
        <f t="shared" si="87"/>
        <v>627.75648000000001</v>
      </c>
      <c r="I425" s="36"/>
      <c r="L425" s="94"/>
      <c r="M425" s="94"/>
      <c r="N425" s="36"/>
      <c r="T425" s="21"/>
    </row>
    <row r="426" spans="1:20" s="37" customFormat="1" ht="15.75" hidden="1" customHeight="1" x14ac:dyDescent="0.35">
      <c r="A426" s="92">
        <f t="shared" si="82"/>
        <v>17</v>
      </c>
      <c r="B426" s="93"/>
      <c r="C426" s="42" t="s">
        <v>352</v>
      </c>
      <c r="D426" s="74">
        <f t="shared" si="88"/>
        <v>418.50432000000001</v>
      </c>
      <c r="E426" s="42">
        <v>0</v>
      </c>
      <c r="F426" s="42">
        <f t="shared" si="86"/>
        <v>418.50432000000001</v>
      </c>
      <c r="G426" s="42">
        <v>0</v>
      </c>
      <c r="H426" s="42">
        <f t="shared" si="87"/>
        <v>627.75648000000001</v>
      </c>
      <c r="I426" s="36"/>
      <c r="L426" s="94"/>
      <c r="M426" s="94"/>
      <c r="N426" s="36"/>
      <c r="T426" s="34"/>
    </row>
    <row r="427" spans="1:20" s="37" customFormat="1" ht="15.75" hidden="1" customHeight="1" x14ac:dyDescent="0.35">
      <c r="A427" s="92">
        <f t="shared" si="82"/>
        <v>18</v>
      </c>
      <c r="B427" s="93"/>
      <c r="C427" s="42" t="s">
        <v>352</v>
      </c>
      <c r="D427" s="74">
        <f t="shared" si="88"/>
        <v>418.50432000000001</v>
      </c>
      <c r="E427" s="42">
        <v>0</v>
      </c>
      <c r="F427" s="42">
        <f t="shared" si="86"/>
        <v>418.50432000000001</v>
      </c>
      <c r="G427" s="42">
        <v>0</v>
      </c>
      <c r="H427" s="42">
        <f t="shared" si="87"/>
        <v>627.75648000000001</v>
      </c>
      <c r="I427" s="36"/>
      <c r="L427" s="94"/>
      <c r="M427" s="94"/>
      <c r="N427" s="36"/>
      <c r="T427" s="21"/>
    </row>
    <row r="428" spans="1:20" s="37" customFormat="1" ht="15.75" hidden="1" customHeight="1" x14ac:dyDescent="0.35">
      <c r="A428" s="92">
        <f t="shared" si="82"/>
        <v>19</v>
      </c>
      <c r="B428" s="93"/>
      <c r="C428" s="42" t="s">
        <v>352</v>
      </c>
      <c r="D428" s="74">
        <f t="shared" si="88"/>
        <v>418.50432000000001</v>
      </c>
      <c r="E428" s="42">
        <v>0</v>
      </c>
      <c r="F428" s="42">
        <f t="shared" si="86"/>
        <v>418.50432000000001</v>
      </c>
      <c r="G428" s="42">
        <v>0</v>
      </c>
      <c r="H428" s="42">
        <f t="shared" si="87"/>
        <v>627.75648000000001</v>
      </c>
      <c r="I428" s="36"/>
      <c r="L428" s="94"/>
      <c r="M428" s="94"/>
      <c r="N428" s="36"/>
      <c r="T428" s="21"/>
    </row>
    <row r="429" spans="1:20" s="37" customFormat="1" ht="15.75" hidden="1" customHeight="1" x14ac:dyDescent="0.35">
      <c r="A429" s="92">
        <f t="shared" si="82"/>
        <v>20</v>
      </c>
      <c r="B429" s="93"/>
      <c r="C429" s="42" t="s">
        <v>352</v>
      </c>
      <c r="D429" s="74">
        <f>(37.8)*(10.764)</f>
        <v>406.87919999999997</v>
      </c>
      <c r="E429" s="42">
        <v>0</v>
      </c>
      <c r="F429" s="42">
        <f t="shared" ref="F429" si="89">D429+(IF(E429&lt;201,E429,IF(E429&lt;301,E429/2,E429/3)))</f>
        <v>406.87919999999997</v>
      </c>
      <c r="G429" s="42">
        <v>0</v>
      </c>
      <c r="H429" s="42">
        <f t="shared" ref="H429" si="90">(F429+(IF(G429&lt;101,G429,IF(G429&lt;201,G429/2,IF(G429&lt;=301,G429/3,G429/4)))))*(($H$344)+1)</f>
        <v>610.31880000000001</v>
      </c>
      <c r="I429" s="36">
        <f>5.25*7.2</f>
        <v>37.800000000000004</v>
      </c>
      <c r="L429" s="94"/>
      <c r="M429" s="94"/>
      <c r="N429" s="36"/>
      <c r="T429" s="21"/>
    </row>
    <row r="430" spans="1:20" s="37" customFormat="1" hidden="1" x14ac:dyDescent="0.35">
      <c r="A430" s="172" t="s">
        <v>358</v>
      </c>
      <c r="B430" s="173"/>
      <c r="C430" s="173"/>
      <c r="D430" s="173"/>
      <c r="E430" s="173"/>
      <c r="F430" s="173"/>
      <c r="G430" s="173"/>
      <c r="H430" s="174"/>
      <c r="J430" s="36"/>
      <c r="T430" s="35"/>
    </row>
    <row r="431" spans="1:20" s="37" customFormat="1" ht="15.75" hidden="1" customHeight="1" x14ac:dyDescent="0.35">
      <c r="A431" s="92">
        <v>1</v>
      </c>
      <c r="B431" s="93"/>
      <c r="C431" s="42" t="s">
        <v>352</v>
      </c>
      <c r="D431" s="74">
        <f>(37.1)*(10.764)</f>
        <v>399.34440000000001</v>
      </c>
      <c r="E431" s="42">
        <v>0</v>
      </c>
      <c r="F431" s="42">
        <f>D431+(IF(E431&lt;201,E431,IF(E431&lt;301,E431/2,E431/3)))</f>
        <v>399.34440000000001</v>
      </c>
      <c r="G431" s="42">
        <v>0</v>
      </c>
      <c r="H431" s="42">
        <f>(F431+(IF(G431&lt;101,G431,IF(G431&lt;201,G431/2,IF(G431&lt;=301,G431/3,G431/4)))))*(($H$344)+1)</f>
        <v>599.01660000000004</v>
      </c>
      <c r="I431" s="36"/>
      <c r="L431" s="94"/>
      <c r="M431" s="94"/>
      <c r="N431" s="36"/>
      <c r="T431" s="35"/>
    </row>
    <row r="432" spans="1:20" s="37" customFormat="1" ht="15.75" hidden="1" customHeight="1" x14ac:dyDescent="0.35">
      <c r="A432" s="92">
        <f t="shared" ref="A432:A450" si="91">A431+1</f>
        <v>2</v>
      </c>
      <c r="B432" s="93"/>
      <c r="C432" s="42" t="s">
        <v>352</v>
      </c>
      <c r="D432" s="74">
        <f t="shared" ref="D432:D437" si="92">(56.7)*(10.764)</f>
        <v>610.31880000000001</v>
      </c>
      <c r="E432" s="42">
        <v>0</v>
      </c>
      <c r="F432" s="42">
        <f t="shared" ref="F432:F450" si="93">D432+(IF(E432&lt;201,E432,IF(E432&lt;301,E432/2,E432/3)))</f>
        <v>610.31880000000001</v>
      </c>
      <c r="G432" s="42">
        <v>0</v>
      </c>
      <c r="H432" s="42">
        <f t="shared" ref="H432:H450" si="94">(F432+(IF(G432&lt;101,G432,IF(G432&lt;201,G432/2,IF(G432&lt;=301,G432/3,G432/4)))))*(($H$344)+1)</f>
        <v>915.47820000000002</v>
      </c>
      <c r="I432" s="36"/>
      <c r="L432" s="94"/>
      <c r="M432" s="94"/>
      <c r="N432" s="36"/>
      <c r="T432" s="34"/>
    </row>
    <row r="433" spans="1:20" s="37" customFormat="1" ht="15.75" hidden="1" customHeight="1" x14ac:dyDescent="0.35">
      <c r="A433" s="92">
        <f t="shared" si="91"/>
        <v>3</v>
      </c>
      <c r="B433" s="93"/>
      <c r="C433" s="42" t="s">
        <v>352</v>
      </c>
      <c r="D433" s="74">
        <f t="shared" si="92"/>
        <v>610.31880000000001</v>
      </c>
      <c r="E433" s="42">
        <v>0</v>
      </c>
      <c r="F433" s="42">
        <f t="shared" si="93"/>
        <v>610.31880000000001</v>
      </c>
      <c r="G433" s="42">
        <v>0</v>
      </c>
      <c r="H433" s="42">
        <f t="shared" si="94"/>
        <v>915.47820000000002</v>
      </c>
      <c r="I433" s="36"/>
      <c r="L433" s="94"/>
      <c r="M433" s="94"/>
      <c r="N433" s="36"/>
      <c r="T433" s="21"/>
    </row>
    <row r="434" spans="1:20" s="37" customFormat="1" ht="15.75" hidden="1" customHeight="1" x14ac:dyDescent="0.35">
      <c r="A434" s="92">
        <f t="shared" si="91"/>
        <v>4</v>
      </c>
      <c r="B434" s="93"/>
      <c r="C434" s="42" t="s">
        <v>352</v>
      </c>
      <c r="D434" s="74">
        <f t="shared" si="92"/>
        <v>610.31880000000001</v>
      </c>
      <c r="E434" s="42">
        <v>0</v>
      </c>
      <c r="F434" s="42">
        <f t="shared" si="93"/>
        <v>610.31880000000001</v>
      </c>
      <c r="G434" s="42">
        <v>0</v>
      </c>
      <c r="H434" s="42">
        <f t="shared" si="94"/>
        <v>915.47820000000002</v>
      </c>
      <c r="I434" s="36"/>
      <c r="L434" s="94"/>
      <c r="M434" s="94"/>
      <c r="N434" s="36"/>
      <c r="T434" s="21"/>
    </row>
    <row r="435" spans="1:20" s="37" customFormat="1" ht="15.75" hidden="1" customHeight="1" x14ac:dyDescent="0.35">
      <c r="A435" s="92">
        <f t="shared" si="91"/>
        <v>5</v>
      </c>
      <c r="B435" s="93"/>
      <c r="C435" s="42" t="s">
        <v>352</v>
      </c>
      <c r="D435" s="74">
        <f t="shared" si="92"/>
        <v>610.31880000000001</v>
      </c>
      <c r="E435" s="42">
        <v>0</v>
      </c>
      <c r="F435" s="42">
        <f t="shared" si="93"/>
        <v>610.31880000000001</v>
      </c>
      <c r="G435" s="42">
        <v>0</v>
      </c>
      <c r="H435" s="42">
        <f t="shared" si="94"/>
        <v>915.47820000000002</v>
      </c>
      <c r="I435" s="36"/>
      <c r="L435" s="94"/>
      <c r="M435" s="94"/>
      <c r="N435" s="36"/>
      <c r="T435" s="34"/>
    </row>
    <row r="436" spans="1:20" s="37" customFormat="1" ht="15.75" hidden="1" customHeight="1" x14ac:dyDescent="0.35">
      <c r="A436" s="92">
        <f t="shared" si="91"/>
        <v>6</v>
      </c>
      <c r="B436" s="93"/>
      <c r="C436" s="42" t="s">
        <v>352</v>
      </c>
      <c r="D436" s="74">
        <f t="shared" si="92"/>
        <v>610.31880000000001</v>
      </c>
      <c r="E436" s="42">
        <v>0</v>
      </c>
      <c r="F436" s="42">
        <f t="shared" si="93"/>
        <v>610.31880000000001</v>
      </c>
      <c r="G436" s="42">
        <v>0</v>
      </c>
      <c r="H436" s="42">
        <f t="shared" si="94"/>
        <v>915.47820000000002</v>
      </c>
      <c r="I436" s="36"/>
      <c r="L436" s="94"/>
      <c r="M436" s="94"/>
      <c r="N436" s="36"/>
      <c r="T436" s="21"/>
    </row>
    <row r="437" spans="1:20" s="37" customFormat="1" ht="15.75" hidden="1" customHeight="1" x14ac:dyDescent="0.35">
      <c r="A437" s="92">
        <f t="shared" si="91"/>
        <v>7</v>
      </c>
      <c r="B437" s="93"/>
      <c r="C437" s="42" t="s">
        <v>352</v>
      </c>
      <c r="D437" s="74">
        <f t="shared" si="92"/>
        <v>610.31880000000001</v>
      </c>
      <c r="E437" s="42">
        <v>0</v>
      </c>
      <c r="F437" s="42">
        <f t="shared" si="93"/>
        <v>610.31880000000001</v>
      </c>
      <c r="G437" s="42">
        <v>0</v>
      </c>
      <c r="H437" s="42">
        <f t="shared" si="94"/>
        <v>915.47820000000002</v>
      </c>
      <c r="I437" s="36"/>
      <c r="L437" s="94"/>
      <c r="M437" s="94"/>
      <c r="N437" s="36"/>
      <c r="T437" s="21"/>
    </row>
    <row r="438" spans="1:20" s="37" customFormat="1" ht="15.75" hidden="1" customHeight="1" x14ac:dyDescent="0.35">
      <c r="A438" s="92">
        <f t="shared" si="91"/>
        <v>8</v>
      </c>
      <c r="B438" s="93"/>
      <c r="C438" s="42" t="s">
        <v>352</v>
      </c>
      <c r="D438" s="74">
        <f>(45.9)*(10.764)</f>
        <v>494.06759999999997</v>
      </c>
      <c r="E438" s="42">
        <v>0</v>
      </c>
      <c r="F438" s="42">
        <f t="shared" si="93"/>
        <v>494.06759999999997</v>
      </c>
      <c r="G438" s="42">
        <v>0</v>
      </c>
      <c r="H438" s="42">
        <f t="shared" si="94"/>
        <v>741.10140000000001</v>
      </c>
      <c r="I438" s="36"/>
      <c r="L438" s="94"/>
      <c r="M438" s="94"/>
      <c r="N438" s="36"/>
      <c r="T438" s="34"/>
    </row>
    <row r="439" spans="1:20" s="37" customFormat="1" ht="15.75" hidden="1" customHeight="1" x14ac:dyDescent="0.35">
      <c r="A439" s="92">
        <f t="shared" si="91"/>
        <v>9</v>
      </c>
      <c r="B439" s="93"/>
      <c r="C439" s="42" t="s">
        <v>352</v>
      </c>
      <c r="D439" s="74">
        <f>(45.9)*(10.764)</f>
        <v>494.06759999999997</v>
      </c>
      <c r="E439" s="42">
        <v>0</v>
      </c>
      <c r="F439" s="42">
        <f t="shared" si="93"/>
        <v>494.06759999999997</v>
      </c>
      <c r="G439" s="42">
        <v>0</v>
      </c>
      <c r="H439" s="42">
        <f t="shared" si="94"/>
        <v>741.10140000000001</v>
      </c>
      <c r="I439" s="36"/>
      <c r="L439" s="94"/>
      <c r="M439" s="94"/>
      <c r="N439" s="36"/>
      <c r="T439" s="21"/>
    </row>
    <row r="440" spans="1:20" s="37" customFormat="1" ht="15.75" hidden="1" customHeight="1" x14ac:dyDescent="0.35">
      <c r="A440" s="92">
        <f t="shared" si="91"/>
        <v>10</v>
      </c>
      <c r="B440" s="93"/>
      <c r="C440" s="42" t="s">
        <v>352</v>
      </c>
      <c r="D440" s="74">
        <f>(37.1)*(10.764)</f>
        <v>399.34440000000001</v>
      </c>
      <c r="E440" s="42">
        <v>0</v>
      </c>
      <c r="F440" s="42">
        <f t="shared" si="93"/>
        <v>399.34440000000001</v>
      </c>
      <c r="G440" s="42">
        <v>0</v>
      </c>
      <c r="H440" s="42">
        <f t="shared" si="94"/>
        <v>599.01660000000004</v>
      </c>
      <c r="I440" s="36"/>
      <c r="L440" s="94"/>
      <c r="M440" s="94"/>
      <c r="N440" s="36"/>
      <c r="T440" s="21"/>
    </row>
    <row r="441" spans="1:20" s="37" customFormat="1" ht="15.75" hidden="1" customHeight="1" x14ac:dyDescent="0.35">
      <c r="A441" s="92">
        <f t="shared" si="91"/>
        <v>11</v>
      </c>
      <c r="B441" s="93"/>
      <c r="C441" s="42" t="s">
        <v>352</v>
      </c>
      <c r="D441" s="74">
        <f>(48.38)*(10.764)</f>
        <v>520.76232000000005</v>
      </c>
      <c r="E441" s="42">
        <v>0</v>
      </c>
      <c r="F441" s="42">
        <f t="shared" si="93"/>
        <v>520.76232000000005</v>
      </c>
      <c r="G441" s="42">
        <v>0</v>
      </c>
      <c r="H441" s="42">
        <f t="shared" si="94"/>
        <v>781.14348000000007</v>
      </c>
      <c r="I441" s="36"/>
      <c r="L441" s="94"/>
      <c r="M441" s="94"/>
      <c r="N441" s="36"/>
      <c r="T441" s="34"/>
    </row>
    <row r="442" spans="1:20" s="37" customFormat="1" ht="15.75" hidden="1" customHeight="1" x14ac:dyDescent="0.35">
      <c r="A442" s="92">
        <f t="shared" si="91"/>
        <v>12</v>
      </c>
      <c r="B442" s="93"/>
      <c r="C442" s="42" t="s">
        <v>352</v>
      </c>
      <c r="D442" s="74">
        <f t="shared" ref="D442:D449" si="95">(38.88)*(10.764)</f>
        <v>418.50432000000001</v>
      </c>
      <c r="E442" s="42">
        <v>0</v>
      </c>
      <c r="F442" s="42">
        <f t="shared" si="93"/>
        <v>418.50432000000001</v>
      </c>
      <c r="G442" s="42">
        <v>0</v>
      </c>
      <c r="H442" s="42">
        <f t="shared" si="94"/>
        <v>627.75648000000001</v>
      </c>
      <c r="I442" s="36"/>
      <c r="L442" s="94"/>
      <c r="M442" s="94"/>
      <c r="N442" s="36"/>
      <c r="T442" s="21"/>
    </row>
    <row r="443" spans="1:20" s="37" customFormat="1" ht="15.75" hidden="1" customHeight="1" x14ac:dyDescent="0.35">
      <c r="A443" s="92">
        <f t="shared" si="91"/>
        <v>13</v>
      </c>
      <c r="B443" s="93"/>
      <c r="C443" s="42" t="s">
        <v>352</v>
      </c>
      <c r="D443" s="74">
        <f t="shared" si="95"/>
        <v>418.50432000000001</v>
      </c>
      <c r="E443" s="42">
        <v>0</v>
      </c>
      <c r="F443" s="42">
        <f t="shared" si="93"/>
        <v>418.50432000000001</v>
      </c>
      <c r="G443" s="42">
        <v>0</v>
      </c>
      <c r="H443" s="42">
        <f t="shared" si="94"/>
        <v>627.75648000000001</v>
      </c>
      <c r="I443" s="36"/>
      <c r="L443" s="94"/>
      <c r="M443" s="94"/>
      <c r="N443" s="36"/>
      <c r="T443" s="21"/>
    </row>
    <row r="444" spans="1:20" s="37" customFormat="1" ht="15.75" hidden="1" customHeight="1" x14ac:dyDescent="0.35">
      <c r="A444" s="92">
        <f t="shared" si="91"/>
        <v>14</v>
      </c>
      <c r="B444" s="93"/>
      <c r="C444" s="42" t="s">
        <v>352</v>
      </c>
      <c r="D444" s="74">
        <f t="shared" si="95"/>
        <v>418.50432000000001</v>
      </c>
      <c r="E444" s="42">
        <v>0</v>
      </c>
      <c r="F444" s="42">
        <f t="shared" si="93"/>
        <v>418.50432000000001</v>
      </c>
      <c r="G444" s="42">
        <v>0</v>
      </c>
      <c r="H444" s="42">
        <f t="shared" si="94"/>
        <v>627.75648000000001</v>
      </c>
      <c r="I444" s="36"/>
      <c r="L444" s="94"/>
      <c r="M444" s="94"/>
      <c r="N444" s="36"/>
      <c r="T444" s="34"/>
    </row>
    <row r="445" spans="1:20" s="37" customFormat="1" ht="15.75" hidden="1" customHeight="1" x14ac:dyDescent="0.35">
      <c r="A445" s="92">
        <f t="shared" si="91"/>
        <v>15</v>
      </c>
      <c r="B445" s="93"/>
      <c r="C445" s="42" t="s">
        <v>352</v>
      </c>
      <c r="D445" s="74">
        <f t="shared" si="95"/>
        <v>418.50432000000001</v>
      </c>
      <c r="E445" s="42">
        <v>0</v>
      </c>
      <c r="F445" s="42">
        <f t="shared" si="93"/>
        <v>418.50432000000001</v>
      </c>
      <c r="G445" s="42">
        <v>0</v>
      </c>
      <c r="H445" s="42">
        <f t="shared" si="94"/>
        <v>627.75648000000001</v>
      </c>
      <c r="I445" s="36"/>
      <c r="L445" s="94"/>
      <c r="M445" s="94"/>
      <c r="N445" s="36"/>
      <c r="T445" s="21"/>
    </row>
    <row r="446" spans="1:20" s="37" customFormat="1" ht="15.75" hidden="1" customHeight="1" x14ac:dyDescent="0.35">
      <c r="A446" s="92">
        <f t="shared" si="91"/>
        <v>16</v>
      </c>
      <c r="B446" s="93"/>
      <c r="C446" s="42" t="s">
        <v>352</v>
      </c>
      <c r="D446" s="74">
        <f t="shared" si="95"/>
        <v>418.50432000000001</v>
      </c>
      <c r="E446" s="42">
        <v>0</v>
      </c>
      <c r="F446" s="42">
        <f t="shared" si="93"/>
        <v>418.50432000000001</v>
      </c>
      <c r="G446" s="42">
        <v>0</v>
      </c>
      <c r="H446" s="42">
        <f t="shared" si="94"/>
        <v>627.75648000000001</v>
      </c>
      <c r="I446" s="36"/>
      <c r="L446" s="94"/>
      <c r="M446" s="94"/>
      <c r="N446" s="36"/>
      <c r="T446" s="21"/>
    </row>
    <row r="447" spans="1:20" s="37" customFormat="1" ht="15.75" hidden="1" customHeight="1" x14ac:dyDescent="0.35">
      <c r="A447" s="92">
        <f t="shared" si="91"/>
        <v>17</v>
      </c>
      <c r="B447" s="93"/>
      <c r="C447" s="42" t="s">
        <v>352</v>
      </c>
      <c r="D447" s="74">
        <f t="shared" si="95"/>
        <v>418.50432000000001</v>
      </c>
      <c r="E447" s="42">
        <v>0</v>
      </c>
      <c r="F447" s="42">
        <f t="shared" si="93"/>
        <v>418.50432000000001</v>
      </c>
      <c r="G447" s="42">
        <v>0</v>
      </c>
      <c r="H447" s="42">
        <f t="shared" si="94"/>
        <v>627.75648000000001</v>
      </c>
      <c r="I447" s="36"/>
      <c r="L447" s="94"/>
      <c r="M447" s="94"/>
      <c r="N447" s="36"/>
      <c r="T447" s="34"/>
    </row>
    <row r="448" spans="1:20" s="37" customFormat="1" ht="15.75" hidden="1" customHeight="1" x14ac:dyDescent="0.35">
      <c r="A448" s="92">
        <f t="shared" si="91"/>
        <v>18</v>
      </c>
      <c r="B448" s="93"/>
      <c r="C448" s="42" t="s">
        <v>352</v>
      </c>
      <c r="D448" s="74">
        <f t="shared" si="95"/>
        <v>418.50432000000001</v>
      </c>
      <c r="E448" s="42">
        <v>0</v>
      </c>
      <c r="F448" s="42">
        <f t="shared" si="93"/>
        <v>418.50432000000001</v>
      </c>
      <c r="G448" s="42">
        <v>0</v>
      </c>
      <c r="H448" s="42">
        <f t="shared" si="94"/>
        <v>627.75648000000001</v>
      </c>
      <c r="I448" s="36"/>
      <c r="L448" s="94"/>
      <c r="M448" s="94"/>
      <c r="N448" s="36"/>
      <c r="T448" s="21"/>
    </row>
    <row r="449" spans="1:20" s="37" customFormat="1" ht="15.75" hidden="1" customHeight="1" x14ac:dyDescent="0.35">
      <c r="A449" s="92">
        <f t="shared" si="91"/>
        <v>19</v>
      </c>
      <c r="B449" s="93"/>
      <c r="C449" s="42" t="s">
        <v>352</v>
      </c>
      <c r="D449" s="74">
        <f t="shared" si="95"/>
        <v>418.50432000000001</v>
      </c>
      <c r="E449" s="42">
        <v>0</v>
      </c>
      <c r="F449" s="42">
        <f t="shared" si="93"/>
        <v>418.50432000000001</v>
      </c>
      <c r="G449" s="42">
        <v>0</v>
      </c>
      <c r="H449" s="42">
        <f t="shared" si="94"/>
        <v>627.75648000000001</v>
      </c>
      <c r="I449" s="36"/>
      <c r="L449" s="94"/>
      <c r="M449" s="94"/>
      <c r="N449" s="36"/>
      <c r="T449" s="21"/>
    </row>
    <row r="450" spans="1:20" s="37" customFormat="1" ht="15.75" hidden="1" customHeight="1" x14ac:dyDescent="0.35">
      <c r="A450" s="92">
        <f t="shared" si="91"/>
        <v>20</v>
      </c>
      <c r="B450" s="93"/>
      <c r="C450" s="42" t="s">
        <v>352</v>
      </c>
      <c r="D450" s="74">
        <f>(37.8)*(10.764)</f>
        <v>406.87919999999997</v>
      </c>
      <c r="E450" s="42">
        <v>0</v>
      </c>
      <c r="F450" s="42">
        <f t="shared" si="93"/>
        <v>406.87919999999997</v>
      </c>
      <c r="G450" s="42">
        <v>0</v>
      </c>
      <c r="H450" s="42">
        <f t="shared" si="94"/>
        <v>610.31880000000001</v>
      </c>
      <c r="I450" s="36"/>
      <c r="L450" s="94"/>
      <c r="M450" s="94"/>
      <c r="N450" s="36"/>
      <c r="T450" s="21"/>
    </row>
    <row r="451" spans="1:20" s="37" customFormat="1" hidden="1" x14ac:dyDescent="0.35">
      <c r="A451" s="172" t="s">
        <v>360</v>
      </c>
      <c r="B451" s="173"/>
      <c r="C451" s="173"/>
      <c r="D451" s="173"/>
      <c r="E451" s="173"/>
      <c r="F451" s="173"/>
      <c r="G451" s="173"/>
      <c r="H451" s="174"/>
      <c r="J451" s="36"/>
      <c r="T451" s="35"/>
    </row>
    <row r="452" spans="1:20" s="37" customFormat="1" ht="15.75" hidden="1" customHeight="1" x14ac:dyDescent="0.35">
      <c r="A452" s="92">
        <v>1</v>
      </c>
      <c r="B452" s="93"/>
      <c r="C452" s="42" t="s">
        <v>352</v>
      </c>
      <c r="D452" s="74">
        <f>(37.1)*(10.764)</f>
        <v>399.34440000000001</v>
      </c>
      <c r="E452" s="42">
        <v>0</v>
      </c>
      <c r="F452" s="42">
        <f>D452+(IF(E452&lt;201,E452,IF(E452&lt;301,E452/2,E452/3)))</f>
        <v>399.34440000000001</v>
      </c>
      <c r="G452" s="42">
        <v>0</v>
      </c>
      <c r="H452" s="42">
        <f>(F452+(IF(G452&lt;101,G452,IF(G452&lt;201,G452/2,IF(G452&lt;=301,G452/3,G452/4)))))*(($H$344)+1)</f>
        <v>599.01660000000004</v>
      </c>
      <c r="I452" s="36"/>
      <c r="L452" s="94"/>
      <c r="M452" s="94"/>
      <c r="N452" s="36"/>
      <c r="T452" s="35"/>
    </row>
    <row r="453" spans="1:20" s="37" customFormat="1" ht="15.75" hidden="1" customHeight="1" x14ac:dyDescent="0.35">
      <c r="A453" s="92">
        <f t="shared" ref="A453:A471" si="96">A452+1</f>
        <v>2</v>
      </c>
      <c r="B453" s="93"/>
      <c r="C453" s="42" t="s">
        <v>352</v>
      </c>
      <c r="D453" s="74">
        <f>(45.9)*(10.764)</f>
        <v>494.06759999999997</v>
      </c>
      <c r="E453" s="42">
        <v>0</v>
      </c>
      <c r="F453" s="42">
        <f t="shared" ref="F453:F471" si="97">D453+(IF(E453&lt;201,E453,IF(E453&lt;301,E453/2,E453/3)))</f>
        <v>494.06759999999997</v>
      </c>
      <c r="G453" s="42">
        <v>0</v>
      </c>
      <c r="H453" s="42">
        <f t="shared" ref="H453:H471" si="98">(F453+(IF(G453&lt;101,G453,IF(G453&lt;201,G453/2,IF(G453&lt;=301,G453/3,G453/4)))))*(($H$344)+1)</f>
        <v>741.10140000000001</v>
      </c>
      <c r="I453" s="36"/>
      <c r="L453" s="94"/>
      <c r="M453" s="94"/>
      <c r="N453" s="36"/>
      <c r="T453" s="34"/>
    </row>
    <row r="454" spans="1:20" s="37" customFormat="1" ht="15.75" hidden="1" customHeight="1" x14ac:dyDescent="0.35">
      <c r="A454" s="92">
        <f t="shared" si="96"/>
        <v>3</v>
      </c>
      <c r="B454" s="93"/>
      <c r="C454" s="42" t="s">
        <v>352</v>
      </c>
      <c r="D454" s="74">
        <f>(45.9)*(10.764)</f>
        <v>494.06759999999997</v>
      </c>
      <c r="E454" s="42">
        <v>0</v>
      </c>
      <c r="F454" s="42">
        <f t="shared" si="97"/>
        <v>494.06759999999997</v>
      </c>
      <c r="G454" s="42">
        <v>0</v>
      </c>
      <c r="H454" s="42">
        <f t="shared" si="98"/>
        <v>741.10140000000001</v>
      </c>
      <c r="I454" s="36"/>
      <c r="L454" s="94"/>
      <c r="M454" s="94"/>
      <c r="N454" s="36"/>
      <c r="T454" s="21"/>
    </row>
    <row r="455" spans="1:20" s="37" customFormat="1" ht="15.75" hidden="1" customHeight="1" x14ac:dyDescent="0.35">
      <c r="A455" s="92">
        <f t="shared" si="96"/>
        <v>4</v>
      </c>
      <c r="B455" s="93"/>
      <c r="C455" s="42" t="s">
        <v>352</v>
      </c>
      <c r="D455" s="74">
        <f t="shared" ref="D455:D460" si="99">(56.7)*(10.764)</f>
        <v>610.31880000000001</v>
      </c>
      <c r="E455" s="42">
        <v>0</v>
      </c>
      <c r="F455" s="42">
        <f t="shared" si="97"/>
        <v>610.31880000000001</v>
      </c>
      <c r="G455" s="42">
        <v>0</v>
      </c>
      <c r="H455" s="42">
        <f t="shared" si="98"/>
        <v>915.47820000000002</v>
      </c>
      <c r="I455" s="36"/>
      <c r="L455" s="94"/>
      <c r="M455" s="94"/>
      <c r="N455" s="36"/>
      <c r="T455" s="21"/>
    </row>
    <row r="456" spans="1:20" s="37" customFormat="1" ht="15.75" hidden="1" customHeight="1" x14ac:dyDescent="0.35">
      <c r="A456" s="92">
        <f t="shared" si="96"/>
        <v>5</v>
      </c>
      <c r="B456" s="93"/>
      <c r="C456" s="42" t="s">
        <v>352</v>
      </c>
      <c r="D456" s="74">
        <f t="shared" si="99"/>
        <v>610.31880000000001</v>
      </c>
      <c r="E456" s="42">
        <v>0</v>
      </c>
      <c r="F456" s="42">
        <f t="shared" si="97"/>
        <v>610.31880000000001</v>
      </c>
      <c r="G456" s="42">
        <v>0</v>
      </c>
      <c r="H456" s="42">
        <f t="shared" si="98"/>
        <v>915.47820000000002</v>
      </c>
      <c r="I456" s="36"/>
      <c r="L456" s="94"/>
      <c r="M456" s="94"/>
      <c r="N456" s="36"/>
      <c r="T456" s="34"/>
    </row>
    <row r="457" spans="1:20" s="37" customFormat="1" ht="15.75" hidden="1" customHeight="1" x14ac:dyDescent="0.35">
      <c r="A457" s="92">
        <f t="shared" si="96"/>
        <v>6</v>
      </c>
      <c r="B457" s="93"/>
      <c r="C457" s="42" t="s">
        <v>352</v>
      </c>
      <c r="D457" s="74">
        <f t="shared" si="99"/>
        <v>610.31880000000001</v>
      </c>
      <c r="E457" s="42">
        <v>0</v>
      </c>
      <c r="F457" s="42">
        <f t="shared" si="97"/>
        <v>610.31880000000001</v>
      </c>
      <c r="G457" s="42">
        <v>0</v>
      </c>
      <c r="H457" s="42">
        <f t="shared" si="98"/>
        <v>915.47820000000002</v>
      </c>
      <c r="I457" s="36"/>
      <c r="L457" s="94"/>
      <c r="M457" s="94"/>
      <c r="N457" s="36"/>
      <c r="T457" s="21"/>
    </row>
    <row r="458" spans="1:20" s="37" customFormat="1" ht="15.75" hidden="1" customHeight="1" x14ac:dyDescent="0.35">
      <c r="A458" s="92">
        <f t="shared" si="96"/>
        <v>7</v>
      </c>
      <c r="B458" s="93"/>
      <c r="C458" s="42" t="s">
        <v>352</v>
      </c>
      <c r="D458" s="74">
        <f t="shared" si="99"/>
        <v>610.31880000000001</v>
      </c>
      <c r="E458" s="42">
        <v>0</v>
      </c>
      <c r="F458" s="42">
        <f t="shared" si="97"/>
        <v>610.31880000000001</v>
      </c>
      <c r="G458" s="42">
        <v>0</v>
      </c>
      <c r="H458" s="42">
        <f t="shared" si="98"/>
        <v>915.47820000000002</v>
      </c>
      <c r="I458" s="36"/>
      <c r="L458" s="94"/>
      <c r="M458" s="94"/>
      <c r="N458" s="36"/>
      <c r="T458" s="21"/>
    </row>
    <row r="459" spans="1:20" s="37" customFormat="1" ht="15.75" hidden="1" customHeight="1" x14ac:dyDescent="0.35">
      <c r="A459" s="92">
        <f t="shared" si="96"/>
        <v>8</v>
      </c>
      <c r="B459" s="93"/>
      <c r="C459" s="42" t="s">
        <v>352</v>
      </c>
      <c r="D459" s="74">
        <f t="shared" si="99"/>
        <v>610.31880000000001</v>
      </c>
      <c r="E459" s="42">
        <v>0</v>
      </c>
      <c r="F459" s="42">
        <f t="shared" si="97"/>
        <v>610.31880000000001</v>
      </c>
      <c r="G459" s="42">
        <v>0</v>
      </c>
      <c r="H459" s="42">
        <f t="shared" si="98"/>
        <v>915.47820000000002</v>
      </c>
      <c r="I459" s="36"/>
      <c r="L459" s="94"/>
      <c r="M459" s="94"/>
      <c r="N459" s="36"/>
      <c r="T459" s="34"/>
    </row>
    <row r="460" spans="1:20" s="37" customFormat="1" ht="15.75" hidden="1" customHeight="1" x14ac:dyDescent="0.35">
      <c r="A460" s="92">
        <f t="shared" si="96"/>
        <v>9</v>
      </c>
      <c r="B460" s="93"/>
      <c r="C460" s="42" t="s">
        <v>352</v>
      </c>
      <c r="D460" s="74">
        <f t="shared" si="99"/>
        <v>610.31880000000001</v>
      </c>
      <c r="E460" s="42">
        <v>0</v>
      </c>
      <c r="F460" s="42">
        <f t="shared" si="97"/>
        <v>610.31880000000001</v>
      </c>
      <c r="G460" s="42">
        <v>0</v>
      </c>
      <c r="H460" s="42">
        <f t="shared" si="98"/>
        <v>915.47820000000002</v>
      </c>
      <c r="I460" s="36"/>
      <c r="L460" s="94"/>
      <c r="M460" s="94"/>
      <c r="N460" s="36"/>
      <c r="T460" s="21"/>
    </row>
    <row r="461" spans="1:20" s="37" customFormat="1" ht="15.75" hidden="1" customHeight="1" x14ac:dyDescent="0.35">
      <c r="A461" s="92">
        <f t="shared" si="96"/>
        <v>10</v>
      </c>
      <c r="B461" s="93"/>
      <c r="C461" s="42" t="s">
        <v>352</v>
      </c>
      <c r="D461" s="74">
        <f>(37.1)*(10.764)</f>
        <v>399.34440000000001</v>
      </c>
      <c r="E461" s="42">
        <v>0</v>
      </c>
      <c r="F461" s="42">
        <f t="shared" si="97"/>
        <v>399.34440000000001</v>
      </c>
      <c r="G461" s="42">
        <v>0</v>
      </c>
      <c r="H461" s="42">
        <f t="shared" si="98"/>
        <v>599.01660000000004</v>
      </c>
      <c r="I461" s="36"/>
      <c r="L461" s="94"/>
      <c r="M461" s="94"/>
      <c r="N461" s="36"/>
      <c r="T461" s="21"/>
    </row>
    <row r="462" spans="1:20" s="37" customFormat="1" ht="15.75" hidden="1" customHeight="1" x14ac:dyDescent="0.35">
      <c r="A462" s="92">
        <f t="shared" si="96"/>
        <v>11</v>
      </c>
      <c r="B462" s="93"/>
      <c r="C462" s="42" t="s">
        <v>352</v>
      </c>
      <c r="D462" s="74">
        <f>(48.38)*(10.764)</f>
        <v>520.76232000000005</v>
      </c>
      <c r="E462" s="42">
        <v>0</v>
      </c>
      <c r="F462" s="42">
        <f t="shared" si="97"/>
        <v>520.76232000000005</v>
      </c>
      <c r="G462" s="42">
        <v>0</v>
      </c>
      <c r="H462" s="42">
        <f t="shared" si="98"/>
        <v>781.14348000000007</v>
      </c>
      <c r="I462" s="36"/>
      <c r="L462" s="94"/>
      <c r="M462" s="94"/>
      <c r="N462" s="36"/>
      <c r="T462" s="34"/>
    </row>
    <row r="463" spans="1:20" s="37" customFormat="1" ht="15.75" hidden="1" customHeight="1" x14ac:dyDescent="0.35">
      <c r="A463" s="92">
        <f t="shared" si="96"/>
        <v>12</v>
      </c>
      <c r="B463" s="93"/>
      <c r="C463" s="42" t="s">
        <v>352</v>
      </c>
      <c r="D463" s="74">
        <f t="shared" ref="D463:D470" si="100">(38.88)*(10.764)</f>
        <v>418.50432000000001</v>
      </c>
      <c r="E463" s="42">
        <v>0</v>
      </c>
      <c r="F463" s="42">
        <f t="shared" si="97"/>
        <v>418.50432000000001</v>
      </c>
      <c r="G463" s="42">
        <v>0</v>
      </c>
      <c r="H463" s="42">
        <f t="shared" si="98"/>
        <v>627.75648000000001</v>
      </c>
      <c r="I463" s="36"/>
      <c r="L463" s="94"/>
      <c r="M463" s="94"/>
      <c r="N463" s="36"/>
      <c r="T463" s="21"/>
    </row>
    <row r="464" spans="1:20" s="37" customFormat="1" ht="15.75" hidden="1" customHeight="1" x14ac:dyDescent="0.35">
      <c r="A464" s="92">
        <f t="shared" si="96"/>
        <v>13</v>
      </c>
      <c r="B464" s="93"/>
      <c r="C464" s="42" t="s">
        <v>352</v>
      </c>
      <c r="D464" s="74">
        <f t="shared" si="100"/>
        <v>418.50432000000001</v>
      </c>
      <c r="E464" s="42">
        <v>0</v>
      </c>
      <c r="F464" s="42">
        <f t="shared" si="97"/>
        <v>418.50432000000001</v>
      </c>
      <c r="G464" s="42">
        <v>0</v>
      </c>
      <c r="H464" s="42">
        <f t="shared" si="98"/>
        <v>627.75648000000001</v>
      </c>
      <c r="I464" s="36"/>
      <c r="L464" s="94"/>
      <c r="M464" s="94"/>
      <c r="N464" s="36"/>
      <c r="T464" s="21"/>
    </row>
    <row r="465" spans="1:20" s="37" customFormat="1" ht="15.75" hidden="1" customHeight="1" x14ac:dyDescent="0.35">
      <c r="A465" s="92">
        <f t="shared" si="96"/>
        <v>14</v>
      </c>
      <c r="B465" s="93"/>
      <c r="C465" s="42" t="s">
        <v>352</v>
      </c>
      <c r="D465" s="74">
        <f t="shared" si="100"/>
        <v>418.50432000000001</v>
      </c>
      <c r="E465" s="42">
        <v>0</v>
      </c>
      <c r="F465" s="42">
        <f t="shared" si="97"/>
        <v>418.50432000000001</v>
      </c>
      <c r="G465" s="42">
        <v>0</v>
      </c>
      <c r="H465" s="42">
        <f t="shared" si="98"/>
        <v>627.75648000000001</v>
      </c>
      <c r="I465" s="36"/>
      <c r="L465" s="94"/>
      <c r="M465" s="94"/>
      <c r="N465" s="36"/>
      <c r="T465" s="34"/>
    </row>
    <row r="466" spans="1:20" s="37" customFormat="1" ht="15.75" hidden="1" customHeight="1" x14ac:dyDescent="0.35">
      <c r="A466" s="92">
        <f t="shared" si="96"/>
        <v>15</v>
      </c>
      <c r="B466" s="93"/>
      <c r="C466" s="42" t="s">
        <v>352</v>
      </c>
      <c r="D466" s="74">
        <f t="shared" si="100"/>
        <v>418.50432000000001</v>
      </c>
      <c r="E466" s="42">
        <v>0</v>
      </c>
      <c r="F466" s="42">
        <f t="shared" si="97"/>
        <v>418.50432000000001</v>
      </c>
      <c r="G466" s="42">
        <v>0</v>
      </c>
      <c r="H466" s="42">
        <f t="shared" si="98"/>
        <v>627.75648000000001</v>
      </c>
      <c r="I466" s="36"/>
      <c r="L466" s="94"/>
      <c r="M466" s="94"/>
      <c r="N466" s="36"/>
      <c r="T466" s="21"/>
    </row>
    <row r="467" spans="1:20" s="37" customFormat="1" ht="15.75" hidden="1" customHeight="1" x14ac:dyDescent="0.35">
      <c r="A467" s="92">
        <f t="shared" si="96"/>
        <v>16</v>
      </c>
      <c r="B467" s="93"/>
      <c r="C467" s="42" t="s">
        <v>352</v>
      </c>
      <c r="D467" s="74">
        <f t="shared" si="100"/>
        <v>418.50432000000001</v>
      </c>
      <c r="E467" s="42">
        <v>0</v>
      </c>
      <c r="F467" s="42">
        <f t="shared" si="97"/>
        <v>418.50432000000001</v>
      </c>
      <c r="G467" s="42">
        <v>0</v>
      </c>
      <c r="H467" s="42">
        <f t="shared" si="98"/>
        <v>627.75648000000001</v>
      </c>
      <c r="I467" s="36"/>
      <c r="L467" s="94"/>
      <c r="M467" s="94"/>
      <c r="N467" s="36"/>
      <c r="T467" s="21"/>
    </row>
    <row r="468" spans="1:20" s="37" customFormat="1" ht="15.75" hidden="1" customHeight="1" x14ac:dyDescent="0.35">
      <c r="A468" s="92">
        <f t="shared" si="96"/>
        <v>17</v>
      </c>
      <c r="B468" s="93"/>
      <c r="C468" s="42" t="s">
        <v>352</v>
      </c>
      <c r="D468" s="74">
        <f t="shared" si="100"/>
        <v>418.50432000000001</v>
      </c>
      <c r="E468" s="42">
        <v>0</v>
      </c>
      <c r="F468" s="42">
        <f t="shared" si="97"/>
        <v>418.50432000000001</v>
      </c>
      <c r="G468" s="42">
        <v>0</v>
      </c>
      <c r="H468" s="42">
        <f t="shared" si="98"/>
        <v>627.75648000000001</v>
      </c>
      <c r="I468" s="36"/>
      <c r="L468" s="94"/>
      <c r="M468" s="94"/>
      <c r="N468" s="36"/>
      <c r="T468" s="34"/>
    </row>
    <row r="469" spans="1:20" s="37" customFormat="1" ht="15.75" hidden="1" customHeight="1" x14ac:dyDescent="0.35">
      <c r="A469" s="92">
        <f t="shared" si="96"/>
        <v>18</v>
      </c>
      <c r="B469" s="93"/>
      <c r="C469" s="42" t="s">
        <v>352</v>
      </c>
      <c r="D469" s="74">
        <f t="shared" si="100"/>
        <v>418.50432000000001</v>
      </c>
      <c r="E469" s="42">
        <v>0</v>
      </c>
      <c r="F469" s="42">
        <f t="shared" si="97"/>
        <v>418.50432000000001</v>
      </c>
      <c r="G469" s="42">
        <v>0</v>
      </c>
      <c r="H469" s="42">
        <f t="shared" si="98"/>
        <v>627.75648000000001</v>
      </c>
      <c r="I469" s="36"/>
      <c r="L469" s="94"/>
      <c r="M469" s="94"/>
      <c r="N469" s="36"/>
      <c r="T469" s="21"/>
    </row>
    <row r="470" spans="1:20" s="37" customFormat="1" ht="15.75" hidden="1" customHeight="1" x14ac:dyDescent="0.35">
      <c r="A470" s="92">
        <f t="shared" si="96"/>
        <v>19</v>
      </c>
      <c r="B470" s="93"/>
      <c r="C470" s="42" t="s">
        <v>352</v>
      </c>
      <c r="D470" s="74">
        <f t="shared" si="100"/>
        <v>418.50432000000001</v>
      </c>
      <c r="E470" s="42">
        <v>0</v>
      </c>
      <c r="F470" s="42">
        <f t="shared" si="97"/>
        <v>418.50432000000001</v>
      </c>
      <c r="G470" s="42">
        <v>0</v>
      </c>
      <c r="H470" s="42">
        <f t="shared" si="98"/>
        <v>627.75648000000001</v>
      </c>
      <c r="I470" s="36"/>
      <c r="L470" s="94"/>
      <c r="M470" s="94"/>
      <c r="N470" s="36"/>
      <c r="T470" s="21"/>
    </row>
    <row r="471" spans="1:20" s="37" customFormat="1" ht="15.75" hidden="1" customHeight="1" x14ac:dyDescent="0.35">
      <c r="A471" s="92">
        <f t="shared" si="96"/>
        <v>20</v>
      </c>
      <c r="B471" s="93"/>
      <c r="C471" s="42" t="s">
        <v>352</v>
      </c>
      <c r="D471" s="74">
        <f>(37.8)*(10.764)</f>
        <v>406.87919999999997</v>
      </c>
      <c r="E471" s="42">
        <v>0</v>
      </c>
      <c r="F471" s="42">
        <f t="shared" si="97"/>
        <v>406.87919999999997</v>
      </c>
      <c r="G471" s="42">
        <v>0</v>
      </c>
      <c r="H471" s="42">
        <f t="shared" si="98"/>
        <v>610.31880000000001</v>
      </c>
      <c r="I471" s="36"/>
      <c r="L471" s="94"/>
      <c r="M471" s="94"/>
      <c r="N471" s="36"/>
      <c r="T471" s="21"/>
    </row>
    <row r="472" spans="1:20" s="37" customFormat="1" hidden="1" x14ac:dyDescent="0.35">
      <c r="A472" s="172" t="s">
        <v>115</v>
      </c>
      <c r="B472" s="173"/>
      <c r="C472" s="173"/>
      <c r="D472" s="173"/>
      <c r="E472" s="173"/>
      <c r="F472" s="173"/>
      <c r="G472" s="173"/>
      <c r="H472" s="174"/>
      <c r="J472" s="36"/>
      <c r="T472" s="35"/>
    </row>
    <row r="473" spans="1:20" s="37" customFormat="1" ht="15.75" hidden="1" customHeight="1" x14ac:dyDescent="0.35">
      <c r="A473" s="92">
        <v>1</v>
      </c>
      <c r="B473" s="93"/>
      <c r="C473" s="42"/>
      <c r="D473" s="42">
        <v>0</v>
      </c>
      <c r="E473" s="42">
        <v>0</v>
      </c>
      <c r="F473" s="42">
        <f>D473+(IF(E473&lt;201,E473,IF(E473&lt;301,E473/2,E473/3)))</f>
        <v>0</v>
      </c>
      <c r="G473" s="42">
        <v>0</v>
      </c>
      <c r="H473" s="42">
        <f>(F473+(IF(G473&lt;101,G473,IF(G473&lt;201,G473/2,IF(G473&lt;=301,G473/3,G473/4)))))*(($H$344)+1)</f>
        <v>0</v>
      </c>
      <c r="I473" s="36"/>
      <c r="L473" s="94"/>
      <c r="M473" s="94"/>
      <c r="N473" s="36"/>
      <c r="T473" s="35"/>
    </row>
    <row r="474" spans="1:20" s="37" customFormat="1" ht="15.75" hidden="1" customHeight="1" x14ac:dyDescent="0.35">
      <c r="A474" s="92">
        <f>A473+1</f>
        <v>2</v>
      </c>
      <c r="B474" s="93"/>
      <c r="C474" s="42"/>
      <c r="D474" s="42"/>
      <c r="E474" s="42">
        <v>0</v>
      </c>
      <c r="F474" s="42">
        <f t="shared" ref="F474:F476" si="101">D474+(IF(E474&lt;201,E474,IF(E474&lt;301,E474/2,E474/3)))</f>
        <v>0</v>
      </c>
      <c r="G474" s="42">
        <v>0</v>
      </c>
      <c r="H474" s="42">
        <f t="shared" ref="H474:H476" si="102">(F474+(IF(G474&lt;101,G474,IF(G474&lt;201,G474/2,IF(G474&lt;=301,G474/3,G474/4)))))*(($H$344)+1)</f>
        <v>0</v>
      </c>
      <c r="I474" s="36"/>
      <c r="L474" s="94"/>
      <c r="M474" s="94"/>
      <c r="N474" s="36"/>
      <c r="T474" s="34"/>
    </row>
    <row r="475" spans="1:20" s="37" customFormat="1" ht="15.75" hidden="1" customHeight="1" x14ac:dyDescent="0.35">
      <c r="A475" s="92">
        <f>A474+1</f>
        <v>3</v>
      </c>
      <c r="B475" s="93"/>
      <c r="C475" s="42"/>
      <c r="D475" s="42"/>
      <c r="E475" s="42">
        <v>0</v>
      </c>
      <c r="F475" s="42">
        <f t="shared" si="101"/>
        <v>0</v>
      </c>
      <c r="G475" s="42">
        <v>0</v>
      </c>
      <c r="H475" s="42">
        <f t="shared" si="102"/>
        <v>0</v>
      </c>
      <c r="I475" s="36"/>
      <c r="L475" s="94"/>
      <c r="M475" s="94"/>
      <c r="N475" s="36"/>
      <c r="T475" s="21"/>
    </row>
    <row r="476" spans="1:20" s="37" customFormat="1" ht="15.75" hidden="1" customHeight="1" x14ac:dyDescent="0.35">
      <c r="A476" s="92">
        <f>A475+1</f>
        <v>4</v>
      </c>
      <c r="B476" s="93"/>
      <c r="C476" s="42"/>
      <c r="D476" s="42"/>
      <c r="E476" s="42">
        <v>0</v>
      </c>
      <c r="F476" s="42">
        <f t="shared" si="101"/>
        <v>0</v>
      </c>
      <c r="G476" s="42">
        <v>0</v>
      </c>
      <c r="H476" s="42">
        <f t="shared" si="102"/>
        <v>0</v>
      </c>
      <c r="I476" s="36"/>
      <c r="L476" s="94"/>
      <c r="M476" s="94"/>
      <c r="N476" s="36"/>
      <c r="T476" s="21"/>
    </row>
    <row r="477" spans="1:20" s="37" customFormat="1" hidden="1" x14ac:dyDescent="0.35">
      <c r="A477" s="92"/>
      <c r="B477" s="125"/>
      <c r="C477" s="125"/>
      <c r="D477" s="125"/>
      <c r="E477" s="125"/>
      <c r="F477" s="125"/>
      <c r="G477" s="125"/>
      <c r="H477" s="93"/>
      <c r="I477" s="36"/>
      <c r="N477" s="36"/>
    </row>
    <row r="478" spans="1:20" ht="47.25" hidden="1" customHeight="1" x14ac:dyDescent="0.35">
      <c r="A478" s="190" t="s">
        <v>117</v>
      </c>
      <c r="B478" s="165" t="s">
        <v>176</v>
      </c>
      <c r="C478" s="165" t="s">
        <v>55</v>
      </c>
      <c r="D478" s="163" t="s">
        <v>232</v>
      </c>
      <c r="E478" s="165" t="s">
        <v>231</v>
      </c>
      <c r="F478" s="165" t="s">
        <v>56</v>
      </c>
      <c r="G478" s="234" t="s">
        <v>57</v>
      </c>
      <c r="H478" s="64" t="s">
        <v>148</v>
      </c>
      <c r="I478" s="36"/>
      <c r="T478" s="37"/>
    </row>
    <row r="479" spans="1:20" s="37" customFormat="1" hidden="1" x14ac:dyDescent="0.35">
      <c r="A479" s="191"/>
      <c r="B479" s="166"/>
      <c r="C479" s="166"/>
      <c r="D479" s="164"/>
      <c r="E479" s="166"/>
      <c r="F479" s="166"/>
      <c r="G479" s="235"/>
      <c r="H479" s="54">
        <v>0.45</v>
      </c>
      <c r="I479" s="36"/>
    </row>
    <row r="480" spans="1:20" s="37" customFormat="1" hidden="1" x14ac:dyDescent="0.35">
      <c r="A480" s="172" t="s">
        <v>115</v>
      </c>
      <c r="B480" s="173"/>
      <c r="C480" s="173"/>
      <c r="D480" s="173"/>
      <c r="E480" s="173"/>
      <c r="F480" s="173"/>
      <c r="G480" s="173"/>
      <c r="H480" s="174"/>
      <c r="J480" s="36"/>
    </row>
    <row r="481" spans="1:20" s="37" customFormat="1" ht="15.75" hidden="1" customHeight="1" x14ac:dyDescent="0.35">
      <c r="A481" s="92">
        <v>1</v>
      </c>
      <c r="B481" s="93"/>
      <c r="C481" s="42"/>
      <c r="D481" s="42"/>
      <c r="E481" s="42">
        <v>0</v>
      </c>
      <c r="F481" s="42">
        <f>D481+E481</f>
        <v>0</v>
      </c>
      <c r="G481" s="42">
        <v>0</v>
      </c>
      <c r="H481" s="42">
        <f>F481*(($H$479)+1)+(IF(G481&lt;101,G481,IF(G481&lt;201,G481/2,IF(G481&lt;=301,G481/3,G481/4))))</f>
        <v>0</v>
      </c>
      <c r="I481" s="36"/>
      <c r="L481" s="94"/>
      <c r="M481" s="94"/>
      <c r="N481" s="36"/>
    </row>
    <row r="482" spans="1:20" s="37" customFormat="1" ht="15.75" hidden="1" customHeight="1" x14ac:dyDescent="0.35">
      <c r="A482" s="92">
        <f>A481+1</f>
        <v>2</v>
      </c>
      <c r="B482" s="93"/>
      <c r="C482" s="42"/>
      <c r="D482" s="42"/>
      <c r="E482" s="42">
        <v>0</v>
      </c>
      <c r="F482" s="42">
        <f>D482+E482</f>
        <v>0</v>
      </c>
      <c r="G482" s="42">
        <v>0</v>
      </c>
      <c r="H482" s="42">
        <f>F482*(($H$479)+1)+(IF(G482&lt;101,G482,IF(G482&lt;201,G482/2,IF(G482&lt;=301,G482/3,G482/4))))</f>
        <v>0</v>
      </c>
      <c r="I482" s="36"/>
      <c r="L482" s="94"/>
      <c r="M482" s="94"/>
      <c r="N482" s="36"/>
    </row>
    <row r="483" spans="1:20" s="37" customFormat="1" ht="15.75" hidden="1" customHeight="1" x14ac:dyDescent="0.35">
      <c r="A483" s="92">
        <f>A482+1</f>
        <v>3</v>
      </c>
      <c r="B483" s="93"/>
      <c r="C483" s="42"/>
      <c r="D483" s="42"/>
      <c r="E483" s="42">
        <v>0</v>
      </c>
      <c r="F483" s="42">
        <f>D483+E483</f>
        <v>0</v>
      </c>
      <c r="G483" s="42">
        <v>0</v>
      </c>
      <c r="H483" s="42">
        <f>F483*(($H$479)+1)+(IF(G483&lt;101,G483,IF(G483&lt;201,G483/2,IF(G483&lt;=301,G483/3,G483/4))))</f>
        <v>0</v>
      </c>
      <c r="I483" s="36"/>
      <c r="L483" s="94"/>
      <c r="M483" s="94"/>
      <c r="N483" s="36"/>
    </row>
    <row r="484" spans="1:20" s="37" customFormat="1" ht="15.75" hidden="1" customHeight="1" x14ac:dyDescent="0.35">
      <c r="A484" s="92">
        <f>A483+1</f>
        <v>4</v>
      </c>
      <c r="B484" s="93"/>
      <c r="C484" s="42"/>
      <c r="D484" s="42"/>
      <c r="E484" s="42">
        <v>0</v>
      </c>
      <c r="F484" s="42">
        <f>D484+E484</f>
        <v>0</v>
      </c>
      <c r="G484" s="42">
        <v>0</v>
      </c>
      <c r="H484" s="42">
        <f>F484*(($H$479)+1)+(IF(G484&lt;101,G484,IF(G484&lt;201,G484/2,IF(G484&lt;=301,G484/3,G484/4))))</f>
        <v>0</v>
      </c>
      <c r="I484" s="36"/>
      <c r="L484" s="94"/>
      <c r="M484" s="94"/>
      <c r="N484" s="36"/>
      <c r="T484" s="21"/>
    </row>
    <row r="485" spans="1:20" s="37" customFormat="1" hidden="1" x14ac:dyDescent="0.35">
      <c r="A485" s="199" t="s">
        <v>116</v>
      </c>
      <c r="B485" s="199"/>
      <c r="C485" s="199"/>
      <c r="D485" s="199"/>
      <c r="E485" s="199"/>
      <c r="F485" s="199"/>
      <c r="G485" s="199"/>
      <c r="H485" s="199"/>
      <c r="I485" s="36"/>
      <c r="L485" s="94"/>
      <c r="M485" s="94"/>
    </row>
    <row r="486" spans="1:20" s="37" customFormat="1" hidden="1" x14ac:dyDescent="0.35">
      <c r="A486" s="104">
        <f>LEFT(A485,SUM(LEN(A485)-LEN(SUBSTITUTE(A485,{"0","1","2","3","4","5","6","7","8","9"},""))))*100+1</f>
        <v>201</v>
      </c>
      <c r="B486" s="104"/>
      <c r="C486" s="42"/>
      <c r="D486" s="42"/>
      <c r="E486" s="42">
        <v>0</v>
      </c>
      <c r="F486" s="42">
        <f>D486+E486</f>
        <v>0</v>
      </c>
      <c r="G486" s="42">
        <v>0</v>
      </c>
      <c r="H486" s="42">
        <f>F486*(($H$479)+1)+(IF(G486&lt;101,G486,IF(G486&lt;201,G486/2,IF(G486&lt;=301,G486/3,G486/4))))</f>
        <v>0</v>
      </c>
      <c r="I486" s="36"/>
      <c r="N486" s="36"/>
    </row>
    <row r="487" spans="1:20" s="37" customFormat="1" hidden="1" x14ac:dyDescent="0.35">
      <c r="A487" s="104">
        <f>A486+1</f>
        <v>202</v>
      </c>
      <c r="B487" s="104"/>
      <c r="C487" s="42"/>
      <c r="D487" s="42"/>
      <c r="E487" s="42">
        <v>0</v>
      </c>
      <c r="F487" s="42">
        <f>D487+E487</f>
        <v>0</v>
      </c>
      <c r="G487" s="42">
        <v>0</v>
      </c>
      <c r="H487" s="42">
        <f>F487*(($H$479)+1)+(IF(G487&lt;101,G487,IF(G487&lt;201,G487/2,IF(G487&lt;=301,G487/3,G487/4))))</f>
        <v>0</v>
      </c>
      <c r="I487" s="36"/>
      <c r="N487" s="36"/>
    </row>
    <row r="488" spans="1:20" s="37" customFormat="1" hidden="1" x14ac:dyDescent="0.35">
      <c r="A488" s="104">
        <f>A487+1</f>
        <v>203</v>
      </c>
      <c r="B488" s="104"/>
      <c r="C488" s="42"/>
      <c r="D488" s="42"/>
      <c r="E488" s="42">
        <v>0</v>
      </c>
      <c r="F488" s="42">
        <f>D488+E488</f>
        <v>0</v>
      </c>
      <c r="G488" s="42">
        <v>0</v>
      </c>
      <c r="H488" s="42">
        <f>F488*(($H$479)+1)+(IF(G488&lt;101,G488,IF(G488&lt;201,G488/2,IF(G488&lt;=301,G488/3,G488/4))))</f>
        <v>0</v>
      </c>
      <c r="I488" s="36"/>
      <c r="N488" s="36"/>
    </row>
    <row r="489" spans="1:20" s="37" customFormat="1" hidden="1" x14ac:dyDescent="0.35">
      <c r="A489" s="104">
        <f>A488+1</f>
        <v>204</v>
      </c>
      <c r="B489" s="104"/>
      <c r="C489" s="42"/>
      <c r="D489" s="42"/>
      <c r="E489" s="42">
        <v>0</v>
      </c>
      <c r="F489" s="42">
        <f>D489+E489</f>
        <v>0</v>
      </c>
      <c r="G489" s="42">
        <v>0</v>
      </c>
      <c r="H489" s="42">
        <f>F489*(($H$479)+1)+(IF(G489&lt;101,G489,IF(G489&lt;201,G489/2,IF(G489&lt;=301,G489/3,G489/4))))</f>
        <v>0</v>
      </c>
      <c r="I489" s="36"/>
      <c r="N489" s="36"/>
    </row>
    <row r="490" spans="1:20" s="37" customFormat="1" hidden="1" x14ac:dyDescent="0.35">
      <c r="A490" s="104">
        <f>A489+1</f>
        <v>205</v>
      </c>
      <c r="B490" s="104"/>
      <c r="C490" s="42"/>
      <c r="D490" s="42"/>
      <c r="E490" s="42">
        <v>0</v>
      </c>
      <c r="F490" s="42">
        <f>D490+E490</f>
        <v>0</v>
      </c>
      <c r="G490" s="42">
        <v>0</v>
      </c>
      <c r="H490" s="42">
        <f>F490*(($H$479)+1)+(IF(G490&lt;101,G490,IF(G490&lt;201,G490/2,IF(G490&lt;=301,G490/3,G490/4))))</f>
        <v>0</v>
      </c>
      <c r="I490" s="36"/>
      <c r="N490" s="36"/>
    </row>
    <row r="491" spans="1:20" s="37" customFormat="1" ht="15.75" hidden="1" customHeight="1" x14ac:dyDescent="0.35">
      <c r="A491" s="172" t="s">
        <v>149</v>
      </c>
      <c r="B491" s="173"/>
      <c r="C491" s="173"/>
      <c r="D491" s="173"/>
      <c r="E491" s="173"/>
      <c r="F491" s="173"/>
      <c r="G491" s="173"/>
      <c r="H491" s="174"/>
      <c r="I491" s="36"/>
    </row>
    <row r="492" spans="1:20" s="37" customFormat="1" ht="15.75" hidden="1" customHeight="1" x14ac:dyDescent="0.35">
      <c r="A492" s="92" t="str">
        <f ca="1">(SUMPRODUCT(MID(0&amp;(LEFT(A491,SUM(LEN(A491)-LEN(SUBSTITUTE(A491,{"0","1","2"},""))))), LARGE(INDEX(ISNUMBER(--MID((LEFT(A491,SUM(LEN(A491)-LEN(SUBSTITUTE(A491,{"0","1","2"},""))))), ROW(INDIRECT("1:"&amp;LEN((LEFT(A491,SUM(LEN(A491)-LEN(SUBSTITUTE(A491,{"0","1","2"},"")))))))), 1)) * ROW(INDIRECT("1:"&amp;LEN((LEFT(A491,SUM(LEN(A491)-LEN(SUBSTITUTE(A491,{"0","1","2"},"")))))))), 0), ROW(INDIRECT("1:"&amp;LEN((LEFT(A491,SUM(LEN(A491)-LEN(SUBSTITUTE(A491,{"0","1","2"},"")))))))))+1, 1) * 10^ROW(INDIRECT("1:"&amp;LEN((LEFT(A491,SUM(LEN(A491)-LEN(SUBSTITUTE(A491,{"0","1","2"},""))))))))/10))*100+1&amp;""&amp;" ,.., "&amp;""&amp;(SUMPRODUCT(MID(0&amp;(--TRIM(RIGHT(SUBSTITUTE(LEFT(A491,_xlfn.AGGREGATE(16,6,FIND({0,1,2,3,4,5,6,7,8,9},A491,ROW(INDIRECT("1:"&amp;LEN(A491)))),1))," ",REPT(" ",LEN(A491))),LEN(A491)))), LARGE(INDEX(ISNUMBER(--MID((--TRIM(RIGHT(SUBSTITUTE(LEFT(A491,_xlfn.AGGREGATE(16,6,FIND({0,1,2,3,4,5,6,7,8,9},A491,ROW(INDIRECT("1:"&amp;LEN(A491)))),1))," ",REPT(" ",LEN(A491))),LEN(A491)))), ROW(INDIRECT("1:"&amp;LEN((--TRIM(RIGHT(SUBSTITUTE(LEFT(A491,_xlfn.AGGREGATE(16,6,FIND({0,1,2,3,4,5,6,7,8,9},A491,ROW(INDIRECT("1:"&amp;LEN(A491)))),1))," ",REPT(" ",LEN(A491))),LEN(A491))))))), 1)) * ROW(INDIRECT("1:"&amp;LEN((--TRIM(RIGHT(SUBSTITUTE(LEFT(A491,_xlfn.AGGREGATE(16,6,FIND({0,1,2,3,4,5,6,7,8,9},A491,ROW(INDIRECT("1:"&amp;LEN(A491)))),1))," ",REPT(" ",LEN(A491))),LEN(A491))))))), 0), ROW(INDIRECT("1:"&amp;LEN((--TRIM(RIGHT(SUBSTITUTE(LEFT(A491,_xlfn.AGGREGATE(16,6,FIND({0,1,2,3,4,5,6,7,8,9},A491,ROW(INDIRECT("1:"&amp;LEN(A491)))),1))," ",REPT(" ",LEN(A491))),LEN(A491))))))))+1, 1) * 10^ROW(INDIRECT("1:"&amp;LEN((--TRIM(RIGHT(SUBSTITUTE(LEFT(A491,_xlfn.AGGREGATE(16,6,FIND({0,1,2,3,4,5,6,7,8,9},A491,ROW(INDIRECT("1:"&amp;LEN(A491)))),1))," ",REPT(" ",LEN(A491))),LEN(A491)))))))/10))*100+1</f>
        <v>301 ,.., 1501</v>
      </c>
      <c r="B492" s="93"/>
      <c r="C492" s="42"/>
      <c r="D492" s="42"/>
      <c r="E492" s="42">
        <v>0</v>
      </c>
      <c r="F492" s="42">
        <f>D492+E492</f>
        <v>0</v>
      </c>
      <c r="G492" s="42">
        <v>0</v>
      </c>
      <c r="H492" s="42">
        <f>F492*(($H$479)+1)+(IF(G492&lt;101,G492,IF(G492&lt;201,G492/2,IF(G492&lt;=301,G492/3,G492/4))))</f>
        <v>0</v>
      </c>
      <c r="I492" s="36"/>
    </row>
    <row r="493" spans="1:20" s="37" customFormat="1" ht="15.75" hidden="1" customHeight="1" x14ac:dyDescent="0.35">
      <c r="A493" s="92" t="str">
        <f ca="1">(SUMPRODUCT(MID(0&amp;(LEFT(A492,SUM(LEN(A492)-LEN(SUBSTITUTE(A492,{"0","1","2"},""))))), LARGE(INDEX(ISNUMBER(--MID((LEFT(A492,SUM(LEN(A492)-LEN(SUBSTITUTE(A492,{"0","1","2"},""))))), ROW(INDIRECT("1:"&amp;LEN((LEFT(A492,SUM(LEN(A492)-LEN(SUBSTITUTE(A492,{"0","1","2"},"")))))))), 1)) * ROW(INDIRECT("1:"&amp;LEN((LEFT(A492,SUM(LEN(A492)-LEN(SUBSTITUTE(A492,{"0","1","2"},"")))))))), 0), ROW(INDIRECT("1:"&amp;LEN((LEFT(A492,SUM(LEN(A492)-LEN(SUBSTITUTE(A492,{"0","1","2"},"")))))))))+1, 1) * 10^ROW(INDIRECT("1:"&amp;LEN((LEFT(A492,SUM(LEN(A492)-LEN(SUBSTITUTE(A492,{"0","1","2"},""))))))))/10))*1+1&amp;""&amp;" ,.., "&amp;""&amp;(SUMPRODUCT(MID(0&amp;(--TRIM(RIGHT(SUBSTITUTE(LEFT(A492,_xlfn.AGGREGATE(16,6,FIND({0,1,2,3,4,5,6,7,8,9},A492,ROW(INDIRECT("1:"&amp;LEN(A492)))),1))," ",REPT(" ",LEN(A492))),LEN(A492)))), LARGE(INDEX(ISNUMBER(--MID((--TRIM(RIGHT(SUBSTITUTE(LEFT(A492,_xlfn.AGGREGATE(16,6,FIND({0,1,2,3,4,5,6,7,8,9},A492,ROW(INDIRECT("1:"&amp;LEN(A492)))),1))," ",REPT(" ",LEN(A492))),LEN(A492)))), ROW(INDIRECT("1:"&amp;LEN((--TRIM(RIGHT(SUBSTITUTE(LEFT(A492,_xlfn.AGGREGATE(16,6,FIND({0,1,2,3,4,5,6,7,8,9},A492,ROW(INDIRECT("1:"&amp;LEN(A492)))),1))," ",REPT(" ",LEN(A492))),LEN(A492))))))), 1)) * ROW(INDIRECT("1:"&amp;LEN((--TRIM(RIGHT(SUBSTITUTE(LEFT(A492,_xlfn.AGGREGATE(16,6,FIND({0,1,2,3,4,5,6,7,8,9},A492,ROW(INDIRECT("1:"&amp;LEN(A492)))),1))," ",REPT(" ",LEN(A492))),LEN(A492))))))), 0), ROW(INDIRECT("1:"&amp;LEN((--TRIM(RIGHT(SUBSTITUTE(LEFT(A492,_xlfn.AGGREGATE(16,6,FIND({0,1,2,3,4,5,6,7,8,9},A492,ROW(INDIRECT("1:"&amp;LEN(A492)))),1))," ",REPT(" ",LEN(A492))),LEN(A492))))))))+1, 1) * 10^ROW(INDIRECT("1:"&amp;LEN((--TRIM(RIGHT(SUBSTITUTE(LEFT(A492,_xlfn.AGGREGATE(16,6,FIND({0,1,2,3,4,5,6,7,8,9},A492,ROW(INDIRECT("1:"&amp;LEN(A492)))),1))," ",REPT(" ",LEN(A492))),LEN(A492)))))))/10))*1+1</f>
        <v>302 ,.., 1502</v>
      </c>
      <c r="B493" s="93"/>
      <c r="C493" s="42"/>
      <c r="D493" s="42"/>
      <c r="E493" s="42">
        <v>0</v>
      </c>
      <c r="F493" s="42">
        <f>D493+E493</f>
        <v>0</v>
      </c>
      <c r="G493" s="42">
        <v>0</v>
      </c>
      <c r="H493" s="42">
        <f>F493*(($H$479)+1)+(IF(G493&lt;101,G493,IF(G493&lt;201,G493/2,IF(G493&lt;=301,G493/3,G493/4))))</f>
        <v>0</v>
      </c>
      <c r="I493" s="36"/>
    </row>
    <row r="494" spans="1:20" s="37" customFormat="1" ht="15.75" hidden="1" customHeight="1" x14ac:dyDescent="0.35">
      <c r="A494" s="92" t="str">
        <f ca="1">(SUMPRODUCT(MID(0&amp;(LEFT(A493,SUM(LEN(A493)-LEN(SUBSTITUTE(A493,{"0","1","2"},""))))), LARGE(INDEX(ISNUMBER(--MID((LEFT(A493,SUM(LEN(A493)-LEN(SUBSTITUTE(A493,{"0","1","2"},""))))), ROW(INDIRECT("1:"&amp;LEN((LEFT(A493,SUM(LEN(A493)-LEN(SUBSTITUTE(A493,{"0","1","2"},"")))))))), 1)) * ROW(INDIRECT("1:"&amp;LEN((LEFT(A493,SUM(LEN(A493)-LEN(SUBSTITUTE(A493,{"0","1","2"},"")))))))), 0), ROW(INDIRECT("1:"&amp;LEN((LEFT(A493,SUM(LEN(A493)-LEN(SUBSTITUTE(A493,{"0","1","2"},"")))))))))+1, 1) * 10^ROW(INDIRECT("1:"&amp;LEN((LEFT(A493,SUM(LEN(A493)-LEN(SUBSTITUTE(A493,{"0","1","2"},""))))))))/10))*1+1&amp;""&amp;" ,.., "&amp;""&amp;(SUMPRODUCT(MID(0&amp;(--TRIM(RIGHT(SUBSTITUTE(LEFT(A493,_xlfn.AGGREGATE(16,6,FIND({0,1,2,3,4,5,6,7,8,9},A493,ROW(INDIRECT("1:"&amp;LEN(A493)))),1))," ",REPT(" ",LEN(A493))),LEN(A493)))), LARGE(INDEX(ISNUMBER(--MID((--TRIM(RIGHT(SUBSTITUTE(LEFT(A493,_xlfn.AGGREGATE(16,6,FIND({0,1,2,3,4,5,6,7,8,9},A493,ROW(INDIRECT("1:"&amp;LEN(A493)))),1))," ",REPT(" ",LEN(A493))),LEN(A493)))), ROW(INDIRECT("1:"&amp;LEN((--TRIM(RIGHT(SUBSTITUTE(LEFT(A493,_xlfn.AGGREGATE(16,6,FIND({0,1,2,3,4,5,6,7,8,9},A493,ROW(INDIRECT("1:"&amp;LEN(A493)))),1))," ",REPT(" ",LEN(A493))),LEN(A493))))))), 1)) * ROW(INDIRECT("1:"&amp;LEN((--TRIM(RIGHT(SUBSTITUTE(LEFT(A493,_xlfn.AGGREGATE(16,6,FIND({0,1,2,3,4,5,6,7,8,9},A493,ROW(INDIRECT("1:"&amp;LEN(A493)))),1))," ",REPT(" ",LEN(A493))),LEN(A493))))))), 0), ROW(INDIRECT("1:"&amp;LEN((--TRIM(RIGHT(SUBSTITUTE(LEFT(A493,_xlfn.AGGREGATE(16,6,FIND({0,1,2,3,4,5,6,7,8,9},A493,ROW(INDIRECT("1:"&amp;LEN(A493)))),1))," ",REPT(" ",LEN(A493))),LEN(A493))))))))+1, 1) * 10^ROW(INDIRECT("1:"&amp;LEN((--TRIM(RIGHT(SUBSTITUTE(LEFT(A493,_xlfn.AGGREGATE(16,6,FIND({0,1,2,3,4,5,6,7,8,9},A493,ROW(INDIRECT("1:"&amp;LEN(A493)))),1))," ",REPT(" ",LEN(A493))),LEN(A493)))))))/10))*1+1</f>
        <v>303 ,.., 1503</v>
      </c>
      <c r="B494" s="93"/>
      <c r="C494" s="42"/>
      <c r="D494" s="42"/>
      <c r="E494" s="42">
        <v>0</v>
      </c>
      <c r="F494" s="42">
        <f>D494+E494</f>
        <v>0</v>
      </c>
      <c r="G494" s="42">
        <v>0</v>
      </c>
      <c r="H494" s="42">
        <f>F494*(($H$479)+1)+(IF(G494&lt;101,G494,IF(G494&lt;201,G494/2,IF(G494&lt;=301,G494/3,G494/4))))</f>
        <v>0</v>
      </c>
      <c r="I494" s="36"/>
    </row>
    <row r="495" spans="1:20" s="37" customFormat="1" ht="15.75" hidden="1" customHeight="1" x14ac:dyDescent="0.35">
      <c r="A495" s="92" t="str">
        <f ca="1">(SUMPRODUCT(MID(0&amp;(LEFT(A494,SUM(LEN(A494)-LEN(SUBSTITUTE(A494,{"0","1","2"},""))))), LARGE(INDEX(ISNUMBER(--MID((LEFT(A494,SUM(LEN(A494)-LEN(SUBSTITUTE(A494,{"0","1","2"},""))))), ROW(INDIRECT("1:"&amp;LEN((LEFT(A494,SUM(LEN(A494)-LEN(SUBSTITUTE(A494,{"0","1","2"},"")))))))), 1)) * ROW(INDIRECT("1:"&amp;LEN((LEFT(A494,SUM(LEN(A494)-LEN(SUBSTITUTE(A494,{"0","1","2"},"")))))))), 0), ROW(INDIRECT("1:"&amp;LEN((LEFT(A494,SUM(LEN(A494)-LEN(SUBSTITUTE(A494,{"0","1","2"},"")))))))))+1, 1) * 10^ROW(INDIRECT("1:"&amp;LEN((LEFT(A494,SUM(LEN(A494)-LEN(SUBSTITUTE(A494,{"0","1","2"},""))))))))/10))*1+1&amp;""&amp;" ,.., "&amp;""&amp;(SUMPRODUCT(MID(0&amp;(--TRIM(RIGHT(SUBSTITUTE(LEFT(A494,_xlfn.AGGREGATE(16,6,FIND({0,1,2,3,4,5,6,7,8,9},A494,ROW(INDIRECT("1:"&amp;LEN(A494)))),1))," ",REPT(" ",LEN(A494))),LEN(A494)))), LARGE(INDEX(ISNUMBER(--MID((--TRIM(RIGHT(SUBSTITUTE(LEFT(A494,_xlfn.AGGREGATE(16,6,FIND({0,1,2,3,4,5,6,7,8,9},A494,ROW(INDIRECT("1:"&amp;LEN(A494)))),1))," ",REPT(" ",LEN(A494))),LEN(A494)))), ROW(INDIRECT("1:"&amp;LEN((--TRIM(RIGHT(SUBSTITUTE(LEFT(A494,_xlfn.AGGREGATE(16,6,FIND({0,1,2,3,4,5,6,7,8,9},A494,ROW(INDIRECT("1:"&amp;LEN(A494)))),1))," ",REPT(" ",LEN(A494))),LEN(A494))))))), 1)) * ROW(INDIRECT("1:"&amp;LEN((--TRIM(RIGHT(SUBSTITUTE(LEFT(A494,_xlfn.AGGREGATE(16,6,FIND({0,1,2,3,4,5,6,7,8,9},A494,ROW(INDIRECT("1:"&amp;LEN(A494)))),1))," ",REPT(" ",LEN(A494))),LEN(A494))))))), 0), ROW(INDIRECT("1:"&amp;LEN((--TRIM(RIGHT(SUBSTITUTE(LEFT(A494,_xlfn.AGGREGATE(16,6,FIND({0,1,2,3,4,5,6,7,8,9},A494,ROW(INDIRECT("1:"&amp;LEN(A494)))),1))," ",REPT(" ",LEN(A494))),LEN(A494))))))))+1, 1) * 10^ROW(INDIRECT("1:"&amp;LEN((--TRIM(RIGHT(SUBSTITUTE(LEFT(A494,_xlfn.AGGREGATE(16,6,FIND({0,1,2,3,4,5,6,7,8,9},A494,ROW(INDIRECT("1:"&amp;LEN(A494)))),1))," ",REPT(" ",LEN(A494))),LEN(A494)))))))/10))*1+1</f>
        <v>304 ,.., 1504</v>
      </c>
      <c r="B495" s="93"/>
      <c r="C495" s="42"/>
      <c r="D495" s="42"/>
      <c r="E495" s="42">
        <v>0</v>
      </c>
      <c r="F495" s="42">
        <f>D495+E495</f>
        <v>0</v>
      </c>
      <c r="G495" s="42">
        <v>0</v>
      </c>
      <c r="H495" s="42">
        <f>F495*(($H$479)+1)+(IF(G495&lt;101,G495,IF(G495&lt;201,G495/2,IF(G495&lt;=301,G495/3,G495/4))))</f>
        <v>0</v>
      </c>
      <c r="I495" s="36"/>
    </row>
    <row r="496" spans="1:20" s="37" customFormat="1" ht="15.75" hidden="1" customHeight="1" x14ac:dyDescent="0.35">
      <c r="A496" s="92" t="str">
        <f ca="1">(SUMPRODUCT(MID(0&amp;(LEFT(A495,SUM(LEN(A495)-LEN(SUBSTITUTE(A495,{"0","1","2"},""))))), LARGE(INDEX(ISNUMBER(--MID((LEFT(A495,SUM(LEN(A495)-LEN(SUBSTITUTE(A495,{"0","1","2"},""))))), ROW(INDIRECT("1:"&amp;LEN((LEFT(A495,SUM(LEN(A495)-LEN(SUBSTITUTE(A495,{"0","1","2"},"")))))))), 1)) * ROW(INDIRECT("1:"&amp;LEN((LEFT(A495,SUM(LEN(A495)-LEN(SUBSTITUTE(A495,{"0","1","2"},"")))))))), 0), ROW(INDIRECT("1:"&amp;LEN((LEFT(A495,SUM(LEN(A495)-LEN(SUBSTITUTE(A495,{"0","1","2"},"")))))))))+1, 1) * 10^ROW(INDIRECT("1:"&amp;LEN((LEFT(A495,SUM(LEN(A495)-LEN(SUBSTITUTE(A495,{"0","1","2"},""))))))))/10))*1+1&amp;""&amp;" ,.., "&amp;""&amp;(SUMPRODUCT(MID(0&amp;(--TRIM(RIGHT(SUBSTITUTE(LEFT(A495,_xlfn.AGGREGATE(16,6,FIND({0,1,2,3,4,5,6,7,8,9},A495,ROW(INDIRECT("1:"&amp;LEN(A495)))),1))," ",REPT(" ",LEN(A495))),LEN(A495)))), LARGE(INDEX(ISNUMBER(--MID((--TRIM(RIGHT(SUBSTITUTE(LEFT(A495,_xlfn.AGGREGATE(16,6,FIND({0,1,2,3,4,5,6,7,8,9},A495,ROW(INDIRECT("1:"&amp;LEN(A495)))),1))," ",REPT(" ",LEN(A495))),LEN(A495)))), ROW(INDIRECT("1:"&amp;LEN((--TRIM(RIGHT(SUBSTITUTE(LEFT(A495,_xlfn.AGGREGATE(16,6,FIND({0,1,2,3,4,5,6,7,8,9},A495,ROW(INDIRECT("1:"&amp;LEN(A495)))),1))," ",REPT(" ",LEN(A495))),LEN(A495))))))), 1)) * ROW(INDIRECT("1:"&amp;LEN((--TRIM(RIGHT(SUBSTITUTE(LEFT(A495,_xlfn.AGGREGATE(16,6,FIND({0,1,2,3,4,5,6,7,8,9},A495,ROW(INDIRECT("1:"&amp;LEN(A495)))),1))," ",REPT(" ",LEN(A495))),LEN(A495))))))), 0), ROW(INDIRECT("1:"&amp;LEN((--TRIM(RIGHT(SUBSTITUTE(LEFT(A495,_xlfn.AGGREGATE(16,6,FIND({0,1,2,3,4,5,6,7,8,9},A495,ROW(INDIRECT("1:"&amp;LEN(A495)))),1))," ",REPT(" ",LEN(A495))),LEN(A495))))))))+1, 1) * 10^ROW(INDIRECT("1:"&amp;LEN((--TRIM(RIGHT(SUBSTITUTE(LEFT(A495,_xlfn.AGGREGATE(16,6,FIND({0,1,2,3,4,5,6,7,8,9},A495,ROW(INDIRECT("1:"&amp;LEN(A495)))),1))," ",REPT(" ",LEN(A495))),LEN(A495)))))))/10))*1+1</f>
        <v>305 ,.., 1505</v>
      </c>
      <c r="B496" s="93"/>
      <c r="C496" s="42"/>
      <c r="D496" s="42"/>
      <c r="E496" s="42">
        <v>0</v>
      </c>
      <c r="F496" s="42">
        <f>D496+E496</f>
        <v>0</v>
      </c>
      <c r="G496" s="42">
        <v>0</v>
      </c>
      <c r="H496" s="42">
        <f>F496*(($H$479)+1)+(IF(G496&lt;101,G496,IF(G496&lt;201,G496/2,IF(G496&lt;=301,G496/3,G496/4))))</f>
        <v>0</v>
      </c>
      <c r="I496" s="36"/>
    </row>
    <row r="497" spans="1:20" s="37" customFormat="1" hidden="1" x14ac:dyDescent="0.35">
      <c r="A497" s="172" t="s">
        <v>143</v>
      </c>
      <c r="B497" s="173"/>
      <c r="C497" s="173"/>
      <c r="D497" s="173"/>
      <c r="E497" s="173"/>
      <c r="F497" s="173"/>
      <c r="G497" s="173"/>
      <c r="H497" s="174"/>
      <c r="I497" s="36"/>
    </row>
    <row r="498" spans="1:20" s="37" customFormat="1" ht="15.75" hidden="1" customHeight="1" x14ac:dyDescent="0.35">
      <c r="A498" s="92" t="str">
        <f ca="1">(SUMPRODUCT(MID(0&amp;(LEFT(A497,SUM(LEN(A497)-LEN(SUBSTITUTE(A497,{"0","1","2"},""))))), LARGE(INDEX(ISNUMBER(--MID((LEFT(A497,SUM(LEN(A497)-LEN(SUBSTITUTE(A497,{"0","1","2"},""))))), ROW(INDIRECT("1:"&amp;LEN((LEFT(A497,SUM(LEN(A497)-LEN(SUBSTITUTE(A497,{"0","1","2"},"")))))))), 1)) * ROW(INDIRECT("1:"&amp;LEN((LEFT(A497,SUM(LEN(A497)-LEN(SUBSTITUTE(A497,{"0","1","2"},"")))))))), 0), ROW(INDIRECT("1:"&amp;LEN((LEFT(A497,SUM(LEN(A497)-LEN(SUBSTITUTE(A497,{"0","1","2"},"")))))))))+1, 1) * 10^ROW(INDIRECT("1:"&amp;LEN((LEFT(A497,SUM(LEN(A497)-LEN(SUBSTITUTE(A497,{"0","1","2"},""))))))))/10))*100+1&amp;""&amp;" to "&amp;""&amp;(SUMPRODUCT(MID(0&amp;(--TRIM(RIGHT(SUBSTITUTE(LEFT(A497,_xlfn.AGGREGATE(16,6,FIND({0,1,2,3,4,5,6,7,8,9},A497,ROW(INDIRECT("1:"&amp;LEN(A497)))),1))," ",REPT(" ",LEN(A497))),LEN(A497)))), LARGE(INDEX(ISNUMBER(--MID((--TRIM(RIGHT(SUBSTITUTE(LEFT(A497,_xlfn.AGGREGATE(16,6,FIND({0,1,2,3,4,5,6,7,8,9},A497,ROW(INDIRECT("1:"&amp;LEN(A497)))),1))," ",REPT(" ",LEN(A497))),LEN(A497)))), ROW(INDIRECT("1:"&amp;LEN((--TRIM(RIGHT(SUBSTITUTE(LEFT(A497,_xlfn.AGGREGATE(16,6,FIND({0,1,2,3,4,5,6,7,8,9},A497,ROW(INDIRECT("1:"&amp;LEN(A497)))),1))," ",REPT(" ",LEN(A497))),LEN(A497))))))), 1)) * ROW(INDIRECT("1:"&amp;LEN((--TRIM(RIGHT(SUBSTITUTE(LEFT(A497,_xlfn.AGGREGATE(16,6,FIND({0,1,2,3,4,5,6,7,8,9},A497,ROW(INDIRECT("1:"&amp;LEN(A497)))),1))," ",REPT(" ",LEN(A497))),LEN(A497))))))), 0), ROW(INDIRECT("1:"&amp;LEN((--TRIM(RIGHT(SUBSTITUTE(LEFT(A497,_xlfn.AGGREGATE(16,6,FIND({0,1,2,3,4,5,6,7,8,9},A497,ROW(INDIRECT("1:"&amp;LEN(A497)))),1))," ",REPT(" ",LEN(A497))),LEN(A497))))))))+1, 1) * 10^ROW(INDIRECT("1:"&amp;LEN((--TRIM(RIGHT(SUBSTITUTE(LEFT(A497,_xlfn.AGGREGATE(16,6,FIND({0,1,2,3,4,5,6,7,8,9},A497,ROW(INDIRECT("1:"&amp;LEN(A497)))),1))," ",REPT(" ",LEN(A497))),LEN(A497)))))))/10))*100+1</f>
        <v>201 to 501</v>
      </c>
      <c r="B498" s="93"/>
      <c r="C498" s="42"/>
      <c r="D498" s="42"/>
      <c r="E498" s="42">
        <v>0</v>
      </c>
      <c r="F498" s="42">
        <f>D498+E498</f>
        <v>0</v>
      </c>
      <c r="G498" s="42">
        <v>0</v>
      </c>
      <c r="H498" s="42">
        <f>F498*(($H$479)+1)+(IF(G498&lt;101,G498,IF(G498&lt;201,G498/2,IF(G498&lt;=301,G498/3,G498/4))))</f>
        <v>0</v>
      </c>
      <c r="I498" s="36"/>
    </row>
    <row r="499" spans="1:20" s="37" customFormat="1" ht="15.75" hidden="1" customHeight="1" x14ac:dyDescent="0.35">
      <c r="A499" s="92" t="str">
        <f ca="1">(SUMPRODUCT(MID(0&amp;(LEFT(A498,SUM(LEN(A498)-LEN(SUBSTITUTE(A498,{"0","1","2"},""))))), LARGE(INDEX(ISNUMBER(--MID((LEFT(A498,SUM(LEN(A498)-LEN(SUBSTITUTE(A498,{"0","1","2"},""))))), ROW(INDIRECT("1:"&amp;LEN((LEFT(A498,SUM(LEN(A498)-LEN(SUBSTITUTE(A498,{"0","1","2"},"")))))))), 1)) * ROW(INDIRECT("1:"&amp;LEN((LEFT(A498,SUM(LEN(A498)-LEN(SUBSTITUTE(A498,{"0","1","2"},"")))))))), 0), ROW(INDIRECT("1:"&amp;LEN((LEFT(A498,SUM(LEN(A498)-LEN(SUBSTITUTE(A498,{"0","1","2"},"")))))))))+1, 1) * 10^ROW(INDIRECT("1:"&amp;LEN((LEFT(A498,SUM(LEN(A498)-LEN(SUBSTITUTE(A498,{"0","1","2"},""))))))))/10))*1+1&amp;""&amp;" to "&amp;""&amp;(SUMPRODUCT(MID(0&amp;(--TRIM(RIGHT(SUBSTITUTE(LEFT(A498,_xlfn.AGGREGATE(16,6,FIND({0,1,2,3,4,5,6,7,8,9},A498,ROW(INDIRECT("1:"&amp;LEN(A498)))),1))," ",REPT(" ",LEN(A498))),LEN(A498)))), LARGE(INDEX(ISNUMBER(--MID((--TRIM(RIGHT(SUBSTITUTE(LEFT(A498,_xlfn.AGGREGATE(16,6,FIND({0,1,2,3,4,5,6,7,8,9},A498,ROW(INDIRECT("1:"&amp;LEN(A498)))),1))," ",REPT(" ",LEN(A498))),LEN(A498)))), ROW(INDIRECT("1:"&amp;LEN((--TRIM(RIGHT(SUBSTITUTE(LEFT(A498,_xlfn.AGGREGATE(16,6,FIND({0,1,2,3,4,5,6,7,8,9},A498,ROW(INDIRECT("1:"&amp;LEN(A498)))),1))," ",REPT(" ",LEN(A498))),LEN(A498))))))), 1)) * ROW(INDIRECT("1:"&amp;LEN((--TRIM(RIGHT(SUBSTITUTE(LEFT(A498,_xlfn.AGGREGATE(16,6,FIND({0,1,2,3,4,5,6,7,8,9},A498,ROW(INDIRECT("1:"&amp;LEN(A498)))),1))," ",REPT(" ",LEN(A498))),LEN(A498))))))), 0), ROW(INDIRECT("1:"&amp;LEN((--TRIM(RIGHT(SUBSTITUTE(LEFT(A498,_xlfn.AGGREGATE(16,6,FIND({0,1,2,3,4,5,6,7,8,9},A498,ROW(INDIRECT("1:"&amp;LEN(A498)))),1))," ",REPT(" ",LEN(A498))),LEN(A498))))))))+1, 1) * 10^ROW(INDIRECT("1:"&amp;LEN((--TRIM(RIGHT(SUBSTITUTE(LEFT(A498,_xlfn.AGGREGATE(16,6,FIND({0,1,2,3,4,5,6,7,8,9},A498,ROW(INDIRECT("1:"&amp;LEN(A498)))),1))," ",REPT(" ",LEN(A498))),LEN(A498)))))))/10))*1+1</f>
        <v>202 to 502</v>
      </c>
      <c r="B499" s="93"/>
      <c r="C499" s="42"/>
      <c r="D499" s="42"/>
      <c r="E499" s="42">
        <v>0</v>
      </c>
      <c r="F499" s="42">
        <f>D499+E499</f>
        <v>0</v>
      </c>
      <c r="G499" s="42">
        <v>0</v>
      </c>
      <c r="H499" s="42">
        <f>F499*(($H$479)+1)+(IF(G499&lt;101,G499,IF(G499&lt;201,G499/2,IF(G499&lt;=301,G499/3,G499/4))))</f>
        <v>0</v>
      </c>
      <c r="I499" s="36"/>
    </row>
    <row r="500" spans="1:20" s="37" customFormat="1" ht="15.75" hidden="1" customHeight="1" x14ac:dyDescent="0.35">
      <c r="A500" s="92" t="str">
        <f ca="1">(SUMPRODUCT(MID(0&amp;(LEFT(A499,SUM(LEN(A499)-LEN(SUBSTITUTE(A499,{"0","1","2"},""))))), LARGE(INDEX(ISNUMBER(--MID((LEFT(A499,SUM(LEN(A499)-LEN(SUBSTITUTE(A499,{"0","1","2"},""))))), ROW(INDIRECT("1:"&amp;LEN((LEFT(A499,SUM(LEN(A499)-LEN(SUBSTITUTE(A499,{"0","1","2"},"")))))))), 1)) * ROW(INDIRECT("1:"&amp;LEN((LEFT(A499,SUM(LEN(A499)-LEN(SUBSTITUTE(A499,{"0","1","2"},"")))))))), 0), ROW(INDIRECT("1:"&amp;LEN((LEFT(A499,SUM(LEN(A499)-LEN(SUBSTITUTE(A499,{"0","1","2"},"")))))))))+1, 1) * 10^ROW(INDIRECT("1:"&amp;LEN((LEFT(A499,SUM(LEN(A499)-LEN(SUBSTITUTE(A499,{"0","1","2"},""))))))))/10))*1+1&amp;""&amp;" to "&amp;""&amp;(SUMPRODUCT(MID(0&amp;(--TRIM(RIGHT(SUBSTITUTE(LEFT(A499,_xlfn.AGGREGATE(16,6,FIND({0,1,2,3,4,5,6,7,8,9},A499,ROW(INDIRECT("1:"&amp;LEN(A499)))),1))," ",REPT(" ",LEN(A499))),LEN(A499)))), LARGE(INDEX(ISNUMBER(--MID((--TRIM(RIGHT(SUBSTITUTE(LEFT(A499,_xlfn.AGGREGATE(16,6,FIND({0,1,2,3,4,5,6,7,8,9},A499,ROW(INDIRECT("1:"&amp;LEN(A499)))),1))," ",REPT(" ",LEN(A499))),LEN(A499)))), ROW(INDIRECT("1:"&amp;LEN((--TRIM(RIGHT(SUBSTITUTE(LEFT(A499,_xlfn.AGGREGATE(16,6,FIND({0,1,2,3,4,5,6,7,8,9},A499,ROW(INDIRECT("1:"&amp;LEN(A499)))),1))," ",REPT(" ",LEN(A499))),LEN(A499))))))), 1)) * ROW(INDIRECT("1:"&amp;LEN((--TRIM(RIGHT(SUBSTITUTE(LEFT(A499,_xlfn.AGGREGATE(16,6,FIND({0,1,2,3,4,5,6,7,8,9},A499,ROW(INDIRECT("1:"&amp;LEN(A499)))),1))," ",REPT(" ",LEN(A499))),LEN(A499))))))), 0), ROW(INDIRECT("1:"&amp;LEN((--TRIM(RIGHT(SUBSTITUTE(LEFT(A499,_xlfn.AGGREGATE(16,6,FIND({0,1,2,3,4,5,6,7,8,9},A499,ROW(INDIRECT("1:"&amp;LEN(A499)))),1))," ",REPT(" ",LEN(A499))),LEN(A499))))))))+1, 1) * 10^ROW(INDIRECT("1:"&amp;LEN((--TRIM(RIGHT(SUBSTITUTE(LEFT(A499,_xlfn.AGGREGATE(16,6,FIND({0,1,2,3,4,5,6,7,8,9},A499,ROW(INDIRECT("1:"&amp;LEN(A499)))),1))," ",REPT(" ",LEN(A499))),LEN(A499)))))))/10))*1+1</f>
        <v>203 to 503</v>
      </c>
      <c r="B500" s="93"/>
      <c r="C500" s="42"/>
      <c r="D500" s="42"/>
      <c r="E500" s="42">
        <v>0</v>
      </c>
      <c r="F500" s="42">
        <f>D500+E500</f>
        <v>0</v>
      </c>
      <c r="G500" s="42">
        <v>0</v>
      </c>
      <c r="H500" s="42">
        <f>F500*(($H$479)+1)+(IF(G500&lt;101,G500,IF(G500&lt;201,G500/2,IF(G500&lt;=301,G500/3,G500/4))))</f>
        <v>0</v>
      </c>
      <c r="I500" s="36"/>
    </row>
    <row r="501" spans="1:20" s="37" customFormat="1" ht="15.75" hidden="1" customHeight="1" x14ac:dyDescent="0.35">
      <c r="A501" s="92" t="str">
        <f ca="1">(SUMPRODUCT(MID(0&amp;(LEFT(A500,SUM(LEN(A500)-LEN(SUBSTITUTE(A500,{"0","1","2"},""))))), LARGE(INDEX(ISNUMBER(--MID((LEFT(A500,SUM(LEN(A500)-LEN(SUBSTITUTE(A500,{"0","1","2"},""))))), ROW(INDIRECT("1:"&amp;LEN((LEFT(A500,SUM(LEN(A500)-LEN(SUBSTITUTE(A500,{"0","1","2"},"")))))))), 1)) * ROW(INDIRECT("1:"&amp;LEN((LEFT(A500,SUM(LEN(A500)-LEN(SUBSTITUTE(A500,{"0","1","2"},"")))))))), 0), ROW(INDIRECT("1:"&amp;LEN((LEFT(A500,SUM(LEN(A500)-LEN(SUBSTITUTE(A500,{"0","1","2"},"")))))))))+1, 1) * 10^ROW(INDIRECT("1:"&amp;LEN((LEFT(A500,SUM(LEN(A500)-LEN(SUBSTITUTE(A500,{"0","1","2"},""))))))))/10))*1+1&amp;""&amp;" to "&amp;""&amp;(SUMPRODUCT(MID(0&amp;(--TRIM(RIGHT(SUBSTITUTE(LEFT(A500,_xlfn.AGGREGATE(16,6,FIND({0,1,2,3,4,5,6,7,8,9},A500,ROW(INDIRECT("1:"&amp;LEN(A500)))),1))," ",REPT(" ",LEN(A500))),LEN(A500)))), LARGE(INDEX(ISNUMBER(--MID((--TRIM(RIGHT(SUBSTITUTE(LEFT(A500,_xlfn.AGGREGATE(16,6,FIND({0,1,2,3,4,5,6,7,8,9},A500,ROW(INDIRECT("1:"&amp;LEN(A500)))),1))," ",REPT(" ",LEN(A500))),LEN(A500)))), ROW(INDIRECT("1:"&amp;LEN((--TRIM(RIGHT(SUBSTITUTE(LEFT(A500,_xlfn.AGGREGATE(16,6,FIND({0,1,2,3,4,5,6,7,8,9},A500,ROW(INDIRECT("1:"&amp;LEN(A500)))),1))," ",REPT(" ",LEN(A500))),LEN(A500))))))), 1)) * ROW(INDIRECT("1:"&amp;LEN((--TRIM(RIGHT(SUBSTITUTE(LEFT(A500,_xlfn.AGGREGATE(16,6,FIND({0,1,2,3,4,5,6,7,8,9},A500,ROW(INDIRECT("1:"&amp;LEN(A500)))),1))," ",REPT(" ",LEN(A500))),LEN(A500))))))), 0), ROW(INDIRECT("1:"&amp;LEN((--TRIM(RIGHT(SUBSTITUTE(LEFT(A500,_xlfn.AGGREGATE(16,6,FIND({0,1,2,3,4,5,6,7,8,9},A500,ROW(INDIRECT("1:"&amp;LEN(A500)))),1))," ",REPT(" ",LEN(A500))),LEN(A500))))))))+1, 1) * 10^ROW(INDIRECT("1:"&amp;LEN((--TRIM(RIGHT(SUBSTITUTE(LEFT(A500,_xlfn.AGGREGATE(16,6,FIND({0,1,2,3,4,5,6,7,8,9},A500,ROW(INDIRECT("1:"&amp;LEN(A500)))),1))," ",REPT(" ",LEN(A500))),LEN(A500)))))))/10))*1+1</f>
        <v>204 to 504</v>
      </c>
      <c r="B501" s="93"/>
      <c r="C501" s="42"/>
      <c r="D501" s="42"/>
      <c r="E501" s="42">
        <v>0</v>
      </c>
      <c r="F501" s="42">
        <f>D501+E501</f>
        <v>0</v>
      </c>
      <c r="G501" s="42">
        <v>0</v>
      </c>
      <c r="H501" s="42">
        <f>F501*(($H$479)+1)+(IF(G501&lt;101,G501,IF(G501&lt;201,G501/2,IF(G501&lt;=301,G501/3,G501/4))))</f>
        <v>0</v>
      </c>
      <c r="I501" s="36"/>
    </row>
    <row r="502" spans="1:20" s="37" customFormat="1" ht="15.75" hidden="1" customHeight="1" x14ac:dyDescent="0.35">
      <c r="A502" s="92" t="str">
        <f ca="1">(SUMPRODUCT(MID(0&amp;(LEFT(A501,SUM(LEN(A501)-LEN(SUBSTITUTE(A501,{"0","1","2"},""))))), LARGE(INDEX(ISNUMBER(--MID((LEFT(A501,SUM(LEN(A501)-LEN(SUBSTITUTE(A501,{"0","1","2"},""))))), ROW(INDIRECT("1:"&amp;LEN((LEFT(A501,SUM(LEN(A501)-LEN(SUBSTITUTE(A501,{"0","1","2"},"")))))))), 1)) * ROW(INDIRECT("1:"&amp;LEN((LEFT(A501,SUM(LEN(A501)-LEN(SUBSTITUTE(A501,{"0","1","2"},"")))))))), 0), ROW(INDIRECT("1:"&amp;LEN((LEFT(A501,SUM(LEN(A501)-LEN(SUBSTITUTE(A501,{"0","1","2"},"")))))))))+1, 1) * 10^ROW(INDIRECT("1:"&amp;LEN((LEFT(A501,SUM(LEN(A501)-LEN(SUBSTITUTE(A501,{"0","1","2"},""))))))))/10))*1+1&amp;""&amp;" to "&amp;""&amp;(SUMPRODUCT(MID(0&amp;(--TRIM(RIGHT(SUBSTITUTE(LEFT(A501,_xlfn.AGGREGATE(16,6,FIND({0,1,2,3,4,5,6,7,8,9},A501,ROW(INDIRECT("1:"&amp;LEN(A501)))),1))," ",REPT(" ",LEN(A501))),LEN(A501)))), LARGE(INDEX(ISNUMBER(--MID((--TRIM(RIGHT(SUBSTITUTE(LEFT(A501,_xlfn.AGGREGATE(16,6,FIND({0,1,2,3,4,5,6,7,8,9},A501,ROW(INDIRECT("1:"&amp;LEN(A501)))),1))," ",REPT(" ",LEN(A501))),LEN(A501)))), ROW(INDIRECT("1:"&amp;LEN((--TRIM(RIGHT(SUBSTITUTE(LEFT(A501,_xlfn.AGGREGATE(16,6,FIND({0,1,2,3,4,5,6,7,8,9},A501,ROW(INDIRECT("1:"&amp;LEN(A501)))),1))," ",REPT(" ",LEN(A501))),LEN(A501))))))), 1)) * ROW(INDIRECT("1:"&amp;LEN((--TRIM(RIGHT(SUBSTITUTE(LEFT(A501,_xlfn.AGGREGATE(16,6,FIND({0,1,2,3,4,5,6,7,8,9},A501,ROW(INDIRECT("1:"&amp;LEN(A501)))),1))," ",REPT(" ",LEN(A501))),LEN(A501))))))), 0), ROW(INDIRECT("1:"&amp;LEN((--TRIM(RIGHT(SUBSTITUTE(LEFT(A501,_xlfn.AGGREGATE(16,6,FIND({0,1,2,3,4,5,6,7,8,9},A501,ROW(INDIRECT("1:"&amp;LEN(A501)))),1))," ",REPT(" ",LEN(A501))),LEN(A501))))))))+1, 1) * 10^ROW(INDIRECT("1:"&amp;LEN((--TRIM(RIGHT(SUBSTITUTE(LEFT(A501,_xlfn.AGGREGATE(16,6,FIND({0,1,2,3,4,5,6,7,8,9},A501,ROW(INDIRECT("1:"&amp;LEN(A501)))),1))," ",REPT(" ",LEN(A501))),LEN(A501)))))))/10))*1+1</f>
        <v>205 to 505</v>
      </c>
      <c r="B502" s="93"/>
      <c r="C502" s="42"/>
      <c r="D502" s="42"/>
      <c r="E502" s="42">
        <v>0</v>
      </c>
      <c r="F502" s="42">
        <f>D502+E502</f>
        <v>0</v>
      </c>
      <c r="G502" s="42">
        <v>0</v>
      </c>
      <c r="H502" s="42">
        <f>F502*(($H$479)+1)+(IF(G502&lt;101,G502,IF(G502&lt;201,G502/2,IF(G502&lt;=301,G502/3,G502/4))))</f>
        <v>0</v>
      </c>
      <c r="I502" s="36"/>
    </row>
    <row r="503" spans="1:20" s="37" customFormat="1" hidden="1" x14ac:dyDescent="0.35">
      <c r="A503" s="172" t="s">
        <v>144</v>
      </c>
      <c r="B503" s="173"/>
      <c r="C503" s="173"/>
      <c r="D503" s="173"/>
      <c r="E503" s="173"/>
      <c r="F503" s="173"/>
      <c r="G503" s="173"/>
      <c r="H503" s="174"/>
      <c r="I503" s="36"/>
    </row>
    <row r="504" spans="1:20" s="37" customFormat="1" ht="15.75" hidden="1" customHeight="1" x14ac:dyDescent="0.35">
      <c r="A504" s="92" t="str">
        <f ca="1">(SUMPRODUCT(MID(0&amp;(LEFT(A503,SUM(LEN(A503)-LEN(SUBSTITUTE(A503,{"0","1","2"},""))))), LARGE(INDEX(ISNUMBER(--MID((LEFT(A503,SUM(LEN(A503)-LEN(SUBSTITUTE(A503,{"0","1","2"},""))))), ROW(INDIRECT("1:"&amp;LEN((LEFT(A503,SUM(LEN(A503)-LEN(SUBSTITUTE(A503,{"0","1","2"},"")))))))), 1)) * ROW(INDIRECT("1:"&amp;LEN((LEFT(A503,SUM(LEN(A503)-LEN(SUBSTITUTE(A503,{"0","1","2"},"")))))))), 0), ROW(INDIRECT("1:"&amp;LEN((LEFT(A503,SUM(LEN(A503)-LEN(SUBSTITUTE(A503,{"0","1","2"},"")))))))))+1, 1) * 10^ROW(INDIRECT("1:"&amp;LEN((LEFT(A503,SUM(LEN(A503)-LEN(SUBSTITUTE(A503,{"0","1","2"},""))))))))/10))*100+1&amp;""&amp;" &amp; "&amp;""&amp;(SUMPRODUCT(MID(0&amp;(--TRIM(RIGHT(SUBSTITUTE(LEFT(A503,_xlfn.AGGREGATE(16,6,FIND({0,1,2,3,4,5,6,7,8,9},A503,ROW(INDIRECT("1:"&amp;LEN(A503)))),1))," ",REPT(" ",LEN(A503))),LEN(A503)))), LARGE(INDEX(ISNUMBER(--MID((--TRIM(RIGHT(SUBSTITUTE(LEFT(A503,_xlfn.AGGREGATE(16,6,FIND({0,1,2,3,4,5,6,7,8,9},A503,ROW(INDIRECT("1:"&amp;LEN(A503)))),1))," ",REPT(" ",LEN(A503))),LEN(A503)))), ROW(INDIRECT("1:"&amp;LEN((--TRIM(RIGHT(SUBSTITUTE(LEFT(A503,_xlfn.AGGREGATE(16,6,FIND({0,1,2,3,4,5,6,7,8,9},A503,ROW(INDIRECT("1:"&amp;LEN(A503)))),1))," ",REPT(" ",LEN(A503))),LEN(A503))))))), 1)) * ROW(INDIRECT("1:"&amp;LEN((--TRIM(RIGHT(SUBSTITUTE(LEFT(A503,_xlfn.AGGREGATE(16,6,FIND({0,1,2,3,4,5,6,7,8,9},A503,ROW(INDIRECT("1:"&amp;LEN(A503)))),1))," ",REPT(" ",LEN(A503))),LEN(A503))))))), 0), ROW(INDIRECT("1:"&amp;LEN((--TRIM(RIGHT(SUBSTITUTE(LEFT(A503,_xlfn.AGGREGATE(16,6,FIND({0,1,2,3,4,5,6,7,8,9},A503,ROW(INDIRECT("1:"&amp;LEN(A503)))),1))," ",REPT(" ",LEN(A503))),LEN(A503))))))))+1, 1) * 10^ROW(INDIRECT("1:"&amp;LEN((--TRIM(RIGHT(SUBSTITUTE(LEFT(A503,_xlfn.AGGREGATE(16,6,FIND({0,1,2,3,4,5,6,7,8,9},A503,ROW(INDIRECT("1:"&amp;LEN(A503)))),1))," ",REPT(" ",LEN(A503))),LEN(A503)))))))/10))*100+1</f>
        <v>201 &amp; 501</v>
      </c>
      <c r="B504" s="93"/>
      <c r="C504" s="42"/>
      <c r="D504" s="42"/>
      <c r="E504" s="42">
        <v>0</v>
      </c>
      <c r="F504" s="42">
        <f>D504+E504</f>
        <v>0</v>
      </c>
      <c r="G504" s="42">
        <v>0</v>
      </c>
      <c r="H504" s="42">
        <f>F504*(($H$479)+1)+(IF(G504&lt;101,G504,IF(G504&lt;201,G504/2,IF(G504&lt;=301,G504/3,G504/4))))</f>
        <v>0</v>
      </c>
      <c r="I504" s="36"/>
    </row>
    <row r="505" spans="1:20" s="37" customFormat="1" ht="15.75" hidden="1" customHeight="1" x14ac:dyDescent="0.35">
      <c r="A505" s="92" t="str">
        <f ca="1">(SUMPRODUCT(MID(0&amp;(LEFT(A504,SUM(LEN(A504)-LEN(SUBSTITUTE(A504,{"0","1","2"},""))))), LARGE(INDEX(ISNUMBER(--MID((LEFT(A504,SUM(LEN(A504)-LEN(SUBSTITUTE(A504,{"0","1","2"},""))))), ROW(INDIRECT("1:"&amp;LEN((LEFT(A504,SUM(LEN(A504)-LEN(SUBSTITUTE(A504,{"0","1","2"},"")))))))), 1)) * ROW(INDIRECT("1:"&amp;LEN((LEFT(A504,SUM(LEN(A504)-LEN(SUBSTITUTE(A504,{"0","1","2"},"")))))))), 0), ROW(INDIRECT("1:"&amp;LEN((LEFT(A504,SUM(LEN(A504)-LEN(SUBSTITUTE(A504,{"0","1","2"},"")))))))))+1, 1) * 10^ROW(INDIRECT("1:"&amp;LEN((LEFT(A504,SUM(LEN(A504)-LEN(SUBSTITUTE(A504,{"0","1","2"},""))))))))/10))*1+1&amp;""&amp;" &amp; "&amp;""&amp;(SUMPRODUCT(MID(0&amp;(--TRIM(RIGHT(SUBSTITUTE(LEFT(A504,_xlfn.AGGREGATE(16,6,FIND({0,1,2,3,4,5,6,7,8,9},A504,ROW(INDIRECT("1:"&amp;LEN(A504)))),1))," ",REPT(" ",LEN(A504))),LEN(A504)))), LARGE(INDEX(ISNUMBER(--MID((--TRIM(RIGHT(SUBSTITUTE(LEFT(A504,_xlfn.AGGREGATE(16,6,FIND({0,1,2,3,4,5,6,7,8,9},A504,ROW(INDIRECT("1:"&amp;LEN(A504)))),1))," ",REPT(" ",LEN(A504))),LEN(A504)))), ROW(INDIRECT("1:"&amp;LEN((--TRIM(RIGHT(SUBSTITUTE(LEFT(A504,_xlfn.AGGREGATE(16,6,FIND({0,1,2,3,4,5,6,7,8,9},A504,ROW(INDIRECT("1:"&amp;LEN(A504)))),1))," ",REPT(" ",LEN(A504))),LEN(A504))))))), 1)) * ROW(INDIRECT("1:"&amp;LEN((--TRIM(RIGHT(SUBSTITUTE(LEFT(A504,_xlfn.AGGREGATE(16,6,FIND({0,1,2,3,4,5,6,7,8,9},A504,ROW(INDIRECT("1:"&amp;LEN(A504)))),1))," ",REPT(" ",LEN(A504))),LEN(A504))))))), 0), ROW(INDIRECT("1:"&amp;LEN((--TRIM(RIGHT(SUBSTITUTE(LEFT(A504,_xlfn.AGGREGATE(16,6,FIND({0,1,2,3,4,5,6,7,8,9},A504,ROW(INDIRECT("1:"&amp;LEN(A504)))),1))," ",REPT(" ",LEN(A504))),LEN(A504))))))))+1, 1) * 10^ROW(INDIRECT("1:"&amp;LEN((--TRIM(RIGHT(SUBSTITUTE(LEFT(A504,_xlfn.AGGREGATE(16,6,FIND({0,1,2,3,4,5,6,7,8,9},A504,ROW(INDIRECT("1:"&amp;LEN(A504)))),1))," ",REPT(" ",LEN(A504))),LEN(A504)))))))/10))*1+1</f>
        <v>202 &amp; 502</v>
      </c>
      <c r="B505" s="93"/>
      <c r="C505" s="42"/>
      <c r="D505" s="42"/>
      <c r="E505" s="42">
        <v>0</v>
      </c>
      <c r="F505" s="42">
        <f>D505+E505</f>
        <v>0</v>
      </c>
      <c r="G505" s="42">
        <v>0</v>
      </c>
      <c r="H505" s="42">
        <f>F505*(($H$479)+1)+(IF(G505&lt;101,G505,IF(G505&lt;201,G505/2,IF(G505&lt;=301,G505/3,G505/4))))</f>
        <v>0</v>
      </c>
      <c r="I505" s="36"/>
    </row>
    <row r="506" spans="1:20" s="37" customFormat="1" ht="15.75" hidden="1" customHeight="1" x14ac:dyDescent="0.35">
      <c r="A506" s="92" t="str">
        <f ca="1">(SUMPRODUCT(MID(0&amp;(LEFT(A505,SUM(LEN(A505)-LEN(SUBSTITUTE(A505,{"0","1","2"},""))))), LARGE(INDEX(ISNUMBER(--MID((LEFT(A505,SUM(LEN(A505)-LEN(SUBSTITUTE(A505,{"0","1","2"},""))))), ROW(INDIRECT("1:"&amp;LEN((LEFT(A505,SUM(LEN(A505)-LEN(SUBSTITUTE(A505,{"0","1","2"},"")))))))), 1)) * ROW(INDIRECT("1:"&amp;LEN((LEFT(A505,SUM(LEN(A505)-LEN(SUBSTITUTE(A505,{"0","1","2"},"")))))))), 0), ROW(INDIRECT("1:"&amp;LEN((LEFT(A505,SUM(LEN(A505)-LEN(SUBSTITUTE(A505,{"0","1","2"},"")))))))))+1, 1) * 10^ROW(INDIRECT("1:"&amp;LEN((LEFT(A505,SUM(LEN(A505)-LEN(SUBSTITUTE(A505,{"0","1","2"},""))))))))/10))*1+1&amp;""&amp;" &amp; "&amp;""&amp;(SUMPRODUCT(MID(0&amp;(--TRIM(RIGHT(SUBSTITUTE(LEFT(A505,_xlfn.AGGREGATE(16,6,FIND({0,1,2,3,4,5,6,7,8,9},A505,ROW(INDIRECT("1:"&amp;LEN(A505)))),1))," ",REPT(" ",LEN(A505))),LEN(A505)))), LARGE(INDEX(ISNUMBER(--MID((--TRIM(RIGHT(SUBSTITUTE(LEFT(A505,_xlfn.AGGREGATE(16,6,FIND({0,1,2,3,4,5,6,7,8,9},A505,ROW(INDIRECT("1:"&amp;LEN(A505)))),1))," ",REPT(" ",LEN(A505))),LEN(A505)))), ROW(INDIRECT("1:"&amp;LEN((--TRIM(RIGHT(SUBSTITUTE(LEFT(A505,_xlfn.AGGREGATE(16,6,FIND({0,1,2,3,4,5,6,7,8,9},A505,ROW(INDIRECT("1:"&amp;LEN(A505)))),1))," ",REPT(" ",LEN(A505))),LEN(A505))))))), 1)) * ROW(INDIRECT("1:"&amp;LEN((--TRIM(RIGHT(SUBSTITUTE(LEFT(A505,_xlfn.AGGREGATE(16,6,FIND({0,1,2,3,4,5,6,7,8,9},A505,ROW(INDIRECT("1:"&amp;LEN(A505)))),1))," ",REPT(" ",LEN(A505))),LEN(A505))))))), 0), ROW(INDIRECT("1:"&amp;LEN((--TRIM(RIGHT(SUBSTITUTE(LEFT(A505,_xlfn.AGGREGATE(16,6,FIND({0,1,2,3,4,5,6,7,8,9},A505,ROW(INDIRECT("1:"&amp;LEN(A505)))),1))," ",REPT(" ",LEN(A505))),LEN(A505))))))))+1, 1) * 10^ROW(INDIRECT("1:"&amp;LEN((--TRIM(RIGHT(SUBSTITUTE(LEFT(A505,_xlfn.AGGREGATE(16,6,FIND({0,1,2,3,4,5,6,7,8,9},A505,ROW(INDIRECT("1:"&amp;LEN(A505)))),1))," ",REPT(" ",LEN(A505))),LEN(A505)))))))/10))*1+1</f>
        <v>203 &amp; 503</v>
      </c>
      <c r="B506" s="93"/>
      <c r="C506" s="42"/>
      <c r="D506" s="42"/>
      <c r="E506" s="42">
        <v>0</v>
      </c>
      <c r="F506" s="42">
        <f>D506+E506</f>
        <v>0</v>
      </c>
      <c r="G506" s="42">
        <v>0</v>
      </c>
      <c r="H506" s="42">
        <f>F506*(($H$479)+1)+(IF(G506&lt;101,G506,IF(G506&lt;201,G506/2,IF(G506&lt;=301,G506/3,G506/4))))</f>
        <v>0</v>
      </c>
      <c r="I506" s="36"/>
    </row>
    <row r="507" spans="1:20" s="37" customFormat="1" ht="15.75" hidden="1" customHeight="1" x14ac:dyDescent="0.35">
      <c r="A507" s="92" t="str">
        <f ca="1">(SUMPRODUCT(MID(0&amp;(LEFT(A506,SUM(LEN(A506)-LEN(SUBSTITUTE(A506,{"0","1","2"},""))))), LARGE(INDEX(ISNUMBER(--MID((LEFT(A506,SUM(LEN(A506)-LEN(SUBSTITUTE(A506,{"0","1","2"},""))))), ROW(INDIRECT("1:"&amp;LEN((LEFT(A506,SUM(LEN(A506)-LEN(SUBSTITUTE(A506,{"0","1","2"},"")))))))), 1)) * ROW(INDIRECT("1:"&amp;LEN((LEFT(A506,SUM(LEN(A506)-LEN(SUBSTITUTE(A506,{"0","1","2"},"")))))))), 0), ROW(INDIRECT("1:"&amp;LEN((LEFT(A506,SUM(LEN(A506)-LEN(SUBSTITUTE(A506,{"0","1","2"},"")))))))))+1, 1) * 10^ROW(INDIRECT("1:"&amp;LEN((LEFT(A506,SUM(LEN(A506)-LEN(SUBSTITUTE(A506,{"0","1","2"},""))))))))/10))*1+1&amp;""&amp;" &amp; "&amp;""&amp;(SUMPRODUCT(MID(0&amp;(--TRIM(RIGHT(SUBSTITUTE(LEFT(A506,_xlfn.AGGREGATE(16,6,FIND({0,1,2,3,4,5,6,7,8,9},A506,ROW(INDIRECT("1:"&amp;LEN(A506)))),1))," ",REPT(" ",LEN(A506))),LEN(A506)))), LARGE(INDEX(ISNUMBER(--MID((--TRIM(RIGHT(SUBSTITUTE(LEFT(A506,_xlfn.AGGREGATE(16,6,FIND({0,1,2,3,4,5,6,7,8,9},A506,ROW(INDIRECT("1:"&amp;LEN(A506)))),1))," ",REPT(" ",LEN(A506))),LEN(A506)))), ROW(INDIRECT("1:"&amp;LEN((--TRIM(RIGHT(SUBSTITUTE(LEFT(A506,_xlfn.AGGREGATE(16,6,FIND({0,1,2,3,4,5,6,7,8,9},A506,ROW(INDIRECT("1:"&amp;LEN(A506)))),1))," ",REPT(" ",LEN(A506))),LEN(A506))))))), 1)) * ROW(INDIRECT("1:"&amp;LEN((--TRIM(RIGHT(SUBSTITUTE(LEFT(A506,_xlfn.AGGREGATE(16,6,FIND({0,1,2,3,4,5,6,7,8,9},A506,ROW(INDIRECT("1:"&amp;LEN(A506)))),1))," ",REPT(" ",LEN(A506))),LEN(A506))))))), 0), ROW(INDIRECT("1:"&amp;LEN((--TRIM(RIGHT(SUBSTITUTE(LEFT(A506,_xlfn.AGGREGATE(16,6,FIND({0,1,2,3,4,5,6,7,8,9},A506,ROW(INDIRECT("1:"&amp;LEN(A506)))),1))," ",REPT(" ",LEN(A506))),LEN(A506))))))))+1, 1) * 10^ROW(INDIRECT("1:"&amp;LEN((--TRIM(RIGHT(SUBSTITUTE(LEFT(A506,_xlfn.AGGREGATE(16,6,FIND({0,1,2,3,4,5,6,7,8,9},A506,ROW(INDIRECT("1:"&amp;LEN(A506)))),1))," ",REPT(" ",LEN(A506))),LEN(A506)))))))/10))*1+1</f>
        <v>204 &amp; 504</v>
      </c>
      <c r="B507" s="93"/>
      <c r="C507" s="42"/>
      <c r="D507" s="42"/>
      <c r="E507" s="42">
        <v>0</v>
      </c>
      <c r="F507" s="42">
        <f>D507+E507</f>
        <v>0</v>
      </c>
      <c r="G507" s="42">
        <v>0</v>
      </c>
      <c r="H507" s="42">
        <f>F507*(($H$479)+1)+(IF(G507&lt;101,G507,IF(G507&lt;201,G507/2,IF(G507&lt;=301,G507/3,G507/4))))</f>
        <v>0</v>
      </c>
      <c r="I507" s="36"/>
    </row>
    <row r="508" spans="1:20" s="37" customFormat="1" ht="15.75" hidden="1" customHeight="1" x14ac:dyDescent="0.35">
      <c r="A508" s="92" t="str">
        <f ca="1">(SUMPRODUCT(MID(0&amp;(LEFT(A507,SUM(LEN(A507)-LEN(SUBSTITUTE(A507,{"0","1","2"},""))))), LARGE(INDEX(ISNUMBER(--MID((LEFT(A507,SUM(LEN(A507)-LEN(SUBSTITUTE(A507,{"0","1","2"},""))))), ROW(INDIRECT("1:"&amp;LEN((LEFT(A507,SUM(LEN(A507)-LEN(SUBSTITUTE(A507,{"0","1","2"},"")))))))), 1)) * ROW(INDIRECT("1:"&amp;LEN((LEFT(A507,SUM(LEN(A507)-LEN(SUBSTITUTE(A507,{"0","1","2"},"")))))))), 0), ROW(INDIRECT("1:"&amp;LEN((LEFT(A507,SUM(LEN(A507)-LEN(SUBSTITUTE(A507,{"0","1","2"},"")))))))))+1, 1) * 10^ROW(INDIRECT("1:"&amp;LEN((LEFT(A507,SUM(LEN(A507)-LEN(SUBSTITUTE(A507,{"0","1","2"},""))))))))/10))*1+1&amp;""&amp;" &amp; "&amp;""&amp;(SUMPRODUCT(MID(0&amp;(--TRIM(RIGHT(SUBSTITUTE(LEFT(A507,_xlfn.AGGREGATE(16,6,FIND({0,1,2,3,4,5,6,7,8,9},A507,ROW(INDIRECT("1:"&amp;LEN(A507)))),1))," ",REPT(" ",LEN(A507))),LEN(A507)))), LARGE(INDEX(ISNUMBER(--MID((--TRIM(RIGHT(SUBSTITUTE(LEFT(A507,_xlfn.AGGREGATE(16,6,FIND({0,1,2,3,4,5,6,7,8,9},A507,ROW(INDIRECT("1:"&amp;LEN(A507)))),1))," ",REPT(" ",LEN(A507))),LEN(A507)))), ROW(INDIRECT("1:"&amp;LEN((--TRIM(RIGHT(SUBSTITUTE(LEFT(A507,_xlfn.AGGREGATE(16,6,FIND({0,1,2,3,4,5,6,7,8,9},A507,ROW(INDIRECT("1:"&amp;LEN(A507)))),1))," ",REPT(" ",LEN(A507))),LEN(A507))))))), 1)) * ROW(INDIRECT("1:"&amp;LEN((--TRIM(RIGHT(SUBSTITUTE(LEFT(A507,_xlfn.AGGREGATE(16,6,FIND({0,1,2,3,4,5,6,7,8,9},A507,ROW(INDIRECT("1:"&amp;LEN(A507)))),1))," ",REPT(" ",LEN(A507))),LEN(A507))))))), 0), ROW(INDIRECT("1:"&amp;LEN((--TRIM(RIGHT(SUBSTITUTE(LEFT(A507,_xlfn.AGGREGATE(16,6,FIND({0,1,2,3,4,5,6,7,8,9},A507,ROW(INDIRECT("1:"&amp;LEN(A507)))),1))," ",REPT(" ",LEN(A507))),LEN(A507))))))))+1, 1) * 10^ROW(INDIRECT("1:"&amp;LEN((--TRIM(RIGHT(SUBSTITUTE(LEFT(A507,_xlfn.AGGREGATE(16,6,FIND({0,1,2,3,4,5,6,7,8,9},A507,ROW(INDIRECT("1:"&amp;LEN(A507)))),1))," ",REPT(" ",LEN(A507))),LEN(A507)))))))/10))*1+1</f>
        <v>205 &amp; 505</v>
      </c>
      <c r="B508" s="93"/>
      <c r="C508" s="42"/>
      <c r="D508" s="42"/>
      <c r="E508" s="42">
        <v>0</v>
      </c>
      <c r="F508" s="42">
        <f>D508+E508</f>
        <v>0</v>
      </c>
      <c r="G508" s="42">
        <v>0</v>
      </c>
      <c r="H508" s="42">
        <f>F508*(($H$479)+1)+(IF(G508&lt;101,G508,IF(G508&lt;201,G508/2,IF(G508&lt;=301,G508/3,G508/4))))</f>
        <v>0</v>
      </c>
      <c r="I508" s="36"/>
    </row>
    <row r="509" spans="1:20" s="35" customFormat="1" x14ac:dyDescent="0.35">
      <c r="A509" s="181" t="s">
        <v>65</v>
      </c>
      <c r="B509" s="181"/>
      <c r="C509" s="181"/>
      <c r="D509" s="181"/>
      <c r="E509" s="181"/>
      <c r="F509" s="181"/>
      <c r="G509" s="181"/>
      <c r="H509" s="181"/>
      <c r="T509" s="37"/>
    </row>
    <row r="510" spans="1:20" s="35" customFormat="1" x14ac:dyDescent="0.35">
      <c r="A510" s="85" t="s">
        <v>153</v>
      </c>
      <c r="B510" s="91" t="s">
        <v>407</v>
      </c>
      <c r="C510" s="91"/>
      <c r="D510" s="91"/>
      <c r="E510" s="91"/>
      <c r="F510" s="91"/>
      <c r="G510" s="91"/>
      <c r="H510" s="91"/>
      <c r="T510" s="37"/>
    </row>
    <row r="511" spans="1:20" s="35" customFormat="1" hidden="1" x14ac:dyDescent="0.35">
      <c r="A511" s="85" t="s">
        <v>153</v>
      </c>
      <c r="B511" s="91" t="str">
        <f>(IF(H478="Saleable area Loading :","We have considered Saleable area of Flats as per our Calculation.","We considered Saleable area of Flat as per Builder area Sheet."))</f>
        <v>We have considered Saleable area of Flats as per our Calculation.</v>
      </c>
      <c r="C511" s="91"/>
      <c r="D511" s="91"/>
      <c r="E511" s="91"/>
      <c r="F511" s="91"/>
      <c r="G511" s="91"/>
      <c r="H511" s="91"/>
      <c r="T511" s="37"/>
    </row>
    <row r="512" spans="1:20" s="35" customFormat="1" x14ac:dyDescent="0.35">
      <c r="A512" s="85" t="s">
        <v>153</v>
      </c>
      <c r="B512" s="91" t="str">
        <f>(IF(H343="Saleable area Loading :","We have considered Saleable area of Commercial as per our Calculation.","We considered Saleable area of Commercial as per Builder area Sheet."))</f>
        <v>We have considered Saleable area of Commercial as per our Calculation.</v>
      </c>
      <c r="C512" s="91"/>
      <c r="D512" s="91"/>
      <c r="E512" s="91"/>
      <c r="F512" s="91"/>
      <c r="G512" s="91"/>
      <c r="H512" s="91"/>
      <c r="T512" s="37"/>
    </row>
    <row r="513" spans="1:20" s="35" customFormat="1" x14ac:dyDescent="0.35">
      <c r="A513" s="85" t="s">
        <v>153</v>
      </c>
      <c r="B513" s="180" t="s">
        <v>120</v>
      </c>
      <c r="C513" s="180"/>
      <c r="D513" s="180"/>
      <c r="E513" s="180"/>
      <c r="F513" s="180"/>
      <c r="G513" s="180"/>
      <c r="H513" s="180"/>
      <c r="T513" s="37"/>
    </row>
    <row r="514" spans="1:20" s="35" customFormat="1" x14ac:dyDescent="0.35">
      <c r="A514" s="85" t="s">
        <v>153</v>
      </c>
      <c r="B514" s="180" t="s">
        <v>404</v>
      </c>
      <c r="C514" s="180"/>
      <c r="D514" s="180"/>
      <c r="E514" s="180"/>
      <c r="F514" s="180"/>
      <c r="G514" s="180"/>
      <c r="H514" s="180"/>
      <c r="T514" s="37"/>
    </row>
    <row r="515" spans="1:20" s="35" customFormat="1" x14ac:dyDescent="0.35">
      <c r="A515" s="85" t="s">
        <v>153</v>
      </c>
      <c r="B515" s="180" t="s">
        <v>152</v>
      </c>
      <c r="C515" s="180"/>
      <c r="D515" s="180"/>
      <c r="E515" s="180"/>
      <c r="F515" s="180"/>
      <c r="G515" s="180"/>
      <c r="H515" s="180"/>
    </row>
    <row r="516" spans="1:20" s="35" customFormat="1" x14ac:dyDescent="0.35">
      <c r="A516" s="85" t="s">
        <v>153</v>
      </c>
      <c r="B516" s="180" t="s">
        <v>121</v>
      </c>
      <c r="C516" s="180"/>
      <c r="D516" s="180"/>
      <c r="E516" s="180"/>
      <c r="F516" s="180"/>
      <c r="G516" s="180"/>
      <c r="H516" s="180"/>
    </row>
    <row r="517" spans="1:20" s="35" customFormat="1" ht="34.5" customHeight="1" x14ac:dyDescent="0.35">
      <c r="A517" s="90" t="s">
        <v>153</v>
      </c>
      <c r="B517" s="180" t="s">
        <v>154</v>
      </c>
      <c r="C517" s="180"/>
      <c r="D517" s="180"/>
      <c r="E517" s="180"/>
      <c r="F517" s="180"/>
      <c r="G517" s="180"/>
      <c r="H517" s="180"/>
    </row>
    <row r="518" spans="1:20" s="35" customFormat="1" x14ac:dyDescent="0.35">
      <c r="A518" s="90" t="s">
        <v>153</v>
      </c>
      <c r="B518" s="180" t="s">
        <v>122</v>
      </c>
      <c r="C518" s="180"/>
      <c r="D518" s="180"/>
      <c r="E518" s="180"/>
      <c r="F518" s="180"/>
      <c r="G518" s="180"/>
      <c r="H518" s="180"/>
    </row>
    <row r="519" spans="1:20" s="35" customFormat="1" ht="32.25" hidden="1" customHeight="1" x14ac:dyDescent="0.35">
      <c r="A519" s="90" t="s">
        <v>153</v>
      </c>
      <c r="B519" s="175" t="s">
        <v>177</v>
      </c>
      <c r="C519" s="175"/>
      <c r="D519" s="175"/>
      <c r="E519" s="175"/>
      <c r="F519" s="175"/>
      <c r="G519" s="175"/>
      <c r="H519" s="175"/>
    </row>
    <row r="520" spans="1:20" s="35" customFormat="1" x14ac:dyDescent="0.35">
      <c r="A520" s="90" t="s">
        <v>153</v>
      </c>
      <c r="B520" s="91" t="s">
        <v>380</v>
      </c>
      <c r="C520" s="91"/>
      <c r="D520" s="91"/>
      <c r="E520" s="91"/>
      <c r="F520" s="91"/>
      <c r="G520" s="91"/>
      <c r="H520" s="91"/>
    </row>
    <row r="521" spans="1:20" s="35" customFormat="1" x14ac:dyDescent="0.35">
      <c r="A521" s="90" t="s">
        <v>153</v>
      </c>
      <c r="B521" s="91" t="s">
        <v>408</v>
      </c>
      <c r="C521" s="91"/>
      <c r="D521" s="91"/>
      <c r="E521" s="91"/>
      <c r="F521" s="91"/>
      <c r="G521" s="91"/>
      <c r="H521" s="91"/>
    </row>
    <row r="522" spans="1:20" s="35" customFormat="1" ht="33" customHeight="1" x14ac:dyDescent="0.35">
      <c r="A522" s="90" t="s">
        <v>153</v>
      </c>
      <c r="B522" s="91" t="s">
        <v>406</v>
      </c>
      <c r="C522" s="91"/>
      <c r="D522" s="91"/>
      <c r="E522" s="91"/>
      <c r="F522" s="91"/>
      <c r="G522" s="91"/>
      <c r="H522" s="91"/>
      <c r="J522" s="81" t="s">
        <v>405</v>
      </c>
    </row>
    <row r="523" spans="1:20" s="35" customFormat="1" x14ac:dyDescent="0.35">
      <c r="A523" s="90" t="s">
        <v>153</v>
      </c>
      <c r="B523" s="91" t="s">
        <v>417</v>
      </c>
      <c r="C523" s="91"/>
      <c r="D523" s="91"/>
      <c r="E523" s="91"/>
      <c r="F523" s="91"/>
      <c r="G523" s="91"/>
      <c r="H523" s="91"/>
      <c r="J523" s="81"/>
    </row>
    <row r="524" spans="1:20" s="35" customFormat="1" x14ac:dyDescent="0.35">
      <c r="A524" s="90" t="s">
        <v>153</v>
      </c>
      <c r="B524" s="91" t="s">
        <v>414</v>
      </c>
      <c r="C524" s="91"/>
      <c r="D524" s="91"/>
      <c r="E524" s="91"/>
      <c r="F524" s="91"/>
      <c r="G524" s="91"/>
      <c r="H524" s="91"/>
      <c r="J524" s="81"/>
    </row>
    <row r="525" spans="1:20" s="35" customFormat="1" x14ac:dyDescent="0.35">
      <c r="A525" s="90" t="s">
        <v>153</v>
      </c>
      <c r="B525" s="91" t="s">
        <v>418</v>
      </c>
      <c r="C525" s="91"/>
      <c r="D525" s="91"/>
      <c r="E525" s="91"/>
      <c r="F525" s="91"/>
      <c r="G525" s="91"/>
      <c r="H525" s="91"/>
      <c r="J525" s="81"/>
    </row>
    <row r="526" spans="1:20" x14ac:dyDescent="0.35">
      <c r="A526" s="140" t="s">
        <v>58</v>
      </c>
      <c r="B526" s="140"/>
      <c r="C526" s="140"/>
      <c r="D526" s="140"/>
      <c r="E526" s="140"/>
      <c r="F526" s="140"/>
      <c r="G526" s="140"/>
      <c r="H526" s="140"/>
      <c r="T526" s="35"/>
    </row>
    <row r="527" spans="1:20" ht="30" customHeight="1" x14ac:dyDescent="0.35">
      <c r="A527" s="136" t="s">
        <v>59</v>
      </c>
      <c r="B527" s="136"/>
      <c r="C527" s="136"/>
      <c r="D527" s="136"/>
      <c r="E527" s="136"/>
      <c r="F527" s="136"/>
      <c r="G527" s="136"/>
      <c r="H527" s="136"/>
      <c r="T527" s="35"/>
    </row>
    <row r="528" spans="1:20" ht="15.75" customHeight="1" x14ac:dyDescent="0.35">
      <c r="A528" s="162" t="s">
        <v>60</v>
      </c>
      <c r="B528" s="162"/>
      <c r="C528" s="162"/>
      <c r="D528" s="162"/>
      <c r="E528" s="162"/>
      <c r="F528" s="162"/>
      <c r="G528" s="162"/>
      <c r="H528" s="162"/>
      <c r="T528" s="35"/>
    </row>
    <row r="529" spans="1:20" x14ac:dyDescent="0.35">
      <c r="A529" s="114" t="s">
        <v>61</v>
      </c>
      <c r="B529" s="114"/>
      <c r="C529" s="114"/>
      <c r="D529" s="114"/>
      <c r="E529" s="114"/>
      <c r="F529" s="114"/>
      <c r="G529" s="114"/>
      <c r="H529" s="114"/>
      <c r="T529" s="35"/>
    </row>
    <row r="530" spans="1:20" x14ac:dyDescent="0.35">
      <c r="A530" s="114" t="s">
        <v>62</v>
      </c>
      <c r="B530" s="114"/>
      <c r="C530" s="114"/>
      <c r="D530" s="114"/>
      <c r="E530" s="114"/>
      <c r="F530" s="114"/>
      <c r="G530" s="114"/>
      <c r="H530" s="114"/>
      <c r="T530" s="35"/>
    </row>
    <row r="531" spans="1:20" x14ac:dyDescent="0.35">
      <c r="A531" s="114" t="s">
        <v>123</v>
      </c>
      <c r="B531" s="114"/>
      <c r="C531" s="114"/>
      <c r="D531" s="114"/>
      <c r="E531" s="114"/>
      <c r="F531" s="114"/>
      <c r="G531" s="114"/>
      <c r="H531" s="114"/>
      <c r="T531" s="35"/>
    </row>
    <row r="532" spans="1:20" ht="36" customHeight="1" x14ac:dyDescent="0.35">
      <c r="A532" s="136" t="s">
        <v>124</v>
      </c>
      <c r="B532" s="136"/>
      <c r="C532" s="136"/>
      <c r="D532" s="136"/>
      <c r="E532" s="136"/>
      <c r="F532" s="136"/>
      <c r="G532" s="136"/>
      <c r="H532" s="136"/>
    </row>
    <row r="533" spans="1:20" x14ac:dyDescent="0.35">
      <c r="A533" s="196" t="s">
        <v>74</v>
      </c>
      <c r="B533" s="196"/>
      <c r="C533" s="196" t="s">
        <v>415</v>
      </c>
      <c r="D533" s="196"/>
      <c r="E533" s="196" t="s">
        <v>102</v>
      </c>
      <c r="F533" s="196"/>
      <c r="G533" s="196" t="s">
        <v>400</v>
      </c>
      <c r="H533" s="196"/>
    </row>
    <row r="534" spans="1:20" x14ac:dyDescent="0.35">
      <c r="A534" s="195" t="s">
        <v>76</v>
      </c>
      <c r="B534" s="195"/>
      <c r="C534" s="195"/>
      <c r="D534" s="195"/>
      <c r="E534" s="195"/>
      <c r="F534" s="195"/>
      <c r="G534" s="195"/>
      <c r="H534" s="195"/>
    </row>
    <row r="535" spans="1:20" x14ac:dyDescent="0.35">
      <c r="A535" s="195"/>
      <c r="B535" s="195"/>
      <c r="C535" s="195"/>
      <c r="D535" s="195"/>
      <c r="E535" s="195"/>
      <c r="F535" s="195"/>
      <c r="G535" s="195"/>
      <c r="H535" s="195"/>
    </row>
    <row r="536" spans="1:20" x14ac:dyDescent="0.35">
      <c r="A536" s="195"/>
      <c r="B536" s="195"/>
      <c r="C536" s="195"/>
      <c r="D536" s="195"/>
      <c r="E536" s="195"/>
      <c r="F536" s="195"/>
      <c r="G536" s="195"/>
      <c r="H536" s="195"/>
    </row>
    <row r="537" spans="1:20" x14ac:dyDescent="0.35">
      <c r="A537" s="195"/>
      <c r="B537" s="195"/>
      <c r="C537" s="195"/>
      <c r="D537" s="195"/>
      <c r="E537" s="195"/>
      <c r="F537" s="195"/>
      <c r="G537" s="195"/>
      <c r="H537" s="195"/>
    </row>
    <row r="538" spans="1:20" x14ac:dyDescent="0.35">
      <c r="A538" s="38" t="s">
        <v>63</v>
      </c>
      <c r="B538" s="39"/>
      <c r="C538" s="39"/>
      <c r="D538" s="38" t="str">
        <f>E9</f>
        <v>Jangid Elysium</v>
      </c>
      <c r="F538" s="39"/>
      <c r="G538" s="39"/>
      <c r="H538" s="39"/>
    </row>
    <row r="539" spans="1:20" x14ac:dyDescent="0.35">
      <c r="A539" s="39"/>
      <c r="B539" s="39"/>
      <c r="C539" s="39"/>
      <c r="D539" s="39"/>
      <c r="E539" s="39"/>
      <c r="F539" s="39"/>
      <c r="G539" s="39"/>
      <c r="H539" s="39"/>
    </row>
    <row r="540" spans="1:20" x14ac:dyDescent="0.35">
      <c r="A540" s="39"/>
      <c r="B540" s="39"/>
      <c r="C540" s="39"/>
      <c r="D540" s="39"/>
      <c r="E540" s="39"/>
      <c r="F540" s="39"/>
      <c r="G540" s="39"/>
      <c r="H540" s="39"/>
    </row>
    <row r="541" spans="1:20" ht="15" customHeight="1" x14ac:dyDescent="0.35"/>
    <row r="581" spans="1:11" x14ac:dyDescent="0.35">
      <c r="A581" s="41" t="s">
        <v>161</v>
      </c>
    </row>
    <row r="583" spans="1:11" x14ac:dyDescent="0.35">
      <c r="K583" s="21">
        <f>6900*1.5</f>
        <v>10350</v>
      </c>
    </row>
    <row r="624" spans="1:1" x14ac:dyDescent="0.35">
      <c r="A624" s="41" t="s">
        <v>64</v>
      </c>
    </row>
  </sheetData>
  <mergeCells count="1006">
    <mergeCell ref="B525:H525"/>
    <mergeCell ref="B523:H523"/>
    <mergeCell ref="B522:H522"/>
    <mergeCell ref="A346:H346"/>
    <mergeCell ref="A467:B467"/>
    <mergeCell ref="L467:M467"/>
    <mergeCell ref="A468:B468"/>
    <mergeCell ref="L468:M468"/>
    <mergeCell ref="A469:B469"/>
    <mergeCell ref="L469:M469"/>
    <mergeCell ref="A470:B470"/>
    <mergeCell ref="L470:M470"/>
    <mergeCell ref="A457:B457"/>
    <mergeCell ref="L457:M457"/>
    <mergeCell ref="A458:B458"/>
    <mergeCell ref="L458:M458"/>
    <mergeCell ref="A459:B459"/>
    <mergeCell ref="L459:M459"/>
    <mergeCell ref="A460:B460"/>
    <mergeCell ref="L460:M460"/>
    <mergeCell ref="A461:B461"/>
    <mergeCell ref="L461:M461"/>
    <mergeCell ref="A452:B452"/>
    <mergeCell ref="L452:M452"/>
    <mergeCell ref="A453:B453"/>
    <mergeCell ref="L453:M453"/>
    <mergeCell ref="A454:B454"/>
    <mergeCell ref="L454:M454"/>
    <mergeCell ref="A455:B455"/>
    <mergeCell ref="L455:M455"/>
    <mergeCell ref="A456:B456"/>
    <mergeCell ref="L456:M456"/>
    <mergeCell ref="A447:B447"/>
    <mergeCell ref="L447:M447"/>
    <mergeCell ref="A448:B448"/>
    <mergeCell ref="L448:M448"/>
    <mergeCell ref="A449:B449"/>
    <mergeCell ref="L449:M449"/>
    <mergeCell ref="A450:B450"/>
    <mergeCell ref="L450:M450"/>
    <mergeCell ref="A451:H451"/>
    <mergeCell ref="A471:B471"/>
    <mergeCell ref="L471:M471"/>
    <mergeCell ref="A462:B462"/>
    <mergeCell ref="L462:M462"/>
    <mergeCell ref="A463:B463"/>
    <mergeCell ref="L463:M463"/>
    <mergeCell ref="A464:B464"/>
    <mergeCell ref="L464:M464"/>
    <mergeCell ref="A465:B465"/>
    <mergeCell ref="L465:M465"/>
    <mergeCell ref="A466:B466"/>
    <mergeCell ref="L466:M466"/>
    <mergeCell ref="A438:B438"/>
    <mergeCell ref="L438:M438"/>
    <mergeCell ref="A439:B439"/>
    <mergeCell ref="L439:M439"/>
    <mergeCell ref="A440:B440"/>
    <mergeCell ref="L440:M440"/>
    <mergeCell ref="A441:B441"/>
    <mergeCell ref="L441:M441"/>
    <mergeCell ref="A442:B442"/>
    <mergeCell ref="L442:M442"/>
    <mergeCell ref="A443:B443"/>
    <mergeCell ref="L443:M443"/>
    <mergeCell ref="A444:B444"/>
    <mergeCell ref="L444:M444"/>
    <mergeCell ref="A445:B445"/>
    <mergeCell ref="L445:M445"/>
    <mergeCell ref="A446:B446"/>
    <mergeCell ref="L446:M446"/>
    <mergeCell ref="A429:B429"/>
    <mergeCell ref="L429:M429"/>
    <mergeCell ref="A430:H430"/>
    <mergeCell ref="A431:B431"/>
    <mergeCell ref="L431:M431"/>
    <mergeCell ref="A432:B432"/>
    <mergeCell ref="L432:M432"/>
    <mergeCell ref="A433:B433"/>
    <mergeCell ref="L433:M433"/>
    <mergeCell ref="A434:B434"/>
    <mergeCell ref="L434:M434"/>
    <mergeCell ref="A435:B435"/>
    <mergeCell ref="L435:M435"/>
    <mergeCell ref="A436:B436"/>
    <mergeCell ref="L436:M436"/>
    <mergeCell ref="A437:B437"/>
    <mergeCell ref="L437:M437"/>
    <mergeCell ref="L420:M420"/>
    <mergeCell ref="A421:B421"/>
    <mergeCell ref="L421:M421"/>
    <mergeCell ref="A422:B422"/>
    <mergeCell ref="L422:M422"/>
    <mergeCell ref="A423:B423"/>
    <mergeCell ref="L423:M423"/>
    <mergeCell ref="A424:B424"/>
    <mergeCell ref="L424:M424"/>
    <mergeCell ref="A425:B425"/>
    <mergeCell ref="L425:M425"/>
    <mergeCell ref="A426:B426"/>
    <mergeCell ref="L426:M426"/>
    <mergeCell ref="A427:B427"/>
    <mergeCell ref="L427:M427"/>
    <mergeCell ref="A428:B428"/>
    <mergeCell ref="L428:M428"/>
    <mergeCell ref="L410:M410"/>
    <mergeCell ref="A411:B411"/>
    <mergeCell ref="L411:M411"/>
    <mergeCell ref="A412:B412"/>
    <mergeCell ref="L412:M412"/>
    <mergeCell ref="A413:B413"/>
    <mergeCell ref="L413:M413"/>
    <mergeCell ref="A414:B414"/>
    <mergeCell ref="L414:M414"/>
    <mergeCell ref="L415:M415"/>
    <mergeCell ref="A416:B416"/>
    <mergeCell ref="L416:M416"/>
    <mergeCell ref="A417:B417"/>
    <mergeCell ref="L417:M417"/>
    <mergeCell ref="A418:B418"/>
    <mergeCell ref="L418:M418"/>
    <mergeCell ref="A419:B419"/>
    <mergeCell ref="L419:M419"/>
    <mergeCell ref="L399:M399"/>
    <mergeCell ref="A400:B400"/>
    <mergeCell ref="L400:M400"/>
    <mergeCell ref="A401:B401"/>
    <mergeCell ref="L401:M401"/>
    <mergeCell ref="A402:B402"/>
    <mergeCell ref="L402:M402"/>
    <mergeCell ref="A403:B403"/>
    <mergeCell ref="L403:M403"/>
    <mergeCell ref="L404:M404"/>
    <mergeCell ref="A405:B405"/>
    <mergeCell ref="L405:M405"/>
    <mergeCell ref="A406:B406"/>
    <mergeCell ref="L406:M406"/>
    <mergeCell ref="A407:B407"/>
    <mergeCell ref="L407:M407"/>
    <mergeCell ref="A408:B408"/>
    <mergeCell ref="L408:M408"/>
    <mergeCell ref="L388:M388"/>
    <mergeCell ref="A389:B389"/>
    <mergeCell ref="L389:M389"/>
    <mergeCell ref="A390:B390"/>
    <mergeCell ref="L390:M390"/>
    <mergeCell ref="A391:B391"/>
    <mergeCell ref="L391:M391"/>
    <mergeCell ref="A392:B392"/>
    <mergeCell ref="L392:M392"/>
    <mergeCell ref="L393:M393"/>
    <mergeCell ref="A394:B394"/>
    <mergeCell ref="L394:M394"/>
    <mergeCell ref="A395:B395"/>
    <mergeCell ref="L395:M395"/>
    <mergeCell ref="A396:B396"/>
    <mergeCell ref="L396:M396"/>
    <mergeCell ref="A397:B397"/>
    <mergeCell ref="L397:M397"/>
    <mergeCell ref="L386:M386"/>
    <mergeCell ref="A365:H365"/>
    <mergeCell ref="A366:B366"/>
    <mergeCell ref="L366:M366"/>
    <mergeCell ref="A367:B367"/>
    <mergeCell ref="L367:M367"/>
    <mergeCell ref="A368:B368"/>
    <mergeCell ref="L368:M368"/>
    <mergeCell ref="A369:B369"/>
    <mergeCell ref="L369:M369"/>
    <mergeCell ref="A370:B370"/>
    <mergeCell ref="L370:M370"/>
    <mergeCell ref="A371:B371"/>
    <mergeCell ref="L371:M371"/>
    <mergeCell ref="A372:B372"/>
    <mergeCell ref="L372:M372"/>
    <mergeCell ref="A373:B373"/>
    <mergeCell ref="L373:M373"/>
    <mergeCell ref="A374:B374"/>
    <mergeCell ref="L381:M381"/>
    <mergeCell ref="A382:B382"/>
    <mergeCell ref="L382:M382"/>
    <mergeCell ref="A383:B383"/>
    <mergeCell ref="L383:M383"/>
    <mergeCell ref="L360:M360"/>
    <mergeCell ref="A361:B361"/>
    <mergeCell ref="L361:M361"/>
    <mergeCell ref="A362:B362"/>
    <mergeCell ref="L362:M362"/>
    <mergeCell ref="A363:B363"/>
    <mergeCell ref="L363:M363"/>
    <mergeCell ref="A364:B364"/>
    <mergeCell ref="L364:M364"/>
    <mergeCell ref="A384:B384"/>
    <mergeCell ref="L384:M384"/>
    <mergeCell ref="A385:B385"/>
    <mergeCell ref="L385:M385"/>
    <mergeCell ref="L377:M377"/>
    <mergeCell ref="A378:B378"/>
    <mergeCell ref="L378:M378"/>
    <mergeCell ref="L374:M374"/>
    <mergeCell ref="A375:B375"/>
    <mergeCell ref="L375:M375"/>
    <mergeCell ref="A379:B379"/>
    <mergeCell ref="L379:M379"/>
    <mergeCell ref="A380:B380"/>
    <mergeCell ref="L380:M380"/>
    <mergeCell ref="L349:M349"/>
    <mergeCell ref="A350:B350"/>
    <mergeCell ref="L350:M350"/>
    <mergeCell ref="A351:H351"/>
    <mergeCell ref="A352:B352"/>
    <mergeCell ref="L352:M352"/>
    <mergeCell ref="A353:B353"/>
    <mergeCell ref="L353:M353"/>
    <mergeCell ref="A354:H354"/>
    <mergeCell ref="L355:M355"/>
    <mergeCell ref="A356:B356"/>
    <mergeCell ref="L356:M356"/>
    <mergeCell ref="A357:B357"/>
    <mergeCell ref="L357:M357"/>
    <mergeCell ref="A358:B358"/>
    <mergeCell ref="L358:M358"/>
    <mergeCell ref="A359:B359"/>
    <mergeCell ref="L359:M359"/>
    <mergeCell ref="L485:M485"/>
    <mergeCell ref="A490:B490"/>
    <mergeCell ref="A487:B487"/>
    <mergeCell ref="A488:B488"/>
    <mergeCell ref="A498:B498"/>
    <mergeCell ref="A40:B40"/>
    <mergeCell ref="C40:H40"/>
    <mergeCell ref="F343:F344"/>
    <mergeCell ref="C115:D115"/>
    <mergeCell ref="E115:F115"/>
    <mergeCell ref="B343:B344"/>
    <mergeCell ref="A343:A344"/>
    <mergeCell ref="C478:C479"/>
    <mergeCell ref="G478:G479"/>
    <mergeCell ref="L484:M484"/>
    <mergeCell ref="L481:M481"/>
    <mergeCell ref="A482:B482"/>
    <mergeCell ref="G123:H123"/>
    <mergeCell ref="L482:M482"/>
    <mergeCell ref="A483:B483"/>
    <mergeCell ref="L483:M483"/>
    <mergeCell ref="A484:B484"/>
    <mergeCell ref="A76:B76"/>
    <mergeCell ref="G121:H121"/>
    <mergeCell ref="E119:F119"/>
    <mergeCell ref="A489:B489"/>
    <mergeCell ref="A347:H347"/>
    <mergeCell ref="A345:H345"/>
    <mergeCell ref="A348:H348"/>
    <mergeCell ref="A349:B349"/>
    <mergeCell ref="A355:B355"/>
    <mergeCell ref="L476:M476"/>
    <mergeCell ref="L475:M475"/>
    <mergeCell ref="L474:M474"/>
    <mergeCell ref="L473:M473"/>
    <mergeCell ref="A84:B84"/>
    <mergeCell ref="C120:D120"/>
    <mergeCell ref="E120:F120"/>
    <mergeCell ref="G120:H120"/>
    <mergeCell ref="A103:E103"/>
    <mergeCell ref="A472:H472"/>
    <mergeCell ref="E343:E344"/>
    <mergeCell ref="A91:B91"/>
    <mergeCell ref="A47:D47"/>
    <mergeCell ref="A48:H48"/>
    <mergeCell ref="D62:H62"/>
    <mergeCell ref="A62:C62"/>
    <mergeCell ref="A83:B83"/>
    <mergeCell ref="C89:H89"/>
    <mergeCell ref="A49:B49"/>
    <mergeCell ref="A94:B94"/>
    <mergeCell ref="A360:B360"/>
    <mergeCell ref="A376:H376"/>
    <mergeCell ref="A377:B377"/>
    <mergeCell ref="A381:B381"/>
    <mergeCell ref="A386:B386"/>
    <mergeCell ref="A387:H387"/>
    <mergeCell ref="A388:B388"/>
    <mergeCell ref="A393:B393"/>
    <mergeCell ref="A398:H398"/>
    <mergeCell ref="A399:B399"/>
    <mergeCell ref="A404:B404"/>
    <mergeCell ref="A409:H409"/>
    <mergeCell ref="D343:D344"/>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5:H55"/>
    <mergeCell ref="C57:H57"/>
    <mergeCell ref="C49:H49"/>
    <mergeCell ref="F37:H37"/>
    <mergeCell ref="D65:H65"/>
    <mergeCell ref="C52:E52"/>
    <mergeCell ref="A63:C65"/>
    <mergeCell ref="D63:H63"/>
    <mergeCell ref="D64:H64"/>
    <mergeCell ref="A39:B39"/>
    <mergeCell ref="C39:H39"/>
    <mergeCell ref="A46:D46"/>
    <mergeCell ref="A45:D45"/>
    <mergeCell ref="A50:B50"/>
    <mergeCell ref="C50:E50"/>
    <mergeCell ref="G50:H50"/>
    <mergeCell ref="G52:H5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04:E104"/>
    <mergeCell ref="A101:E101"/>
    <mergeCell ref="F104:H104"/>
    <mergeCell ref="G343:G344"/>
    <mergeCell ref="F101:H101"/>
    <mergeCell ref="F105:H105"/>
    <mergeCell ref="A86:B86"/>
    <mergeCell ref="A79:B79"/>
    <mergeCell ref="E122:F122"/>
    <mergeCell ref="A110:E110"/>
    <mergeCell ref="G122:H122"/>
    <mergeCell ref="C116:D116"/>
    <mergeCell ref="E116:F116"/>
    <mergeCell ref="G116:H116"/>
    <mergeCell ref="A117:B117"/>
    <mergeCell ref="C117:D117"/>
    <mergeCell ref="E117:F117"/>
    <mergeCell ref="G117:H117"/>
    <mergeCell ref="A105:E105"/>
    <mergeCell ref="A100:B100"/>
    <mergeCell ref="A122:B122"/>
    <mergeCell ref="A81:B81"/>
    <mergeCell ref="C121:D121"/>
    <mergeCell ref="E121:F121"/>
    <mergeCell ref="A87:B87"/>
    <mergeCell ref="C87:H87"/>
    <mergeCell ref="A82:B82"/>
    <mergeCell ref="A80:B80"/>
    <mergeCell ref="E77:F86"/>
    <mergeCell ref="G77:H86"/>
    <mergeCell ref="A178:B178"/>
    <mergeCell ref="A210:B210"/>
    <mergeCell ref="A534:H537"/>
    <mergeCell ref="A533:B533"/>
    <mergeCell ref="E533:F533"/>
    <mergeCell ref="C533:D533"/>
    <mergeCell ref="G533:H533"/>
    <mergeCell ref="A113:H113"/>
    <mergeCell ref="A111:E111"/>
    <mergeCell ref="F111:H111"/>
    <mergeCell ref="A112:E112"/>
    <mergeCell ref="F112:H112"/>
    <mergeCell ref="A485:H485"/>
    <mergeCell ref="A120:B120"/>
    <mergeCell ref="A494:B494"/>
    <mergeCell ref="A115:B115"/>
    <mergeCell ref="A529:H529"/>
    <mergeCell ref="A118:H118"/>
    <mergeCell ref="A532:H532"/>
    <mergeCell ref="A530:H530"/>
    <mergeCell ref="A526:H526"/>
    <mergeCell ref="G119:H119"/>
    <mergeCell ref="A496:B496"/>
    <mergeCell ref="C343:C344"/>
    <mergeCell ref="B478:B479"/>
    <mergeCell ref="A527:H527"/>
    <mergeCell ref="B520:H520"/>
    <mergeCell ref="B517:H517"/>
    <mergeCell ref="A500:B500"/>
    <mergeCell ref="A410:B410"/>
    <mergeCell ref="A415:B415"/>
    <mergeCell ref="A420:B420"/>
    <mergeCell ref="A499:B499"/>
    <mergeCell ref="B512:H512"/>
    <mergeCell ref="A506:B506"/>
    <mergeCell ref="A503:H503"/>
    <mergeCell ref="A504:B504"/>
    <mergeCell ref="A505:B505"/>
    <mergeCell ref="A508:B508"/>
    <mergeCell ref="A507:B507"/>
    <mergeCell ref="B510:H510"/>
    <mergeCell ref="B511:H511"/>
    <mergeCell ref="A481:B481"/>
    <mergeCell ref="A476:B476"/>
    <mergeCell ref="A475:B475"/>
    <mergeCell ref="A477:H477"/>
    <mergeCell ref="G90:H90"/>
    <mergeCell ref="A106:E106"/>
    <mergeCell ref="F106:H106"/>
    <mergeCell ref="A108:E108"/>
    <mergeCell ref="A107:E107"/>
    <mergeCell ref="E91:F100"/>
    <mergeCell ref="A98:B98"/>
    <mergeCell ref="A99:B99"/>
    <mergeCell ref="A124:H124"/>
    <mergeCell ref="A478:A479"/>
    <mergeCell ref="F478:F479"/>
    <mergeCell ref="A90:B90"/>
    <mergeCell ref="G91:H100"/>
    <mergeCell ref="A92:B92"/>
    <mergeCell ref="A93:B93"/>
    <mergeCell ref="E90:F90"/>
    <mergeCell ref="A121:B121"/>
    <mergeCell ref="A159:B159"/>
    <mergeCell ref="A169:B169"/>
    <mergeCell ref="A189:B189"/>
    <mergeCell ref="A531:H531"/>
    <mergeCell ref="A528:H528"/>
    <mergeCell ref="A486:B486"/>
    <mergeCell ref="A119:B119"/>
    <mergeCell ref="D478:D479"/>
    <mergeCell ref="E478:E479"/>
    <mergeCell ref="A95:B95"/>
    <mergeCell ref="A96:B96"/>
    <mergeCell ref="A97:B97"/>
    <mergeCell ref="F103:H103"/>
    <mergeCell ref="G115:H115"/>
    <mergeCell ref="F107:H107"/>
    <mergeCell ref="C114:D114"/>
    <mergeCell ref="C122:D122"/>
    <mergeCell ref="A480:H480"/>
    <mergeCell ref="A495:B495"/>
    <mergeCell ref="A492:B492"/>
    <mergeCell ref="A473:B473"/>
    <mergeCell ref="B519:H519"/>
    <mergeCell ref="A123:B123"/>
    <mergeCell ref="C123:D123"/>
    <mergeCell ref="E123:F123"/>
    <mergeCell ref="B518:H518"/>
    <mergeCell ref="B516:H516"/>
    <mergeCell ref="B513:H513"/>
    <mergeCell ref="B514:H514"/>
    <mergeCell ref="A509:H509"/>
    <mergeCell ref="A501:B501"/>
    <mergeCell ref="A502:B502"/>
    <mergeCell ref="A497:H497"/>
    <mergeCell ref="A491:H491"/>
    <mergeCell ref="B515:H515"/>
    <mergeCell ref="A51:B51"/>
    <mergeCell ref="A59:H59"/>
    <mergeCell ref="A60:C60"/>
    <mergeCell ref="A61:C61"/>
    <mergeCell ref="D61:H61"/>
    <mergeCell ref="G58:H58"/>
    <mergeCell ref="A54:B55"/>
    <mergeCell ref="C54:E54"/>
    <mergeCell ref="G54:H54"/>
    <mergeCell ref="A56:B57"/>
    <mergeCell ref="C56:E56"/>
    <mergeCell ref="G56:H56"/>
    <mergeCell ref="G51:H51"/>
    <mergeCell ref="A52:B53"/>
    <mergeCell ref="C53:H53"/>
    <mergeCell ref="C51:E51"/>
    <mergeCell ref="A75:B75"/>
    <mergeCell ref="A73:B73"/>
    <mergeCell ref="C73:H73"/>
    <mergeCell ref="A68:C68"/>
    <mergeCell ref="D68:H68"/>
    <mergeCell ref="C75:H75"/>
    <mergeCell ref="A126:A127"/>
    <mergeCell ref="B126:B127"/>
    <mergeCell ref="C126:C127"/>
    <mergeCell ref="D126:D127"/>
    <mergeCell ref="E126:E127"/>
    <mergeCell ref="F126:F127"/>
    <mergeCell ref="G126:G127"/>
    <mergeCell ref="A131:H131"/>
    <mergeCell ref="A132:B132"/>
    <mergeCell ref="A128:H128"/>
    <mergeCell ref="A129:H129"/>
    <mergeCell ref="A130:H130"/>
    <mergeCell ref="A89:B89"/>
    <mergeCell ref="F102:H102"/>
    <mergeCell ref="A102:E102"/>
    <mergeCell ref="A78:B78"/>
    <mergeCell ref="E76:F76"/>
    <mergeCell ref="A69:C69"/>
    <mergeCell ref="D69:H69"/>
    <mergeCell ref="A72:C72"/>
    <mergeCell ref="D72:H72"/>
    <mergeCell ref="A70:C70"/>
    <mergeCell ref="D71:H71"/>
    <mergeCell ref="A77:B77"/>
    <mergeCell ref="G76:H76"/>
    <mergeCell ref="A85:B85"/>
    <mergeCell ref="I15:P15"/>
    <mergeCell ref="F110:H110"/>
    <mergeCell ref="F108:H108"/>
    <mergeCell ref="A493:B493"/>
    <mergeCell ref="A125:H125"/>
    <mergeCell ref="G114:H114"/>
    <mergeCell ref="A109:E109"/>
    <mergeCell ref="A474:B474"/>
    <mergeCell ref="A58:B58"/>
    <mergeCell ref="C58:E58"/>
    <mergeCell ref="D60:H60"/>
    <mergeCell ref="F109:H109"/>
    <mergeCell ref="E114:F114"/>
    <mergeCell ref="A114:B114"/>
    <mergeCell ref="A116:B116"/>
    <mergeCell ref="C119:D119"/>
    <mergeCell ref="D70:H70"/>
    <mergeCell ref="A71:C71"/>
    <mergeCell ref="E43:H43"/>
    <mergeCell ref="A43:D43"/>
    <mergeCell ref="L338:M338"/>
    <mergeCell ref="L132:M132"/>
    <mergeCell ref="A133:B133"/>
    <mergeCell ref="L133:M133"/>
    <mergeCell ref="A134:B134"/>
    <mergeCell ref="L134:M134"/>
    <mergeCell ref="A135:B135"/>
    <mergeCell ref="L135:M135"/>
    <mergeCell ref="A342:H342"/>
    <mergeCell ref="A136:B136"/>
    <mergeCell ref="L136:M136"/>
    <mergeCell ref="A137:B137"/>
    <mergeCell ref="L137:M137"/>
    <mergeCell ref="A138:B138"/>
    <mergeCell ref="L138:M138"/>
    <mergeCell ref="A139:B139"/>
    <mergeCell ref="L139:M139"/>
    <mergeCell ref="A333:H333"/>
    <mergeCell ref="A140:H140"/>
    <mergeCell ref="A141:H141"/>
    <mergeCell ref="A142:B142"/>
    <mergeCell ref="L142:M142"/>
    <mergeCell ref="A143:B143"/>
    <mergeCell ref="L143:M143"/>
    <mergeCell ref="A144:B144"/>
    <mergeCell ref="L144:M144"/>
    <mergeCell ref="A145:B145"/>
    <mergeCell ref="L145:M145"/>
    <mergeCell ref="A146:B146"/>
    <mergeCell ref="L146:M146"/>
    <mergeCell ref="A147:B147"/>
    <mergeCell ref="L147:M147"/>
    <mergeCell ref="A148:B148"/>
    <mergeCell ref="L148:M148"/>
    <mergeCell ref="A149:B149"/>
    <mergeCell ref="L149:M149"/>
    <mergeCell ref="A155:B155"/>
    <mergeCell ref="L155:M155"/>
    <mergeCell ref="A156:B156"/>
    <mergeCell ref="L156:M156"/>
    <mergeCell ref="A157:B157"/>
    <mergeCell ref="L157:M157"/>
    <mergeCell ref="A158:B158"/>
    <mergeCell ref="L158:M158"/>
    <mergeCell ref="L159:M159"/>
    <mergeCell ref="A150:B150"/>
    <mergeCell ref="L150:M150"/>
    <mergeCell ref="A151:B151"/>
    <mergeCell ref="L151:M151"/>
    <mergeCell ref="A152:H152"/>
    <mergeCell ref="A153:B153"/>
    <mergeCell ref="L153:M153"/>
    <mergeCell ref="A154:B154"/>
    <mergeCell ref="L154:M154"/>
    <mergeCell ref="A165:B165"/>
    <mergeCell ref="L165:M165"/>
    <mergeCell ref="A166:B166"/>
    <mergeCell ref="L166:M166"/>
    <mergeCell ref="A167:B167"/>
    <mergeCell ref="L167:M167"/>
    <mergeCell ref="A168:B168"/>
    <mergeCell ref="L168:M168"/>
    <mergeCell ref="L169:M169"/>
    <mergeCell ref="A160:B160"/>
    <mergeCell ref="L160:M160"/>
    <mergeCell ref="A161:B161"/>
    <mergeCell ref="L161:M161"/>
    <mergeCell ref="A162:B162"/>
    <mergeCell ref="L162:M162"/>
    <mergeCell ref="A163:H163"/>
    <mergeCell ref="A164:B164"/>
    <mergeCell ref="L164:M164"/>
    <mergeCell ref="A174:H174"/>
    <mergeCell ref="A175:B175"/>
    <mergeCell ref="L175:M175"/>
    <mergeCell ref="A176:B176"/>
    <mergeCell ref="L176:M176"/>
    <mergeCell ref="A177:B177"/>
    <mergeCell ref="L177:M177"/>
    <mergeCell ref="L178:M178"/>
    <mergeCell ref="A170:B170"/>
    <mergeCell ref="L170:M170"/>
    <mergeCell ref="A171:B171"/>
    <mergeCell ref="L171:M171"/>
    <mergeCell ref="A172:B172"/>
    <mergeCell ref="L172:M172"/>
    <mergeCell ref="A173:B173"/>
    <mergeCell ref="L173:M173"/>
    <mergeCell ref="C171:H173"/>
    <mergeCell ref="A184:B184"/>
    <mergeCell ref="L184:M184"/>
    <mergeCell ref="A185:H185"/>
    <mergeCell ref="A186:B186"/>
    <mergeCell ref="L186:M186"/>
    <mergeCell ref="A187:B187"/>
    <mergeCell ref="L187:M187"/>
    <mergeCell ref="L189:M189"/>
    <mergeCell ref="A190:B190"/>
    <mergeCell ref="L190:M190"/>
    <mergeCell ref="A191:B191"/>
    <mergeCell ref="L191:M191"/>
    <mergeCell ref="A192:B192"/>
    <mergeCell ref="L192:M192"/>
    <mergeCell ref="A193:B193"/>
    <mergeCell ref="L193:M193"/>
    <mergeCell ref="A208:B208"/>
    <mergeCell ref="L208:M208"/>
    <mergeCell ref="A209:B209"/>
    <mergeCell ref="L209:M209"/>
    <mergeCell ref="A188:B188"/>
    <mergeCell ref="L188:M188"/>
    <mergeCell ref="A179:B179"/>
    <mergeCell ref="L179:M179"/>
    <mergeCell ref="A180:B180"/>
    <mergeCell ref="L180:M180"/>
    <mergeCell ref="A181:B181"/>
    <mergeCell ref="L181:M181"/>
    <mergeCell ref="A182:B182"/>
    <mergeCell ref="L182:M182"/>
    <mergeCell ref="A183:B183"/>
    <mergeCell ref="L183:M183"/>
    <mergeCell ref="A194:B194"/>
    <mergeCell ref="L194:M194"/>
    <mergeCell ref="A195:B195"/>
    <mergeCell ref="L195:M195"/>
    <mergeCell ref="A196:H196"/>
    <mergeCell ref="L210:M210"/>
    <mergeCell ref="A211:B211"/>
    <mergeCell ref="L211:M211"/>
    <mergeCell ref="A212:B212"/>
    <mergeCell ref="L212:M212"/>
    <mergeCell ref="A204:B204"/>
    <mergeCell ref="L204:M204"/>
    <mergeCell ref="A205:B205"/>
    <mergeCell ref="L205:M205"/>
    <mergeCell ref="A206:B206"/>
    <mergeCell ref="L206:M206"/>
    <mergeCell ref="C197:H198"/>
    <mergeCell ref="C205:H206"/>
    <mergeCell ref="A207:H207"/>
    <mergeCell ref="A199:B199"/>
    <mergeCell ref="L199:M199"/>
    <mergeCell ref="A200:B200"/>
    <mergeCell ref="L200:M200"/>
    <mergeCell ref="A201:B201"/>
    <mergeCell ref="L201:M201"/>
    <mergeCell ref="A202:B202"/>
    <mergeCell ref="L202:M202"/>
    <mergeCell ref="A203:B203"/>
    <mergeCell ref="L203:M203"/>
    <mergeCell ref="A197:B197"/>
    <mergeCell ref="L197:M197"/>
    <mergeCell ref="A198:B198"/>
    <mergeCell ref="L198:M198"/>
    <mergeCell ref="A218:B218"/>
    <mergeCell ref="L218:M218"/>
    <mergeCell ref="A219:B219"/>
    <mergeCell ref="L219:M219"/>
    <mergeCell ref="A220:B220"/>
    <mergeCell ref="L220:M220"/>
    <mergeCell ref="A221:B221"/>
    <mergeCell ref="L221:M221"/>
    <mergeCell ref="A222:B222"/>
    <mergeCell ref="L222:M222"/>
    <mergeCell ref="A213:B213"/>
    <mergeCell ref="L213:M213"/>
    <mergeCell ref="A214:B214"/>
    <mergeCell ref="L214:M214"/>
    <mergeCell ref="A215:B215"/>
    <mergeCell ref="L215:M215"/>
    <mergeCell ref="A216:B216"/>
    <mergeCell ref="L216:M216"/>
    <mergeCell ref="A217:B217"/>
    <mergeCell ref="L217:M217"/>
    <mergeCell ref="A228:H228"/>
    <mergeCell ref="A229:B229"/>
    <mergeCell ref="L229:M229"/>
    <mergeCell ref="A230:B230"/>
    <mergeCell ref="L230:M230"/>
    <mergeCell ref="A231:B231"/>
    <mergeCell ref="L231:M231"/>
    <mergeCell ref="A223:B223"/>
    <mergeCell ref="L223:M223"/>
    <mergeCell ref="A224:B224"/>
    <mergeCell ref="L224:M224"/>
    <mergeCell ref="A225:B225"/>
    <mergeCell ref="L225:M225"/>
    <mergeCell ref="A226:B226"/>
    <mergeCell ref="L226:M226"/>
    <mergeCell ref="A227:B227"/>
    <mergeCell ref="L227:M227"/>
    <mergeCell ref="A237:B237"/>
    <mergeCell ref="L237:M237"/>
    <mergeCell ref="A238:B238"/>
    <mergeCell ref="L238:M238"/>
    <mergeCell ref="A239:B239"/>
    <mergeCell ref="L239:M239"/>
    <mergeCell ref="A240:B240"/>
    <mergeCell ref="L240:M240"/>
    <mergeCell ref="A241:B241"/>
    <mergeCell ref="L241:M241"/>
    <mergeCell ref="A232:B232"/>
    <mergeCell ref="L232:M232"/>
    <mergeCell ref="A233:B233"/>
    <mergeCell ref="L233:M233"/>
    <mergeCell ref="A234:B234"/>
    <mergeCell ref="L234:M234"/>
    <mergeCell ref="A235:B235"/>
    <mergeCell ref="L235:M235"/>
    <mergeCell ref="A236:B236"/>
    <mergeCell ref="L236:M236"/>
    <mergeCell ref="A247:B247"/>
    <mergeCell ref="L247:M247"/>
    <mergeCell ref="A248:B248"/>
    <mergeCell ref="L248:M248"/>
    <mergeCell ref="A249:H249"/>
    <mergeCell ref="A250:B250"/>
    <mergeCell ref="L250:M250"/>
    <mergeCell ref="A251:B251"/>
    <mergeCell ref="L251:M251"/>
    <mergeCell ref="A242:B242"/>
    <mergeCell ref="L242:M242"/>
    <mergeCell ref="A243:B243"/>
    <mergeCell ref="L243:M243"/>
    <mergeCell ref="A244:B244"/>
    <mergeCell ref="L244:M244"/>
    <mergeCell ref="A245:B245"/>
    <mergeCell ref="L245:M245"/>
    <mergeCell ref="A246:B246"/>
    <mergeCell ref="L246:M246"/>
    <mergeCell ref="A257:B257"/>
    <mergeCell ref="L257:M257"/>
    <mergeCell ref="A258:B258"/>
    <mergeCell ref="L258:M258"/>
    <mergeCell ref="A259:B259"/>
    <mergeCell ref="L259:M259"/>
    <mergeCell ref="A260:B260"/>
    <mergeCell ref="L260:M260"/>
    <mergeCell ref="A261:B261"/>
    <mergeCell ref="L261:M261"/>
    <mergeCell ref="A252:B252"/>
    <mergeCell ref="L252:M252"/>
    <mergeCell ref="A253:B253"/>
    <mergeCell ref="L253:M253"/>
    <mergeCell ref="A254:B254"/>
    <mergeCell ref="L254:M254"/>
    <mergeCell ref="A255:B255"/>
    <mergeCell ref="L255:M255"/>
    <mergeCell ref="A256:B256"/>
    <mergeCell ref="L256:M256"/>
    <mergeCell ref="A271:B271"/>
    <mergeCell ref="L271:M271"/>
    <mergeCell ref="A272:B272"/>
    <mergeCell ref="L272:M272"/>
    <mergeCell ref="A273:B273"/>
    <mergeCell ref="L273:M273"/>
    <mergeCell ref="A274:B274"/>
    <mergeCell ref="L274:M274"/>
    <mergeCell ref="A275:B275"/>
    <mergeCell ref="L275:M275"/>
    <mergeCell ref="A267:B267"/>
    <mergeCell ref="L267:M267"/>
    <mergeCell ref="A268:B268"/>
    <mergeCell ref="L268:M268"/>
    <mergeCell ref="A269:B269"/>
    <mergeCell ref="L269:M269"/>
    <mergeCell ref="C260:H262"/>
    <mergeCell ref="C267:H269"/>
    <mergeCell ref="A270:H270"/>
    <mergeCell ref="A262:B262"/>
    <mergeCell ref="L262:M262"/>
    <mergeCell ref="A263:B263"/>
    <mergeCell ref="L263:M263"/>
    <mergeCell ref="A264:B264"/>
    <mergeCell ref="L264:M264"/>
    <mergeCell ref="A265:B265"/>
    <mergeCell ref="L265:M265"/>
    <mergeCell ref="A266:B266"/>
    <mergeCell ref="L266:M266"/>
    <mergeCell ref="A281:B281"/>
    <mergeCell ref="L281:M281"/>
    <mergeCell ref="A282:B282"/>
    <mergeCell ref="L282:M282"/>
    <mergeCell ref="A283:B283"/>
    <mergeCell ref="L283:M283"/>
    <mergeCell ref="A284:B284"/>
    <mergeCell ref="L284:M284"/>
    <mergeCell ref="A285:B285"/>
    <mergeCell ref="L285:M285"/>
    <mergeCell ref="A276:B276"/>
    <mergeCell ref="L276:M276"/>
    <mergeCell ref="A277:B277"/>
    <mergeCell ref="L277:M277"/>
    <mergeCell ref="A278:B278"/>
    <mergeCell ref="L278:M278"/>
    <mergeCell ref="A279:B279"/>
    <mergeCell ref="L279:M279"/>
    <mergeCell ref="A280:B280"/>
    <mergeCell ref="L280:M280"/>
    <mergeCell ref="A291:H291"/>
    <mergeCell ref="A292:B292"/>
    <mergeCell ref="L292:M292"/>
    <mergeCell ref="A293:B293"/>
    <mergeCell ref="L293:M293"/>
    <mergeCell ref="A294:B294"/>
    <mergeCell ref="L294:M294"/>
    <mergeCell ref="A295:B295"/>
    <mergeCell ref="L295:M295"/>
    <mergeCell ref="A286:B286"/>
    <mergeCell ref="L286:M286"/>
    <mergeCell ref="A287:B287"/>
    <mergeCell ref="L287:M287"/>
    <mergeCell ref="A288:B288"/>
    <mergeCell ref="L288:M288"/>
    <mergeCell ref="A289:B289"/>
    <mergeCell ref="L289:M289"/>
    <mergeCell ref="A290:B290"/>
    <mergeCell ref="L290:M290"/>
    <mergeCell ref="A301:B301"/>
    <mergeCell ref="L301:M301"/>
    <mergeCell ref="A302:B302"/>
    <mergeCell ref="L302:M302"/>
    <mergeCell ref="A303:B303"/>
    <mergeCell ref="L303:M303"/>
    <mergeCell ref="A304:B304"/>
    <mergeCell ref="L304:M304"/>
    <mergeCell ref="A305:B305"/>
    <mergeCell ref="L305:M305"/>
    <mergeCell ref="A296:B296"/>
    <mergeCell ref="L296:M296"/>
    <mergeCell ref="A297:B297"/>
    <mergeCell ref="L297:M297"/>
    <mergeCell ref="A298:B298"/>
    <mergeCell ref="L298:M298"/>
    <mergeCell ref="A299:B299"/>
    <mergeCell ref="L299:M299"/>
    <mergeCell ref="A300:B300"/>
    <mergeCell ref="L300:M300"/>
    <mergeCell ref="A311:B311"/>
    <mergeCell ref="L311:M311"/>
    <mergeCell ref="A312:H312"/>
    <mergeCell ref="A313:B313"/>
    <mergeCell ref="L313:M313"/>
    <mergeCell ref="A314:B314"/>
    <mergeCell ref="L314:M314"/>
    <mergeCell ref="A315:B315"/>
    <mergeCell ref="L315:M315"/>
    <mergeCell ref="A306:B306"/>
    <mergeCell ref="L306:M306"/>
    <mergeCell ref="A307:B307"/>
    <mergeCell ref="L307:M307"/>
    <mergeCell ref="A308:B308"/>
    <mergeCell ref="L308:M308"/>
    <mergeCell ref="A309:B309"/>
    <mergeCell ref="L309:M309"/>
    <mergeCell ref="A310:B310"/>
    <mergeCell ref="L310:M310"/>
    <mergeCell ref="A338:B338"/>
    <mergeCell ref="A321:B321"/>
    <mergeCell ref="L321:M321"/>
    <mergeCell ref="A322:B322"/>
    <mergeCell ref="L322:M322"/>
    <mergeCell ref="A323:B323"/>
    <mergeCell ref="L323:M323"/>
    <mergeCell ref="A324:B324"/>
    <mergeCell ref="L324:M324"/>
    <mergeCell ref="A325:B325"/>
    <mergeCell ref="L325:M325"/>
    <mergeCell ref="A316:B316"/>
    <mergeCell ref="L316:M316"/>
    <mergeCell ref="A317:B317"/>
    <mergeCell ref="L317:M317"/>
    <mergeCell ref="A318:B318"/>
    <mergeCell ref="L318:M318"/>
    <mergeCell ref="A319:B319"/>
    <mergeCell ref="L319:M319"/>
    <mergeCell ref="A320:B320"/>
    <mergeCell ref="L320:M320"/>
    <mergeCell ref="B524:H524"/>
    <mergeCell ref="A331:B331"/>
    <mergeCell ref="L331:M331"/>
    <mergeCell ref="A332:B332"/>
    <mergeCell ref="L332:M332"/>
    <mergeCell ref="C323:H324"/>
    <mergeCell ref="C331:H332"/>
    <mergeCell ref="B521:H521"/>
    <mergeCell ref="A326:B326"/>
    <mergeCell ref="L326:M326"/>
    <mergeCell ref="A327:B327"/>
    <mergeCell ref="L327:M327"/>
    <mergeCell ref="A328:B328"/>
    <mergeCell ref="L328:M328"/>
    <mergeCell ref="A329:B329"/>
    <mergeCell ref="L329:M329"/>
    <mergeCell ref="A330:B330"/>
    <mergeCell ref="L330:M330"/>
    <mergeCell ref="A339:B339"/>
    <mergeCell ref="L339:M339"/>
    <mergeCell ref="A340:B340"/>
    <mergeCell ref="L340:M340"/>
    <mergeCell ref="A341:B341"/>
    <mergeCell ref="L341:M341"/>
    <mergeCell ref="A334:B334"/>
    <mergeCell ref="L334:M334"/>
    <mergeCell ref="A335:B335"/>
    <mergeCell ref="L335:M335"/>
    <mergeCell ref="A336:B336"/>
    <mergeCell ref="L336:M336"/>
    <mergeCell ref="A337:B337"/>
    <mergeCell ref="L337:M337"/>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343:E344 E126:E127">
      <formula1>"Attached Loft area,Attached Otla area,Attached Mezzanine area"</formula1>
    </dataValidation>
    <dataValidation type="list" allowBlank="1" showInputMessage="1" showErrorMessage="1" sqref="G533:H533">
      <formula1>"Kunal Kadam,Pranita Mhatre,Shruti Fule,Pooja Kawale,Gaurav Panchal,Shruti Tathare, Hitakshi Mhatre, Sachin Sawant"</formula1>
    </dataValidation>
    <dataValidation type="list" allowBlank="1" showInputMessage="1" showErrorMessage="1" sqref="F101:H101">
      <formula1>"On Saleable Area,On Builtup Area,On Carpet Area,On Plot Area"</formula1>
    </dataValidation>
    <dataValidation type="list" allowBlank="1" showInputMessage="1" showErrorMessage="1" sqref="F111:H111">
      <formula1>OFFSET($S$101,1,MATCH($G20,$S$101:$W$101,0)-1,15,1)</formula1>
    </dataValidation>
    <dataValidation type="list" allowBlank="1" showInputMessage="1" showErrorMessage="1" sqref="B343:B344 B126:B127">
      <formula1>"Shop No. (Sale Plan),Sale / Rehab,Sale / Mhada"</formula1>
    </dataValidation>
    <dataValidation type="list" allowBlank="1" showInputMessage="1" showErrorMessage="1" sqref="B478:B47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478:E479">
      <formula1>"Fungible area,Balcony Area,Chajja Area,Cornice Area,AP Area,WS Area"</formula1>
    </dataValidation>
    <dataValidation type="list" allowBlank="1" showInputMessage="1" showErrorMessage="1" sqref="H479 H344 H127">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 type="list" allowBlank="1" showInputMessage="1" showErrorMessage="1" sqref="H343 H478 H126">
      <formula1>"Saleable area Loading :,Builder Saleable Area"</formula1>
    </dataValidation>
    <dataValidation type="list" allowBlank="1" showInputMessage="1" showErrorMessage="1" sqref="D478:D479 D343:D344 D126:D127">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537" max="16383" man="1"/>
    <brk id="580" max="16383" man="1"/>
    <brk id="62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38" t="s">
        <v>103</v>
      </c>
      <c r="C3" s="238"/>
      <c r="D3" s="238"/>
      <c r="E3" s="238"/>
      <c r="F3" s="238"/>
      <c r="G3" s="238"/>
      <c r="H3" s="238"/>
    </row>
    <row r="4" spans="1:9" x14ac:dyDescent="0.35">
      <c r="A4" s="2"/>
      <c r="B4" s="3" t="s">
        <v>104</v>
      </c>
      <c r="C4" s="3" t="s">
        <v>105</v>
      </c>
      <c r="D4" s="3" t="s">
        <v>66</v>
      </c>
      <c r="E4" s="3" t="s">
        <v>106</v>
      </c>
      <c r="F4" s="3" t="s">
        <v>112</v>
      </c>
      <c r="G4" s="3" t="s">
        <v>113</v>
      </c>
      <c r="H4" s="3" t="s">
        <v>107</v>
      </c>
    </row>
    <row r="5" spans="1:9" ht="15" customHeight="1" x14ac:dyDescent="0.35">
      <c r="A5" s="2"/>
      <c r="B5" s="5" t="s">
        <v>108</v>
      </c>
      <c r="C5" s="6"/>
      <c r="D5" s="5"/>
      <c r="E5" s="5"/>
      <c r="F5" s="7">
        <f>E5*1.6</f>
        <v>0</v>
      </c>
      <c r="G5" s="7" t="e">
        <f>H5/F5</f>
        <v>#DIV/0!</v>
      </c>
      <c r="H5" s="8"/>
    </row>
    <row r="6" spans="1:9" x14ac:dyDescent="0.35">
      <c r="A6" s="2"/>
      <c r="B6" s="5" t="s">
        <v>108</v>
      </c>
      <c r="C6" s="9"/>
      <c r="D6" s="5"/>
      <c r="E6" s="5"/>
      <c r="F6" s="7">
        <f t="shared" ref="F6:F11" si="0">E6*1.6</f>
        <v>0</v>
      </c>
      <c r="G6" s="7" t="e">
        <f t="shared" ref="G6:G11" si="1">H6/F6</f>
        <v>#DIV/0!</v>
      </c>
      <c r="H6" s="8"/>
    </row>
    <row r="7" spans="1:9" ht="15" customHeight="1" x14ac:dyDescent="0.35">
      <c r="A7" s="2"/>
      <c r="B7" s="5" t="s">
        <v>108</v>
      </c>
      <c r="C7" s="6"/>
      <c r="D7" s="5"/>
      <c r="E7" s="5"/>
      <c r="F7" s="7">
        <f t="shared" si="0"/>
        <v>0</v>
      </c>
      <c r="G7" s="7" t="e">
        <f t="shared" si="1"/>
        <v>#DIV/0!</v>
      </c>
      <c r="H7" s="8"/>
    </row>
    <row r="8" spans="1:9" x14ac:dyDescent="0.35">
      <c r="A8" s="2"/>
      <c r="B8" s="5" t="s">
        <v>108</v>
      </c>
      <c r="C8" s="9"/>
      <c r="D8" s="5"/>
      <c r="E8" s="5"/>
      <c r="F8" s="7">
        <f t="shared" si="0"/>
        <v>0</v>
      </c>
      <c r="G8" s="7" t="e">
        <f t="shared" si="1"/>
        <v>#DIV/0!</v>
      </c>
      <c r="H8" s="8"/>
    </row>
    <row r="9" spans="1:9" ht="15" customHeight="1" x14ac:dyDescent="0.35">
      <c r="A9" s="2"/>
      <c r="B9" s="5" t="s">
        <v>108</v>
      </c>
      <c r="C9" s="9"/>
      <c r="D9" s="5"/>
      <c r="E9" s="5"/>
      <c r="F9" s="7">
        <f t="shared" si="0"/>
        <v>0</v>
      </c>
      <c r="G9" s="7" t="e">
        <f t="shared" si="1"/>
        <v>#DIV/0!</v>
      </c>
      <c r="H9" s="8"/>
    </row>
    <row r="10" spans="1:9" ht="15" customHeight="1" x14ac:dyDescent="0.35">
      <c r="A10" s="2"/>
      <c r="B10" s="5" t="s">
        <v>109</v>
      </c>
      <c r="C10" s="6"/>
      <c r="D10" s="5"/>
      <c r="E10" s="5"/>
      <c r="F10" s="7">
        <f t="shared" si="0"/>
        <v>0</v>
      </c>
      <c r="G10" s="7" t="e">
        <f t="shared" si="1"/>
        <v>#DIV/0!</v>
      </c>
      <c r="H10" s="8"/>
    </row>
    <row r="11" spans="1:9" ht="15" customHeight="1" x14ac:dyDescent="0.35">
      <c r="A11" s="2"/>
      <c r="B11" s="5" t="s">
        <v>109</v>
      </c>
      <c r="C11" s="6"/>
      <c r="D11" s="5"/>
      <c r="E11" s="5"/>
      <c r="F11" s="7">
        <f t="shared" si="0"/>
        <v>0</v>
      </c>
      <c r="G11" s="7" t="e">
        <f t="shared" si="1"/>
        <v>#DIV/0!</v>
      </c>
      <c r="H11" s="8"/>
    </row>
    <row r="12" spans="1:9" ht="15" customHeight="1" x14ac:dyDescent="0.35">
      <c r="A12" s="2"/>
      <c r="B12" s="10" t="s">
        <v>110</v>
      </c>
      <c r="C12" s="5"/>
      <c r="D12" s="5"/>
      <c r="E12" s="5"/>
      <c r="F12" s="5"/>
      <c r="G12" s="11" t="e">
        <f>AVERAGE(G5:G11)</f>
        <v>#DIV/0!</v>
      </c>
      <c r="H12" s="5"/>
    </row>
    <row r="13" spans="1:9" ht="15" customHeight="1" x14ac:dyDescent="0.35">
      <c r="B13" s="10" t="s">
        <v>111</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2"/>
      <c r="C4" s="52" t="s">
        <v>11</v>
      </c>
      <c r="D4" s="53" t="s">
        <v>178</v>
      </c>
      <c r="E4" s="53" t="s">
        <v>188</v>
      </c>
      <c r="F4" s="53" t="s">
        <v>171</v>
      </c>
      <c r="G4" s="53" t="s">
        <v>193</v>
      </c>
      <c r="H4" s="53" t="s">
        <v>211</v>
      </c>
      <c r="J4" t="s">
        <v>193</v>
      </c>
      <c r="K4" t="s">
        <v>209</v>
      </c>
    </row>
    <row r="5" spans="2:11" x14ac:dyDescent="0.35">
      <c r="B5" s="52"/>
      <c r="C5" s="52"/>
      <c r="D5" s="53" t="s">
        <v>179</v>
      </c>
      <c r="E5" s="53" t="s">
        <v>186</v>
      </c>
      <c r="F5" s="53" t="s">
        <v>208</v>
      </c>
      <c r="G5" s="53" t="s">
        <v>194</v>
      </c>
      <c r="H5" s="53" t="s">
        <v>212</v>
      </c>
    </row>
    <row r="6" spans="2:11" x14ac:dyDescent="0.35">
      <c r="B6" s="52"/>
      <c r="C6" s="52"/>
      <c r="D6" s="53" t="s">
        <v>180</v>
      </c>
      <c r="E6" s="53" t="s">
        <v>187</v>
      </c>
      <c r="F6" s="53" t="s">
        <v>209</v>
      </c>
      <c r="G6" s="53" t="s">
        <v>195</v>
      </c>
      <c r="H6" s="53" t="s">
        <v>225</v>
      </c>
    </row>
    <row r="7" spans="2:11" x14ac:dyDescent="0.35">
      <c r="B7" s="52"/>
      <c r="C7" s="52"/>
      <c r="D7" s="53" t="s">
        <v>181</v>
      </c>
      <c r="E7" s="53" t="s">
        <v>189</v>
      </c>
      <c r="F7" s="53" t="s">
        <v>210</v>
      </c>
      <c r="G7" s="53" t="s">
        <v>196</v>
      </c>
      <c r="H7" s="53" t="s">
        <v>213</v>
      </c>
    </row>
    <row r="8" spans="2:11" x14ac:dyDescent="0.35">
      <c r="B8" s="52"/>
      <c r="C8" s="52"/>
      <c r="D8" s="53" t="s">
        <v>182</v>
      </c>
      <c r="E8" s="53" t="s">
        <v>190</v>
      </c>
      <c r="F8" s="53"/>
      <c r="G8" s="53" t="s">
        <v>197</v>
      </c>
      <c r="H8" s="53" t="s">
        <v>214</v>
      </c>
    </row>
    <row r="9" spans="2:11" x14ac:dyDescent="0.35">
      <c r="B9" s="52"/>
      <c r="C9" s="52"/>
      <c r="D9" s="53" t="s">
        <v>183</v>
      </c>
      <c r="E9" s="53" t="s">
        <v>188</v>
      </c>
      <c r="F9" s="53"/>
      <c r="G9" s="53" t="s">
        <v>198</v>
      </c>
      <c r="H9" s="53" t="s">
        <v>215</v>
      </c>
    </row>
    <row r="10" spans="2:11" x14ac:dyDescent="0.35">
      <c r="B10" s="52"/>
      <c r="C10" s="52"/>
      <c r="D10" s="53" t="s">
        <v>184</v>
      </c>
      <c r="E10" s="53" t="s">
        <v>191</v>
      </c>
      <c r="F10" s="53"/>
      <c r="G10" s="53" t="s">
        <v>199</v>
      </c>
      <c r="H10" s="53" t="s">
        <v>216</v>
      </c>
    </row>
    <row r="11" spans="2:11" x14ac:dyDescent="0.35">
      <c r="B11" s="52"/>
      <c r="C11" s="52"/>
      <c r="D11" s="53" t="s">
        <v>185</v>
      </c>
      <c r="E11" s="53" t="s">
        <v>192</v>
      </c>
      <c r="F11" s="53"/>
      <c r="G11" s="53" t="s">
        <v>200</v>
      </c>
      <c r="H11" s="53" t="s">
        <v>217</v>
      </c>
    </row>
    <row r="12" spans="2:11" x14ac:dyDescent="0.35">
      <c r="B12" s="52"/>
      <c r="C12" s="52"/>
      <c r="D12" s="53"/>
      <c r="E12" s="53"/>
      <c r="F12" s="53"/>
      <c r="G12" s="53" t="s">
        <v>201</v>
      </c>
      <c r="H12" s="53" t="s">
        <v>218</v>
      </c>
    </row>
    <row r="13" spans="2:11" x14ac:dyDescent="0.35">
      <c r="B13" s="52"/>
      <c r="C13" s="52"/>
      <c r="D13" s="53"/>
      <c r="E13" s="53"/>
      <c r="F13" s="53"/>
      <c r="G13" s="53" t="s">
        <v>202</v>
      </c>
      <c r="H13" s="53" t="s">
        <v>219</v>
      </c>
    </row>
    <row r="14" spans="2:11" x14ac:dyDescent="0.35">
      <c r="B14" s="52"/>
      <c r="C14" s="52"/>
      <c r="D14" s="53"/>
      <c r="E14" s="53"/>
      <c r="F14" s="53"/>
      <c r="G14" s="53" t="s">
        <v>203</v>
      </c>
      <c r="H14" s="53" t="s">
        <v>220</v>
      </c>
    </row>
    <row r="15" spans="2:11" x14ac:dyDescent="0.35">
      <c r="B15" s="52"/>
      <c r="C15" s="52"/>
      <c r="D15" s="53"/>
      <c r="E15" s="53"/>
      <c r="F15" s="53"/>
      <c r="G15" s="53" t="s">
        <v>204</v>
      </c>
      <c r="H15" s="53" t="s">
        <v>221</v>
      </c>
    </row>
    <row r="16" spans="2:11" x14ac:dyDescent="0.35">
      <c r="B16" s="52"/>
      <c r="C16" s="52"/>
      <c r="D16" s="53"/>
      <c r="E16" s="53"/>
      <c r="F16" s="53"/>
      <c r="G16" s="53" t="s">
        <v>205</v>
      </c>
      <c r="H16" s="53" t="s">
        <v>222</v>
      </c>
    </row>
    <row r="17" spans="2:8" x14ac:dyDescent="0.35">
      <c r="B17" s="52"/>
      <c r="C17" s="52"/>
      <c r="D17" s="53"/>
      <c r="E17" s="53"/>
      <c r="F17" s="53"/>
      <c r="G17" s="53" t="s">
        <v>206</v>
      </c>
      <c r="H17" s="53" t="s">
        <v>223</v>
      </c>
    </row>
    <row r="18" spans="2:8" x14ac:dyDescent="0.35">
      <c r="B18" s="52"/>
      <c r="C18" s="52"/>
      <c r="D18" s="53"/>
      <c r="E18" s="53"/>
      <c r="F18" s="53"/>
      <c r="G18" s="53" t="s">
        <v>207</v>
      </c>
      <c r="H18" s="53" t="s">
        <v>224</v>
      </c>
    </row>
    <row r="24" spans="2:8" x14ac:dyDescent="0.35">
      <c r="C24" t="s">
        <v>168</v>
      </c>
    </row>
    <row r="25" spans="2:8" x14ac:dyDescent="0.35">
      <c r="C25" t="s">
        <v>226</v>
      </c>
    </row>
    <row r="26" spans="2:8" x14ac:dyDescent="0.35">
      <c r="C26" t="s">
        <v>227</v>
      </c>
    </row>
    <row r="27" spans="2:8" x14ac:dyDescent="0.35">
      <c r="C27" t="s">
        <v>228</v>
      </c>
    </row>
    <row r="28" spans="2:8" x14ac:dyDescent="0.35">
      <c r="C28" t="s">
        <v>229</v>
      </c>
    </row>
    <row r="29" spans="2:8" x14ac:dyDescent="0.35">
      <c r="C29" t="s">
        <v>230</v>
      </c>
    </row>
    <row r="30" spans="2:8" x14ac:dyDescent="0.35">
      <c r="C30" t="s">
        <v>168</v>
      </c>
    </row>
    <row r="33" spans="3:11" x14ac:dyDescent="0.35">
      <c r="J33">
        <v>1</v>
      </c>
      <c r="K33">
        <v>2</v>
      </c>
    </row>
    <row r="34" spans="3:11" x14ac:dyDescent="0.35">
      <c r="C34" s="55" t="s">
        <v>236</v>
      </c>
      <c r="D34" s="53" t="s">
        <v>234</v>
      </c>
      <c r="E34" s="53" t="s">
        <v>239</v>
      </c>
      <c r="F34" s="53" t="s">
        <v>237</v>
      </c>
      <c r="G34" s="53" t="s">
        <v>238</v>
      </c>
      <c r="H34" s="53" t="s">
        <v>240</v>
      </c>
      <c r="J34" t="s">
        <v>193</v>
      </c>
      <c r="K34" t="s">
        <v>209</v>
      </c>
    </row>
    <row r="35" spans="3:11" x14ac:dyDescent="0.35">
      <c r="C35" s="52" t="s">
        <v>235</v>
      </c>
      <c r="D35" s="53" t="s">
        <v>169</v>
      </c>
      <c r="E35" s="53" t="s">
        <v>244</v>
      </c>
      <c r="F35" s="53" t="s">
        <v>246</v>
      </c>
      <c r="G35" s="53" t="s">
        <v>248</v>
      </c>
      <c r="H35" s="53"/>
    </row>
    <row r="36" spans="3:11" x14ac:dyDescent="0.35">
      <c r="C36" s="52"/>
      <c r="D36" s="53" t="s">
        <v>241</v>
      </c>
      <c r="E36" s="53" t="s">
        <v>245</v>
      </c>
      <c r="F36" s="53" t="s">
        <v>247</v>
      </c>
      <c r="G36" s="53" t="s">
        <v>249</v>
      </c>
      <c r="H36" s="53"/>
    </row>
    <row r="37" spans="3:11" x14ac:dyDescent="0.35">
      <c r="C37" s="52"/>
      <c r="D37" s="53" t="s">
        <v>242</v>
      </c>
      <c r="E37" s="53"/>
      <c r="F37" s="53"/>
      <c r="G37" s="53" t="s">
        <v>250</v>
      </c>
      <c r="H37" s="53"/>
    </row>
    <row r="38" spans="3:11" x14ac:dyDescent="0.35">
      <c r="C38" s="52"/>
      <c r="D38" s="53" t="s">
        <v>243</v>
      </c>
      <c r="E38" s="53"/>
      <c r="F38" s="53"/>
      <c r="G38" s="53" t="s">
        <v>250</v>
      </c>
      <c r="H38" s="53"/>
    </row>
    <row r="39" spans="3:11" x14ac:dyDescent="0.35">
      <c r="C39" s="52"/>
      <c r="D39" s="53"/>
      <c r="E39" s="53"/>
      <c r="F39" s="53"/>
      <c r="G39" s="53" t="s">
        <v>251</v>
      </c>
      <c r="H39" s="53"/>
    </row>
    <row r="40" spans="3:11" x14ac:dyDescent="0.35">
      <c r="C40" s="52"/>
      <c r="D40" s="53"/>
      <c r="E40" s="53"/>
      <c r="F40" s="53"/>
      <c r="G40" s="53" t="s">
        <v>252</v>
      </c>
      <c r="H40" s="53"/>
    </row>
    <row r="41" spans="3:11" x14ac:dyDescent="0.35">
      <c r="C41" s="52"/>
      <c r="D41" s="53"/>
      <c r="E41" s="53"/>
      <c r="F41" s="53"/>
      <c r="G41" s="53"/>
      <c r="H41" s="53"/>
    </row>
    <row r="43" spans="3:11" x14ac:dyDescent="0.35">
      <c r="C43" t="s">
        <v>253</v>
      </c>
    </row>
    <row r="44" spans="3:11" x14ac:dyDescent="0.35">
      <c r="C44" t="s">
        <v>171</v>
      </c>
      <c r="D44" t="s">
        <v>254</v>
      </c>
    </row>
    <row r="45" spans="3:11" x14ac:dyDescent="0.35">
      <c r="D45" t="s">
        <v>255</v>
      </c>
    </row>
    <row r="46" spans="3:11" x14ac:dyDescent="0.35">
      <c r="D46" t="s">
        <v>256</v>
      </c>
    </row>
    <row r="47" spans="3:11" x14ac:dyDescent="0.35">
      <c r="D47" t="s">
        <v>257</v>
      </c>
    </row>
    <row r="48" spans="3:11" x14ac:dyDescent="0.35">
      <c r="D48" t="s">
        <v>258</v>
      </c>
    </row>
    <row r="49" spans="3:4" x14ac:dyDescent="0.35">
      <c r="C49" t="s">
        <v>178</v>
      </c>
      <c r="D49" t="s">
        <v>259</v>
      </c>
    </row>
    <row r="50" spans="3:4" x14ac:dyDescent="0.35">
      <c r="D50" t="s">
        <v>260</v>
      </c>
    </row>
    <row r="51" spans="3:4" x14ac:dyDescent="0.35">
      <c r="D51" t="s">
        <v>261</v>
      </c>
    </row>
    <row r="52" spans="3:4" x14ac:dyDescent="0.35">
      <c r="D52" t="s">
        <v>264</v>
      </c>
    </row>
    <row r="53" spans="3:4" x14ac:dyDescent="0.35">
      <c r="D53" t="s">
        <v>262</v>
      </c>
    </row>
    <row r="54" spans="3:4" x14ac:dyDescent="0.35">
      <c r="D54" t="s">
        <v>263</v>
      </c>
    </row>
    <row r="55" spans="3:4" x14ac:dyDescent="0.35">
      <c r="D55" t="s">
        <v>265</v>
      </c>
    </row>
    <row r="56" spans="3:4" x14ac:dyDescent="0.35">
      <c r="D56" t="s">
        <v>266</v>
      </c>
    </row>
    <row r="57" spans="3:4" x14ac:dyDescent="0.35">
      <c r="D57" t="s">
        <v>267</v>
      </c>
    </row>
    <row r="58" spans="3:4" x14ac:dyDescent="0.35">
      <c r="D58" t="s">
        <v>269</v>
      </c>
    </row>
    <row r="59" spans="3:4" x14ac:dyDescent="0.35">
      <c r="D59" t="s">
        <v>278</v>
      </c>
    </row>
    <row r="60" spans="3:4" x14ac:dyDescent="0.35">
      <c r="C60" t="s">
        <v>193</v>
      </c>
      <c r="D60" t="s">
        <v>270</v>
      </c>
    </row>
    <row r="61" spans="3:4" x14ac:dyDescent="0.35">
      <c r="D61" t="s">
        <v>268</v>
      </c>
    </row>
    <row r="62" spans="3:4" x14ac:dyDescent="0.35">
      <c r="D62" t="s">
        <v>258</v>
      </c>
    </row>
    <row r="63" spans="3:4" x14ac:dyDescent="0.35">
      <c r="D63" t="s">
        <v>271</v>
      </c>
    </row>
    <row r="64" spans="3:4" x14ac:dyDescent="0.35">
      <c r="D64" t="s">
        <v>272</v>
      </c>
    </row>
    <row r="65" spans="3:4" x14ac:dyDescent="0.35">
      <c r="D65" t="s">
        <v>273</v>
      </c>
    </row>
    <row r="66" spans="3:4" x14ac:dyDescent="0.35">
      <c r="D66" t="s">
        <v>274</v>
      </c>
    </row>
    <row r="67" spans="3:4" x14ac:dyDescent="0.35">
      <c r="C67" t="s">
        <v>188</v>
      </c>
      <c r="D67" t="s">
        <v>275</v>
      </c>
    </row>
    <row r="68" spans="3:4" x14ac:dyDescent="0.35">
      <c r="D68" t="s">
        <v>276</v>
      </c>
    </row>
    <row r="69" spans="3:4" x14ac:dyDescent="0.3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topLeftCell="A13" workbookViewId="0">
      <selection activeCell="C28" sqref="C28"/>
    </sheetView>
  </sheetViews>
  <sheetFormatPr defaultRowHeight="14.5" x14ac:dyDescent="0.35"/>
  <cols>
    <col min="2" max="2" width="3" bestFit="1" customWidth="1"/>
    <col min="3" max="3" width="155.26953125" customWidth="1"/>
  </cols>
  <sheetData>
    <row r="2" spans="2:3" ht="15" customHeight="1" x14ac:dyDescent="0.35">
      <c r="B2" s="56">
        <v>1</v>
      </c>
      <c r="C2" s="58" t="s">
        <v>283</v>
      </c>
    </row>
    <row r="3" spans="2:3" x14ac:dyDescent="0.35">
      <c r="B3" s="56">
        <v>2</v>
      </c>
      <c r="C3" s="57" t="s">
        <v>284</v>
      </c>
    </row>
    <row r="4" spans="2:3" x14ac:dyDescent="0.35">
      <c r="B4" s="56">
        <v>3</v>
      </c>
      <c r="C4" s="56" t="s">
        <v>285</v>
      </c>
    </row>
    <row r="5" spans="2:3" x14ac:dyDescent="0.35">
      <c r="B5" s="56">
        <v>4</v>
      </c>
      <c r="C5" s="57" t="s">
        <v>286</v>
      </c>
    </row>
    <row r="6" spans="2:3" x14ac:dyDescent="0.35">
      <c r="B6" s="56">
        <v>5</v>
      </c>
      <c r="C6" s="56" t="s">
        <v>287</v>
      </c>
    </row>
    <row r="7" spans="2:3" ht="29" x14ac:dyDescent="0.35">
      <c r="B7" s="56">
        <v>6</v>
      </c>
      <c r="C7" s="57" t="s">
        <v>288</v>
      </c>
    </row>
    <row r="8" spans="2:3" ht="72.5" x14ac:dyDescent="0.35">
      <c r="B8" s="56">
        <v>7</v>
      </c>
      <c r="C8" s="57" t="s">
        <v>289</v>
      </c>
    </row>
    <row r="9" spans="2:3" x14ac:dyDescent="0.35">
      <c r="B9" s="56">
        <v>8</v>
      </c>
      <c r="C9" s="56" t="s">
        <v>290</v>
      </c>
    </row>
    <row r="10" spans="2:3" x14ac:dyDescent="0.35">
      <c r="B10" s="56">
        <v>9</v>
      </c>
      <c r="C10" s="56" t="s">
        <v>291</v>
      </c>
    </row>
    <row r="11" spans="2:3" x14ac:dyDescent="0.35">
      <c r="B11" s="56">
        <v>10</v>
      </c>
      <c r="C11" s="56" t="s">
        <v>292</v>
      </c>
    </row>
    <row r="12" spans="2:3" x14ac:dyDescent="0.35">
      <c r="B12" s="56">
        <v>11</v>
      </c>
      <c r="C12" s="56" t="s">
        <v>293</v>
      </c>
    </row>
    <row r="13" spans="2:3" x14ac:dyDescent="0.35">
      <c r="B13" s="56">
        <v>12</v>
      </c>
      <c r="C13" s="56" t="s">
        <v>294</v>
      </c>
    </row>
    <row r="14" spans="2:3" x14ac:dyDescent="0.35">
      <c r="B14" s="56">
        <v>13</v>
      </c>
      <c r="C14" s="56" t="s">
        <v>295</v>
      </c>
    </row>
    <row r="15" spans="2:3" x14ac:dyDescent="0.35">
      <c r="B15" s="56">
        <v>14</v>
      </c>
      <c r="C15" s="56" t="s">
        <v>285</v>
      </c>
    </row>
    <row r="16" spans="2:3" x14ac:dyDescent="0.35">
      <c r="B16" s="56">
        <v>15</v>
      </c>
      <c r="C16" s="56" t="s">
        <v>298</v>
      </c>
    </row>
    <row r="17" spans="2:3" ht="31.5" customHeight="1" x14ac:dyDescent="0.35">
      <c r="B17" s="61">
        <v>16</v>
      </c>
      <c r="C17" s="63" t="s">
        <v>299</v>
      </c>
    </row>
    <row r="18" spans="2:3" x14ac:dyDescent="0.35">
      <c r="B18" s="62">
        <v>17</v>
      </c>
      <c r="C18" s="63" t="s">
        <v>300</v>
      </c>
    </row>
    <row r="19" spans="2:3" x14ac:dyDescent="0.35">
      <c r="B19" s="61">
        <v>18</v>
      </c>
      <c r="C19" s="56" t="s">
        <v>301</v>
      </c>
    </row>
    <row r="20" spans="2:3" x14ac:dyDescent="0.35">
      <c r="B20" s="62">
        <v>19</v>
      </c>
      <c r="C20" s="56" t="s">
        <v>302</v>
      </c>
    </row>
    <row r="21" spans="2:3" x14ac:dyDescent="0.35">
      <c r="B21" s="56">
        <v>20</v>
      </c>
      <c r="C21" s="56" t="s">
        <v>303</v>
      </c>
    </row>
    <row r="22" spans="2:3" x14ac:dyDescent="0.35">
      <c r="B22" s="62">
        <v>21</v>
      </c>
      <c r="C22" s="56" t="s">
        <v>301</v>
      </c>
    </row>
    <row r="23" spans="2:3" s="72" customFormat="1" ht="29.25" customHeight="1" x14ac:dyDescent="0.35">
      <c r="B23" s="71">
        <v>22</v>
      </c>
      <c r="C23" s="58" t="s">
        <v>330</v>
      </c>
    </row>
    <row r="24" spans="2:3" s="72" customFormat="1" ht="30.75" customHeight="1" x14ac:dyDescent="0.35">
      <c r="B24" s="73">
        <v>23</v>
      </c>
      <c r="C24" s="58" t="s">
        <v>331</v>
      </c>
    </row>
    <row r="25" spans="2:3" x14ac:dyDescent="0.35">
      <c r="B25" s="56">
        <v>24</v>
      </c>
      <c r="C25" s="56" t="s">
        <v>334</v>
      </c>
    </row>
    <row r="26" spans="2:3" x14ac:dyDescent="0.35">
      <c r="B26" s="62">
        <v>25</v>
      </c>
      <c r="C26" s="56" t="s">
        <v>332</v>
      </c>
    </row>
    <row r="27" spans="2:3" x14ac:dyDescent="0.35">
      <c r="B27" s="73">
        <v>26</v>
      </c>
      <c r="C27" s="56" t="s">
        <v>333</v>
      </c>
    </row>
    <row r="28" spans="2:3" x14ac:dyDescent="0.35">
      <c r="B28" s="62">
        <v>27</v>
      </c>
      <c r="C28" s="56" t="s">
        <v>371</v>
      </c>
    </row>
    <row r="29" spans="2:3" x14ac:dyDescent="0.35">
      <c r="B29" s="62">
        <v>28</v>
      </c>
      <c r="C29" s="56"/>
    </row>
    <row r="30" spans="2:3" x14ac:dyDescent="0.35">
      <c r="B30" s="73">
        <v>29</v>
      </c>
      <c r="C30" s="56"/>
    </row>
    <row r="31" spans="2:3" x14ac:dyDescent="0.35">
      <c r="B31" s="62">
        <v>30</v>
      </c>
      <c r="C31" s="56"/>
    </row>
    <row r="32" spans="2:3" x14ac:dyDescent="0.35">
      <c r="B32" s="62">
        <v>31</v>
      </c>
      <c r="C32" s="56"/>
    </row>
    <row r="33" spans="2:3" x14ac:dyDescent="0.35">
      <c r="B33" s="73">
        <v>32</v>
      </c>
      <c r="C33" s="56"/>
    </row>
    <row r="34" spans="2:3" x14ac:dyDescent="0.35">
      <c r="B34" s="62">
        <v>33</v>
      </c>
      <c r="C34" s="56"/>
    </row>
    <row r="35" spans="2:3" x14ac:dyDescent="0.35">
      <c r="B35" s="62">
        <v>34</v>
      </c>
      <c r="C35" s="56"/>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796875" defaultRowHeight="14.5" x14ac:dyDescent="0.35"/>
  <cols>
    <col min="1" max="1" width="9.1796875" style="52"/>
    <col min="2" max="2" width="12.26953125" style="52" customWidth="1"/>
    <col min="3" max="16384" width="9.1796875" style="52"/>
  </cols>
  <sheetData>
    <row r="2" spans="1:12" x14ac:dyDescent="0.35">
      <c r="B2" s="65" t="s">
        <v>304</v>
      </c>
      <c r="C2" s="239"/>
      <c r="D2" s="239"/>
    </row>
    <row r="3" spans="1:12" x14ac:dyDescent="0.35">
      <c r="D3" s="66"/>
      <c r="E3" s="66"/>
      <c r="F3" s="66"/>
      <c r="G3" s="66"/>
      <c r="H3" s="66"/>
      <c r="I3" s="66"/>
    </row>
    <row r="4" spans="1:12" x14ac:dyDescent="0.35">
      <c r="A4" s="65" t="s">
        <v>66</v>
      </c>
      <c r="B4" s="67" t="s">
        <v>305</v>
      </c>
      <c r="C4" s="240" t="s">
        <v>306</v>
      </c>
      <c r="D4" s="240"/>
      <c r="E4" s="240"/>
      <c r="F4" s="67"/>
      <c r="G4" s="241" t="s">
        <v>307</v>
      </c>
      <c r="H4" s="241"/>
      <c r="I4" s="241"/>
      <c r="J4" s="242" t="s">
        <v>308</v>
      </c>
      <c r="K4" s="242"/>
      <c r="L4" s="242"/>
    </row>
    <row r="5" spans="1:12" x14ac:dyDescent="0.35">
      <c r="A5" s="65"/>
      <c r="B5" s="67"/>
      <c r="C5" s="67" t="s">
        <v>309</v>
      </c>
      <c r="D5" s="67" t="s">
        <v>310</v>
      </c>
      <c r="E5" s="67" t="s">
        <v>311</v>
      </c>
      <c r="F5" s="67"/>
      <c r="G5" s="67" t="s">
        <v>309</v>
      </c>
      <c r="H5" s="67" t="s">
        <v>310</v>
      </c>
      <c r="I5" s="67" t="s">
        <v>311</v>
      </c>
      <c r="J5" s="67" t="s">
        <v>309</v>
      </c>
      <c r="K5" s="67" t="s">
        <v>310</v>
      </c>
      <c r="L5" s="67" t="s">
        <v>311</v>
      </c>
    </row>
    <row r="6" spans="1:12" x14ac:dyDescent="0.35">
      <c r="B6" s="53" t="s">
        <v>312</v>
      </c>
      <c r="C6" s="53"/>
      <c r="D6" s="53"/>
      <c r="E6" s="53">
        <f>C6*D6</f>
        <v>0</v>
      </c>
      <c r="F6" s="53" t="s">
        <v>329</v>
      </c>
      <c r="G6" s="53"/>
      <c r="H6" s="53"/>
      <c r="I6" s="53">
        <f>G6*H6</f>
        <v>0</v>
      </c>
      <c r="J6" s="53"/>
      <c r="K6" s="53"/>
      <c r="L6" s="53">
        <f>J6*K6</f>
        <v>0</v>
      </c>
    </row>
    <row r="7" spans="1:12" x14ac:dyDescent="0.35">
      <c r="B7" s="53"/>
      <c r="C7" s="53"/>
      <c r="D7" s="53"/>
      <c r="E7" s="53">
        <f t="shared" ref="E7:E41" si="0">C7*D7</f>
        <v>0</v>
      </c>
      <c r="F7" s="53" t="s">
        <v>329</v>
      </c>
      <c r="G7" s="53"/>
      <c r="H7" s="53"/>
      <c r="I7" s="53">
        <f t="shared" ref="I7:I35" si="1">G7*H7</f>
        <v>0</v>
      </c>
      <c r="J7" s="53"/>
      <c r="K7" s="53"/>
      <c r="L7" s="53">
        <f t="shared" ref="L7:L35" si="2">J7*K7</f>
        <v>0</v>
      </c>
    </row>
    <row r="8" spans="1:12" x14ac:dyDescent="0.35">
      <c r="B8" s="53"/>
      <c r="C8" s="53"/>
      <c r="D8" s="53"/>
      <c r="E8" s="53">
        <f t="shared" si="0"/>
        <v>0</v>
      </c>
      <c r="F8" s="53"/>
      <c r="G8" s="53"/>
      <c r="H8" s="53"/>
      <c r="I8" s="53">
        <f t="shared" si="1"/>
        <v>0</v>
      </c>
      <c r="J8" s="53"/>
      <c r="K8" s="53"/>
      <c r="L8" s="53">
        <f t="shared" si="2"/>
        <v>0</v>
      </c>
    </row>
    <row r="9" spans="1:12" x14ac:dyDescent="0.35">
      <c r="B9" s="53"/>
      <c r="C9" s="53"/>
      <c r="D9" s="53"/>
      <c r="E9" s="53">
        <f t="shared" si="0"/>
        <v>0</v>
      </c>
      <c r="F9" s="53" t="s">
        <v>313</v>
      </c>
      <c r="G9" s="53"/>
      <c r="H9" s="53"/>
      <c r="I9" s="53">
        <f t="shared" si="1"/>
        <v>0</v>
      </c>
      <c r="J9" s="53"/>
      <c r="K9" s="53"/>
      <c r="L9" s="53">
        <f t="shared" si="2"/>
        <v>0</v>
      </c>
    </row>
    <row r="10" spans="1:12" x14ac:dyDescent="0.35">
      <c r="B10" s="53" t="s">
        <v>314</v>
      </c>
      <c r="C10" s="53"/>
      <c r="D10" s="53"/>
      <c r="E10" s="53">
        <f t="shared" si="0"/>
        <v>0</v>
      </c>
      <c r="F10" s="53" t="s">
        <v>313</v>
      </c>
      <c r="G10" s="53"/>
      <c r="H10" s="53"/>
      <c r="I10" s="53">
        <f t="shared" si="1"/>
        <v>0</v>
      </c>
      <c r="J10" s="53"/>
      <c r="K10" s="53"/>
      <c r="L10" s="53">
        <f t="shared" si="2"/>
        <v>0</v>
      </c>
    </row>
    <row r="11" spans="1:12" x14ac:dyDescent="0.35">
      <c r="B11" s="53"/>
      <c r="C11" s="53"/>
      <c r="D11" s="53"/>
      <c r="E11" s="53">
        <f t="shared" si="0"/>
        <v>0</v>
      </c>
      <c r="F11" s="53" t="s">
        <v>315</v>
      </c>
      <c r="G11" s="53"/>
      <c r="H11" s="53"/>
      <c r="I11" s="53">
        <f t="shared" si="1"/>
        <v>0</v>
      </c>
      <c r="J11" s="53"/>
      <c r="K11" s="53"/>
      <c r="L11" s="53">
        <f t="shared" si="2"/>
        <v>0</v>
      </c>
    </row>
    <row r="12" spans="1:12" x14ac:dyDescent="0.35">
      <c r="B12" s="53"/>
      <c r="C12" s="53"/>
      <c r="D12" s="53"/>
      <c r="E12" s="53">
        <f t="shared" si="0"/>
        <v>0</v>
      </c>
      <c r="F12" s="53"/>
      <c r="G12" s="53"/>
      <c r="H12" s="53"/>
      <c r="I12" s="53">
        <f t="shared" si="1"/>
        <v>0</v>
      </c>
      <c r="J12" s="53"/>
      <c r="K12" s="53"/>
      <c r="L12" s="53">
        <f t="shared" si="2"/>
        <v>0</v>
      </c>
    </row>
    <row r="13" spans="1:12" x14ac:dyDescent="0.35">
      <c r="B13" s="53"/>
      <c r="C13" s="53"/>
      <c r="D13" s="53"/>
      <c r="E13" s="53">
        <f t="shared" si="0"/>
        <v>0</v>
      </c>
      <c r="F13" s="53"/>
      <c r="G13" s="53"/>
      <c r="H13" s="53"/>
      <c r="I13" s="53">
        <f t="shared" si="1"/>
        <v>0</v>
      </c>
      <c r="J13" s="53"/>
      <c r="K13" s="53"/>
      <c r="L13" s="53">
        <f t="shared" si="2"/>
        <v>0</v>
      </c>
    </row>
    <row r="14" spans="1:12" x14ac:dyDescent="0.35">
      <c r="B14" s="53" t="s">
        <v>316</v>
      </c>
      <c r="C14" s="53"/>
      <c r="D14" s="53"/>
      <c r="E14" s="53">
        <f t="shared" si="0"/>
        <v>0</v>
      </c>
      <c r="F14" s="53" t="s">
        <v>313</v>
      </c>
      <c r="G14" s="53"/>
      <c r="H14" s="53"/>
      <c r="I14" s="53">
        <f t="shared" si="1"/>
        <v>0</v>
      </c>
      <c r="J14" s="53"/>
      <c r="K14" s="53"/>
      <c r="L14" s="53">
        <f t="shared" si="2"/>
        <v>0</v>
      </c>
    </row>
    <row r="15" spans="1:12" x14ac:dyDescent="0.35">
      <c r="B15" s="53"/>
      <c r="C15" s="53"/>
      <c r="D15" s="53"/>
      <c r="E15" s="53">
        <f t="shared" si="0"/>
        <v>0</v>
      </c>
      <c r="F15" s="53" t="s">
        <v>315</v>
      </c>
      <c r="G15" s="53"/>
      <c r="H15" s="53"/>
      <c r="I15" s="53">
        <f t="shared" si="1"/>
        <v>0</v>
      </c>
      <c r="J15" s="53"/>
      <c r="K15" s="53"/>
      <c r="L15" s="53">
        <f t="shared" si="2"/>
        <v>0</v>
      </c>
    </row>
    <row r="16" spans="1:12" x14ac:dyDescent="0.35">
      <c r="B16" s="53"/>
      <c r="C16" s="53"/>
      <c r="D16" s="53"/>
      <c r="E16" s="53">
        <f t="shared" si="0"/>
        <v>0</v>
      </c>
      <c r="F16" s="53"/>
      <c r="G16" s="53"/>
      <c r="H16" s="53"/>
      <c r="I16" s="53">
        <f t="shared" si="1"/>
        <v>0</v>
      </c>
      <c r="J16" s="53"/>
      <c r="K16" s="53"/>
      <c r="L16" s="53">
        <f t="shared" si="2"/>
        <v>0</v>
      </c>
    </row>
    <row r="17" spans="2:12" x14ac:dyDescent="0.35">
      <c r="B17" s="53"/>
      <c r="C17" s="53"/>
      <c r="D17" s="53"/>
      <c r="E17" s="53">
        <f t="shared" si="0"/>
        <v>0</v>
      </c>
      <c r="F17" s="53"/>
      <c r="G17" s="53"/>
      <c r="H17" s="53"/>
      <c r="I17" s="53">
        <f t="shared" si="1"/>
        <v>0</v>
      </c>
      <c r="J17" s="53"/>
      <c r="K17" s="53"/>
      <c r="L17" s="53">
        <f t="shared" si="2"/>
        <v>0</v>
      </c>
    </row>
    <row r="18" spans="2:12" x14ac:dyDescent="0.35">
      <c r="B18" s="53" t="s">
        <v>317</v>
      </c>
      <c r="C18" s="53"/>
      <c r="D18" s="53"/>
      <c r="E18" s="53">
        <f t="shared" si="0"/>
        <v>0</v>
      </c>
      <c r="F18" s="53" t="s">
        <v>313</v>
      </c>
      <c r="G18" s="53"/>
      <c r="H18" s="53"/>
      <c r="I18" s="53">
        <f t="shared" si="1"/>
        <v>0</v>
      </c>
      <c r="J18" s="53"/>
      <c r="K18" s="53"/>
      <c r="L18" s="53">
        <f t="shared" si="2"/>
        <v>0</v>
      </c>
    </row>
    <row r="19" spans="2:12" x14ac:dyDescent="0.35">
      <c r="B19" s="53"/>
      <c r="C19" s="53"/>
      <c r="D19" s="53"/>
      <c r="E19" s="53">
        <f t="shared" si="0"/>
        <v>0</v>
      </c>
      <c r="F19" s="53" t="s">
        <v>315</v>
      </c>
      <c r="G19" s="53"/>
      <c r="H19" s="53"/>
      <c r="I19" s="53">
        <f t="shared" si="1"/>
        <v>0</v>
      </c>
      <c r="J19" s="53"/>
      <c r="K19" s="53"/>
      <c r="L19" s="53">
        <f t="shared" si="2"/>
        <v>0</v>
      </c>
    </row>
    <row r="20" spans="2:12" x14ac:dyDescent="0.35">
      <c r="B20" s="53"/>
      <c r="C20" s="53"/>
      <c r="D20" s="53"/>
      <c r="E20" s="53">
        <f t="shared" si="0"/>
        <v>0</v>
      </c>
      <c r="F20" s="53"/>
      <c r="G20" s="53"/>
      <c r="H20" s="53"/>
      <c r="I20" s="53">
        <f t="shared" si="1"/>
        <v>0</v>
      </c>
      <c r="J20" s="53"/>
      <c r="K20" s="53"/>
      <c r="L20" s="53">
        <f t="shared" si="2"/>
        <v>0</v>
      </c>
    </row>
    <row r="21" spans="2:12" x14ac:dyDescent="0.35">
      <c r="B21" s="53" t="s">
        <v>318</v>
      </c>
      <c r="C21" s="53"/>
      <c r="D21" s="53"/>
      <c r="E21" s="53">
        <f t="shared" si="0"/>
        <v>0</v>
      </c>
      <c r="F21" s="53" t="s">
        <v>313</v>
      </c>
      <c r="G21" s="53"/>
      <c r="H21" s="53"/>
      <c r="I21" s="53">
        <f t="shared" si="1"/>
        <v>0</v>
      </c>
      <c r="J21" s="53"/>
      <c r="K21" s="53"/>
      <c r="L21" s="53">
        <f t="shared" si="2"/>
        <v>0</v>
      </c>
    </row>
    <row r="22" spans="2:12" x14ac:dyDescent="0.35">
      <c r="B22" s="53"/>
      <c r="C22" s="53"/>
      <c r="D22" s="53"/>
      <c r="E22" s="53">
        <f t="shared" si="0"/>
        <v>0</v>
      </c>
      <c r="F22" s="53" t="s">
        <v>315</v>
      </c>
      <c r="G22" s="53"/>
      <c r="H22" s="53"/>
      <c r="I22" s="53">
        <f t="shared" si="1"/>
        <v>0</v>
      </c>
      <c r="J22" s="53"/>
      <c r="K22" s="53"/>
      <c r="L22" s="53">
        <f t="shared" si="2"/>
        <v>0</v>
      </c>
    </row>
    <row r="23" spans="2:12" x14ac:dyDescent="0.35">
      <c r="B23" s="53"/>
      <c r="C23" s="53"/>
      <c r="D23" s="53"/>
      <c r="E23" s="53">
        <f t="shared" si="0"/>
        <v>0</v>
      </c>
      <c r="F23" s="53"/>
      <c r="G23" s="53"/>
      <c r="H23" s="53"/>
      <c r="I23" s="53">
        <f t="shared" si="1"/>
        <v>0</v>
      </c>
      <c r="J23" s="53"/>
      <c r="K23" s="53"/>
      <c r="L23" s="53">
        <f t="shared" si="2"/>
        <v>0</v>
      </c>
    </row>
    <row r="24" spans="2:12" x14ac:dyDescent="0.35">
      <c r="B24" s="53" t="s">
        <v>319</v>
      </c>
      <c r="C24" s="53"/>
      <c r="D24" s="53"/>
      <c r="E24" s="53">
        <f t="shared" si="0"/>
        <v>0</v>
      </c>
      <c r="F24" s="53" t="s">
        <v>320</v>
      </c>
      <c r="G24" s="53"/>
      <c r="H24" s="53"/>
      <c r="I24" s="53">
        <f t="shared" si="1"/>
        <v>0</v>
      </c>
      <c r="J24" s="53"/>
      <c r="K24" s="53"/>
      <c r="L24" s="53">
        <f t="shared" si="2"/>
        <v>0</v>
      </c>
    </row>
    <row r="25" spans="2:12" x14ac:dyDescent="0.35">
      <c r="B25" s="53"/>
      <c r="C25" s="53"/>
      <c r="D25" s="53"/>
      <c r="E25" s="53">
        <f t="shared" ref="E25:E27" si="3">C25*D25</f>
        <v>0</v>
      </c>
      <c r="F25" s="53" t="s">
        <v>320</v>
      </c>
      <c r="G25" s="53"/>
      <c r="H25" s="53"/>
      <c r="I25" s="53">
        <f t="shared" ref="I25:I27" si="4">G25*H25</f>
        <v>0</v>
      </c>
      <c r="J25" s="53"/>
      <c r="K25" s="53"/>
      <c r="L25" s="53">
        <f t="shared" ref="L25:L27" si="5">J25*K25</f>
        <v>0</v>
      </c>
    </row>
    <row r="26" spans="2:12" x14ac:dyDescent="0.35">
      <c r="B26" s="53"/>
      <c r="C26" s="53"/>
      <c r="D26" s="53"/>
      <c r="E26" s="53">
        <f t="shared" si="3"/>
        <v>0</v>
      </c>
      <c r="F26" s="53" t="s">
        <v>320</v>
      </c>
      <c r="G26" s="53"/>
      <c r="H26" s="53"/>
      <c r="I26" s="53">
        <f t="shared" si="4"/>
        <v>0</v>
      </c>
      <c r="J26" s="53"/>
      <c r="K26" s="53"/>
      <c r="L26" s="53">
        <f t="shared" si="5"/>
        <v>0</v>
      </c>
    </row>
    <row r="27" spans="2:12" x14ac:dyDescent="0.35">
      <c r="B27" s="53"/>
      <c r="C27" s="53"/>
      <c r="D27" s="53"/>
      <c r="E27" s="53">
        <f t="shared" si="3"/>
        <v>0</v>
      </c>
      <c r="F27" s="53" t="s">
        <v>320</v>
      </c>
      <c r="G27" s="53"/>
      <c r="H27" s="53"/>
      <c r="I27" s="53">
        <f t="shared" si="4"/>
        <v>0</v>
      </c>
      <c r="J27" s="53"/>
      <c r="K27" s="53"/>
      <c r="L27" s="53">
        <f t="shared" si="5"/>
        <v>0</v>
      </c>
    </row>
    <row r="28" spans="2:12" x14ac:dyDescent="0.35">
      <c r="B28" s="53" t="s">
        <v>321</v>
      </c>
      <c r="C28" s="53"/>
      <c r="D28" s="53"/>
      <c r="E28" s="53">
        <f t="shared" si="0"/>
        <v>0</v>
      </c>
      <c r="F28" s="53" t="s">
        <v>320</v>
      </c>
      <c r="G28" s="53"/>
      <c r="H28" s="53"/>
      <c r="I28" s="53">
        <f t="shared" si="1"/>
        <v>0</v>
      </c>
      <c r="J28" s="53"/>
      <c r="K28" s="53"/>
      <c r="L28" s="53">
        <f t="shared" si="2"/>
        <v>0</v>
      </c>
    </row>
    <row r="29" spans="2:12" x14ac:dyDescent="0.35">
      <c r="B29" s="53" t="s">
        <v>322</v>
      </c>
      <c r="C29" s="53"/>
      <c r="D29" s="53"/>
      <c r="E29" s="53">
        <f t="shared" si="0"/>
        <v>0</v>
      </c>
      <c r="F29" s="53" t="s">
        <v>320</v>
      </c>
      <c r="G29" s="53"/>
      <c r="H29" s="53"/>
      <c r="I29" s="53">
        <f t="shared" si="1"/>
        <v>0</v>
      </c>
      <c r="J29" s="53"/>
      <c r="K29" s="53"/>
      <c r="L29" s="53">
        <f t="shared" si="2"/>
        <v>0</v>
      </c>
    </row>
    <row r="30" spans="2:12" x14ac:dyDescent="0.35">
      <c r="B30" s="53" t="s">
        <v>326</v>
      </c>
      <c r="C30" s="53"/>
      <c r="D30" s="53"/>
      <c r="E30" s="53">
        <f t="shared" si="0"/>
        <v>0</v>
      </c>
      <c r="F30" s="53"/>
      <c r="G30" s="53"/>
      <c r="H30" s="53"/>
      <c r="I30" s="53">
        <f t="shared" si="1"/>
        <v>0</v>
      </c>
      <c r="J30" s="53"/>
      <c r="K30" s="53"/>
      <c r="L30" s="53">
        <f t="shared" si="2"/>
        <v>0</v>
      </c>
    </row>
    <row r="31" spans="2:12" x14ac:dyDescent="0.35">
      <c r="B31" s="53"/>
      <c r="C31" s="53"/>
      <c r="D31" s="53"/>
      <c r="E31" s="53">
        <f t="shared" ref="E31:E32" si="6">C31*D31</f>
        <v>0</v>
      </c>
      <c r="F31" s="53"/>
      <c r="G31" s="53"/>
      <c r="H31" s="53"/>
      <c r="I31" s="53">
        <f t="shared" ref="I31:I32" si="7">G31*H31</f>
        <v>0</v>
      </c>
      <c r="J31" s="53"/>
      <c r="K31" s="53"/>
      <c r="L31" s="53">
        <f t="shared" ref="L31:L32" si="8">J31*K31</f>
        <v>0</v>
      </c>
    </row>
    <row r="32" spans="2:12" x14ac:dyDescent="0.35">
      <c r="B32" s="53"/>
      <c r="C32" s="53"/>
      <c r="D32" s="53"/>
      <c r="E32" s="53">
        <f t="shared" si="6"/>
        <v>0</v>
      </c>
      <c r="F32" s="53"/>
      <c r="G32" s="53"/>
      <c r="H32" s="53"/>
      <c r="I32" s="53">
        <f t="shared" si="7"/>
        <v>0</v>
      </c>
      <c r="J32" s="53"/>
      <c r="K32" s="53"/>
      <c r="L32" s="53">
        <f t="shared" si="8"/>
        <v>0</v>
      </c>
    </row>
    <row r="33" spans="2:12" x14ac:dyDescent="0.35">
      <c r="B33" s="53" t="s">
        <v>323</v>
      </c>
      <c r="C33" s="53"/>
      <c r="D33" s="53"/>
      <c r="E33" s="53">
        <f t="shared" si="0"/>
        <v>0</v>
      </c>
      <c r="F33" s="53"/>
      <c r="G33" s="53"/>
      <c r="H33" s="53"/>
      <c r="I33" s="53">
        <f t="shared" si="1"/>
        <v>0</v>
      </c>
      <c r="J33" s="53"/>
      <c r="K33" s="53"/>
      <c r="L33" s="53">
        <f t="shared" si="2"/>
        <v>0</v>
      </c>
    </row>
    <row r="34" spans="2:12" x14ac:dyDescent="0.35">
      <c r="B34" s="53" t="s">
        <v>327</v>
      </c>
      <c r="C34" s="53"/>
      <c r="D34" s="53"/>
      <c r="E34" s="53">
        <f t="shared" si="0"/>
        <v>0</v>
      </c>
      <c r="F34" s="53"/>
      <c r="G34" s="53"/>
      <c r="H34" s="53"/>
      <c r="I34" s="53">
        <f t="shared" si="1"/>
        <v>0</v>
      </c>
      <c r="J34" s="53"/>
      <c r="K34" s="53"/>
      <c r="L34" s="53">
        <f t="shared" si="2"/>
        <v>0</v>
      </c>
    </row>
    <row r="35" spans="2:12" x14ac:dyDescent="0.35">
      <c r="B35" s="53" t="s">
        <v>324</v>
      </c>
      <c r="C35" s="53"/>
      <c r="D35" s="53"/>
      <c r="E35" s="53">
        <f t="shared" si="0"/>
        <v>0</v>
      </c>
      <c r="F35" s="53"/>
      <c r="G35" s="53"/>
      <c r="H35" s="53"/>
      <c r="I35" s="53">
        <f t="shared" si="1"/>
        <v>0</v>
      </c>
      <c r="J35" s="53"/>
      <c r="K35" s="53"/>
      <c r="L35" s="53">
        <f t="shared" si="2"/>
        <v>0</v>
      </c>
    </row>
    <row r="36" spans="2:12" x14ac:dyDescent="0.35">
      <c r="B36" s="53" t="s">
        <v>325</v>
      </c>
      <c r="C36" s="53"/>
      <c r="D36" s="53"/>
      <c r="E36" s="53">
        <f t="shared" si="0"/>
        <v>0</v>
      </c>
      <c r="F36" s="53"/>
      <c r="G36" s="53"/>
      <c r="H36" s="53"/>
      <c r="I36" s="53">
        <f>G36*H36</f>
        <v>0</v>
      </c>
      <c r="J36" s="53"/>
      <c r="K36" s="53"/>
      <c r="L36" s="53">
        <f>J36*K36</f>
        <v>0</v>
      </c>
    </row>
    <row r="37" spans="2:12" x14ac:dyDescent="0.35">
      <c r="B37" s="53"/>
      <c r="C37" s="53"/>
      <c r="D37" s="53"/>
      <c r="E37" s="53">
        <f t="shared" ref="E37:E38" si="9">C37*D37</f>
        <v>0</v>
      </c>
      <c r="F37" s="53"/>
      <c r="G37" s="53"/>
      <c r="H37" s="53"/>
      <c r="I37" s="53">
        <f t="shared" ref="I37:I38" si="10">G37*H37</f>
        <v>0</v>
      </c>
      <c r="J37" s="53"/>
      <c r="K37" s="53"/>
      <c r="L37" s="53">
        <f t="shared" ref="L37:L38" si="11">J37*K37</f>
        <v>0</v>
      </c>
    </row>
    <row r="38" spans="2:12" x14ac:dyDescent="0.35">
      <c r="B38" s="53" t="s">
        <v>328</v>
      </c>
      <c r="C38" s="53"/>
      <c r="D38" s="53"/>
      <c r="E38" s="53">
        <f t="shared" si="9"/>
        <v>0</v>
      </c>
      <c r="F38" s="53"/>
      <c r="G38" s="53"/>
      <c r="H38" s="53"/>
      <c r="I38" s="53">
        <f t="shared" si="10"/>
        <v>0</v>
      </c>
      <c r="J38" s="53"/>
      <c r="K38" s="53"/>
      <c r="L38" s="53">
        <f t="shared" si="11"/>
        <v>0</v>
      </c>
    </row>
    <row r="39" spans="2:12" x14ac:dyDescent="0.35">
      <c r="B39" s="53"/>
      <c r="C39" s="53"/>
      <c r="D39" s="53"/>
      <c r="E39" s="53">
        <f t="shared" si="0"/>
        <v>0</v>
      </c>
      <c r="F39" s="53"/>
      <c r="G39" s="53"/>
      <c r="H39" s="53"/>
      <c r="I39" s="53">
        <f>G39*H39</f>
        <v>0</v>
      </c>
      <c r="J39" s="53"/>
      <c r="K39" s="53"/>
      <c r="L39" s="53">
        <f>J39*K39</f>
        <v>0</v>
      </c>
    </row>
    <row r="40" spans="2:12" x14ac:dyDescent="0.35">
      <c r="B40" s="53"/>
      <c r="C40" s="53"/>
      <c r="D40" s="53"/>
      <c r="E40" s="53">
        <f t="shared" si="0"/>
        <v>0</v>
      </c>
      <c r="F40" s="53"/>
      <c r="G40" s="53"/>
      <c r="H40" s="53"/>
      <c r="I40" s="53">
        <f>G40*H40</f>
        <v>0</v>
      </c>
      <c r="J40" s="53"/>
      <c r="K40" s="53"/>
      <c r="L40" s="53">
        <f>J40*K40</f>
        <v>0</v>
      </c>
    </row>
    <row r="41" spans="2:12" x14ac:dyDescent="0.35">
      <c r="B41" s="53"/>
      <c r="C41" s="53"/>
      <c r="D41" s="53"/>
      <c r="E41" s="53">
        <f t="shared" si="0"/>
        <v>0</v>
      </c>
      <c r="F41" s="53"/>
      <c r="G41" s="53"/>
      <c r="H41" s="53"/>
      <c r="I41" s="53">
        <f>G41*H41</f>
        <v>0</v>
      </c>
      <c r="J41" s="53"/>
      <c r="K41" s="53"/>
      <c r="L41" s="53">
        <f>J41*K41</f>
        <v>0</v>
      </c>
    </row>
    <row r="42" spans="2:12" x14ac:dyDescent="0.35">
      <c r="B42" s="53" t="s">
        <v>150</v>
      </c>
      <c r="C42" s="53"/>
      <c r="D42" s="53">
        <f>E42*10.764</f>
        <v>0</v>
      </c>
      <c r="E42" s="70">
        <f>SUM(E6:E41)</f>
        <v>0</v>
      </c>
      <c r="F42" s="53"/>
      <c r="G42" s="53"/>
      <c r="H42" s="53">
        <f>I42*10.764</f>
        <v>0</v>
      </c>
      <c r="I42" s="69">
        <f>SUM(I6:I41)</f>
        <v>0</v>
      </c>
      <c r="J42" s="53"/>
      <c r="K42" s="53">
        <f>L42*10.764</f>
        <v>0</v>
      </c>
      <c r="L42" s="68">
        <f>SUM(L6:L41)</f>
        <v>0</v>
      </c>
    </row>
    <row r="44" spans="2:12" x14ac:dyDescent="0.35">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2025-09-10T13:17:53Z</cp:lastPrinted>
  <dcterms:created xsi:type="dcterms:W3CDTF">2019-07-16T09:29:46Z</dcterms:created>
  <dcterms:modified xsi:type="dcterms:W3CDTF">2025-09-11T09:34:30Z</dcterms:modified>
</cp:coreProperties>
</file>