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Update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2" i="1" l="1"/>
  <c r="K153" i="1"/>
  <c r="K154" i="1"/>
  <c r="K155" i="1"/>
  <c r="K156" i="1"/>
  <c r="K157" i="1"/>
  <c r="K158" i="1"/>
  <c r="K151" i="1"/>
  <c r="E117" i="1" l="1"/>
  <c r="G117" i="1"/>
  <c r="C117" i="1"/>
  <c r="C115" i="1"/>
  <c r="G115" i="1"/>
  <c r="E115" i="1"/>
  <c r="K146" i="1"/>
  <c r="J146" i="1"/>
  <c r="K145" i="1"/>
  <c r="J145" i="1"/>
  <c r="I145" i="1"/>
  <c r="I149" i="1"/>
  <c r="I146" i="1"/>
  <c r="I147" i="1"/>
  <c r="K136" i="1"/>
  <c r="J136" i="1"/>
  <c r="I136" i="1"/>
  <c r="D161" i="1"/>
  <c r="D152" i="1"/>
  <c r="F152" i="1" s="1"/>
  <c r="D160" i="1"/>
  <c r="D151" i="1"/>
  <c r="D167" i="1"/>
  <c r="D166" i="1"/>
  <c r="D165" i="1"/>
  <c r="D164" i="1"/>
  <c r="D163" i="1"/>
  <c r="D158" i="1"/>
  <c r="D157" i="1"/>
  <c r="D156" i="1"/>
  <c r="D155" i="1"/>
  <c r="D154" i="1"/>
  <c r="F154" i="1" s="1"/>
  <c r="D153" i="1"/>
  <c r="F153" i="1" s="1"/>
  <c r="F167" i="1"/>
  <c r="F166" i="1"/>
  <c r="F165" i="1"/>
  <c r="F158" i="1"/>
  <c r="F157" i="1"/>
  <c r="F156" i="1"/>
  <c r="F155" i="1"/>
  <c r="A152" i="1"/>
  <c r="A153" i="1" s="1"/>
  <c r="A154" i="1" s="1"/>
  <c r="A155" i="1" s="1"/>
  <c r="A156" i="1" s="1"/>
  <c r="A157" i="1" s="1"/>
  <c r="A158" i="1" s="1"/>
  <c r="G151" i="1"/>
  <c r="F151" i="1"/>
  <c r="D144" i="1"/>
  <c r="F144" i="1" s="1"/>
  <c r="D149" i="1"/>
  <c r="F149" i="1" s="1"/>
  <c r="D148" i="1"/>
  <c r="D147" i="1"/>
  <c r="D146" i="1"/>
  <c r="D145" i="1"/>
  <c r="F145" i="1" s="1"/>
  <c r="F148" i="1"/>
  <c r="F147" i="1"/>
  <c r="F146" i="1"/>
  <c r="A143" i="1"/>
  <c r="A144" i="1" s="1"/>
  <c r="A145" i="1" s="1"/>
  <c r="A146" i="1" s="1"/>
  <c r="A147" i="1" s="1"/>
  <c r="A148" i="1" s="1"/>
  <c r="A149" i="1" s="1"/>
  <c r="G142" i="1"/>
  <c r="D140" i="1"/>
  <c r="F140" i="1" s="1"/>
  <c r="D139" i="1"/>
  <c r="F139" i="1" s="1"/>
  <c r="D138" i="1"/>
  <c r="D137" i="1"/>
  <c r="F137" i="1" s="1"/>
  <c r="D136" i="1"/>
  <c r="F136" i="1" s="1"/>
  <c r="G133" i="1"/>
  <c r="K139" i="1"/>
  <c r="K140" i="1" s="1"/>
  <c r="J138" i="1"/>
  <c r="F138" i="1"/>
  <c r="F164" i="1"/>
  <c r="F163" i="1"/>
  <c r="A162" i="1"/>
  <c r="A163" i="1" s="1"/>
  <c r="A164" i="1" s="1"/>
  <c r="A165" i="1" s="1"/>
  <c r="A166" i="1" s="1"/>
  <c r="A167" i="1" s="1"/>
  <c r="F161" i="1"/>
  <c r="A161" i="1"/>
  <c r="G160" i="1"/>
  <c r="F160" i="1"/>
  <c r="J135" i="1"/>
  <c r="K137" i="1"/>
  <c r="K138" i="1" s="1"/>
  <c r="J134" i="1"/>
  <c r="K134" i="1" s="1"/>
  <c r="K135" i="1" s="1"/>
  <c r="N134" i="1"/>
  <c r="O134" i="1" s="1"/>
  <c r="L134" i="1"/>
  <c r="A134" i="1"/>
  <c r="A135" i="1" s="1"/>
  <c r="A136" i="1" s="1"/>
  <c r="A137" i="1" s="1"/>
  <c r="A138" i="1" s="1"/>
  <c r="A139" i="1" s="1"/>
  <c r="A140" i="1" s="1"/>
  <c r="K133" i="1"/>
  <c r="L133" i="1"/>
  <c r="C87" i="1"/>
  <c r="C89" i="1" s="1"/>
  <c r="O138" i="1" l="1"/>
  <c r="N138" i="1"/>
  <c r="L138" i="1"/>
  <c r="O135" i="1"/>
  <c r="N135" i="1"/>
  <c r="L135" i="1"/>
  <c r="C88" i="1"/>
  <c r="E42" i="1" l="1"/>
  <c r="C73" i="1" l="1"/>
  <c r="C75" i="1" l="1"/>
  <c r="C74" i="1" l="1"/>
  <c r="D180" i="1"/>
  <c r="D172" i="1"/>
  <c r="I173" i="1"/>
  <c r="N173" i="1" s="1"/>
  <c r="O173" i="1" s="1"/>
  <c r="I174" i="1"/>
  <c r="I172" i="1"/>
  <c r="K172" i="1" s="1"/>
  <c r="E43" i="1" l="1"/>
  <c r="E44" i="1" s="1"/>
  <c r="J174" i="1" l="1"/>
  <c r="K175" i="1"/>
  <c r="K176" i="1" s="1"/>
  <c r="D173" i="1"/>
  <c r="J173" i="1"/>
  <c r="K173" i="1"/>
  <c r="K174" i="1" s="1"/>
  <c r="J43" i="1" l="1"/>
  <c r="J44" i="1" s="1"/>
  <c r="D194" i="1" l="1"/>
  <c r="F194" i="1" s="1"/>
  <c r="D192" i="1"/>
  <c r="F192" i="1" s="1"/>
  <c r="D191" i="1"/>
  <c r="F191" i="1" s="1"/>
  <c r="D190" i="1"/>
  <c r="F190" i="1" s="1"/>
  <c r="D188" i="1"/>
  <c r="F188" i="1" s="1"/>
  <c r="D187" i="1"/>
  <c r="F187" i="1" s="1"/>
  <c r="D186" i="1"/>
  <c r="F186" i="1" s="1"/>
  <c r="D185" i="1"/>
  <c r="F185" i="1" s="1"/>
  <c r="N185" i="1" s="1"/>
  <c r="D184" i="1"/>
  <c r="F184" i="1" s="1"/>
  <c r="D182" i="1"/>
  <c r="F182" i="1" s="1"/>
  <c r="D181" i="1"/>
  <c r="F181" i="1" s="1"/>
  <c r="F180" i="1"/>
  <c r="D179" i="1"/>
  <c r="F179" i="1" s="1"/>
  <c r="D178" i="1"/>
  <c r="F178" i="1" s="1"/>
  <c r="D176" i="1"/>
  <c r="F176" i="1" s="1"/>
  <c r="D175" i="1"/>
  <c r="D174" i="1"/>
  <c r="A191" i="1"/>
  <c r="A192" i="1" s="1"/>
  <c r="A193" i="1" s="1"/>
  <c r="A194" i="1" s="1"/>
  <c r="G190" i="1"/>
  <c r="G184" i="1"/>
  <c r="G178" i="1"/>
  <c r="A185" i="1"/>
  <c r="A186" i="1" s="1"/>
  <c r="A187" i="1" s="1"/>
  <c r="A188" i="1" s="1"/>
  <c r="A179" i="1"/>
  <c r="A180" i="1" s="1"/>
  <c r="A181" i="1" s="1"/>
  <c r="A182" i="1" s="1"/>
  <c r="I175" i="1"/>
  <c r="I176" i="1"/>
  <c r="C116" i="1" l="1"/>
  <c r="E116" i="1"/>
  <c r="Z12" i="1"/>
  <c r="I14" i="1"/>
  <c r="F172" i="1" l="1"/>
  <c r="L172" i="1" s="1"/>
  <c r="F124" i="1"/>
  <c r="E118" i="1" l="1"/>
  <c r="C118" i="1"/>
  <c r="C15" i="1" l="1"/>
  <c r="E30" i="1" l="1"/>
  <c r="F173" i="1" l="1"/>
  <c r="L173" i="1" s="1"/>
  <c r="F174" i="1"/>
  <c r="F175" i="1"/>
  <c r="A173" i="1"/>
  <c r="A174" i="1" s="1"/>
  <c r="A175" i="1" s="1"/>
  <c r="A176" i="1" s="1"/>
  <c r="G172" i="1"/>
  <c r="N174" i="1" l="1"/>
  <c r="O174" i="1"/>
  <c r="L174" i="1"/>
  <c r="G116" i="1"/>
  <c r="G118" i="1" s="1"/>
  <c r="F107" i="1"/>
  <c r="F125" i="1" l="1"/>
  <c r="F126" i="1"/>
  <c r="F127" i="1"/>
  <c r="B198" i="1" l="1"/>
  <c r="B19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0" i="1"/>
  <c r="A125" i="1"/>
  <c r="A126" i="1" s="1"/>
  <c r="A127" i="1" s="1"/>
  <c r="G124" i="1"/>
  <c r="G125" i="1" s="1"/>
  <c r="G126" i="1" s="1"/>
  <c r="G127" i="1" s="1"/>
  <c r="B67" i="1"/>
  <c r="D55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B81" i="1" l="1"/>
  <c r="D70" i="1"/>
  <c r="J79" i="1"/>
  <c r="G70" i="1" s="1"/>
  <c r="D64" i="1" s="1"/>
  <c r="D65" i="1" s="1"/>
  <c r="H81" i="1"/>
  <c r="D86" i="1" l="1"/>
  <c r="D89" i="1"/>
  <c r="J83" i="1"/>
  <c r="J80" i="1"/>
  <c r="J82" i="1" s="1"/>
  <c r="D92" i="1"/>
  <c r="J85" i="1"/>
  <c r="G84" i="1"/>
  <c r="D84" i="1"/>
  <c r="D93" i="1"/>
  <c r="D88" i="1"/>
  <c r="D85" i="1"/>
  <c r="D91" i="1"/>
  <c r="J84" i="1"/>
  <c r="D90" i="1"/>
  <c r="D87" i="1"/>
  <c r="E84" i="1"/>
  <c r="J88" i="1"/>
  <c r="J90" i="1"/>
  <c r="J86" i="1"/>
  <c r="J87" i="1" s="1"/>
  <c r="J92" i="1" s="1"/>
  <c r="J93" i="1" s="1"/>
  <c r="J91" i="1"/>
  <c r="J89" i="1"/>
  <c r="J67" i="1"/>
  <c r="D71" i="1"/>
  <c r="I67" i="1" s="1"/>
  <c r="I68" i="1" s="1"/>
  <c r="E70" i="1"/>
  <c r="F65" i="1"/>
  <c r="I81" i="1" l="1"/>
  <c r="I82" i="1" s="1"/>
  <c r="J81" i="1"/>
  <c r="I66" i="1"/>
  <c r="C68" i="1" s="1"/>
  <c r="I80" i="1" l="1"/>
  <c r="C82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<sst xmlns="http://schemas.openxmlformats.org/spreadsheetml/2006/main" count="497" uniqueCount="302">
  <si>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</si>
  <si>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</si>
  <si>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</si>
  <si>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</si>
  <si>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</si>
  <si>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</si>
  <si>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</si>
  <si>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</si>
  <si>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</si>
  <si>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</si>
  <si>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</si>
  <si>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</si>
  <si>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</si>
  <si>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</si>
  <si>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</si>
  <si>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</si>
  <si>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</si>
  <si>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</si>
  <si>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</si>
  <si>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</si>
  <si>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</si>
  <si>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</si>
  <si>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</si>
  <si>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</si>
  <si>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</si>
  <si>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</si>
  <si>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</si>
  <si>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</si>
  <si>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</si>
  <si>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</si>
  <si>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</si>
  <si>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</si>
  <si>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</si>
  <si>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</si>
  <si>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</si>
  <si>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</si>
  <si>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</si>
  <si>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</si>
  <si>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</si>
  <si>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</si>
  <si>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</si>
  <si>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</si>
  <si>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</si>
  <si>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</si>
  <si>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</si>
  <si>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</si>
  <si>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</si>
  <si>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</si>
  <si>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</si>
  <si>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</si>
  <si>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</si>
  <si>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</si>
  <si>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</si>
  <si>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</si>
  <si>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</si>
  <si>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</si>
  <si>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</si>
  <si>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</si>
  <si>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</si>
  <si>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</si>
  <si>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</si>
  <si>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</si>
  <si>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</si>
  <si>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</si>
  <si>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</si>
  <si>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</si>
  <si>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</si>
  <si>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</si>
  <si>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</si>
  <si>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</si>
  <si>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</si>
  <si>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</si>
  <si>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</si>
  <si>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</si>
  <si>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</si>
  <si>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</si>
  <si>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</si>
  <si>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</si>
  <si>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</si>
  <si>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</si>
  <si>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</si>
  <si>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</si>
  <si>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</si>
  <si>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</si>
  <si>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</si>
  <si>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</si>
  <si>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</si>
  <si>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</si>
  <si>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</si>
  <si>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</si>
  <si>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</si>
  <si>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</si>
  <si>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</si>
  <si>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</si>
  <si>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</si>
  <si>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</si>
  <si>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</si>
  <si>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</si>
  <si>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</si>
  <si>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</si>
  <si>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</si>
  <si>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</si>
  <si>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</si>
  <si>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</si>
  <si>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</si>
  <si>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</si>
  <si>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</si>
  <si>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</si>
  <si>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</si>
  <si>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</si>
  <si>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</si>
  <si>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</si>
  <si>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</si>
  <si>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</si>
  <si>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</si>
  <si>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</si>
  <si>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</si>
  <si>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</si>
  <si>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</si>
  <si>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</si>
  <si>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</si>
  <si>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</si>
  <si>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</si>
  <si>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</si>
  <si>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</si>
  <si>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</si>
  <si>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</si>
  <si>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</si>
  <si>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</si>
  <si>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</si>
  <si>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</si>
  <si>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</si>
  <si>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</si>
  <si>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</si>
  <si>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</si>
  <si>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</si>
  <si>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</si>
  <si>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</si>
  <si>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</si>
  <si>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</si>
  <si>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</si>
  <si>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</si>
  <si>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</si>
  <si>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</si>
  <si>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</si>
  <si>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</si>
  <si>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</si>
  <si>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</si>
  <si>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</si>
  <si>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</si>
  <si>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</si>
  <si>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</si>
  <si>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</si>
  <si>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</si>
  <si>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</si>
  <si>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</si>
  <si>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</si>
  <si>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</si>
  <si>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</si>
  <si>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</si>
  <si>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</si>
  <si>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</si>
  <si>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</si>
  <si>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</si>
  <si>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</si>
  <si>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</si>
  <si>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</si>
  <si>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</si>
  <si>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</si>
  <si>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</si>
  <si>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</si>
  <si>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</si>
  <si>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</si>
  <si>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</si>
  <si>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</si>
  <si>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</si>
  <si>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</si>
  <si>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</si>
  <si>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</si>
  <si>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</si>
  <si>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</si>
  <si>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</si>
  <si>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</si>
  <si>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</si>
  <si>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</si>
  <si>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</si>
  <si>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</si>
  <si>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</si>
  <si>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</si>
  <si>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</si>
  <si>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</si>
  <si>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</si>
  <si>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</si>
  <si>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</si>
  <si>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</si>
  <si>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</si>
  <si>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</si>
  <si>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</si>
  <si>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</si>
  <si>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</si>
  <si>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</si>
  <si>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</si>
  <si>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</si>
  <si>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</si>
  <si>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</si>
  <si>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</si>
  <si>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</si>
  <si>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</si>
  <si>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</si>
  <si>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</si>
  <si>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</si>
  <si>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</si>
  <si>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</si>
  <si>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</si>
  <si>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</si>
  <si>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</si>
  <si>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</si>
  <si>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</si>
  <si>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</si>
  <si>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</si>
  <si>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</si>
  <si>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</si>
  <si>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</si>
  <si>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</si>
  <si>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</si>
  <si>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</si>
  <si>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</si>
  <si>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</si>
  <si>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</si>
  <si>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</si>
  <si>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</si>
  <si>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</si>
  <si>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Sai Ornate Developers</t>
  </si>
  <si>
    <t>Ornate Serenity</t>
  </si>
  <si>
    <t>9167766426/ 40975600</t>
  </si>
  <si>
    <t>P99000051678</t>
  </si>
  <si>
    <t xml:space="preserve">Vasai-Virar City Municipal Corporation. (VVCMC)
</t>
  </si>
  <si>
    <t>Navnath Bhatkar</t>
  </si>
  <si>
    <t>VVCMC/TP/AMEND/0429/89/2023-24</t>
  </si>
  <si>
    <t>VVCMC/TP/RDP/VP-0429, 0936, 5345, 0375, 0559, 0615 &amp; 5346/89/2023-24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</si>
  <si>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</si>
  <si>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High Speed Elvators, CCTV Security &amp; Biometric, EV Charging Station, Herb Garden, Kids Pool, Trellis, Kids Creche, Fitness Center, Yoga &amp; Meditation Zone, Multipurpose Court, Mini Theatre/AV Room, Jogging Track, Open Air Amphitheatre, Open Gymnasium, Staging Corner, Cabana, Sundowner Party Area, Kids Play Zone, Work Alcoves, Air Hockey, Pool/Snooker, Fooseball, Table Tennis, Jacuzzi etc.</t>
  </si>
  <si>
    <t>3BHK</t>
  </si>
  <si>
    <t>1BHK</t>
  </si>
  <si>
    <t xml:space="preserve">2nd Floor </t>
  </si>
  <si>
    <t xml:space="preserve">3rd to 7th, 9th to 12th, 14th to 18th, 20th to 24th, 26th to 29th Floor </t>
  </si>
  <si>
    <t>8th, 13th, 19th &amp; 25th Floor (Part Refuge Area)</t>
  </si>
  <si>
    <t>Refuge Area</t>
  </si>
  <si>
    <t>30th Floor For Amenities</t>
  </si>
  <si>
    <t xml:space="preserve">Details of Residential in Building   </t>
  </si>
  <si>
    <t>Parvati Nagar</t>
  </si>
  <si>
    <t>St Marys Road</t>
  </si>
  <si>
    <t>Ornate Galaxy</t>
  </si>
  <si>
    <t>Sale plan</t>
  </si>
  <si>
    <t>Juchandra</t>
  </si>
  <si>
    <t>Old Survey No.</t>
  </si>
  <si>
    <t>19.358694,72.858972</t>
  </si>
  <si>
    <t>https://maps.app.goo.gl/zBkatgXCXTGbSqcF9</t>
  </si>
  <si>
    <t>Internal Road/Ornate Galaxy</t>
  </si>
  <si>
    <t>Open Plot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</si>
  <si>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</si>
  <si>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As per CC</t>
  </si>
  <si>
    <t>Ground Floor For Driver Room, Meter Room, Society Office,
Fire Control Room &amp; Stilt Area</t>
  </si>
  <si>
    <t>1st Floor For Residential &amp; Podium Amenities</t>
  </si>
  <si>
    <t>Naigaon East</t>
  </si>
  <si>
    <t>2.4 KM from Naigaon Railway Station</t>
  </si>
  <si>
    <t>CRZ</t>
  </si>
  <si>
    <t>building no.12 Kini Pinnacle</t>
  </si>
  <si>
    <t>https://www.google.com/search?gs_ssp=eJzj4tVP1zc0zC7MMC1LLsoxYLRSNagwTko1T0wzS04yMbJINE4xtDKoSDFLMbE0SrQwNjdKTrawSPTizy_KSyxJVShOLUrNyyypBAD5PBYh&amp;q=ornate+serenity&amp;rlz=1C1FKPE_enIN983IN983&amp;oq=OR&amp;gs_lcrp=EgZjaHJvbWUqEggBEC4YJxivARjHARiABBiKBTIPCAAQIxgnGOMCGIAEGIoFMhIIARAuGCcYrwEYxwEYgAQYigUyBggCEEUYOTIMCAMQABgUGIcCGIAEMhAIBBAuGMcBGLEDGNEDGIAEMgYIBRBFGD0yBggGEEUYPDIGCAcQRRg80gEIMTc1MWowajeoAgCwAgA&amp;sourceid=chrome&amp;ie=UTF-8#fpstate=ive&amp;vld=cid:016abce9,vid:XH4wVkxWh_U,st:56</t>
  </si>
  <si>
    <t>CHAJJA NOT SHOWN IN SAMPLE FLAT YOUTUBE LINK</t>
  </si>
  <si>
    <t>Building No.17 (A Wing)</t>
  </si>
  <si>
    <t>Shruti Tathare</t>
  </si>
  <si>
    <t>Mr. Sushil 9167766426</t>
  </si>
  <si>
    <t xml:space="preserve">Commencement-CC No
Valid Up to: </t>
  </si>
  <si>
    <t>Construction work is in process at the time of visit. Internal visit was not allowed.</t>
  </si>
  <si>
    <t>Building No.17 A Wing
Building No.16 B Wing</t>
  </si>
  <si>
    <t>S.No.345 pt(Old S.No. 313pt); S.No.346, H.No.1, (Old S.No.314, H.No.1), S.No.347(Old S.No.315); S.No.348, H.No.2 (Old S.No.316, H.No.2); S.No.350; S No.349, H.No.1; S.No.339, H.No1; S.No.352, H.No.3; S.No.351, H.No.4A, 4B &amp; 6; S.NO.331, H. No.1,2,3,4 &amp; 5, S.No.317, H.No. 6A, 6B, 6C &amp; 6D; S.No. 332, H.No.9; S.No352, H.No.4 &amp; New S.No.345, H.No.B; S.No.350; S.No.349, H.No.1; S.No.339, H.No.1; S.No.352, H.No.3; S.No.351, H.No.3, 4A,4B &amp; 6; S.No. 331, H.No.1, 2, 3, 4 &amp; 5; S.No.317, H.No.5/1, 5/2, B/1, B/2, &amp; B/4; S.No.332, H.No.9; S.No.352, H.No.4; S.No.330, H.No.4;</t>
  </si>
  <si>
    <t>02 Buildings</t>
  </si>
  <si>
    <t>Other Plot</t>
  </si>
  <si>
    <t xml:space="preserve">7.5MW Internal Road / Bldg No. 9
</t>
  </si>
  <si>
    <t>Open Plot/ Gopikisan Patil Marg</t>
  </si>
  <si>
    <t>Building No. 16 &amp; 17 = Gr/Stilt + 1st to 30th Floor
No. of Flats = 377</t>
  </si>
  <si>
    <t>Building No. 16 &amp; 17 = Gr + 1st to 30th Floor</t>
  </si>
  <si>
    <t>As per RERA - 31/03/2028</t>
  </si>
  <si>
    <t>Building No. 16 (B Wing)  = Gr + 1st to 30th Floor</t>
  </si>
  <si>
    <t>Building No. 17 (A Wing) = Gr + 1st to 30th Floor</t>
  </si>
  <si>
    <t>Building No.16 (B Wing)</t>
  </si>
  <si>
    <t>Ground Floor for Meter Room, Fire Control Room &amp; Parking</t>
  </si>
  <si>
    <t>-</t>
  </si>
  <si>
    <t>Pool Deck &amp; Swimming Pool</t>
  </si>
  <si>
    <t>2.5BHK</t>
  </si>
  <si>
    <t>2BHK</t>
  </si>
  <si>
    <t>Pool Deck &amp; Swimming Pool @ 1st Floor</t>
  </si>
  <si>
    <t>We considered Gross carpet area = Net carpet + Enclose balcony + Open Balcony.</t>
  </si>
  <si>
    <t>Flats - 364</t>
  </si>
  <si>
    <t>COUNT NOT MATCHING DUE TO 30TH FLOOR FLATS</t>
  </si>
  <si>
    <t>We have added Building No. 16 Wing B on 09/09/2025.</t>
  </si>
  <si>
    <t>5900 to 6700</t>
  </si>
  <si>
    <t>akash mote</t>
  </si>
  <si>
    <t>B207</t>
  </si>
  <si>
    <t xml:space="preserve">Recommended Rates / Other charges of the Property have been revised on 23/09/2025.
</t>
  </si>
  <si>
    <t>cost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</si>
</sst>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4" tint="-0.249977111117893"/>
      <name val="Calibri"/>
      <family val="2"/>
    </font>
    <font>
      <sz val="12"/>
      <color theme="4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26" fillId="0" borderId="0" xfId="10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>
      <alignment horizontal="center" vertical="center"/>
    </xf>
    <xf numFmtId="1" fontId="7" fillId="0" borderId="20" xfId="1" applyNumberFormat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>
      <alignment horizontal="center" vertical="center" wrapText="1"/>
    </xf>
    <xf numFmtId="1" fontId="7" fillId="0" borderId="23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7" fillId="0" borderId="34" xfId="1" applyNumberFormat="1" applyFont="1" applyBorder="1" applyAlignment="1">
      <alignment horizontal="center" vertical="center" wrapText="1"/>
    </xf>
    <xf numFmtId="1" fontId="7" fillId="0" borderId="19" xfId="1" applyNumberFormat="1" applyFont="1" applyBorder="1" applyAlignment="1">
      <alignment horizontal="center" vertical="center" wrapText="1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>
      <alignment horizontal="center" vertical="center"/>
    </xf>
    <xf numFmtId="1" fontId="7" fillId="0" borderId="23" xfId="1" applyNumberFormat="1" applyFont="1" applyBorder="1" applyAlignment="1">
      <alignment horizontal="center" vertical="center"/>
    </xf>
    <xf numFmtId="1" fontId="7" fillId="0" borderId="17" xfId="1" applyNumberFormat="1" applyFont="1" applyBorder="1" applyAlignment="1">
      <alignment horizontal="center" vertical="center"/>
    </xf>
    <xf numFmtId="1" fontId="7" fillId="0" borderId="24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1" fontId="7" fillId="0" borderId="25" xfId="1" applyNumberFormat="1" applyFont="1" applyBorder="1" applyAlignment="1">
      <alignment horizontal="center" vertical="center"/>
    </xf>
    <xf numFmtId="1" fontId="7" fillId="0" borderId="18" xfId="1" applyNumberFormat="1" applyFont="1" applyBorder="1" applyAlignment="1">
      <alignment horizontal="center" vertical="center"/>
    </xf>
    <xf numFmtId="1" fontId="7" fillId="0" borderId="34" xfId="1" applyNumberFormat="1" applyFont="1" applyBorder="1" applyAlignment="1">
      <alignment horizontal="center" vertical="center"/>
    </xf>
    <xf numFmtId="1" fontId="7" fillId="0" borderId="19" xfId="1" applyNumberFormat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9" fillId="0" borderId="1" xfId="10" applyFont="1" applyFill="1" applyBorder="1" applyAlignment="1" applyProtection="1">
      <alignment horizontal="left" vertical="top" wrapText="1"/>
      <protection locked="0"/>
    </xf>
    <xf numFmtId="0" fontId="30" fillId="0" borderId="1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2" fontId="15" fillId="0" borderId="1" xfId="1" applyNumberFormat="1" applyFont="1" applyBorder="1" applyAlignment="1" applyProtection="1">
      <alignment horizontal="left" vertical="top" wrapText="1"/>
      <protection locked="0"/>
    </xf>
    <xf numFmtId="164" fontId="15" fillId="0" borderId="1" xfId="1" applyNumberFormat="1" applyFont="1" applyBorder="1" applyAlignment="1" applyProtection="1">
      <alignment horizontal="left" vertical="top"/>
      <protection locked="0"/>
    </xf>
    <xf numFmtId="2" fontId="15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0" applyNumberFormat="1" applyFont="1" applyFill="1" applyBorder="1" applyAlignment="1" applyProtection="1">
      <alignment vertical="top" wrapText="1"/>
      <protection locked="0"/>
    </xf>
    <xf numFmtId="1" fontId="8" fillId="3" borderId="20" xfId="0" applyNumberFormat="1" applyFont="1" applyFill="1" applyBorder="1" applyAlignment="1" applyProtection="1">
      <alignment vertical="top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997321</xdr:colOff>
      <xdr:row>177</xdr:row>
      <xdr:rowOff>-1</xdr:rowOff>
    </xdr:from>
    <xdr:to>
      <xdr:col>12</xdr:col>
      <xdr:colOff>722929</xdr:colOff>
      <xdr:row>199</xdr:row>
      <xdr:rowOff>49892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674" y="27476823"/>
          <a:ext cx="3064961" cy="42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302</xdr:row>
      <xdr:rowOff>180975</xdr:rowOff>
    </xdr:from>
    <xdr:to>
      <xdr:col>7</xdr:col>
      <xdr:colOff>227333</xdr:colOff>
      <xdr:row>319</xdr:row>
      <xdr:rowOff>132969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761" t="31133" r="32265" b="22641"/>
        <a:stretch/>
      </xdr:blipFill>
      <xdr:spPr>
        <a:xfrm>
          <a:off x="619125" y="62903100"/>
          <a:ext cx="5294633" cy="33524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554690</xdr:colOff>
      <xdr:row>283</xdr:row>
      <xdr:rowOff>21371</xdr:rowOff>
    </xdr:from>
    <xdr:to>
      <xdr:col>5</xdr:col>
      <xdr:colOff>485775</xdr:colOff>
      <xdr:row>299</xdr:row>
      <xdr:rowOff>133350</xdr:rowOff>
    </xdr:to>
    <xdr:grpSp>
      <xdr:nvGrpSpPr>
        <xdr:cNvPr id="30" name="Group 29">
          <a:extLst>
            <a:ext uri="{FF2B5EF4-FFF2-40B4-BE49-F238E27FC236}">
              <a16:creationId xmlns="" xmlns:a16="http://schemas.microsoft.com/office/drawing/2014/main" id="{039B59F6-B4D8-C17A-484C-1C5A55E48998}"/>
            </a:ext>
          </a:extLst>
        </xdr:cNvPr>
        <xdr:cNvGrpSpPr/>
      </xdr:nvGrpSpPr>
      <xdr:grpSpPr>
        <a:xfrm>
          <a:off x="1316690" y="59123996"/>
          <a:ext cx="3312460" cy="3312379"/>
          <a:chOff x="1968312" y="48162962"/>
          <a:chExt cx="2742640" cy="2981808"/>
        </a:xfrm>
      </xdr:grpSpPr>
      <xdr:pic>
        <xdr:nvPicPr>
          <xdr:cNvPr id="18" name="Picture 1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68312" y="48162962"/>
            <a:ext cx="2742640" cy="298180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Rectangle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/>
        </xdr:nvSpPr>
        <xdr:spPr>
          <a:xfrm rot="20085772">
            <a:off x="3371285" y="50607605"/>
            <a:ext cx="372810" cy="34554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619125</xdr:colOff>
      <xdr:row>18</xdr:row>
      <xdr:rowOff>7071</xdr:rowOff>
    </xdr:from>
    <xdr:to>
      <xdr:col>18</xdr:col>
      <xdr:colOff>147031</xdr:colOff>
      <xdr:row>24</xdr:row>
      <xdr:rowOff>173835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00" y="7722321"/>
          <a:ext cx="7147906" cy="1595514"/>
        </a:xfrm>
        <a:prstGeom prst="rect">
          <a:avLst/>
        </a:prstGeom>
      </xdr:spPr>
    </xdr:pic>
    <xdr:clientData/>
  </xdr:twoCellAnchor>
  <xdr:twoCellAnchor>
    <xdr:from>
      <xdr:col>0</xdr:col>
      <xdr:colOff>193815</xdr:colOff>
      <xdr:row>260</xdr:row>
      <xdr:rowOff>74543</xdr:rowOff>
    </xdr:from>
    <xdr:to>
      <xdr:col>7</xdr:col>
      <xdr:colOff>529943</xdr:colOff>
      <xdr:row>282</xdr:row>
      <xdr:rowOff>114134</xdr:rowOff>
    </xdr:to>
    <xdr:grpSp>
      <xdr:nvGrpSpPr>
        <xdr:cNvPr id="20" name="Group 19">
          <a:extLst>
            <a:ext uri="{FF2B5EF4-FFF2-40B4-BE49-F238E27FC236}">
              <a16:creationId xmlns="" xmlns:a16="http://schemas.microsoft.com/office/drawing/2014/main" id="{E7906A23-035D-4D83-A1B1-0361E1E34305}"/>
            </a:ext>
          </a:extLst>
        </xdr:cNvPr>
        <xdr:cNvGrpSpPr/>
      </xdr:nvGrpSpPr>
      <xdr:grpSpPr>
        <a:xfrm>
          <a:off x="193815" y="54576593"/>
          <a:ext cx="6022553" cy="4440141"/>
          <a:chOff x="-177176" y="2210303"/>
          <a:chExt cx="6733047" cy="4892626"/>
        </a:xfrm>
      </xdr:grpSpPr>
      <xdr:grpSp>
        <xdr:nvGrpSpPr>
          <xdr:cNvPr id="21" name="Group 20">
            <a:extLst>
              <a:ext uri="{FF2B5EF4-FFF2-40B4-BE49-F238E27FC236}">
                <a16:creationId xmlns="" xmlns:a16="http://schemas.microsoft.com/office/drawing/2014/main" id="{23170610-DB5D-4BB7-8383-466C1C02B0AA}"/>
              </a:ext>
            </a:extLst>
          </xdr:cNvPr>
          <xdr:cNvGrpSpPr/>
        </xdr:nvGrpSpPr>
        <xdr:grpSpPr>
          <a:xfrm>
            <a:off x="-177176" y="2210303"/>
            <a:ext cx="6733047" cy="4892626"/>
            <a:chOff x="1" y="152876"/>
            <a:chExt cx="5552327" cy="4419762"/>
          </a:xfrm>
        </xdr:grpSpPr>
        <xdr:pic>
          <xdr:nvPicPr>
            <xdr:cNvPr id="31" name="Picture 30">
              <a:extLst>
                <a:ext uri="{FF2B5EF4-FFF2-40B4-BE49-F238E27FC236}">
                  <a16:creationId xmlns="" xmlns:a16="http://schemas.microsoft.com/office/drawing/2014/main" id="{7F77B229-41B5-4996-B5AC-CFEDF5E10B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" y="152876"/>
              <a:ext cx="5552327" cy="441976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2" name="Rectangle 31">
              <a:extLst>
                <a:ext uri="{FF2B5EF4-FFF2-40B4-BE49-F238E27FC236}">
                  <a16:creationId xmlns="" xmlns:a16="http://schemas.microsoft.com/office/drawing/2014/main" id="{592F5B9E-1588-4B27-8A36-6F6E0D97523C}"/>
                </a:ext>
              </a:extLst>
            </xdr:cNvPr>
            <xdr:cNvSpPr/>
          </xdr:nvSpPr>
          <xdr:spPr>
            <a:xfrm rot="20499484">
              <a:off x="2909652" y="2529341"/>
              <a:ext cx="1462796" cy="1113634"/>
            </a:xfrm>
            <a:prstGeom prst="rect">
              <a:avLst/>
            </a:pr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3" name="TextBox 4">
              <a:extLst>
                <a:ext uri="{FF2B5EF4-FFF2-40B4-BE49-F238E27FC236}">
                  <a16:creationId xmlns="" xmlns:a16="http://schemas.microsoft.com/office/drawing/2014/main" id="{4721D45C-20D6-49AE-9DD7-15F5E9C332C0}"/>
                </a:ext>
              </a:extLst>
            </xdr:cNvPr>
            <xdr:cNvSpPr txBox="1"/>
          </xdr:nvSpPr>
          <xdr:spPr>
            <a:xfrm>
              <a:off x="1752285" y="3177323"/>
              <a:ext cx="1077539" cy="5232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rgbClr val="FFFF00"/>
                  </a:solidFill>
                </a:rPr>
                <a:t>Bldg No. 16 </a:t>
              </a:r>
            </a:p>
            <a:p>
              <a:r>
                <a:rPr lang="en-IN" sz="1400" b="1">
                  <a:solidFill>
                    <a:srgbClr val="FFFF00"/>
                  </a:solidFill>
                </a:rPr>
                <a:t>(Wing B)</a:t>
              </a:r>
            </a:p>
          </xdr:txBody>
        </xdr:sp>
        <xdr:cxnSp macro="">
          <xdr:nvCxnSpPr>
            <xdr:cNvPr id="34" name="Straight Arrow Connector 33">
              <a:extLst>
                <a:ext uri="{FF2B5EF4-FFF2-40B4-BE49-F238E27FC236}">
                  <a16:creationId xmlns="" xmlns:a16="http://schemas.microsoft.com/office/drawing/2014/main" id="{92EB68D2-C1F3-4069-A76A-344CCCF2910B}"/>
                </a:ext>
              </a:extLst>
            </xdr:cNvPr>
            <xdr:cNvCxnSpPr>
              <a:cxnSpLocks/>
            </xdr:cNvCxnSpPr>
          </xdr:nvCxnSpPr>
          <xdr:spPr>
            <a:xfrm flipV="1">
              <a:off x="2548273" y="3343857"/>
              <a:ext cx="762000" cy="257177"/>
            </a:xfrm>
            <a:prstGeom prst="straightConnector1">
              <a:avLst/>
            </a:prstGeom>
            <a:ln w="190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5" name="TextBox 14">
              <a:extLst>
                <a:ext uri="{FF2B5EF4-FFF2-40B4-BE49-F238E27FC236}">
                  <a16:creationId xmlns="" xmlns:a16="http://schemas.microsoft.com/office/drawing/2014/main" id="{65CF3076-0DB7-403E-9284-A737C13CFF0B}"/>
                </a:ext>
              </a:extLst>
            </xdr:cNvPr>
            <xdr:cNvSpPr txBox="1"/>
          </xdr:nvSpPr>
          <xdr:spPr>
            <a:xfrm>
              <a:off x="4390385" y="1810984"/>
              <a:ext cx="1077539" cy="5232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rgbClr val="FFFF00"/>
                  </a:solidFill>
                </a:rPr>
                <a:t>Bldg No. 17 </a:t>
              </a:r>
            </a:p>
            <a:p>
              <a:r>
                <a:rPr lang="en-IN" sz="1400" b="1">
                  <a:solidFill>
                    <a:srgbClr val="FFFF00"/>
                  </a:solidFill>
                </a:rPr>
                <a:t>(Wing A)</a:t>
              </a:r>
            </a:p>
          </xdr:txBody>
        </xdr:sp>
        <xdr:cxnSp macro="">
          <xdr:nvCxnSpPr>
            <xdr:cNvPr id="36" name="Straight Arrow Connector 35">
              <a:extLst>
                <a:ext uri="{FF2B5EF4-FFF2-40B4-BE49-F238E27FC236}">
                  <a16:creationId xmlns="" xmlns:a16="http://schemas.microsoft.com/office/drawing/2014/main" id="{A99861B1-7F50-43ED-8878-D63FDC42B26F}"/>
                </a:ext>
              </a:extLst>
            </xdr:cNvPr>
            <xdr:cNvCxnSpPr>
              <a:cxnSpLocks/>
            </xdr:cNvCxnSpPr>
          </xdr:nvCxnSpPr>
          <xdr:spPr>
            <a:xfrm flipH="1">
              <a:off x="4293440" y="2305567"/>
              <a:ext cx="419100" cy="418444"/>
            </a:xfrm>
            <a:prstGeom prst="straightConnector1">
              <a:avLst/>
            </a:prstGeom>
            <a:ln w="190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7" name="Rectangle 36">
              <a:extLst>
                <a:ext uri="{FF2B5EF4-FFF2-40B4-BE49-F238E27FC236}">
                  <a16:creationId xmlns="" xmlns:a16="http://schemas.microsoft.com/office/drawing/2014/main" id="{C21B0128-1BB8-4AD2-BAB1-5A5996A4B5C1}"/>
                </a:ext>
              </a:extLst>
            </xdr:cNvPr>
            <xdr:cNvSpPr/>
          </xdr:nvSpPr>
          <xdr:spPr>
            <a:xfrm rot="616041">
              <a:off x="1408952" y="1239948"/>
              <a:ext cx="1484163" cy="1487320"/>
            </a:xfrm>
            <a:prstGeom prst="rect">
              <a:avLst/>
            </a:prstGeom>
            <a:noFill/>
            <a:ln w="19050"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8" name="TextBox 13">
              <a:extLst>
                <a:ext uri="{FF2B5EF4-FFF2-40B4-BE49-F238E27FC236}">
                  <a16:creationId xmlns="" xmlns:a16="http://schemas.microsoft.com/office/drawing/2014/main" id="{53E22D1D-1D67-4422-9207-F53B0F95EBB9}"/>
                </a:ext>
              </a:extLst>
            </xdr:cNvPr>
            <xdr:cNvSpPr txBox="1"/>
          </xdr:nvSpPr>
          <xdr:spPr>
            <a:xfrm rot="874619">
              <a:off x="1456500" y="1738959"/>
              <a:ext cx="154657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7030A0"/>
                  </a:solidFill>
                </a:rPr>
                <a:t>Ornate Galaxy</a:t>
              </a:r>
            </a:p>
          </xdr:txBody>
        </xdr:sp>
      </xdr:grpSp>
      <xdr:sp macro="" textlink="">
        <xdr:nvSpPr>
          <xdr:cNvPr id="22" name="Freeform: Shape 20">
            <a:extLst>
              <a:ext uri="{FF2B5EF4-FFF2-40B4-BE49-F238E27FC236}">
                <a16:creationId xmlns="" xmlns:a16="http://schemas.microsoft.com/office/drawing/2014/main" id="{72E38E67-5F50-46A0-A9B0-6523B5E4D455}"/>
              </a:ext>
            </a:extLst>
          </xdr:cNvPr>
          <xdr:cNvSpPr/>
        </xdr:nvSpPr>
        <xdr:spPr>
          <a:xfrm>
            <a:off x="3254418" y="5599077"/>
            <a:ext cx="3018972" cy="928915"/>
          </a:xfrm>
          <a:custGeom>
            <a:avLst/>
            <a:gdLst>
              <a:gd name="connsiteX0" fmla="*/ 0 w 3018972"/>
              <a:gd name="connsiteY0" fmla="*/ 928915 h 928915"/>
              <a:gd name="connsiteX1" fmla="*/ 3018972 w 3018972"/>
              <a:gd name="connsiteY1" fmla="*/ 0 h 9289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018972" h="928915">
                <a:moveTo>
                  <a:pt x="0" y="928915"/>
                </a:moveTo>
                <a:cubicBezTo>
                  <a:pt x="1185333" y="508000"/>
                  <a:pt x="2370667" y="87086"/>
                  <a:pt x="3018972" y="0"/>
                </a:cubicBezTo>
              </a:path>
            </a:pathLst>
          </a:cu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3" name="TextBox 35">
            <a:extLst>
              <a:ext uri="{FF2B5EF4-FFF2-40B4-BE49-F238E27FC236}">
                <a16:creationId xmlns="" xmlns:a16="http://schemas.microsoft.com/office/drawing/2014/main" id="{B636F7BA-C6EC-4767-BB7E-6B7FAE5FB510}"/>
              </a:ext>
            </a:extLst>
          </xdr:cNvPr>
          <xdr:cNvSpPr txBox="1"/>
        </xdr:nvSpPr>
        <xdr:spPr>
          <a:xfrm rot="20812348">
            <a:off x="3641483" y="6105635"/>
            <a:ext cx="2357568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>
                <a:solidFill>
                  <a:srgbClr val="FF0000"/>
                </a:solidFill>
              </a:rPr>
              <a:t>Buffer Zone as per CZMP Map</a:t>
            </a:r>
          </a:p>
        </xdr:txBody>
      </xdr:sp>
    </xdr:grpSp>
    <xdr:clientData/>
  </xdr:twoCellAnchor>
  <xdr:twoCellAnchor>
    <xdr:from>
      <xdr:col>0</xdr:col>
      <xdr:colOff>114301</xdr:colOff>
      <xdr:row>320</xdr:row>
      <xdr:rowOff>38100</xdr:rowOff>
    </xdr:from>
    <xdr:to>
      <xdr:col>7</xdr:col>
      <xdr:colOff>619126</xdr:colOff>
      <xdr:row>337</xdr:row>
      <xdr:rowOff>136387</xdr:rowOff>
    </xdr:to>
    <xdr:grpSp>
      <xdr:nvGrpSpPr>
        <xdr:cNvPr id="39" name="Group 38">
          <a:extLst>
            <a:ext uri="{FF2B5EF4-FFF2-40B4-BE49-F238E27FC236}">
              <a16:creationId xmlns="" xmlns:a16="http://schemas.microsoft.com/office/drawing/2014/main" id="{671298C0-9905-4DE2-A736-643187AF2AED}"/>
            </a:ext>
          </a:extLst>
        </xdr:cNvPr>
        <xdr:cNvGrpSpPr/>
      </xdr:nvGrpSpPr>
      <xdr:grpSpPr>
        <a:xfrm>
          <a:off x="114301" y="66541650"/>
          <a:ext cx="6191250" cy="3498712"/>
          <a:chOff x="1145885" y="1866899"/>
          <a:chExt cx="4216400" cy="2603501"/>
        </a:xfrm>
      </xdr:grpSpPr>
      <xdr:pic>
        <xdr:nvPicPr>
          <xdr:cNvPr id="40" name="Picture 39">
            <a:extLst>
              <a:ext uri="{FF2B5EF4-FFF2-40B4-BE49-F238E27FC236}">
                <a16:creationId xmlns="" xmlns:a16="http://schemas.microsoft.com/office/drawing/2014/main" id="{572D1344-4812-4E22-A746-F8E9E6B7D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45885" y="1866899"/>
            <a:ext cx="4216400" cy="26035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1" name="Rectangle 40">
            <a:extLst>
              <a:ext uri="{FF2B5EF4-FFF2-40B4-BE49-F238E27FC236}">
                <a16:creationId xmlns="" xmlns:a16="http://schemas.microsoft.com/office/drawing/2014/main" id="{D6DFDCF7-11FB-4F9F-A8EA-2FF7929AD182}"/>
              </a:ext>
            </a:extLst>
          </xdr:cNvPr>
          <xdr:cNvSpPr/>
        </xdr:nvSpPr>
        <xdr:spPr>
          <a:xfrm rot="21068038">
            <a:off x="3137173" y="2898260"/>
            <a:ext cx="508000" cy="53340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2" name="TextBox 42">
            <a:extLst>
              <a:ext uri="{FF2B5EF4-FFF2-40B4-BE49-F238E27FC236}">
                <a16:creationId xmlns="" xmlns:a16="http://schemas.microsoft.com/office/drawing/2014/main" id="{9947EFA3-0C1F-41D6-9F85-4BC619D96425}"/>
              </a:ext>
            </a:extLst>
          </xdr:cNvPr>
          <xdr:cNvSpPr txBox="1"/>
        </xdr:nvSpPr>
        <xdr:spPr>
          <a:xfrm>
            <a:off x="2844510" y="3414752"/>
            <a:ext cx="169039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Ornate Serenity</a:t>
            </a:r>
          </a:p>
        </xdr:txBody>
      </xdr:sp>
    </xdr:grpSp>
    <xdr:clientData/>
  </xdr:twoCellAnchor>
  <xdr:twoCellAnchor editAs="oneCell">
    <xdr:from>
      <xdr:col>8</xdr:col>
      <xdr:colOff>962025</xdr:colOff>
      <xdr:row>46</xdr:row>
      <xdr:rowOff>66675</xdr:rowOff>
    </xdr:from>
    <xdr:to>
      <xdr:col>13</xdr:col>
      <xdr:colOff>85320</xdr:colOff>
      <xdr:row>54</xdr:row>
      <xdr:rowOff>47370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13592175"/>
          <a:ext cx="3238095" cy="203809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220</xdr:row>
      <xdr:rowOff>66675</xdr:rowOff>
    </xdr:from>
    <xdr:to>
      <xdr:col>7</xdr:col>
      <xdr:colOff>621790</xdr:colOff>
      <xdr:row>257</xdr:row>
      <xdr:rowOff>50211</xdr:rowOff>
    </xdr:to>
    <xdr:grpSp>
      <xdr:nvGrpSpPr>
        <xdr:cNvPr id="4" name="Group 3"/>
        <xdr:cNvGrpSpPr/>
      </xdr:nvGrpSpPr>
      <xdr:grpSpPr>
        <a:xfrm>
          <a:off x="85725" y="46567725"/>
          <a:ext cx="6222490" cy="7384461"/>
          <a:chOff x="85725" y="46367700"/>
          <a:chExt cx="6222490" cy="7384461"/>
        </a:xfrm>
      </xdr:grpSpPr>
      <xdr:pic>
        <xdr:nvPicPr>
          <xdr:cNvPr id="53" name="Picture 52" descr="https://vsjcllp.vsjadon.com/upload/insp-24715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10100" y="51844574"/>
            <a:ext cx="1425633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47157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46367700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7157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95775" y="46367700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7157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7200" y="51849336"/>
            <a:ext cx="2534751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4715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0750" y="46367700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47157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86100" y="51844574"/>
            <a:ext cx="1425633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47157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5" y="49148999"/>
            <a:ext cx="1951782" cy="26050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4715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62225" y="49153761"/>
            <a:ext cx="3470235" cy="26050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Box 2"/>
          <xdr:cNvSpPr txBox="1"/>
        </xdr:nvSpPr>
        <xdr:spPr>
          <a:xfrm>
            <a:off x="2352675" y="46482000"/>
            <a:ext cx="704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A</a:t>
            </a:r>
            <a:endParaRPr lang="en-IN" sz="1200" b="1"/>
          </a:p>
        </xdr:txBody>
      </xdr:sp>
      <xdr:sp macro="" textlink="">
        <xdr:nvSpPr>
          <xdr:cNvPr id="63" name="TextBox 62"/>
          <xdr:cNvSpPr txBox="1"/>
        </xdr:nvSpPr>
        <xdr:spPr>
          <a:xfrm>
            <a:off x="4333875" y="46424850"/>
            <a:ext cx="704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B</a:t>
            </a:r>
            <a:endParaRPr lang="en-IN" sz="1200" b="1"/>
          </a:p>
        </xdr:txBody>
      </xdr:sp>
      <xdr:sp macro="" textlink="">
        <xdr:nvSpPr>
          <xdr:cNvPr id="64" name="TextBox 63"/>
          <xdr:cNvSpPr txBox="1"/>
        </xdr:nvSpPr>
        <xdr:spPr>
          <a:xfrm>
            <a:off x="371475" y="46910625"/>
            <a:ext cx="704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A</a:t>
            </a:r>
            <a:endParaRPr lang="en-IN" sz="1200" b="1"/>
          </a:p>
        </xdr:txBody>
      </xdr:sp>
      <xdr:sp macro="" textlink="">
        <xdr:nvSpPr>
          <xdr:cNvPr id="65" name="TextBox 64"/>
          <xdr:cNvSpPr txBox="1"/>
        </xdr:nvSpPr>
        <xdr:spPr>
          <a:xfrm>
            <a:off x="1228725" y="46758225"/>
            <a:ext cx="704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Wing</a:t>
            </a:r>
            <a:r>
              <a:rPr lang="en-IN" sz="1200" b="1" baseline="0"/>
              <a:t> B</a:t>
            </a:r>
            <a:endParaRPr lang="en-IN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9</xdr:col>
      <xdr:colOff>191747</xdr:colOff>
      <xdr:row>42</xdr:row>
      <xdr:rowOff>66000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7" y="2678206"/>
          <a:ext cx="9604687" cy="54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43</xdr:row>
      <xdr:rowOff>33618</xdr:rowOff>
    </xdr:from>
    <xdr:to>
      <xdr:col>9</xdr:col>
      <xdr:colOff>258982</xdr:colOff>
      <xdr:row>71</xdr:row>
      <xdr:rowOff>99618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8236324"/>
          <a:ext cx="9604687" cy="54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72</xdr:row>
      <xdr:rowOff>156882</xdr:rowOff>
    </xdr:from>
    <xdr:to>
      <xdr:col>9</xdr:col>
      <xdr:colOff>281394</xdr:colOff>
      <xdr:row>101</xdr:row>
      <xdr:rowOff>32382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354" y="13884088"/>
          <a:ext cx="9604687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zBkatgXCXTGbSqcF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02"/>
  <sheetViews>
    <sheetView tabSelected="1" view="pageBreakPreview" zoomScaleNormal="100" zoomScaleSheetLayoutView="100" zoomScalePageLayoutView="55" workbookViewId="0">
      <selection activeCell="J3" sqref="J3"/>
    </sheetView>
  </sheetViews>
  <sheetFormatPr defaultColWidth="9.28515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28515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7109375" style="21" customWidth="1"/>
    <col min="17" max="247" width="9.28515625" style="21"/>
    <col min="248" max="248" width="8.7109375" style="21" customWidth="1"/>
    <col min="249" max="249" width="9.71093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7109375" style="21" customWidth="1"/>
    <col min="505" max="505" width="9.71093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7109375" style="21" customWidth="1"/>
    <col min="761" max="761" width="9.71093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7109375" style="21" customWidth="1"/>
    <col min="1017" max="1017" width="9.71093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7109375" style="21" customWidth="1"/>
    <col min="1273" max="1273" width="9.71093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7109375" style="21" customWidth="1"/>
    <col min="1529" max="1529" width="9.71093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7109375" style="21" customWidth="1"/>
    <col min="1785" max="1785" width="9.71093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7109375" style="21" customWidth="1"/>
    <col min="2041" max="2041" width="9.71093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7109375" style="21" customWidth="1"/>
    <col min="2297" max="2297" width="9.71093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7109375" style="21" customWidth="1"/>
    <col min="2553" max="2553" width="9.71093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7109375" style="21" customWidth="1"/>
    <col min="2809" max="2809" width="9.71093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7109375" style="21" customWidth="1"/>
    <col min="3065" max="3065" width="9.71093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7109375" style="21" customWidth="1"/>
    <col min="3321" max="3321" width="9.71093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7109375" style="21" customWidth="1"/>
    <col min="3577" max="3577" width="9.71093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7109375" style="21" customWidth="1"/>
    <col min="3833" max="3833" width="9.71093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7109375" style="21" customWidth="1"/>
    <col min="4089" max="4089" width="9.71093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7109375" style="21" customWidth="1"/>
    <col min="4345" max="4345" width="9.71093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7109375" style="21" customWidth="1"/>
    <col min="4601" max="4601" width="9.71093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7109375" style="21" customWidth="1"/>
    <col min="4857" max="4857" width="9.71093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7109375" style="21" customWidth="1"/>
    <col min="5113" max="5113" width="9.71093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7109375" style="21" customWidth="1"/>
    <col min="5369" max="5369" width="9.71093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7109375" style="21" customWidth="1"/>
    <col min="5625" max="5625" width="9.71093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7109375" style="21" customWidth="1"/>
    <col min="5881" max="5881" width="9.71093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7109375" style="21" customWidth="1"/>
    <col min="6137" max="6137" width="9.71093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7109375" style="21" customWidth="1"/>
    <col min="6393" max="6393" width="9.71093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7109375" style="21" customWidth="1"/>
    <col min="6649" max="6649" width="9.71093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7109375" style="21" customWidth="1"/>
    <col min="6905" max="6905" width="9.71093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7109375" style="21" customWidth="1"/>
    <col min="7161" max="7161" width="9.71093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7109375" style="21" customWidth="1"/>
    <col min="7417" max="7417" width="9.71093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7109375" style="21" customWidth="1"/>
    <col min="7673" max="7673" width="9.71093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7109375" style="21" customWidth="1"/>
    <col min="7929" max="7929" width="9.71093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7109375" style="21" customWidth="1"/>
    <col min="8185" max="8185" width="9.71093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7109375" style="21" customWidth="1"/>
    <col min="8441" max="8441" width="9.71093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7109375" style="21" customWidth="1"/>
    <col min="8697" max="8697" width="9.71093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7109375" style="21" customWidth="1"/>
    <col min="8953" max="8953" width="9.71093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7109375" style="21" customWidth="1"/>
    <col min="9209" max="9209" width="9.71093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7109375" style="21" customWidth="1"/>
    <col min="9465" max="9465" width="9.71093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7109375" style="21" customWidth="1"/>
    <col min="9721" max="9721" width="9.71093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7109375" style="21" customWidth="1"/>
    <col min="9977" max="9977" width="9.71093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7109375" style="21" customWidth="1"/>
    <col min="10233" max="10233" width="9.71093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7109375" style="21" customWidth="1"/>
    <col min="10489" max="10489" width="9.71093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7109375" style="21" customWidth="1"/>
    <col min="10745" max="10745" width="9.71093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7109375" style="21" customWidth="1"/>
    <col min="11001" max="11001" width="9.71093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7109375" style="21" customWidth="1"/>
    <col min="11257" max="11257" width="9.71093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7109375" style="21" customWidth="1"/>
    <col min="11513" max="11513" width="9.71093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7109375" style="21" customWidth="1"/>
    <col min="11769" max="11769" width="9.71093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7109375" style="21" customWidth="1"/>
    <col min="12025" max="12025" width="9.71093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7109375" style="21" customWidth="1"/>
    <col min="12281" max="12281" width="9.71093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7109375" style="21" customWidth="1"/>
    <col min="12537" max="12537" width="9.71093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7109375" style="21" customWidth="1"/>
    <col min="12793" max="12793" width="9.71093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7109375" style="21" customWidth="1"/>
    <col min="13049" max="13049" width="9.71093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7109375" style="21" customWidth="1"/>
    <col min="13305" max="13305" width="9.71093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7109375" style="21" customWidth="1"/>
    <col min="13561" max="13561" width="9.71093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7109375" style="21" customWidth="1"/>
    <col min="13817" max="13817" width="9.71093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7109375" style="21" customWidth="1"/>
    <col min="14073" max="14073" width="9.71093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7109375" style="21" customWidth="1"/>
    <col min="14329" max="14329" width="9.71093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7109375" style="21" customWidth="1"/>
    <col min="14585" max="14585" width="9.71093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7109375" style="21" customWidth="1"/>
    <col min="14841" max="14841" width="9.71093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7109375" style="21" customWidth="1"/>
    <col min="15097" max="15097" width="9.71093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7109375" style="21" customWidth="1"/>
    <col min="15353" max="15353" width="9.71093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7109375" style="21" customWidth="1"/>
    <col min="15609" max="15609" width="9.71093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7109375" style="21" customWidth="1"/>
    <col min="15865" max="15865" width="9.71093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7109375" style="21" customWidth="1"/>
    <col min="16121" max="16121" width="9.71093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26" ht="46.5" customHeight="1" x14ac:dyDescent="0.25">
      <c r="A1" s="182" t="s">
        <v>260</v>
      </c>
      <c r="B1" s="182"/>
      <c r="C1" s="182"/>
      <c r="D1" s="182"/>
      <c r="E1" s="182"/>
      <c r="F1" s="182"/>
      <c r="G1" s="182"/>
      <c r="H1" s="182"/>
    </row>
    <row r="2" spans="1:26" ht="16.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26" x14ac:dyDescent="0.25">
      <c r="A3" s="145" t="s">
        <v>1</v>
      </c>
      <c r="B3" s="145"/>
      <c r="C3" s="145"/>
      <c r="D3" s="145"/>
      <c r="E3" s="145" t="str">
        <f ca="1">TEXT(TODAY(),"DD/MM/YYYY")</f>
        <v>23/09/2025</v>
      </c>
      <c r="F3" s="145"/>
      <c r="G3" s="145"/>
      <c r="H3" s="145"/>
    </row>
    <row r="4" spans="1:26" ht="15" customHeight="1" x14ac:dyDescent="0.25">
      <c r="A4" s="145" t="s">
        <v>2</v>
      </c>
      <c r="B4" s="145"/>
      <c r="C4" s="145"/>
      <c r="D4" s="145"/>
      <c r="E4" s="184" t="s">
        <v>172</v>
      </c>
      <c r="F4" s="184"/>
      <c r="G4" s="184"/>
      <c r="H4" s="184"/>
    </row>
    <row r="5" spans="1:26" x14ac:dyDescent="0.25">
      <c r="A5" s="158" t="s">
        <v>3</v>
      </c>
      <c r="B5" s="158"/>
      <c r="C5" s="158"/>
      <c r="D5" s="158"/>
      <c r="E5" s="185">
        <v>45910</v>
      </c>
      <c r="F5" s="145"/>
      <c r="G5" s="145"/>
      <c r="H5" s="145"/>
    </row>
    <row r="6" spans="1:26" ht="16.5" customHeight="1" x14ac:dyDescent="0.25">
      <c r="A6" s="145" t="s">
        <v>4</v>
      </c>
      <c r="B6" s="145"/>
      <c r="C6" s="145"/>
      <c r="D6" s="145"/>
      <c r="E6" s="145" t="s">
        <v>232</v>
      </c>
      <c r="F6" s="145"/>
      <c r="G6" s="145"/>
      <c r="H6" s="145"/>
    </row>
    <row r="7" spans="1:26" ht="15" customHeight="1" x14ac:dyDescent="0.25">
      <c r="A7" s="145" t="s">
        <v>5</v>
      </c>
      <c r="B7" s="145"/>
      <c r="C7" s="145"/>
      <c r="D7" s="145"/>
      <c r="E7" s="145" t="str">
        <f>E6</f>
        <v>Sai Ornate Developers</v>
      </c>
      <c r="F7" s="145"/>
      <c r="G7" s="145"/>
      <c r="H7" s="145"/>
    </row>
    <row r="8" spans="1:26" x14ac:dyDescent="0.25">
      <c r="A8" s="145" t="s">
        <v>6</v>
      </c>
      <c r="B8" s="145"/>
      <c r="C8" s="145"/>
      <c r="D8" s="145"/>
      <c r="E8" s="183" t="s">
        <v>233</v>
      </c>
      <c r="F8" s="183"/>
      <c r="G8" s="183"/>
      <c r="H8" s="183"/>
      <c r="J8"/>
    </row>
    <row r="9" spans="1:26" x14ac:dyDescent="0.25">
      <c r="A9" s="145" t="s">
        <v>169</v>
      </c>
      <c r="B9" s="145"/>
      <c r="C9" s="145"/>
      <c r="D9" s="145"/>
      <c r="E9" s="145" t="s">
        <v>234</v>
      </c>
      <c r="F9" s="145"/>
      <c r="G9" s="145"/>
      <c r="H9" s="145"/>
    </row>
    <row r="10" spans="1:26" x14ac:dyDescent="0.25">
      <c r="A10" s="158" t="s">
        <v>170</v>
      </c>
      <c r="B10" s="158"/>
      <c r="C10" s="158"/>
      <c r="D10" s="158"/>
      <c r="E10" s="145" t="s">
        <v>272</v>
      </c>
      <c r="F10" s="145"/>
      <c r="G10" s="145"/>
      <c r="H10" s="145"/>
    </row>
    <row r="11" spans="1:26" ht="33.75" customHeight="1" x14ac:dyDescent="0.25">
      <c r="A11" s="145" t="s">
        <v>7</v>
      </c>
      <c r="B11" s="145"/>
      <c r="C11" s="145"/>
      <c r="D11" s="145"/>
      <c r="E11" s="156" t="s">
        <v>275</v>
      </c>
      <c r="F11" s="145"/>
      <c r="G11" s="145"/>
      <c r="H11" s="145"/>
      <c r="K11" s="21" t="s">
        <v>267</v>
      </c>
    </row>
    <row r="12" spans="1:26" x14ac:dyDescent="0.25">
      <c r="A12" s="145" t="s">
        <v>173</v>
      </c>
      <c r="B12" s="145"/>
      <c r="C12" s="145"/>
      <c r="D12" s="145"/>
      <c r="E12" s="145" t="s">
        <v>29</v>
      </c>
      <c r="F12" s="145"/>
      <c r="G12" s="145"/>
      <c r="H12" s="145"/>
      <c r="S12" s="55" t="s">
        <v>179</v>
      </c>
      <c r="T12" s="55" t="s">
        <v>189</v>
      </c>
      <c r="U12" s="55" t="s">
        <v>174</v>
      </c>
      <c r="V12" s="55" t="s">
        <v>194</v>
      </c>
      <c r="W12" s="55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25">
      <c r="A13" s="116" t="s">
        <v>8</v>
      </c>
      <c r="B13" s="116"/>
      <c r="C13" s="116"/>
      <c r="D13" s="116"/>
      <c r="E13" s="156" t="s">
        <v>228</v>
      </c>
      <c r="F13" s="156"/>
      <c r="G13" s="156"/>
      <c r="H13" s="156"/>
      <c r="S13" s="55" t="s">
        <v>180</v>
      </c>
      <c r="T13" s="55" t="s">
        <v>187</v>
      </c>
      <c r="U13" s="55" t="s">
        <v>209</v>
      </c>
      <c r="V13" s="55" t="s">
        <v>195</v>
      </c>
      <c r="W13" s="55" t="s">
        <v>213</v>
      </c>
      <c r="X13"/>
      <c r="Y13"/>
      <c r="Z13"/>
    </row>
    <row r="14" spans="1:26" x14ac:dyDescent="0.25">
      <c r="A14" s="116" t="s">
        <v>9</v>
      </c>
      <c r="B14" s="116"/>
      <c r="C14" s="116"/>
      <c r="D14" s="116"/>
      <c r="E14" s="186" t="s">
        <v>235</v>
      </c>
      <c r="F14" s="184"/>
      <c r="G14" s="184"/>
      <c r="H14" s="184"/>
      <c r="I14" s="138" t="e">
        <f ca="1">OFFSET($D$4,1,MATCH($J12,$D$4:$H$4,0)-1,15,1)</f>
        <v>#N/A</v>
      </c>
      <c r="J14" s="139"/>
      <c r="K14" s="139"/>
      <c r="L14" s="139"/>
      <c r="M14" s="139"/>
      <c r="N14" s="139"/>
      <c r="O14" s="139"/>
      <c r="P14" s="139"/>
      <c r="S14" s="55" t="s">
        <v>181</v>
      </c>
      <c r="T14" s="55" t="s">
        <v>188</v>
      </c>
      <c r="U14" s="55" t="s">
        <v>210</v>
      </c>
      <c r="V14" s="55" t="s">
        <v>196</v>
      </c>
      <c r="W14" s="55" t="s">
        <v>226</v>
      </c>
      <c r="X14"/>
      <c r="Y14"/>
      <c r="Z14"/>
    </row>
    <row r="15" spans="1:26" ht="161.25" customHeight="1" x14ac:dyDescent="0.25">
      <c r="A15" s="149" t="s">
        <v>10</v>
      </c>
      <c r="B15" s="149"/>
      <c r="C15" s="14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Ornate Serenity, Old Survey No..S.No.345 pt(Old S.No. 313pt); S.No.346, H.No.1, (Old S.No.314, H.No.1), S.No.347(Old S.No.315); S.No.348, H.No.2 (Old S.No.316, H.No.2); S.No.350; S No.349, H.No.1; S.No.339, H.No1; S.No.352, H.No.3; S.No.351, H.No.4A, 4B &amp; 6; S.NO.331, H. No.1,2,3,4 &amp; 5, S.No.317, H.No. 6A, 6B, 6C &amp; 6D; S.No. 332, H.No.9; S.No352, H.No.4 &amp; New S.No.345, H.No.B; S.No.350; S.No.349, H.No.1; S.No.339, H.No.1; S.No.352, H.No.3; S.No.351, H.No.3, 4A,4B &amp; 6; S.No. 331, H.No.1, 2, 3, 4 &amp; 5; S.No.317, H.No.5/1, 5/2, B/1, B/2, &amp; B/4; S.No.332, H.No.9; S.No.352, H.No.4; S.No.330, H.No.4;, near Ornate Galaxy, St Marys Road, Parvati Nagar, Juchandra, Naigaon East, Vasai, Palghar - 401208.</v>
      </c>
      <c r="D15" s="149"/>
      <c r="E15" s="149"/>
      <c r="F15" s="149"/>
      <c r="G15" s="149"/>
      <c r="H15" s="149"/>
      <c r="S15" s="55" t="s">
        <v>182</v>
      </c>
      <c r="T15" s="55" t="s">
        <v>190</v>
      </c>
      <c r="U15" s="55" t="s">
        <v>211</v>
      </c>
      <c r="V15" s="55" t="s">
        <v>197</v>
      </c>
      <c r="W15" s="55" t="s">
        <v>214</v>
      </c>
      <c r="X15"/>
      <c r="Y15"/>
      <c r="Z15"/>
    </row>
    <row r="16" spans="1:26" ht="145.5" customHeight="1" x14ac:dyDescent="0.25">
      <c r="A16" s="186" t="s">
        <v>255</v>
      </c>
      <c r="B16" s="186"/>
      <c r="C16" s="186" t="s">
        <v>276</v>
      </c>
      <c r="D16" s="186"/>
      <c r="E16" s="186"/>
      <c r="F16" s="186"/>
      <c r="G16" s="186"/>
      <c r="H16" s="186"/>
      <c r="S16" s="55" t="s">
        <v>183</v>
      </c>
      <c r="T16" s="55" t="s">
        <v>191</v>
      </c>
      <c r="U16" s="55"/>
      <c r="V16" s="55" t="s">
        <v>198</v>
      </c>
      <c r="W16" s="55" t="s">
        <v>215</v>
      </c>
      <c r="X16"/>
      <c r="Y16"/>
      <c r="Z16"/>
    </row>
    <row r="17" spans="1:26" ht="15.75" customHeight="1" x14ac:dyDescent="0.25">
      <c r="A17" s="156" t="s">
        <v>165</v>
      </c>
      <c r="B17" s="156"/>
      <c r="C17" s="156" t="s">
        <v>250</v>
      </c>
      <c r="D17" s="156"/>
      <c r="E17" s="156"/>
      <c r="F17" s="156"/>
      <c r="G17" s="156"/>
      <c r="H17" s="156"/>
      <c r="S17" s="55" t="s">
        <v>184</v>
      </c>
      <c r="T17" s="55" t="s">
        <v>189</v>
      </c>
      <c r="U17" s="55"/>
      <c r="V17" s="55" t="s">
        <v>199</v>
      </c>
      <c r="W17" s="55" t="s">
        <v>216</v>
      </c>
      <c r="X17"/>
      <c r="Y17"/>
      <c r="Z17"/>
    </row>
    <row r="18" spans="1:26" ht="15.75" customHeight="1" x14ac:dyDescent="0.25">
      <c r="A18" s="149" t="s">
        <v>11</v>
      </c>
      <c r="B18" s="149"/>
      <c r="C18" s="145" t="s">
        <v>251</v>
      </c>
      <c r="D18" s="145"/>
      <c r="E18" s="149" t="s">
        <v>73</v>
      </c>
      <c r="F18" s="149"/>
      <c r="G18" s="156" t="s">
        <v>254</v>
      </c>
      <c r="H18" s="156"/>
      <c r="S18" s="55" t="s">
        <v>185</v>
      </c>
      <c r="T18" s="55" t="s">
        <v>192</v>
      </c>
      <c r="U18" s="55"/>
      <c r="V18" s="55" t="s">
        <v>200</v>
      </c>
      <c r="W18" s="55" t="s">
        <v>217</v>
      </c>
      <c r="X18"/>
      <c r="Y18"/>
      <c r="Z18"/>
    </row>
    <row r="19" spans="1:26" x14ac:dyDescent="0.25">
      <c r="A19" s="116" t="s">
        <v>13</v>
      </c>
      <c r="B19" s="116"/>
      <c r="C19" s="186" t="s">
        <v>264</v>
      </c>
      <c r="D19" s="186"/>
      <c r="E19" s="186" t="s">
        <v>12</v>
      </c>
      <c r="F19" s="186"/>
      <c r="G19" s="187" t="s">
        <v>189</v>
      </c>
      <c r="H19" s="187"/>
      <c r="S19" s="55" t="s">
        <v>186</v>
      </c>
      <c r="T19" s="55" t="s">
        <v>193</v>
      </c>
      <c r="U19" s="55"/>
      <c r="V19" s="55" t="s">
        <v>201</v>
      </c>
      <c r="W19" s="55" t="s">
        <v>218</v>
      </c>
      <c r="X19"/>
      <c r="Y19"/>
      <c r="Z19"/>
    </row>
    <row r="20" spans="1:26" x14ac:dyDescent="0.25">
      <c r="A20" s="116" t="s">
        <v>74</v>
      </c>
      <c r="B20" s="116"/>
      <c r="C20" s="186" t="s">
        <v>190</v>
      </c>
      <c r="D20" s="186"/>
      <c r="E20" s="186" t="s">
        <v>14</v>
      </c>
      <c r="F20" s="186"/>
      <c r="G20" s="186">
        <v>401208</v>
      </c>
      <c r="H20" s="186"/>
      <c r="S20" s="55"/>
      <c r="T20" s="55"/>
      <c r="U20" s="55"/>
      <c r="V20" s="55" t="s">
        <v>202</v>
      </c>
      <c r="W20" s="55" t="s">
        <v>219</v>
      </c>
      <c r="X20"/>
      <c r="Y20"/>
      <c r="Z20"/>
    </row>
    <row r="21" spans="1:26" ht="32.25" customHeight="1" x14ac:dyDescent="0.25">
      <c r="A21" s="116" t="s">
        <v>124</v>
      </c>
      <c r="B21" s="116"/>
      <c r="C21" s="156" t="s">
        <v>252</v>
      </c>
      <c r="D21" s="156"/>
      <c r="E21" s="149" t="s">
        <v>15</v>
      </c>
      <c r="F21" s="149"/>
      <c r="G21" s="186" t="s">
        <v>265</v>
      </c>
      <c r="H21" s="186"/>
      <c r="S21" s="55"/>
      <c r="T21" s="55"/>
      <c r="U21" s="55"/>
      <c r="V21" s="55" t="s">
        <v>203</v>
      </c>
      <c r="W21" s="55" t="s">
        <v>220</v>
      </c>
      <c r="X21"/>
      <c r="Y21"/>
      <c r="Z21"/>
    </row>
    <row r="22" spans="1:26" ht="15" customHeight="1" x14ac:dyDescent="0.25">
      <c r="A22" s="149" t="s">
        <v>76</v>
      </c>
      <c r="B22" s="149"/>
      <c r="C22" s="149"/>
      <c r="D22" s="149"/>
      <c r="E22" s="145" t="s">
        <v>16</v>
      </c>
      <c r="F22" s="145"/>
      <c r="G22" s="145"/>
      <c r="H22" s="145"/>
      <c r="S22" s="55"/>
      <c r="T22" s="55"/>
      <c r="U22" s="55"/>
      <c r="V22" s="55" t="s">
        <v>204</v>
      </c>
      <c r="W22" s="55" t="s">
        <v>221</v>
      </c>
      <c r="X22"/>
      <c r="Y22"/>
      <c r="Z22"/>
    </row>
    <row r="23" spans="1:26" ht="18.75" customHeight="1" x14ac:dyDescent="0.25">
      <c r="A23" s="149"/>
      <c r="B23" s="149"/>
      <c r="C23" s="149"/>
      <c r="D23" s="149"/>
      <c r="E23" s="145"/>
      <c r="F23" s="145"/>
      <c r="G23" s="145"/>
      <c r="H23" s="145"/>
      <c r="S23" s="55"/>
      <c r="T23" s="55"/>
      <c r="U23" s="55"/>
      <c r="V23" s="55" t="s">
        <v>205</v>
      </c>
      <c r="W23" s="55" t="s">
        <v>222</v>
      </c>
      <c r="X23"/>
      <c r="Y23"/>
      <c r="Z23"/>
    </row>
    <row r="24" spans="1:26" ht="15" customHeight="1" x14ac:dyDescent="0.25">
      <c r="A24" s="149" t="s">
        <v>17</v>
      </c>
      <c r="B24" s="149"/>
      <c r="C24" s="149"/>
      <c r="D24" s="149"/>
      <c r="E24" s="156" t="s">
        <v>18</v>
      </c>
      <c r="F24" s="156"/>
      <c r="G24" s="156"/>
      <c r="H24" s="156"/>
      <c r="S24" s="55"/>
      <c r="T24" s="55"/>
      <c r="U24" s="55"/>
      <c r="V24" s="55" t="s">
        <v>206</v>
      </c>
      <c r="W24" s="55" t="s">
        <v>223</v>
      </c>
      <c r="X24"/>
      <c r="Y24"/>
      <c r="Z24"/>
    </row>
    <row r="25" spans="1:26" ht="15" customHeight="1" x14ac:dyDescent="0.25">
      <c r="A25" s="116" t="s">
        <v>19</v>
      </c>
      <c r="B25" s="116"/>
      <c r="C25" s="116"/>
      <c r="D25" s="116"/>
      <c r="E25" s="156" t="str">
        <f>IF(AND(G19="Mumbai"),"Upper Class","Middle Class")</f>
        <v>Middle Class</v>
      </c>
      <c r="F25" s="156"/>
      <c r="G25" s="156"/>
      <c r="H25" s="156"/>
      <c r="S25" s="55"/>
      <c r="T25" s="55"/>
      <c r="U25" s="55"/>
      <c r="V25" s="55" t="s">
        <v>207</v>
      </c>
      <c r="W25" s="55" t="s">
        <v>224</v>
      </c>
      <c r="X25"/>
      <c r="Y25"/>
      <c r="Z25"/>
    </row>
    <row r="26" spans="1:26" x14ac:dyDescent="0.25">
      <c r="A26" s="116" t="s">
        <v>20</v>
      </c>
      <c r="B26" s="116"/>
      <c r="C26" s="116"/>
      <c r="D26" s="116"/>
      <c r="E26" s="156" t="s">
        <v>21</v>
      </c>
      <c r="F26" s="156"/>
      <c r="G26" s="156"/>
      <c r="H26" s="156"/>
      <c r="S26" s="55"/>
      <c r="T26" s="55"/>
      <c r="U26" s="55"/>
      <c r="V26" s="55" t="s">
        <v>208</v>
      </c>
      <c r="W26" s="55" t="s">
        <v>225</v>
      </c>
      <c r="X26"/>
      <c r="Y26"/>
      <c r="Z26"/>
    </row>
    <row r="27" spans="1:26" ht="15.75" customHeight="1" x14ac:dyDescent="0.25">
      <c r="A27" s="116" t="s">
        <v>22</v>
      </c>
      <c r="B27" s="116"/>
      <c r="C27" s="116"/>
      <c r="D27" s="116"/>
      <c r="E27" s="156" t="str">
        <f>IF(AND(G19="Mumbai"),"Developed","Developing")</f>
        <v>Developing</v>
      </c>
      <c r="F27" s="156"/>
      <c r="G27" s="156"/>
      <c r="H27" s="156"/>
    </row>
    <row r="28" spans="1:26" x14ac:dyDescent="0.25">
      <c r="A28" s="116" t="s">
        <v>23</v>
      </c>
      <c r="B28" s="116"/>
      <c r="C28" s="116"/>
      <c r="D28" s="116"/>
      <c r="E28" s="156" t="s">
        <v>24</v>
      </c>
      <c r="F28" s="156"/>
      <c r="G28" s="156"/>
      <c r="H28" s="156"/>
    </row>
    <row r="29" spans="1:26" ht="15.75" customHeight="1" x14ac:dyDescent="0.25">
      <c r="A29" s="116" t="s">
        <v>81</v>
      </c>
      <c r="B29" s="116"/>
      <c r="C29" s="116"/>
      <c r="D29" s="116"/>
      <c r="E29" s="156" t="s">
        <v>82</v>
      </c>
      <c r="F29" s="156"/>
      <c r="G29" s="156"/>
      <c r="H29" s="156"/>
    </row>
    <row r="30" spans="1:26" ht="15" customHeight="1" x14ac:dyDescent="0.25">
      <c r="A30" s="116" t="s">
        <v>32</v>
      </c>
      <c r="B30" s="116"/>
      <c r="C30" s="116"/>
      <c r="D30" s="116"/>
      <c r="E30" s="15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56"/>
      <c r="G30" s="156"/>
      <c r="H30" s="156"/>
    </row>
    <row r="31" spans="1:26" ht="15.75" customHeight="1" x14ac:dyDescent="0.25">
      <c r="A31" s="116" t="s">
        <v>93</v>
      </c>
      <c r="B31" s="116"/>
      <c r="C31" s="116"/>
      <c r="D31" s="116"/>
      <c r="E31" s="156" t="s">
        <v>33</v>
      </c>
      <c r="F31" s="156"/>
      <c r="G31" s="156"/>
      <c r="H31" s="156"/>
    </row>
    <row r="32" spans="1:26" s="22" customFormat="1" x14ac:dyDescent="0.25">
      <c r="A32" s="197" t="s">
        <v>94</v>
      </c>
      <c r="B32" s="197"/>
      <c r="C32" s="192" t="s">
        <v>175</v>
      </c>
      <c r="D32" s="193"/>
      <c r="E32" s="194"/>
      <c r="F32" s="192" t="s">
        <v>30</v>
      </c>
      <c r="G32" s="193"/>
      <c r="H32" s="194"/>
    </row>
    <row r="33" spans="1:13" s="22" customFormat="1" x14ac:dyDescent="0.25">
      <c r="A33" s="196" t="s">
        <v>25</v>
      </c>
      <c r="B33" s="196" t="s">
        <v>29</v>
      </c>
      <c r="C33" s="189" t="s">
        <v>278</v>
      </c>
      <c r="D33" s="190"/>
      <c r="E33" s="191"/>
      <c r="F33" s="201" t="s">
        <v>259</v>
      </c>
      <c r="G33" s="199"/>
      <c r="H33" s="200"/>
    </row>
    <row r="34" spans="1:13" x14ac:dyDescent="0.25">
      <c r="A34" s="196" t="s">
        <v>26</v>
      </c>
      <c r="B34" s="196" t="s">
        <v>29</v>
      </c>
      <c r="C34" s="198" t="s">
        <v>279</v>
      </c>
      <c r="D34" s="199"/>
      <c r="E34" s="200"/>
      <c r="F34" s="201" t="s">
        <v>258</v>
      </c>
      <c r="G34" s="199"/>
      <c r="H34" s="200"/>
    </row>
    <row r="35" spans="1:13" s="22" customFormat="1" x14ac:dyDescent="0.25">
      <c r="A35" s="188" t="s">
        <v>28</v>
      </c>
      <c r="B35" s="188" t="s">
        <v>29</v>
      </c>
      <c r="C35" s="189" t="s">
        <v>278</v>
      </c>
      <c r="D35" s="190"/>
      <c r="E35" s="191"/>
      <c r="F35" s="195" t="s">
        <v>280</v>
      </c>
      <c r="G35" s="190"/>
      <c r="H35" s="191"/>
    </row>
    <row r="36" spans="1:13" x14ac:dyDescent="0.25">
      <c r="A36" s="196" t="s">
        <v>27</v>
      </c>
      <c r="B36" s="196" t="s">
        <v>29</v>
      </c>
      <c r="C36" s="189" t="s">
        <v>278</v>
      </c>
      <c r="D36" s="190"/>
      <c r="E36" s="191"/>
      <c r="F36" s="201" t="s">
        <v>259</v>
      </c>
      <c r="G36" s="199"/>
      <c r="H36" s="200"/>
    </row>
    <row r="37" spans="1:13" x14ac:dyDescent="0.25">
      <c r="A37" s="116" t="s">
        <v>31</v>
      </c>
      <c r="B37" s="116"/>
      <c r="C37" s="116"/>
      <c r="D37" s="116"/>
      <c r="E37" s="116"/>
      <c r="F37" s="116"/>
      <c r="G37" s="116"/>
      <c r="H37" s="116"/>
    </row>
    <row r="38" spans="1:13" ht="15.75" customHeight="1" x14ac:dyDescent="0.25">
      <c r="A38" s="183" t="s">
        <v>167</v>
      </c>
      <c r="B38" s="183"/>
      <c r="C38" s="145" t="s">
        <v>256</v>
      </c>
      <c r="D38" s="145"/>
      <c r="E38" s="145"/>
      <c r="F38" s="145"/>
      <c r="G38" s="145"/>
      <c r="H38" s="145"/>
    </row>
    <row r="39" spans="1:13" x14ac:dyDescent="0.25">
      <c r="A39" s="183" t="s">
        <v>164</v>
      </c>
      <c r="B39" s="183"/>
      <c r="C39" s="217" t="s">
        <v>257</v>
      </c>
      <c r="D39" s="218"/>
      <c r="E39" s="218"/>
      <c r="F39" s="218"/>
      <c r="G39" s="218"/>
      <c r="H39" s="218"/>
      <c r="J39" s="21" t="s">
        <v>266</v>
      </c>
    </row>
    <row r="40" spans="1:13" x14ac:dyDescent="0.25">
      <c r="A40" s="183" t="s">
        <v>34</v>
      </c>
      <c r="B40" s="183"/>
      <c r="C40" s="183"/>
      <c r="D40" s="183"/>
      <c r="E40" s="183"/>
      <c r="F40" s="183"/>
      <c r="G40" s="183"/>
      <c r="H40" s="183"/>
      <c r="J40" s="21" t="s">
        <v>261</v>
      </c>
    </row>
    <row r="41" spans="1:13" x14ac:dyDescent="0.25">
      <c r="A41" s="145" t="s">
        <v>35</v>
      </c>
      <c r="B41" s="145"/>
      <c r="C41" s="145"/>
      <c r="D41" s="145"/>
      <c r="E41" s="202">
        <v>56522.82</v>
      </c>
      <c r="F41" s="202"/>
      <c r="G41" s="202"/>
      <c r="H41" s="202"/>
      <c r="J41" s="225">
        <v>56522.82</v>
      </c>
      <c r="K41" s="225"/>
      <c r="L41" s="225"/>
      <c r="M41" s="225"/>
    </row>
    <row r="42" spans="1:13" x14ac:dyDescent="0.25">
      <c r="A42" s="145" t="s">
        <v>36</v>
      </c>
      <c r="B42" s="145"/>
      <c r="C42" s="145"/>
      <c r="D42" s="145"/>
      <c r="E42" s="153">
        <f>66300.06/E41</f>
        <v>1.1729786305778798</v>
      </c>
      <c r="F42" s="153"/>
      <c r="G42" s="153"/>
      <c r="H42" s="153"/>
      <c r="J42" s="226">
        <v>1.1000000000000001</v>
      </c>
      <c r="K42" s="226"/>
      <c r="L42" s="226"/>
      <c r="M42" s="226"/>
    </row>
    <row r="43" spans="1:13" x14ac:dyDescent="0.25">
      <c r="A43" s="145" t="s">
        <v>37</v>
      </c>
      <c r="B43" s="145"/>
      <c r="C43" s="145"/>
      <c r="D43" s="145"/>
      <c r="E43" s="153">
        <f>E45/E41-E42</f>
        <v>0.85815799707091767</v>
      </c>
      <c r="F43" s="153"/>
      <c r="G43" s="153"/>
      <c r="H43" s="153"/>
      <c r="J43" s="226">
        <f>J45/J41-J42</f>
        <v>0.93113662764879734</v>
      </c>
      <c r="K43" s="226"/>
      <c r="L43" s="226"/>
      <c r="M43" s="226"/>
    </row>
    <row r="44" spans="1:13" x14ac:dyDescent="0.25">
      <c r="A44" s="145" t="s">
        <v>38</v>
      </c>
      <c r="B44" s="145"/>
      <c r="C44" s="145"/>
      <c r="D44" s="145"/>
      <c r="E44" s="153">
        <f>E42+E43</f>
        <v>2.0311366276487974</v>
      </c>
      <c r="F44" s="153"/>
      <c r="G44" s="153"/>
      <c r="H44" s="153"/>
      <c r="J44" s="226">
        <f>J42+J43</f>
        <v>2.0311366276487974</v>
      </c>
      <c r="K44" s="226"/>
      <c r="L44" s="226"/>
      <c r="M44" s="226"/>
    </row>
    <row r="45" spans="1:13" x14ac:dyDescent="0.25">
      <c r="A45" s="145" t="s">
        <v>92</v>
      </c>
      <c r="B45" s="145"/>
      <c r="C45" s="145"/>
      <c r="D45" s="145"/>
      <c r="E45" s="204">
        <v>114805.57</v>
      </c>
      <c r="F45" s="204"/>
      <c r="G45" s="204"/>
      <c r="H45" s="204"/>
      <c r="J45" s="227">
        <v>114805.57</v>
      </c>
      <c r="K45" s="227"/>
      <c r="L45" s="227"/>
      <c r="M45" s="227"/>
    </row>
    <row r="46" spans="1:13" x14ac:dyDescent="0.25">
      <c r="A46" s="145" t="s">
        <v>39</v>
      </c>
      <c r="B46" s="145"/>
      <c r="C46" s="145"/>
      <c r="D46" s="145"/>
      <c r="E46" s="145" t="s">
        <v>277</v>
      </c>
      <c r="F46" s="145"/>
      <c r="G46" s="145"/>
      <c r="H46" s="145"/>
      <c r="J46" s="228" t="s">
        <v>123</v>
      </c>
      <c r="K46" s="228"/>
      <c r="L46" s="228"/>
      <c r="M46" s="228"/>
    </row>
    <row r="47" spans="1:13" x14ac:dyDescent="0.25">
      <c r="A47" s="181" t="s">
        <v>40</v>
      </c>
      <c r="B47" s="181"/>
      <c r="C47" s="181"/>
      <c r="D47" s="181"/>
      <c r="E47" s="181"/>
      <c r="F47" s="181"/>
      <c r="G47" s="181"/>
      <c r="H47" s="181"/>
    </row>
    <row r="48" spans="1:13" ht="33.75" customHeight="1" x14ac:dyDescent="0.25">
      <c r="A48" s="108" t="s">
        <v>153</v>
      </c>
      <c r="B48" s="110"/>
      <c r="C48" s="219" t="s">
        <v>236</v>
      </c>
      <c r="D48" s="220"/>
      <c r="E48" s="220"/>
      <c r="F48" s="220"/>
      <c r="G48" s="220"/>
      <c r="H48" s="221"/>
    </row>
    <row r="49" spans="1:14" x14ac:dyDescent="0.25">
      <c r="A49" s="108" t="s">
        <v>41</v>
      </c>
      <c r="B49" s="110"/>
      <c r="C49" s="108" t="s">
        <v>238</v>
      </c>
      <c r="D49" s="109"/>
      <c r="E49" s="110"/>
      <c r="F49" s="18" t="s">
        <v>42</v>
      </c>
      <c r="G49" s="154">
        <v>45160</v>
      </c>
      <c r="H49" s="110"/>
    </row>
    <row r="50" spans="1:14" x14ac:dyDescent="0.25">
      <c r="A50" s="108" t="s">
        <v>43</v>
      </c>
      <c r="B50" s="110"/>
      <c r="C50" s="108" t="s">
        <v>238</v>
      </c>
      <c r="D50" s="109"/>
      <c r="E50" s="110"/>
      <c r="F50" s="18" t="s">
        <v>42</v>
      </c>
      <c r="G50" s="154">
        <v>45160</v>
      </c>
      <c r="H50" s="110"/>
    </row>
    <row r="51" spans="1:14" s="23" customFormat="1" ht="34.15" customHeight="1" x14ac:dyDescent="0.25">
      <c r="A51" s="208" t="s">
        <v>273</v>
      </c>
      <c r="B51" s="209"/>
      <c r="C51" s="108" t="s">
        <v>239</v>
      </c>
      <c r="D51" s="109"/>
      <c r="E51" s="110"/>
      <c r="F51" s="18" t="s">
        <v>42</v>
      </c>
      <c r="G51" s="154">
        <v>45160</v>
      </c>
      <c r="H51" s="110"/>
    </row>
    <row r="52" spans="1:14" s="23" customFormat="1" x14ac:dyDescent="0.25">
      <c r="A52" s="210"/>
      <c r="B52" s="211"/>
      <c r="C52" s="108" t="s">
        <v>281</v>
      </c>
      <c r="D52" s="109"/>
      <c r="E52" s="109"/>
      <c r="F52" s="109"/>
      <c r="G52" s="109"/>
      <c r="H52" s="110"/>
    </row>
    <row r="53" spans="1:14" x14ac:dyDescent="0.25">
      <c r="A53" s="142" t="s">
        <v>44</v>
      </c>
      <c r="B53" s="143"/>
      <c r="C53" s="142" t="s">
        <v>106</v>
      </c>
      <c r="D53" s="144"/>
      <c r="E53" s="143"/>
      <c r="F53" s="46" t="s">
        <v>42</v>
      </c>
      <c r="G53" s="159" t="s">
        <v>29</v>
      </c>
      <c r="H53" s="160"/>
    </row>
    <row r="54" spans="1:14" x14ac:dyDescent="0.25">
      <c r="A54" s="155" t="s">
        <v>46</v>
      </c>
      <c r="B54" s="155"/>
      <c r="C54" s="155"/>
      <c r="D54" s="155"/>
      <c r="E54" s="155"/>
      <c r="F54" s="155"/>
      <c r="G54" s="155"/>
      <c r="H54" s="155"/>
    </row>
    <row r="55" spans="1:14" x14ac:dyDescent="0.25">
      <c r="A55" s="156" t="s">
        <v>91</v>
      </c>
      <c r="B55" s="156"/>
      <c r="C55" s="156"/>
      <c r="D55" s="145">
        <f>E45</f>
        <v>114805.57</v>
      </c>
      <c r="E55" s="145"/>
      <c r="F55" s="145"/>
      <c r="G55" s="145"/>
      <c r="H55" s="145"/>
      <c r="I55" s="21">
        <v>10795.18</v>
      </c>
    </row>
    <row r="56" spans="1:14" x14ac:dyDescent="0.25">
      <c r="A56" s="157" t="s">
        <v>47</v>
      </c>
      <c r="B56" s="158"/>
      <c r="C56" s="158"/>
      <c r="D56" s="145" t="s">
        <v>294</v>
      </c>
      <c r="E56" s="145"/>
      <c r="F56" s="145"/>
      <c r="G56" s="145"/>
      <c r="H56" s="145"/>
      <c r="I56" s="24" t="s">
        <v>295</v>
      </c>
    </row>
    <row r="57" spans="1:14" x14ac:dyDescent="0.25">
      <c r="A57" s="111" t="s">
        <v>48</v>
      </c>
      <c r="B57" s="112"/>
      <c r="C57" s="207"/>
      <c r="D57" s="205" t="s">
        <v>282</v>
      </c>
      <c r="E57" s="206"/>
      <c r="F57" s="206"/>
      <c r="G57" s="206"/>
      <c r="H57" s="206"/>
    </row>
    <row r="58" spans="1:14" ht="15.75" customHeight="1" x14ac:dyDescent="0.25">
      <c r="A58" s="111" t="s">
        <v>89</v>
      </c>
      <c r="B58" s="112"/>
      <c r="C58" s="112"/>
      <c r="D58" s="113" t="s">
        <v>282</v>
      </c>
      <c r="E58" s="114"/>
      <c r="F58" s="114"/>
      <c r="G58" s="114"/>
      <c r="H58" s="115"/>
    </row>
    <row r="59" spans="1:14" ht="15.75" customHeight="1" x14ac:dyDescent="0.25">
      <c r="A59" s="116" t="s">
        <v>45</v>
      </c>
      <c r="B59" s="116"/>
      <c r="C59" s="116"/>
      <c r="D59" s="149" t="s">
        <v>283</v>
      </c>
      <c r="E59" s="149"/>
      <c r="F59" s="149"/>
      <c r="G59" s="149"/>
      <c r="H59" s="149"/>
      <c r="J59" s="25"/>
      <c r="K59" s="24"/>
      <c r="N59" s="24"/>
    </row>
    <row r="60" spans="1:14" ht="15.75" customHeight="1" x14ac:dyDescent="0.25">
      <c r="A60" s="116" t="s">
        <v>87</v>
      </c>
      <c r="B60" s="116"/>
      <c r="C60" s="116"/>
      <c r="D60" s="203" t="str">
        <f>(IF(G53="NA","60 Years After Completion",IF(G53&lt;&gt;"NA",""&amp;60-ROUNDDOWN((E3-G53)/360,0)&amp;" Years"," ")))</f>
        <v>60 Years After Completion</v>
      </c>
      <c r="E60" s="203"/>
      <c r="F60" s="203"/>
      <c r="G60" s="203"/>
      <c r="H60" s="203"/>
      <c r="N60" s="24"/>
    </row>
    <row r="61" spans="1:14" ht="15.75" customHeight="1" x14ac:dyDescent="0.25">
      <c r="A61" s="116" t="s">
        <v>88</v>
      </c>
      <c r="B61" s="116"/>
      <c r="C61" s="116"/>
      <c r="D61" s="149" t="s">
        <v>24</v>
      </c>
      <c r="E61" s="149"/>
      <c r="F61" s="149"/>
      <c r="G61" s="149"/>
      <c r="H61" s="149"/>
      <c r="J61" s="26"/>
      <c r="K61" s="26"/>
    </row>
    <row r="62" spans="1:14" ht="112.5" customHeight="1" x14ac:dyDescent="0.25">
      <c r="A62" s="184" t="s">
        <v>240</v>
      </c>
      <c r="B62" s="184"/>
      <c r="C62" s="184"/>
      <c r="D62" s="186" t="s">
        <v>241</v>
      </c>
      <c r="E62" s="186"/>
      <c r="F62" s="186"/>
      <c r="G62" s="186"/>
      <c r="H62" s="186"/>
    </row>
    <row r="63" spans="1:14" x14ac:dyDescent="0.25">
      <c r="A63" s="149" t="s">
        <v>150</v>
      </c>
      <c r="B63" s="149"/>
      <c r="C63" s="149"/>
      <c r="D63" s="149" t="s">
        <v>29</v>
      </c>
      <c r="E63" s="149"/>
      <c r="F63" s="149"/>
      <c r="G63" s="149"/>
      <c r="H63" s="149"/>
      <c r="I63" s="27"/>
      <c r="J63" s="27"/>
      <c r="K63" s="27"/>
      <c r="L63" s="27"/>
      <c r="M63" s="27"/>
      <c r="N63" s="27"/>
    </row>
    <row r="64" spans="1:14" ht="15.75" customHeight="1" x14ac:dyDescent="0.25">
      <c r="A64" s="150" t="s">
        <v>86</v>
      </c>
      <c r="B64" s="150"/>
      <c r="C64" s="150"/>
      <c r="D64" s="137" t="str">
        <f ca="1">(IF(G70&gt;95%,"Nothing",IF(G70&gt;0%,"Cement, Aggregate, Steel, etc",IF(G70=0%,"Work not yet Started"))))</f>
        <v>Cement, Aggregate, Steel, etc</v>
      </c>
      <c r="E64" s="137"/>
      <c r="F64" s="137"/>
      <c r="G64" s="137"/>
      <c r="H64" s="137"/>
      <c r="J64" s="26"/>
    </row>
    <row r="65" spans="1:10" ht="33.75" customHeight="1" thickBot="1" x14ac:dyDescent="0.3">
      <c r="A65" s="230" t="s">
        <v>119</v>
      </c>
      <c r="B65" s="230"/>
      <c r="C65" s="230"/>
      <c r="D65" s="137" t="str">
        <f ca="1">(IF(D64="Nothing","Yes",IF(D64="Cement, Aggregate, Steel, etc","Under Construction",IF(D64="Work not yet Started","Work not yet Started"))))</f>
        <v>Under Construction</v>
      </c>
      <c r="E65" s="137"/>
      <c r="F65" s="137" t="str">
        <f ca="1">(IF(D64="Nothing","Yes",IF(D64="Cement, Aggregate, Steel, etc","Under Construction",IF(D64="Work not yet Started","Work not yet Started"))))</f>
        <v>Under Construction</v>
      </c>
      <c r="G65" s="137"/>
      <c r="H65" s="137"/>
    </row>
    <row r="66" spans="1:10" ht="15.75" customHeight="1" x14ac:dyDescent="0.25">
      <c r="A66" s="162" t="s">
        <v>142</v>
      </c>
      <c r="B66" s="163"/>
      <c r="C66" s="164" t="s">
        <v>284</v>
      </c>
      <c r="D66" s="165"/>
      <c r="E66" s="165"/>
      <c r="F66" s="165"/>
      <c r="G66" s="165"/>
      <c r="H66" s="166"/>
      <c r="I66" s="50" t="str">
        <f ca="1">IF(D79=100%,"All work Completed. Possession granted to the Building.",IF(D78=100%,"All work Completed, Waiting for OC",I67&amp;""&amp;I68&amp;""&amp;J67&amp;""&amp;J66&amp;" "&amp;J68))</f>
        <v>Excavation, Plinth Completed, RCC upto 15 Slab, Brickwork upto 14 Floor, Internal Plaster upto 10.5 Floor, External Plaster upto 9.1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15 Slab, Brickwork upto 14 Floor, Internal Plaster upto 10.5 Floor, External Plaster upto 9.1 Floor</v>
      </c>
    </row>
    <row r="67" spans="1:10" x14ac:dyDescent="0.25">
      <c r="A67" s="16" t="s">
        <v>144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48">
        <v>0</v>
      </c>
      <c r="G67" s="49" t="s">
        <v>80</v>
      </c>
      <c r="H67" s="17">
        <f ca="1">--TRIM(RIGHT(SUBSTITUTE(LEFT(C66,_xlfn.AGGREGATE(16,6,FIND({0,1,2,3,4,5,6,7,8,9},C66,ROW(INDIRECT("1:"&amp;LEN(C66)))),1))," ",REPT(" ",LEN(C66))),LEN(C66)))</f>
        <v>30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25">
      <c r="A68" s="167" t="s">
        <v>90</v>
      </c>
      <c r="B68" s="168"/>
      <c r="C68" s="169" t="str">
        <f ca="1">I66</f>
        <v>Excavation, Plinth Completed, RCC upto 15 Slab, Brickwork upto 14 Floor, Internal Plaster upto 10.5 Floor, External Plaster upto 9.1 Floor Completed</v>
      </c>
      <c r="D68" s="169"/>
      <c r="E68" s="169"/>
      <c r="F68" s="169"/>
      <c r="G68" s="169"/>
      <c r="H68" s="170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0" ht="15.75" customHeight="1" x14ac:dyDescent="0.25">
      <c r="A69" s="127" t="s">
        <v>49</v>
      </c>
      <c r="B69" s="128"/>
      <c r="C69" s="44" t="s">
        <v>141</v>
      </c>
      <c r="D69" s="44" t="s">
        <v>83</v>
      </c>
      <c r="E69" s="128" t="s">
        <v>85</v>
      </c>
      <c r="F69" s="128"/>
      <c r="G69" s="128" t="s">
        <v>84</v>
      </c>
      <c r="H69" s="151"/>
      <c r="I69" s="14" t="s">
        <v>143</v>
      </c>
      <c r="J69" s="28">
        <f ca="1">H67*25%</f>
        <v>7.5</v>
      </c>
    </row>
    <row r="70" spans="1:10" x14ac:dyDescent="0.25">
      <c r="A70" s="127" t="s">
        <v>130</v>
      </c>
      <c r="B70" s="128"/>
      <c r="C70" s="44">
        <v>30</v>
      </c>
      <c r="D70" s="19">
        <f ca="1">((100/H67)*C70)/100</f>
        <v>1</v>
      </c>
      <c r="E70" s="118">
        <f ca="1">(((C71/H67*10)+(40/(D67+F67+H67)*C72)+(7.5/(H67)*C73)+(7.5/(H67)*C74)+(10/H67*C75)+(10/H67*C76)+(5/H67*C77)+(5/H67*C78)+(5/H67*C79))/100)</f>
        <v>0.38513172043010757</v>
      </c>
      <c r="F70" s="119"/>
      <c r="G70" s="118">
        <f ca="1">((((C70/H67)*20)+((C71/H67)*25)+(30/(H67+F67+D67)*C72)+(5/H67*C73)+(5/H67*C74)+(5/H67*C75)+(5/H67*C76)+(0/H67*C77)+(0/H67*C78)+(5/H67*C79))/100)</f>
        <v>0.65116129032258074</v>
      </c>
      <c r="H70" s="124"/>
      <c r="I70" s="14" t="s">
        <v>101</v>
      </c>
      <c r="J70" s="29">
        <f ca="1">H67*50%</f>
        <v>15</v>
      </c>
    </row>
    <row r="71" spans="1:10" x14ac:dyDescent="0.25">
      <c r="A71" s="127" t="s">
        <v>50</v>
      </c>
      <c r="B71" s="128"/>
      <c r="C71" s="44">
        <v>30</v>
      </c>
      <c r="D71" s="19">
        <f ca="1">((100/H67)*C71)/100</f>
        <v>1</v>
      </c>
      <c r="E71" s="120"/>
      <c r="F71" s="121"/>
      <c r="G71" s="120"/>
      <c r="H71" s="125"/>
      <c r="I71" s="14" t="s">
        <v>102</v>
      </c>
      <c r="J71" s="29">
        <f ca="1">H67</f>
        <v>30</v>
      </c>
    </row>
    <row r="72" spans="1:10" ht="15.75" customHeight="1" x14ac:dyDescent="0.25">
      <c r="A72" s="127" t="s">
        <v>131</v>
      </c>
      <c r="B72" s="128"/>
      <c r="C72" s="44">
        <v>15</v>
      </c>
      <c r="D72" s="19">
        <f ca="1">((100/(D67+F67+H67))*C72)/100</f>
        <v>0.48387096774193544</v>
      </c>
      <c r="E72" s="120"/>
      <c r="F72" s="121"/>
      <c r="G72" s="120"/>
      <c r="H72" s="125"/>
      <c r="I72" s="14" t="s">
        <v>103</v>
      </c>
      <c r="J72" s="30">
        <f ca="1">(IF(B67&gt;1,(H67/(B67+2)),H67/4))</f>
        <v>7.5</v>
      </c>
    </row>
    <row r="73" spans="1:10" ht="15.75" customHeight="1" x14ac:dyDescent="0.25">
      <c r="A73" s="127" t="s">
        <v>138</v>
      </c>
      <c r="B73" s="128" t="s">
        <v>132</v>
      </c>
      <c r="C73" s="44">
        <f>C72-D67</f>
        <v>14</v>
      </c>
      <c r="D73" s="19">
        <f ca="1">((100/H67)*C73)/100</f>
        <v>0.46666666666666673</v>
      </c>
      <c r="E73" s="120"/>
      <c r="F73" s="121"/>
      <c r="G73" s="120"/>
      <c r="H73" s="125"/>
      <c r="I73" s="14" t="s">
        <v>104</v>
      </c>
      <c r="J73" s="30">
        <f ca="1">(IF(B67&gt;1,(H67/(B67+2)+J72),H67/4+J72))</f>
        <v>15</v>
      </c>
    </row>
    <row r="74" spans="1:10" ht="15.75" customHeight="1" x14ac:dyDescent="0.25">
      <c r="A74" s="127" t="s">
        <v>139</v>
      </c>
      <c r="B74" s="128" t="s">
        <v>132</v>
      </c>
      <c r="C74" s="60">
        <f>C73*0.75</f>
        <v>10.5</v>
      </c>
      <c r="D74" s="19">
        <f ca="1">((100/H67)*C74)/100</f>
        <v>0.35</v>
      </c>
      <c r="E74" s="120"/>
      <c r="F74" s="121"/>
      <c r="G74" s="120"/>
      <c r="H74" s="125"/>
      <c r="I74" s="14" t="s">
        <v>148</v>
      </c>
      <c r="J74" s="30">
        <f>(IF(B67&gt;1,(H67/(B67+2)+J73),0))</f>
        <v>0</v>
      </c>
    </row>
    <row r="75" spans="1:10" ht="15" customHeight="1" x14ac:dyDescent="0.25">
      <c r="A75" s="127" t="s">
        <v>137</v>
      </c>
      <c r="B75" s="128" t="s">
        <v>134</v>
      </c>
      <c r="C75" s="60">
        <f>C73*0.65</f>
        <v>9.1</v>
      </c>
      <c r="D75" s="19">
        <f ca="1">((100/(H67))*C75)/100</f>
        <v>0.30333333333333334</v>
      </c>
      <c r="E75" s="120"/>
      <c r="F75" s="121"/>
      <c r="G75" s="120"/>
      <c r="H75" s="125"/>
      <c r="I75" s="14" t="s">
        <v>145</v>
      </c>
      <c r="J75" s="30">
        <f>(IF(B67&gt;2,(H67/(B67+2)+J74),0))</f>
        <v>0</v>
      </c>
    </row>
    <row r="76" spans="1:10" ht="15.75" customHeight="1" x14ac:dyDescent="0.25">
      <c r="A76" s="127" t="s">
        <v>133</v>
      </c>
      <c r="B76" s="128" t="s">
        <v>133</v>
      </c>
      <c r="C76" s="44">
        <v>0</v>
      </c>
      <c r="D76" s="19">
        <f ca="1">((100/H67)*C76)/100</f>
        <v>0</v>
      </c>
      <c r="E76" s="120"/>
      <c r="F76" s="121"/>
      <c r="G76" s="120"/>
      <c r="H76" s="125"/>
      <c r="I76" s="14" t="s">
        <v>146</v>
      </c>
      <c r="J76" s="31">
        <f>(IF(B67&gt;3,(H67/(B67+2)+J75),0))</f>
        <v>0</v>
      </c>
    </row>
    <row r="77" spans="1:10" ht="15.75" customHeight="1" x14ac:dyDescent="0.25">
      <c r="A77" s="127" t="s">
        <v>140</v>
      </c>
      <c r="B77" s="128"/>
      <c r="C77" s="44">
        <v>0</v>
      </c>
      <c r="D77" s="19">
        <f ca="1">((100/H67)*C77)/100</f>
        <v>0</v>
      </c>
      <c r="E77" s="120"/>
      <c r="F77" s="121"/>
      <c r="G77" s="120"/>
      <c r="H77" s="125"/>
      <c r="I77" s="14" t="s">
        <v>147</v>
      </c>
      <c r="J77" s="30">
        <f>(IF(B67&gt;4,(H67/(B67+2)+J76),0))</f>
        <v>0</v>
      </c>
    </row>
    <row r="78" spans="1:10" ht="15.75" customHeight="1" x14ac:dyDescent="0.25">
      <c r="A78" s="127" t="s">
        <v>135</v>
      </c>
      <c r="B78" s="128" t="s">
        <v>135</v>
      </c>
      <c r="C78" s="44">
        <v>0</v>
      </c>
      <c r="D78" s="19">
        <f ca="1">((100/(H67))*C78)/100</f>
        <v>0</v>
      </c>
      <c r="E78" s="120"/>
      <c r="F78" s="121"/>
      <c r="G78" s="120"/>
      <c r="H78" s="125"/>
      <c r="I78" s="14" t="s">
        <v>149</v>
      </c>
      <c r="J78" s="30">
        <f ca="1">(IF(B67=1,(H67/(B67+3)+J73),IF(B67=0,(H67/4+J73),IF(B67&gt;1,0))))</f>
        <v>22.5</v>
      </c>
    </row>
    <row r="79" spans="1:10" ht="16.5" thickBot="1" x14ac:dyDescent="0.3">
      <c r="A79" s="129" t="s">
        <v>136</v>
      </c>
      <c r="B79" s="130"/>
      <c r="C79" s="45">
        <v>0</v>
      </c>
      <c r="D79" s="20">
        <f ca="1">((100/(H67))*C79)/100</f>
        <v>0</v>
      </c>
      <c r="E79" s="122"/>
      <c r="F79" s="123"/>
      <c r="G79" s="122"/>
      <c r="H79" s="126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30</v>
      </c>
    </row>
    <row r="80" spans="1:10" ht="15.75" customHeight="1" x14ac:dyDescent="0.25">
      <c r="A80" s="162" t="s">
        <v>142</v>
      </c>
      <c r="B80" s="163"/>
      <c r="C80" s="164" t="s">
        <v>285</v>
      </c>
      <c r="D80" s="165"/>
      <c r="E80" s="165"/>
      <c r="F80" s="165"/>
      <c r="G80" s="165"/>
      <c r="H80" s="166"/>
      <c r="I80" s="50" t="str">
        <f ca="1">IF(D93=100%,"All work Completed. Possession granted to the Building.",IF(D92=100%,"All work Completed, Waiting for OC",I81&amp;""&amp;I82&amp;""&amp;J81&amp;""&amp;J80&amp;" "&amp;J82))</f>
        <v>Excavation, Plinth Completed, RCC upto 16 Slab, Brickwork upto 15 Floor, Internal Plaster upto 11.25 Floor, External Plaster upto 9.75 Floor Completed</v>
      </c>
      <c r="J80" s="51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16 Slab, Brickwork upto 15 Floor, Internal Plaster upto 11.25 Floor, External Plaster upto 9.75 Floor</v>
      </c>
    </row>
    <row r="81" spans="1:12" x14ac:dyDescent="0.25">
      <c r="A81" s="16" t="s">
        <v>144</v>
      </c>
      <c r="B81" s="48">
        <f>IF(AND(ISNUMBER(SEARCH("1B",C80))),1,IF(AND(ISNUMBER(SEARCH("2B",C80))),2,IF(AND(ISNUMBER(SEARCH("3B",C80))),3,IF(AND(ISNUMBER(SEARCH("4B",C80))),4,IF(ISNUMBER(SEARCH("5B",C80)),5,0)))))</f>
        <v>0</v>
      </c>
      <c r="C81" s="48" t="s">
        <v>72</v>
      </c>
      <c r="D81" s="48">
        <v>1</v>
      </c>
      <c r="E81" s="48" t="s">
        <v>71</v>
      </c>
      <c r="F81" s="48">
        <v>0</v>
      </c>
      <c r="G81" s="49" t="s">
        <v>80</v>
      </c>
      <c r="H81" s="17">
        <f ca="1">--TRIM(RIGHT(SUBSTITUTE(LEFT(C80,_xlfn.AGGREGATE(16,6,FIND({0,1,2,3,4,5,6,7,8,9},C80,ROW(INDIRECT("1:"&amp;LEN(C80)))),1))," ",REPT(" ",LEN(C80))),LEN(C80)))</f>
        <v>30</v>
      </c>
      <c r="I81" s="52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t="33" customHeight="1" x14ac:dyDescent="0.25">
      <c r="A82" s="167" t="s">
        <v>90</v>
      </c>
      <c r="B82" s="168"/>
      <c r="C82" s="169" t="str">
        <f ca="1">I80</f>
        <v>Excavation, Plinth Completed, RCC upto 16 Slab, Brickwork upto 15 Floor, Internal Plaster upto 11.25 Floor, External Plaster upto 9.75 Floor Completed</v>
      </c>
      <c r="D82" s="169"/>
      <c r="E82" s="169"/>
      <c r="F82" s="169"/>
      <c r="G82" s="169"/>
      <c r="H82" s="170"/>
      <c r="I82" s="52" t="str">
        <f ca="1">IF(I81&lt;&gt;""," Completed","")</f>
        <v xml:space="preserve"> Completed</v>
      </c>
      <c r="J82" s="53" t="str">
        <f ca="1">IF(J80&lt;&gt;"","Completed","")</f>
        <v>Completed</v>
      </c>
    </row>
    <row r="83" spans="1:12" ht="15.75" customHeight="1" x14ac:dyDescent="0.25">
      <c r="A83" s="127" t="s">
        <v>49</v>
      </c>
      <c r="B83" s="128"/>
      <c r="C83" s="61" t="s">
        <v>141</v>
      </c>
      <c r="D83" s="61" t="s">
        <v>83</v>
      </c>
      <c r="E83" s="128" t="s">
        <v>85</v>
      </c>
      <c r="F83" s="128"/>
      <c r="G83" s="128" t="s">
        <v>84</v>
      </c>
      <c r="H83" s="151"/>
      <c r="I83" s="14" t="s">
        <v>143</v>
      </c>
      <c r="J83" s="28">
        <f ca="1">H81*25%</f>
        <v>7.5</v>
      </c>
    </row>
    <row r="84" spans="1:12" x14ac:dyDescent="0.25">
      <c r="A84" s="127" t="s">
        <v>130</v>
      </c>
      <c r="B84" s="128"/>
      <c r="C84" s="61">
        <v>30</v>
      </c>
      <c r="D84" s="19">
        <f ca="1">((100/H81)*C84)/100</f>
        <v>1</v>
      </c>
      <c r="E84" s="118">
        <f ca="1">(((C85/H81*10)+(40/(D81+F81+H81)*C86)+(7.5/(H81)*C87)+(7.5/(H81)*C88)+(10/H81*C89)+(10/H81*C90)+(5/H81*C91)+(5/H81*C92)+(5/H81*C93))/100)</f>
        <v>0.40457661290322577</v>
      </c>
      <c r="F84" s="119"/>
      <c r="G84" s="118">
        <f ca="1">((((C84/H81)*20)+((C85/H81)*25)+(30/(H81+F81+D81)*C86)+(5/H81*C87)+(5/H81*C88)+(5/H81*C89)+(5/H81*C90)+(0/H81*C91)+(0/H81*C92)+(5/H81*C93))/100)</f>
        <v>0.66483870967741932</v>
      </c>
      <c r="H84" s="124"/>
      <c r="I84" s="14" t="s">
        <v>101</v>
      </c>
      <c r="J84" s="29">
        <f ca="1">H81*50%</f>
        <v>15</v>
      </c>
    </row>
    <row r="85" spans="1:12" x14ac:dyDescent="0.25">
      <c r="A85" s="127" t="s">
        <v>50</v>
      </c>
      <c r="B85" s="128"/>
      <c r="C85" s="61">
        <v>30</v>
      </c>
      <c r="D85" s="19">
        <f ca="1">((100/H81)*C85)/100</f>
        <v>1</v>
      </c>
      <c r="E85" s="120"/>
      <c r="F85" s="121"/>
      <c r="G85" s="120"/>
      <c r="H85" s="125"/>
      <c r="I85" s="14" t="s">
        <v>102</v>
      </c>
      <c r="J85" s="29">
        <f ca="1">H81</f>
        <v>30</v>
      </c>
    </row>
    <row r="86" spans="1:12" ht="15.75" customHeight="1" x14ac:dyDescent="0.25">
      <c r="A86" s="127" t="s">
        <v>131</v>
      </c>
      <c r="B86" s="128"/>
      <c r="C86" s="61">
        <v>16</v>
      </c>
      <c r="D86" s="19">
        <f ca="1">((100/(D81+F81+H81))*C86)/100</f>
        <v>0.5161290322580645</v>
      </c>
      <c r="E86" s="120"/>
      <c r="F86" s="121"/>
      <c r="G86" s="120"/>
      <c r="H86" s="125"/>
      <c r="I86" s="14" t="s">
        <v>103</v>
      </c>
      <c r="J86" s="30">
        <f ca="1">(IF(B81&gt;1,(H81/(B81+2)),H81/4))</f>
        <v>7.5</v>
      </c>
    </row>
    <row r="87" spans="1:12" ht="15.75" customHeight="1" x14ac:dyDescent="0.25">
      <c r="A87" s="127" t="s">
        <v>138</v>
      </c>
      <c r="B87" s="128" t="s">
        <v>132</v>
      </c>
      <c r="C87" s="61">
        <f>C86-D81</f>
        <v>15</v>
      </c>
      <c r="D87" s="19">
        <f ca="1">((100/H81)*C87)/100</f>
        <v>0.5</v>
      </c>
      <c r="E87" s="120"/>
      <c r="F87" s="121"/>
      <c r="G87" s="120"/>
      <c r="H87" s="125"/>
      <c r="I87" s="14" t="s">
        <v>104</v>
      </c>
      <c r="J87" s="30">
        <f ca="1">(IF(B81&gt;1,(H81/(B81+2)+J86),H81/4+J86))</f>
        <v>15</v>
      </c>
    </row>
    <row r="88" spans="1:12" ht="15.75" customHeight="1" x14ac:dyDescent="0.25">
      <c r="A88" s="127" t="s">
        <v>139</v>
      </c>
      <c r="B88" s="128" t="s">
        <v>132</v>
      </c>
      <c r="C88" s="60">
        <f>C87*0.75</f>
        <v>11.25</v>
      </c>
      <c r="D88" s="19">
        <f ca="1">((100/H81)*C88)/100</f>
        <v>0.375</v>
      </c>
      <c r="E88" s="120"/>
      <c r="F88" s="121"/>
      <c r="G88" s="120"/>
      <c r="H88" s="125"/>
      <c r="I88" s="14" t="s">
        <v>148</v>
      </c>
      <c r="J88" s="30">
        <f>(IF(B81&gt;1,(H81/(B81+2)+J87),0))</f>
        <v>0</v>
      </c>
    </row>
    <row r="89" spans="1:12" ht="15" customHeight="1" x14ac:dyDescent="0.25">
      <c r="A89" s="127" t="s">
        <v>137</v>
      </c>
      <c r="B89" s="128" t="s">
        <v>134</v>
      </c>
      <c r="C89" s="60">
        <f>C87*0.65</f>
        <v>9.75</v>
      </c>
      <c r="D89" s="19">
        <f ca="1">((100/(H81))*C89)/100</f>
        <v>0.32500000000000001</v>
      </c>
      <c r="E89" s="120"/>
      <c r="F89" s="121"/>
      <c r="G89" s="120"/>
      <c r="H89" s="125"/>
      <c r="I89" s="14" t="s">
        <v>145</v>
      </c>
      <c r="J89" s="30">
        <f>(IF(B81&gt;2,(H81/(B81+2)+J88),0))</f>
        <v>0</v>
      </c>
    </row>
    <row r="90" spans="1:12" ht="15.75" customHeight="1" x14ac:dyDescent="0.25">
      <c r="A90" s="127" t="s">
        <v>133</v>
      </c>
      <c r="B90" s="128" t="s">
        <v>133</v>
      </c>
      <c r="C90" s="61">
        <v>0</v>
      </c>
      <c r="D90" s="19">
        <f ca="1">((100/H81)*C90)/100</f>
        <v>0</v>
      </c>
      <c r="E90" s="120"/>
      <c r="F90" s="121"/>
      <c r="G90" s="120"/>
      <c r="H90" s="125"/>
      <c r="I90" s="14" t="s">
        <v>146</v>
      </c>
      <c r="J90" s="31">
        <f>(IF(B81&gt;3,(H81/(B81+2)+J89),0))</f>
        <v>0</v>
      </c>
    </row>
    <row r="91" spans="1:12" ht="15.75" customHeight="1" x14ac:dyDescent="0.25">
      <c r="A91" s="127" t="s">
        <v>140</v>
      </c>
      <c r="B91" s="128"/>
      <c r="C91" s="61">
        <v>0</v>
      </c>
      <c r="D91" s="19">
        <f ca="1">((100/H81)*C91)/100</f>
        <v>0</v>
      </c>
      <c r="E91" s="120"/>
      <c r="F91" s="121"/>
      <c r="G91" s="120"/>
      <c r="H91" s="125"/>
      <c r="I91" s="14" t="s">
        <v>147</v>
      </c>
      <c r="J91" s="30">
        <f>(IF(B81&gt;4,(H81/(B81+2)+J90),0))</f>
        <v>0</v>
      </c>
    </row>
    <row r="92" spans="1:12" ht="15.75" customHeight="1" x14ac:dyDescent="0.25">
      <c r="A92" s="127" t="s">
        <v>135</v>
      </c>
      <c r="B92" s="128" t="s">
        <v>135</v>
      </c>
      <c r="C92" s="61">
        <v>0</v>
      </c>
      <c r="D92" s="19">
        <f ca="1">((100/(H81))*C92)/100</f>
        <v>0</v>
      </c>
      <c r="E92" s="120"/>
      <c r="F92" s="121"/>
      <c r="G92" s="120"/>
      <c r="H92" s="125"/>
      <c r="I92" s="14" t="s">
        <v>149</v>
      </c>
      <c r="J92" s="30">
        <f ca="1">(IF(B81=1,(H81/(B81+3)+J87),IF(B81=0,(H81/4+J87),IF(B81&gt;1,0))))</f>
        <v>22.5</v>
      </c>
    </row>
    <row r="93" spans="1:12" ht="16.5" thickBot="1" x14ac:dyDescent="0.3">
      <c r="A93" s="129" t="s">
        <v>136</v>
      </c>
      <c r="B93" s="130"/>
      <c r="C93" s="62">
        <v>0</v>
      </c>
      <c r="D93" s="20">
        <f ca="1">((100/(H81))*C93)/100</f>
        <v>0</v>
      </c>
      <c r="E93" s="122"/>
      <c r="F93" s="123"/>
      <c r="G93" s="122"/>
      <c r="H93" s="126"/>
      <c r="I93" s="15" t="s">
        <v>105</v>
      </c>
      <c r="J93" s="32">
        <f ca="1">(IF(B81&gt;1.5,(H81/(B81+2)+J87+MAX(0,J88-J87)+MAX(0,J89-J88)+MAX(0,J90-J89)+MAX(0,J91-J90)+MAX(0,J92-J91)),IF(B81=1,(H81/(B81+3)+J92),IF(B81=0,H81/4+J92))))</f>
        <v>30</v>
      </c>
    </row>
    <row r="94" spans="1:12" x14ac:dyDescent="0.25">
      <c r="A94" s="229" t="s">
        <v>158</v>
      </c>
      <c r="B94" s="229"/>
      <c r="C94" s="229"/>
      <c r="D94" s="229"/>
      <c r="E94" s="229"/>
      <c r="F94" s="152" t="s">
        <v>162</v>
      </c>
      <c r="G94" s="152"/>
      <c r="H94" s="152"/>
    </row>
    <row r="95" spans="1:12" x14ac:dyDescent="0.25">
      <c r="A95" s="116" t="s">
        <v>160</v>
      </c>
      <c r="B95" s="116"/>
      <c r="C95" s="116"/>
      <c r="D95" s="116"/>
      <c r="E95" s="116"/>
      <c r="F95" s="117">
        <v>6700</v>
      </c>
      <c r="G95" s="117"/>
      <c r="H95" s="117"/>
      <c r="I95" s="21" t="s">
        <v>297</v>
      </c>
      <c r="J95" s="21" t="s">
        <v>298</v>
      </c>
      <c r="K95" s="21" t="s">
        <v>299</v>
      </c>
      <c r="L95" s="21" t="s">
        <v>301</v>
      </c>
    </row>
    <row r="96" spans="1:12" hidden="1" x14ac:dyDescent="0.25">
      <c r="A96" s="116" t="s">
        <v>159</v>
      </c>
      <c r="B96" s="116"/>
      <c r="C96" s="116"/>
      <c r="D96" s="116"/>
      <c r="E96" s="116"/>
      <c r="F96" s="117"/>
      <c r="G96" s="117"/>
      <c r="H96" s="117"/>
    </row>
    <row r="97" spans="1:8" hidden="1" x14ac:dyDescent="0.25">
      <c r="A97" s="116" t="s">
        <v>161</v>
      </c>
      <c r="B97" s="116"/>
      <c r="C97" s="116"/>
      <c r="D97" s="116"/>
      <c r="E97" s="116"/>
      <c r="F97" s="117"/>
      <c r="G97" s="117"/>
      <c r="H97" s="117"/>
    </row>
    <row r="98" spans="1:8" s="33" customFormat="1" hidden="1" x14ac:dyDescent="0.25">
      <c r="A98" s="116" t="s">
        <v>176</v>
      </c>
      <c r="B98" s="116"/>
      <c r="C98" s="116"/>
      <c r="D98" s="116"/>
      <c r="E98" s="116"/>
      <c r="F98" s="117"/>
      <c r="G98" s="117"/>
      <c r="H98" s="117"/>
    </row>
    <row r="99" spans="1:8" s="33" customFormat="1" hidden="1" x14ac:dyDescent="0.25">
      <c r="A99" s="116" t="s">
        <v>95</v>
      </c>
      <c r="B99" s="116"/>
      <c r="C99" s="116"/>
      <c r="D99" s="116"/>
      <c r="E99" s="116"/>
      <c r="F99" s="117"/>
      <c r="G99" s="117"/>
      <c r="H99" s="117"/>
    </row>
    <row r="100" spans="1:8" s="33" customFormat="1" hidden="1" x14ac:dyDescent="0.25">
      <c r="A100" s="116" t="s">
        <v>96</v>
      </c>
      <c r="B100" s="116"/>
      <c r="C100" s="116"/>
      <c r="D100" s="116"/>
      <c r="E100" s="116"/>
      <c r="F100" s="117"/>
      <c r="G100" s="117"/>
      <c r="H100" s="117"/>
    </row>
    <row r="101" spans="1:8" s="33" customFormat="1" hidden="1" x14ac:dyDescent="0.25">
      <c r="A101" s="116" t="s">
        <v>163</v>
      </c>
      <c r="B101" s="116"/>
      <c r="C101" s="116"/>
      <c r="D101" s="116"/>
      <c r="E101" s="116"/>
      <c r="F101" s="117"/>
      <c r="G101" s="117"/>
      <c r="H101" s="117"/>
    </row>
    <row r="102" spans="1:8" s="33" customFormat="1" hidden="1" x14ac:dyDescent="0.25">
      <c r="A102" s="116" t="s">
        <v>97</v>
      </c>
      <c r="B102" s="116"/>
      <c r="C102" s="116"/>
      <c r="D102" s="116"/>
      <c r="E102" s="116"/>
      <c r="F102" s="117"/>
      <c r="G102" s="117"/>
      <c r="H102" s="117"/>
    </row>
    <row r="103" spans="1:8" s="33" customFormat="1" hidden="1" x14ac:dyDescent="0.25">
      <c r="A103" s="116" t="s">
        <v>98</v>
      </c>
      <c r="B103" s="116"/>
      <c r="C103" s="116"/>
      <c r="D103" s="116"/>
      <c r="E103" s="116"/>
      <c r="F103" s="117"/>
      <c r="G103" s="117"/>
      <c r="H103" s="117"/>
    </row>
    <row r="104" spans="1:8" s="33" customFormat="1" hidden="1" x14ac:dyDescent="0.25">
      <c r="A104" s="116" t="s">
        <v>99</v>
      </c>
      <c r="B104" s="116"/>
      <c r="C104" s="116"/>
      <c r="D104" s="116"/>
      <c r="E104" s="116"/>
      <c r="F104" s="117"/>
      <c r="G104" s="117"/>
      <c r="H104" s="117"/>
    </row>
    <row r="105" spans="1:8" s="33" customFormat="1" hidden="1" x14ac:dyDescent="0.25">
      <c r="A105" s="116" t="s">
        <v>100</v>
      </c>
      <c r="B105" s="116"/>
      <c r="C105" s="116"/>
      <c r="D105" s="116"/>
      <c r="E105" s="116"/>
      <c r="F105" s="117"/>
      <c r="G105" s="117"/>
      <c r="H105" s="117"/>
    </row>
    <row r="106" spans="1:8" x14ac:dyDescent="0.25">
      <c r="A106" s="116" t="s">
        <v>51</v>
      </c>
      <c r="B106" s="116"/>
      <c r="C106" s="116"/>
      <c r="D106" s="116"/>
      <c r="E106" s="116"/>
      <c r="F106" s="117">
        <v>250000</v>
      </c>
      <c r="G106" s="117"/>
      <c r="H106" s="117"/>
    </row>
    <row r="107" spans="1:8" s="34" customFormat="1" x14ac:dyDescent="0.25">
      <c r="A107" s="181" t="s">
        <v>52</v>
      </c>
      <c r="B107" s="181"/>
      <c r="C107" s="181"/>
      <c r="D107" s="181"/>
      <c r="E107" s="181"/>
      <c r="F107" s="117">
        <f>F95*0.8</f>
        <v>5360</v>
      </c>
      <c r="G107" s="117"/>
      <c r="H107" s="117"/>
    </row>
    <row r="108" spans="1:8" s="35" customFormat="1" ht="15.75" hidden="1" customHeight="1" x14ac:dyDescent="0.25">
      <c r="A108" s="131" t="s">
        <v>75</v>
      </c>
      <c r="B108" s="131"/>
      <c r="C108" s="131"/>
      <c r="D108" s="131"/>
      <c r="E108" s="131"/>
      <c r="F108" s="131"/>
      <c r="G108" s="131"/>
      <c r="H108" s="131"/>
    </row>
    <row r="109" spans="1:8" s="35" customFormat="1" ht="15.75" hidden="1" customHeight="1" x14ac:dyDescent="0.25">
      <c r="A109" s="141" t="s">
        <v>53</v>
      </c>
      <c r="B109" s="141"/>
      <c r="C109" s="148" t="s">
        <v>78</v>
      </c>
      <c r="D109" s="148"/>
      <c r="E109" s="146" t="s">
        <v>54</v>
      </c>
      <c r="F109" s="146"/>
      <c r="G109" s="141" t="s">
        <v>55</v>
      </c>
      <c r="H109" s="141"/>
    </row>
    <row r="110" spans="1:8" s="35" customFormat="1" hidden="1" x14ac:dyDescent="0.25">
      <c r="A110" s="147"/>
      <c r="B110" s="147"/>
      <c r="C110" s="213"/>
      <c r="D110" s="213"/>
      <c r="E110" s="214"/>
      <c r="F110" s="214"/>
      <c r="G110" s="178"/>
      <c r="H110" s="178"/>
    </row>
    <row r="111" spans="1:8" s="35" customFormat="1" hidden="1" x14ac:dyDescent="0.25">
      <c r="A111" s="147"/>
      <c r="B111" s="147"/>
      <c r="C111" s="213"/>
      <c r="D111" s="213"/>
      <c r="E111" s="214"/>
      <c r="F111" s="214"/>
      <c r="G111" s="178"/>
      <c r="H111" s="178"/>
    </row>
    <row r="112" spans="1:8" s="35" customFormat="1" hidden="1" x14ac:dyDescent="0.25">
      <c r="A112" s="131" t="s">
        <v>152</v>
      </c>
      <c r="B112" s="131"/>
      <c r="C112" s="148"/>
      <c r="D112" s="148"/>
      <c r="E112" s="146"/>
      <c r="F112" s="146"/>
      <c r="G112" s="141"/>
      <c r="H112" s="141"/>
    </row>
    <row r="113" spans="1:14" s="35" customFormat="1" x14ac:dyDescent="0.25">
      <c r="A113" s="131" t="s">
        <v>70</v>
      </c>
      <c r="B113" s="131"/>
      <c r="C113" s="131"/>
      <c r="D113" s="131"/>
      <c r="E113" s="131"/>
      <c r="F113" s="131"/>
      <c r="G113" s="131"/>
      <c r="H113" s="131"/>
    </row>
    <row r="114" spans="1:14" s="35" customFormat="1" ht="15.75" customHeight="1" x14ac:dyDescent="0.25">
      <c r="A114" s="141" t="s">
        <v>53</v>
      </c>
      <c r="B114" s="141"/>
      <c r="C114" s="148" t="s">
        <v>78</v>
      </c>
      <c r="D114" s="148"/>
      <c r="E114" s="146" t="s">
        <v>54</v>
      </c>
      <c r="F114" s="146"/>
      <c r="G114" s="141" t="s">
        <v>55</v>
      </c>
      <c r="H114" s="141"/>
    </row>
    <row r="115" spans="1:14" s="35" customFormat="1" x14ac:dyDescent="0.25">
      <c r="A115" s="147" t="s">
        <v>286</v>
      </c>
      <c r="B115" s="147"/>
      <c r="C115" s="84">
        <f>COUNT(D136:D140)+COUNT(D144:D149)+COUNT(D151:D158)*23+COUNT(D160:D161,D163:D167)*4</f>
        <v>223</v>
      </c>
      <c r="D115" s="84"/>
      <c r="E115" s="85">
        <f>SUM(D136:D140)+SUM(D144:D149)+SUM(D151:D158)*23+SUM(D160:D161,D163:D167)*4</f>
        <v>116445.84003000001</v>
      </c>
      <c r="F115" s="85"/>
      <c r="G115" s="85">
        <f>SUM(F136:F140)+SUM(F144:F149)+SUM(F151:F158)*23+SUM(F160:F161,F163:F167)*4</f>
        <v>174668.76004499994</v>
      </c>
      <c r="H115" s="85"/>
    </row>
    <row r="116" spans="1:14" s="35" customFormat="1" x14ac:dyDescent="0.25">
      <c r="A116" s="147" t="s">
        <v>270</v>
      </c>
      <c r="B116" s="147"/>
      <c r="C116" s="84">
        <f>COUNT(D172:D176)+COUNT(D178:D182)+COUNT(D184:D188)*23+COUNT(D190:D192,D194)*4</f>
        <v>141</v>
      </c>
      <c r="D116" s="84"/>
      <c r="E116" s="212">
        <f>SUM(D172:D176)+SUM(D178:D182)+SUM(D184:D188)*23+SUM(D190:D192,D194)*4</f>
        <v>77106.514679999993</v>
      </c>
      <c r="F116" s="212"/>
      <c r="G116" s="212">
        <f>SUM(F172:F176)+SUM(F178:F182)+SUM(F184:F188)*23+SUM(F190:F192,F194)*4</f>
        <v>115659.77201999999</v>
      </c>
      <c r="H116" s="212"/>
    </row>
    <row r="117" spans="1:14" s="35" customFormat="1" x14ac:dyDescent="0.25">
      <c r="A117" s="131" t="s">
        <v>152</v>
      </c>
      <c r="B117" s="131"/>
      <c r="C117" s="148">
        <f>SUM(C115:D116)</f>
        <v>364</v>
      </c>
      <c r="D117" s="148"/>
      <c r="E117" s="161">
        <f t="shared" ref="E117" si="0">SUM(E115:F116)</f>
        <v>193552.35470999999</v>
      </c>
      <c r="F117" s="161"/>
      <c r="G117" s="161">
        <f t="shared" ref="G117" si="1">SUM(G115:H116)</f>
        <v>290328.53206499992</v>
      </c>
      <c r="H117" s="161"/>
    </row>
    <row r="118" spans="1:14" s="35" customFormat="1" ht="16.5" hidden="1" thickBot="1" x14ac:dyDescent="0.3">
      <c r="A118" s="222" t="s">
        <v>168</v>
      </c>
      <c r="B118" s="223"/>
      <c r="C118" s="224">
        <f>C112+C117</f>
        <v>364</v>
      </c>
      <c r="D118" s="224"/>
      <c r="E118" s="87">
        <f>E112+E117</f>
        <v>193552.35470999999</v>
      </c>
      <c r="F118" s="87"/>
      <c r="G118" s="88">
        <f>G112+G117</f>
        <v>290328.53206499992</v>
      </c>
      <c r="H118" s="89"/>
    </row>
    <row r="119" spans="1:14" s="34" customFormat="1" x14ac:dyDescent="0.25">
      <c r="A119" s="152" t="s">
        <v>56</v>
      </c>
      <c r="B119" s="152"/>
      <c r="C119" s="152"/>
      <c r="D119" s="152"/>
      <c r="E119" s="152"/>
      <c r="F119" s="152"/>
      <c r="G119" s="152"/>
      <c r="H119" s="152"/>
    </row>
    <row r="120" spans="1:14" x14ac:dyDescent="0.25">
      <c r="A120" s="140" t="s">
        <v>249</v>
      </c>
      <c r="B120" s="140"/>
      <c r="C120" s="140"/>
      <c r="D120" s="140"/>
      <c r="E120" s="140"/>
      <c r="F120" s="140"/>
      <c r="G120" s="140"/>
      <c r="H120" s="140"/>
    </row>
    <row r="121" spans="1:14" ht="47.25" hidden="1" customHeight="1" x14ac:dyDescent="0.25">
      <c r="A121" s="172" t="s">
        <v>121</v>
      </c>
      <c r="B121" s="172" t="s">
        <v>177</v>
      </c>
      <c r="C121" s="172" t="s">
        <v>57</v>
      </c>
      <c r="D121" s="172" t="s">
        <v>58</v>
      </c>
      <c r="E121" s="174" t="s">
        <v>157</v>
      </c>
      <c r="F121" s="43" t="s">
        <v>151</v>
      </c>
      <c r="G121" s="135" t="s">
        <v>60</v>
      </c>
      <c r="H121" s="176"/>
    </row>
    <row r="122" spans="1:14" s="37" customFormat="1" hidden="1" x14ac:dyDescent="0.25">
      <c r="A122" s="173"/>
      <c r="B122" s="173"/>
      <c r="C122" s="173"/>
      <c r="D122" s="173"/>
      <c r="E122" s="175"/>
      <c r="F122" s="13">
        <v>0.45</v>
      </c>
      <c r="G122" s="136"/>
      <c r="H122" s="177"/>
    </row>
    <row r="123" spans="1:14" s="37" customFormat="1" hidden="1" x14ac:dyDescent="0.25">
      <c r="A123" s="81" t="s">
        <v>120</v>
      </c>
      <c r="B123" s="82"/>
      <c r="C123" s="82"/>
      <c r="D123" s="82"/>
      <c r="E123" s="82"/>
      <c r="F123" s="82"/>
      <c r="G123" s="82"/>
      <c r="H123" s="83"/>
      <c r="J123" s="36"/>
    </row>
    <row r="124" spans="1:14" s="37" customFormat="1" hidden="1" x14ac:dyDescent="0.25">
      <c r="A124" s="70">
        <v>1</v>
      </c>
      <c r="B124" s="71"/>
      <c r="C124" s="42"/>
      <c r="D124" s="42"/>
      <c r="E124" s="42">
        <v>0</v>
      </c>
      <c r="F124" s="42">
        <f>(D124+E124)*(($F$122)+1)</f>
        <v>0</v>
      </c>
      <c r="G124" s="70" t="str">
        <f>A123</f>
        <v>Ground Floor</v>
      </c>
      <c r="H124" s="71"/>
      <c r="I124" s="36"/>
      <c r="L124" s="86"/>
      <c r="M124" s="86"/>
      <c r="N124" s="36"/>
    </row>
    <row r="125" spans="1:14" s="37" customFormat="1" hidden="1" x14ac:dyDescent="0.25">
      <c r="A125" s="70">
        <f t="shared" ref="A125:A127" si="2">A124+1</f>
        <v>2</v>
      </c>
      <c r="B125" s="71"/>
      <c r="C125" s="42"/>
      <c r="D125" s="42"/>
      <c r="E125" s="42">
        <v>0</v>
      </c>
      <c r="F125" s="42">
        <f t="shared" ref="F125:F127" si="3">(D125+E125)*(($F$122)+1)</f>
        <v>0</v>
      </c>
      <c r="G125" s="70" t="str">
        <f t="shared" ref="G125:G127" si="4">G124</f>
        <v>Ground Floor</v>
      </c>
      <c r="H125" s="71"/>
      <c r="I125" s="36"/>
      <c r="L125" s="86"/>
      <c r="M125" s="86"/>
      <c r="N125" s="36"/>
    </row>
    <row r="126" spans="1:14" s="37" customFormat="1" hidden="1" x14ac:dyDescent="0.25">
      <c r="A126" s="70">
        <f t="shared" si="2"/>
        <v>3</v>
      </c>
      <c r="B126" s="71"/>
      <c r="C126" s="42"/>
      <c r="D126" s="42"/>
      <c r="E126" s="42">
        <v>0</v>
      </c>
      <c r="F126" s="42">
        <f t="shared" si="3"/>
        <v>0</v>
      </c>
      <c r="G126" s="70" t="str">
        <f t="shared" si="4"/>
        <v>Ground Floor</v>
      </c>
      <c r="H126" s="71"/>
      <c r="I126" s="36"/>
      <c r="L126" s="86"/>
      <c r="M126" s="86"/>
      <c r="N126" s="36"/>
    </row>
    <row r="127" spans="1:14" s="37" customFormat="1" hidden="1" x14ac:dyDescent="0.25">
      <c r="A127" s="70">
        <f t="shared" si="2"/>
        <v>4</v>
      </c>
      <c r="B127" s="71"/>
      <c r="C127" s="42"/>
      <c r="D127" s="42"/>
      <c r="E127" s="42">
        <v>0</v>
      </c>
      <c r="F127" s="42">
        <f t="shared" si="3"/>
        <v>0</v>
      </c>
      <c r="G127" s="70" t="str">
        <f t="shared" si="4"/>
        <v>Ground Floor</v>
      </c>
      <c r="H127" s="71"/>
      <c r="I127" s="36"/>
      <c r="L127" s="86"/>
      <c r="M127" s="86"/>
      <c r="N127" s="36"/>
    </row>
    <row r="128" spans="1:14" ht="47.25" customHeight="1" x14ac:dyDescent="0.25">
      <c r="A128" s="135" t="s">
        <v>122</v>
      </c>
      <c r="B128" s="172" t="s">
        <v>178</v>
      </c>
      <c r="C128" s="172" t="s">
        <v>57</v>
      </c>
      <c r="D128" s="172" t="s">
        <v>58</v>
      </c>
      <c r="E128" s="174" t="s">
        <v>59</v>
      </c>
      <c r="F128" s="43" t="s">
        <v>151</v>
      </c>
      <c r="G128" s="135" t="s">
        <v>60</v>
      </c>
      <c r="H128" s="176"/>
      <c r="I128" s="36"/>
    </row>
    <row r="129" spans="1:15" s="37" customFormat="1" x14ac:dyDescent="0.25">
      <c r="A129" s="136"/>
      <c r="B129" s="173"/>
      <c r="C129" s="173"/>
      <c r="D129" s="173"/>
      <c r="E129" s="175"/>
      <c r="F129" s="13">
        <v>0.5</v>
      </c>
      <c r="G129" s="136"/>
      <c r="H129" s="177"/>
      <c r="I129" s="36"/>
    </row>
    <row r="130" spans="1:15" s="64" customFormat="1" x14ac:dyDescent="0.25">
      <c r="A130" s="96" t="s">
        <v>286</v>
      </c>
      <c r="B130" s="97"/>
      <c r="C130" s="97"/>
      <c r="D130" s="97"/>
      <c r="E130" s="97"/>
      <c r="F130" s="97"/>
      <c r="G130" s="97"/>
      <c r="H130" s="98"/>
      <c r="I130" s="36"/>
      <c r="K130" s="59" t="s">
        <v>268</v>
      </c>
    </row>
    <row r="131" spans="1:15" s="64" customFormat="1" x14ac:dyDescent="0.25">
      <c r="A131" s="81" t="s">
        <v>287</v>
      </c>
      <c r="B131" s="82"/>
      <c r="C131" s="82"/>
      <c r="D131" s="82"/>
      <c r="E131" s="82"/>
      <c r="F131" s="82"/>
      <c r="G131" s="82"/>
      <c r="H131" s="83"/>
      <c r="I131" s="56">
        <v>10.763999999999999</v>
      </c>
      <c r="J131" s="36"/>
      <c r="K131" s="64" t="s">
        <v>269</v>
      </c>
    </row>
    <row r="132" spans="1:15" s="64" customFormat="1" x14ac:dyDescent="0.25">
      <c r="A132" s="81" t="s">
        <v>263</v>
      </c>
      <c r="B132" s="82"/>
      <c r="C132" s="82"/>
      <c r="D132" s="82"/>
      <c r="E132" s="82"/>
      <c r="F132" s="82"/>
      <c r="G132" s="82"/>
      <c r="H132" s="83"/>
      <c r="I132" s="36"/>
      <c r="L132" s="86"/>
      <c r="M132" s="86"/>
      <c r="N132" s="36"/>
    </row>
    <row r="133" spans="1:15" s="64" customFormat="1" ht="15.75" customHeight="1" x14ac:dyDescent="0.25">
      <c r="A133" s="70">
        <v>1</v>
      </c>
      <c r="B133" s="71"/>
      <c r="C133" s="42" t="s">
        <v>288</v>
      </c>
      <c r="D133" s="99" t="s">
        <v>289</v>
      </c>
      <c r="E133" s="100"/>
      <c r="F133" s="101"/>
      <c r="G133" s="72" t="str">
        <f>A132</f>
        <v>1st Floor For Residential &amp; Podium Amenities</v>
      </c>
      <c r="H133" s="73"/>
      <c r="I133" s="36"/>
      <c r="J133" s="64" t="s">
        <v>253</v>
      </c>
      <c r="K133" s="64">
        <f>I133*10.764</f>
        <v>0</v>
      </c>
      <c r="L133" s="86" t="e">
        <f>7500000/F133</f>
        <v>#DIV/0!</v>
      </c>
      <c r="M133" s="86"/>
      <c r="N133" s="36"/>
    </row>
    <row r="134" spans="1:15" s="64" customFormat="1" ht="15.75" customHeight="1" x14ac:dyDescent="0.25">
      <c r="A134" s="70">
        <f t="shared" ref="A134:A140" si="5">A133+1</f>
        <v>2</v>
      </c>
      <c r="B134" s="71"/>
      <c r="C134" s="42" t="s">
        <v>288</v>
      </c>
      <c r="D134" s="102"/>
      <c r="E134" s="103"/>
      <c r="F134" s="104"/>
      <c r="G134" s="74"/>
      <c r="H134" s="75"/>
      <c r="I134" s="57"/>
      <c r="J134" s="64">
        <f>2.75*1.25+2.9*1.2+2.15*1.45+2.75*1.15+2.9*1.15</f>
        <v>16.532499999999999</v>
      </c>
      <c r="K134" s="57">
        <f>I134+J134</f>
        <v>16.532499999999999</v>
      </c>
      <c r="L134" s="86" t="e">
        <f>7500000/F134</f>
        <v>#DIV/0!</v>
      </c>
      <c r="M134" s="86"/>
      <c r="N134" s="36">
        <f>I134+2.9*1.2+2.15*1.45+1.15*(2.75+2.9)+2.75*1.25</f>
        <v>16.532499999999999</v>
      </c>
      <c r="O134" s="64">
        <f>N134*10.764</f>
        <v>177.95582999999996</v>
      </c>
    </row>
    <row r="135" spans="1:15" s="64" customFormat="1" ht="15.75" customHeight="1" x14ac:dyDescent="0.25">
      <c r="A135" s="70">
        <f t="shared" si="5"/>
        <v>3</v>
      </c>
      <c r="B135" s="71"/>
      <c r="C135" s="42" t="s">
        <v>288</v>
      </c>
      <c r="D135" s="105"/>
      <c r="E135" s="106"/>
      <c r="F135" s="107"/>
      <c r="G135" s="74"/>
      <c r="H135" s="75"/>
      <c r="I135" s="58"/>
      <c r="J135" s="64">
        <f>2.95*1.8+2.3+2.75</f>
        <v>10.36</v>
      </c>
      <c r="K135" s="64">
        <f>K134*10.764</f>
        <v>177.95582999999996</v>
      </c>
      <c r="L135" s="86" t="e">
        <f>2100000/F135</f>
        <v>#DIV/0!</v>
      </c>
      <c r="M135" s="86"/>
      <c r="N135" s="36" t="e">
        <f>3850000/F135</f>
        <v>#DIV/0!</v>
      </c>
      <c r="O135" s="64" t="e">
        <f>4100000/F135</f>
        <v>#DIV/0!</v>
      </c>
    </row>
    <row r="136" spans="1:15" s="64" customFormat="1" ht="15.75" customHeight="1" x14ac:dyDescent="0.25">
      <c r="A136" s="70">
        <f t="shared" si="5"/>
        <v>4</v>
      </c>
      <c r="B136" s="71"/>
      <c r="C136" s="42" t="s">
        <v>243</v>
      </c>
      <c r="D136" s="56">
        <f>(37.61)*10.764</f>
        <v>404.83403999999996</v>
      </c>
      <c r="E136" s="42">
        <v>0</v>
      </c>
      <c r="F136" s="42">
        <f>D136*(($F$129)+1)+(IF(E136&lt;101,E136,IF(E136&lt;201,E136/2,IF(E136&lt;=301,E136/3,E136/4))))</f>
        <v>607.25105999999994</v>
      </c>
      <c r="G136" s="74"/>
      <c r="H136" s="75"/>
      <c r="I136" s="36">
        <f>(3*3.1+2.4*1.35+2.75*2+1.7*0.9+2.1*1.2+1.2*2.1+1.9*0.9)</f>
        <v>26.32</v>
      </c>
      <c r="J136" s="64">
        <f>1.45*3+2.4+2.75</f>
        <v>9.5</v>
      </c>
      <c r="K136" s="36">
        <f>I136+J136</f>
        <v>35.82</v>
      </c>
      <c r="L136" s="86"/>
      <c r="M136" s="86"/>
    </row>
    <row r="137" spans="1:15" s="64" customFormat="1" ht="15.75" customHeight="1" x14ac:dyDescent="0.25">
      <c r="A137" s="70">
        <f t="shared" si="5"/>
        <v>5</v>
      </c>
      <c r="B137" s="71"/>
      <c r="C137" s="42" t="s">
        <v>243</v>
      </c>
      <c r="D137" s="56">
        <f>(39.64)*10.764</f>
        <v>426.68495999999999</v>
      </c>
      <c r="E137" s="42">
        <v>0</v>
      </c>
      <c r="F137" s="42">
        <f>D137*(($F$129)+1)+(IF(E137&lt;101,E137,IF(E137&lt;201,E137/2,IF(E137&lt;=301,E137/3,E137/4))))</f>
        <v>640.02743999999996</v>
      </c>
      <c r="G137" s="74"/>
      <c r="H137" s="75"/>
      <c r="K137" s="64" t="e">
        <f>#REF!*10.764</f>
        <v>#REF!</v>
      </c>
      <c r="N137" s="36"/>
    </row>
    <row r="138" spans="1:15" s="64" customFormat="1" ht="15.75" customHeight="1" x14ac:dyDescent="0.25">
      <c r="A138" s="70">
        <f t="shared" si="5"/>
        <v>6</v>
      </c>
      <c r="B138" s="71"/>
      <c r="C138" s="42" t="s">
        <v>290</v>
      </c>
      <c r="D138" s="56">
        <f>(49.83+(1.5*2.9+1.1*(2.75+2.9)+1*(2.15+2.25)))*10.764</f>
        <v>697.45337999999992</v>
      </c>
      <c r="E138" s="42">
        <v>0</v>
      </c>
      <c r="F138" s="42">
        <f>D138*(($F$129)+1)+(IF(E138&lt;101,E138,IF(E138&lt;201,E138/2,IF(E138&lt;=301,E138/3,E138/4))))</f>
        <v>1046.1800699999999</v>
      </c>
      <c r="G138" s="74"/>
      <c r="H138" s="75"/>
      <c r="I138" s="58"/>
      <c r="J138" s="64">
        <f>2.95*1.8+2.3+2.75</f>
        <v>10.36</v>
      </c>
      <c r="K138" s="64" t="e">
        <f>K137*10.764</f>
        <v>#REF!</v>
      </c>
      <c r="L138" s="86">
        <f>2100000/F138</f>
        <v>2007.3026242987025</v>
      </c>
      <c r="M138" s="86"/>
      <c r="N138" s="36">
        <f>3850000/F138</f>
        <v>3680.0548112142878</v>
      </c>
      <c r="O138" s="64">
        <f>4100000/F138</f>
        <v>3919.0194093450859</v>
      </c>
    </row>
    <row r="139" spans="1:15" s="64" customFormat="1" ht="15.75" customHeight="1" x14ac:dyDescent="0.25">
      <c r="A139" s="70">
        <f t="shared" si="5"/>
        <v>7</v>
      </c>
      <c r="B139" s="71"/>
      <c r="C139" s="42" t="s">
        <v>291</v>
      </c>
      <c r="D139" s="56">
        <f>(44.29+(1.15*2.75+1.25*2.9)+(1.2*2.9))*10.764</f>
        <v>587.2569299999999</v>
      </c>
      <c r="E139" s="42">
        <v>0</v>
      </c>
      <c r="F139" s="42">
        <f>D139*(($F$129)+1)+(IF(E139&lt;101,E139,IF(E139&lt;201,E139/2,IF(E139&lt;=301,E139/3,E139/4))))</f>
        <v>880.88539499999979</v>
      </c>
      <c r="G139" s="74"/>
      <c r="H139" s="75"/>
      <c r="I139" s="36"/>
      <c r="K139" s="36">
        <f>I138+J138</f>
        <v>10.36</v>
      </c>
      <c r="L139" s="86"/>
      <c r="M139" s="86"/>
    </row>
    <row r="140" spans="1:15" s="64" customFormat="1" ht="15.75" customHeight="1" x14ac:dyDescent="0.25">
      <c r="A140" s="70">
        <f t="shared" si="5"/>
        <v>8</v>
      </c>
      <c r="B140" s="71"/>
      <c r="C140" s="42" t="s">
        <v>243</v>
      </c>
      <c r="D140" s="56">
        <f>(29.96+(1.8*3+1*(2.4+2.75)))*10.764</f>
        <v>436.04964000000001</v>
      </c>
      <c r="E140" s="42">
        <v>0</v>
      </c>
      <c r="F140" s="42">
        <f>D140*(($F$129)+1)+(IF(E140&lt;101,E140,IF(E140&lt;201,E140/2,IF(E140&lt;=301,E140/3,E140/4))))</f>
        <v>654.07446000000004</v>
      </c>
      <c r="G140" s="76"/>
      <c r="H140" s="77"/>
      <c r="I140" s="36"/>
      <c r="K140" s="64">
        <f>K139*10.764</f>
        <v>111.51503999999998</v>
      </c>
      <c r="N140" s="36"/>
    </row>
    <row r="141" spans="1:15" s="64" customFormat="1" x14ac:dyDescent="0.25">
      <c r="A141" s="81" t="s">
        <v>244</v>
      </c>
      <c r="B141" s="82"/>
      <c r="C141" s="82"/>
      <c r="D141" s="82"/>
      <c r="E141" s="82"/>
      <c r="F141" s="82"/>
      <c r="G141" s="82"/>
      <c r="H141" s="83"/>
      <c r="I141" s="36"/>
      <c r="N141" s="36"/>
    </row>
    <row r="142" spans="1:15" s="64" customFormat="1" x14ac:dyDescent="0.25">
      <c r="A142" s="70">
        <v>1</v>
      </c>
      <c r="B142" s="71"/>
      <c r="C142" s="42" t="s">
        <v>288</v>
      </c>
      <c r="D142" s="90" t="s">
        <v>292</v>
      </c>
      <c r="E142" s="91"/>
      <c r="F142" s="92"/>
      <c r="G142" s="72" t="str">
        <f>A141</f>
        <v xml:space="preserve">2nd Floor </v>
      </c>
      <c r="H142" s="73"/>
      <c r="I142" s="36"/>
      <c r="N142" s="36"/>
    </row>
    <row r="143" spans="1:15" s="64" customFormat="1" x14ac:dyDescent="0.25">
      <c r="A143" s="70">
        <f t="shared" ref="A143:A149" si="6">A142+1</f>
        <v>2</v>
      </c>
      <c r="B143" s="71"/>
      <c r="C143" s="42" t="s">
        <v>288</v>
      </c>
      <c r="D143" s="93"/>
      <c r="E143" s="94"/>
      <c r="F143" s="95"/>
      <c r="G143" s="74"/>
      <c r="H143" s="75"/>
      <c r="I143" s="36"/>
      <c r="N143" s="36"/>
    </row>
    <row r="144" spans="1:15" s="64" customFormat="1" x14ac:dyDescent="0.25">
      <c r="A144" s="70">
        <f t="shared" si="6"/>
        <v>3</v>
      </c>
      <c r="B144" s="71"/>
      <c r="C144" s="42" t="s">
        <v>243</v>
      </c>
      <c r="D144" s="56">
        <f>(29.81+(1.45*2.95+1.2*(2.4+2.75)))*10.764</f>
        <v>433.43936999999994</v>
      </c>
      <c r="E144" s="56">
        <v>0</v>
      </c>
      <c r="F144" s="42">
        <f t="shared" ref="F144:F149" si="7">D144*(($F$129)+1)+(IF(E144&lt;101,E144,IF(E144&lt;201,E144/2,IF(E144&lt;=301,E144/3,E144/4))))</f>
        <v>650.15905499999985</v>
      </c>
      <c r="G144" s="74"/>
      <c r="H144" s="75"/>
      <c r="N144" s="36"/>
    </row>
    <row r="145" spans="1:14" s="64" customFormat="1" ht="15.75" customHeight="1" x14ac:dyDescent="0.25">
      <c r="A145" s="70">
        <f t="shared" si="6"/>
        <v>4</v>
      </c>
      <c r="B145" s="71"/>
      <c r="C145" s="42" t="s">
        <v>243</v>
      </c>
      <c r="D145" s="56">
        <f>(37.61)*10.764</f>
        <v>404.83403999999996</v>
      </c>
      <c r="E145" s="56">
        <v>0</v>
      </c>
      <c r="F145" s="42">
        <f t="shared" si="7"/>
        <v>607.25105999999994</v>
      </c>
      <c r="G145" s="74"/>
      <c r="H145" s="75"/>
      <c r="I145" s="36">
        <f>(3*3.1+2.4*1.35+2.75*2+1.7*0.9+2.1*1.2+1.2*2.1+1.9*0.9)</f>
        <v>26.32</v>
      </c>
      <c r="J145" s="64">
        <f>1.45*3+2.4+2.75</f>
        <v>9.5</v>
      </c>
      <c r="K145" s="36">
        <f>I145+J145</f>
        <v>35.82</v>
      </c>
    </row>
    <row r="146" spans="1:14" s="64" customFormat="1" ht="15.75" customHeight="1" x14ac:dyDescent="0.25">
      <c r="A146" s="70">
        <f t="shared" si="6"/>
        <v>5</v>
      </c>
      <c r="B146" s="71"/>
      <c r="C146" s="42" t="s">
        <v>243</v>
      </c>
      <c r="D146" s="56">
        <f>(39.64)*10.764</f>
        <v>426.68495999999999</v>
      </c>
      <c r="E146" s="56">
        <v>0</v>
      </c>
      <c r="F146" s="42">
        <f t="shared" si="7"/>
        <v>640.02743999999996</v>
      </c>
      <c r="G146" s="74"/>
      <c r="H146" s="75"/>
      <c r="I146" s="36">
        <f>3*3.6+2.4*1.35+2.75*2+1.7*0.9+2.1*1.2+1.9*0.9+1.2*2.1</f>
        <v>27.82</v>
      </c>
      <c r="J146" s="64">
        <f>1.55*3+2.4+2.75</f>
        <v>9.8000000000000007</v>
      </c>
      <c r="K146" s="36">
        <f>I146+J146</f>
        <v>37.620000000000005</v>
      </c>
    </row>
    <row r="147" spans="1:14" s="64" customFormat="1" x14ac:dyDescent="0.25">
      <c r="A147" s="70">
        <f t="shared" si="6"/>
        <v>6</v>
      </c>
      <c r="B147" s="71"/>
      <c r="C147" s="42" t="s">
        <v>290</v>
      </c>
      <c r="D147" s="56">
        <f>(49.83+(1.5*2.9+1.1*(2.75+2.9)+1*(2.15+2.25)))*10.764</f>
        <v>697.45337999999992</v>
      </c>
      <c r="E147" s="56">
        <v>0</v>
      </c>
      <c r="F147" s="42">
        <f t="shared" si="7"/>
        <v>1046.1800699999999</v>
      </c>
      <c r="G147" s="74"/>
      <c r="H147" s="75"/>
      <c r="I147" s="36">
        <f>2.9*3.7+1.15*0.97+2.15*1.85+2.3*2.25+2.25*1.85+2.3*2.75+2.3*2.9+2.1*1.2+2.25*1.2+3.45*0.9</f>
        <v>46.480500000000006</v>
      </c>
      <c r="N147" s="36"/>
    </row>
    <row r="148" spans="1:14" s="64" customFormat="1" ht="15.75" customHeight="1" x14ac:dyDescent="0.25">
      <c r="A148" s="70">
        <f t="shared" si="6"/>
        <v>7</v>
      </c>
      <c r="B148" s="71"/>
      <c r="C148" s="42" t="s">
        <v>291</v>
      </c>
      <c r="D148" s="56">
        <f>(44.29+(1.15*2.75+1.25*2.9)+(1.2*2.9))*10.764</f>
        <v>587.2569299999999</v>
      </c>
      <c r="E148" s="56">
        <v>0</v>
      </c>
      <c r="F148" s="42">
        <f t="shared" si="7"/>
        <v>880.88539499999979</v>
      </c>
      <c r="G148" s="74"/>
      <c r="H148" s="75"/>
      <c r="I148" s="36"/>
    </row>
    <row r="149" spans="1:14" s="64" customFormat="1" ht="15.75" customHeight="1" x14ac:dyDescent="0.25">
      <c r="A149" s="70">
        <f t="shared" si="6"/>
        <v>8</v>
      </c>
      <c r="B149" s="71"/>
      <c r="C149" s="42" t="s">
        <v>243</v>
      </c>
      <c r="D149" s="56">
        <f>(29.96+(1.8*3+1*(2.4+2.75)))*10.764</f>
        <v>436.04964000000001</v>
      </c>
      <c r="E149" s="56">
        <v>0</v>
      </c>
      <c r="F149" s="42">
        <f t="shared" si="7"/>
        <v>654.07446000000004</v>
      </c>
      <c r="G149" s="76"/>
      <c r="H149" s="77"/>
      <c r="I149" s="36">
        <f>3*3.52+2.4*1.35+2.75*2.15+1.7*0.9+2.1*1.2+1.2*2.1+1.9*0.9</f>
        <v>27.9925</v>
      </c>
    </row>
    <row r="150" spans="1:14" s="64" customFormat="1" x14ac:dyDescent="0.25">
      <c r="A150" s="81" t="s">
        <v>245</v>
      </c>
      <c r="B150" s="82"/>
      <c r="C150" s="82"/>
      <c r="D150" s="82"/>
      <c r="E150" s="82"/>
      <c r="F150" s="82"/>
      <c r="G150" s="82"/>
      <c r="H150" s="83"/>
      <c r="I150" s="36"/>
      <c r="N150" s="36"/>
    </row>
    <row r="151" spans="1:14" s="64" customFormat="1" ht="15.75" customHeight="1" x14ac:dyDescent="0.25">
      <c r="A151" s="70">
        <v>1</v>
      </c>
      <c r="B151" s="71"/>
      <c r="C151" s="42" t="s">
        <v>291</v>
      </c>
      <c r="D151" s="56">
        <f>((49.6)*10.764)+((1*(2.75+2.75))*10.764)</f>
        <v>593.09640000000002</v>
      </c>
      <c r="E151" s="56">
        <v>0</v>
      </c>
      <c r="F151" s="42">
        <f t="shared" ref="F151:F158" si="8">D151*(($F$129)+1)+(IF(E151&lt;101,E151,IF(E151&lt;201,E151/2,IF(E151&lt;=301,E151/3,E151/4))))</f>
        <v>889.64460000000008</v>
      </c>
      <c r="G151" s="72" t="str">
        <f>A150</f>
        <v xml:space="preserve">3rd to 7th, 9th to 12th, 14th to 18th, 20th to 24th, 26th to 29th Floor </v>
      </c>
      <c r="H151" s="73"/>
      <c r="I151" s="36"/>
      <c r="K151" s="64">
        <f>6000*F151</f>
        <v>5337867.6000000006</v>
      </c>
      <c r="N151" s="36"/>
    </row>
    <row r="152" spans="1:14" s="64" customFormat="1" x14ac:dyDescent="0.25">
      <c r="A152" s="70">
        <f t="shared" ref="A152:A158" si="9">A151+1</f>
        <v>2</v>
      </c>
      <c r="B152" s="71"/>
      <c r="C152" s="42" t="s">
        <v>291</v>
      </c>
      <c r="D152" s="56">
        <f>((49.6)*10.764)+((1*(2.75+2.75))*10.764)</f>
        <v>593.09640000000002</v>
      </c>
      <c r="E152" s="56">
        <v>0</v>
      </c>
      <c r="F152" s="42">
        <f t="shared" si="8"/>
        <v>889.64460000000008</v>
      </c>
      <c r="G152" s="74"/>
      <c r="H152" s="75"/>
      <c r="I152" s="36"/>
      <c r="K152" s="65">
        <f t="shared" ref="K152:K158" si="10">6000*F152</f>
        <v>5337867.6000000006</v>
      </c>
      <c r="N152" s="36"/>
    </row>
    <row r="153" spans="1:14" s="64" customFormat="1" x14ac:dyDescent="0.25">
      <c r="A153" s="70">
        <f t="shared" si="9"/>
        <v>3</v>
      </c>
      <c r="B153" s="71"/>
      <c r="C153" s="42" t="s">
        <v>243</v>
      </c>
      <c r="D153" s="56">
        <f>(29.81+(1.45*2.95+1.2*(2.4+2.75)))*10.764</f>
        <v>433.43936999999994</v>
      </c>
      <c r="E153" s="56">
        <v>0</v>
      </c>
      <c r="F153" s="42">
        <f t="shared" si="8"/>
        <v>650.15905499999985</v>
      </c>
      <c r="G153" s="74"/>
      <c r="H153" s="75"/>
      <c r="I153" s="36"/>
      <c r="K153" s="65">
        <f t="shared" si="10"/>
        <v>3900954.3299999991</v>
      </c>
      <c r="N153" s="36"/>
    </row>
    <row r="154" spans="1:14" s="64" customFormat="1" ht="15.75" customHeight="1" x14ac:dyDescent="0.25">
      <c r="A154" s="70">
        <f t="shared" si="9"/>
        <v>4</v>
      </c>
      <c r="B154" s="71"/>
      <c r="C154" s="42" t="s">
        <v>243</v>
      </c>
      <c r="D154" s="56">
        <f>(37.61)*10.764</f>
        <v>404.83403999999996</v>
      </c>
      <c r="E154" s="56">
        <v>0</v>
      </c>
      <c r="F154" s="42">
        <f t="shared" si="8"/>
        <v>607.25105999999994</v>
      </c>
      <c r="G154" s="74"/>
      <c r="H154" s="75"/>
      <c r="I154" s="36"/>
      <c r="K154" s="65">
        <f t="shared" si="10"/>
        <v>3643506.3599999994</v>
      </c>
    </row>
    <row r="155" spans="1:14" s="64" customFormat="1" ht="15.75" customHeight="1" x14ac:dyDescent="0.25">
      <c r="A155" s="70">
        <f t="shared" si="9"/>
        <v>5</v>
      </c>
      <c r="B155" s="71"/>
      <c r="C155" s="42" t="s">
        <v>243</v>
      </c>
      <c r="D155" s="56">
        <f>(39.64)*10.764</f>
        <v>426.68495999999999</v>
      </c>
      <c r="E155" s="56">
        <v>0</v>
      </c>
      <c r="F155" s="42">
        <f t="shared" si="8"/>
        <v>640.02743999999996</v>
      </c>
      <c r="G155" s="74"/>
      <c r="H155" s="75"/>
      <c r="I155" s="36"/>
      <c r="K155" s="65">
        <f t="shared" si="10"/>
        <v>3840164.6399999997</v>
      </c>
    </row>
    <row r="156" spans="1:14" s="64" customFormat="1" x14ac:dyDescent="0.25">
      <c r="A156" s="70">
        <f t="shared" si="9"/>
        <v>6</v>
      </c>
      <c r="B156" s="71"/>
      <c r="C156" s="42" t="s">
        <v>290</v>
      </c>
      <c r="D156" s="56">
        <f>(49.83+(1.5*2.9+1.1*(2.75+2.9)+1*(2.15+2.25)))*10.764</f>
        <v>697.45337999999992</v>
      </c>
      <c r="E156" s="56">
        <v>0</v>
      </c>
      <c r="F156" s="42">
        <f t="shared" si="8"/>
        <v>1046.1800699999999</v>
      </c>
      <c r="G156" s="74"/>
      <c r="H156" s="75"/>
      <c r="I156" s="36"/>
      <c r="K156" s="65">
        <f t="shared" si="10"/>
        <v>6277080.419999999</v>
      </c>
      <c r="N156" s="36"/>
    </row>
    <row r="157" spans="1:14" s="64" customFormat="1" ht="15.75" customHeight="1" x14ac:dyDescent="0.25">
      <c r="A157" s="70">
        <f t="shared" si="9"/>
        <v>7</v>
      </c>
      <c r="B157" s="71"/>
      <c r="C157" s="42" t="s">
        <v>291</v>
      </c>
      <c r="D157" s="56">
        <f>(44.29+(1.15*2.75+1.25*2.9)+(1.2*2.9))*10.764</f>
        <v>587.2569299999999</v>
      </c>
      <c r="E157" s="56">
        <v>0</v>
      </c>
      <c r="F157" s="42">
        <f t="shared" si="8"/>
        <v>880.88539499999979</v>
      </c>
      <c r="G157" s="74"/>
      <c r="H157" s="75"/>
      <c r="I157" s="36"/>
      <c r="K157" s="65">
        <f t="shared" si="10"/>
        <v>5285312.3699999992</v>
      </c>
    </row>
    <row r="158" spans="1:14" s="64" customFormat="1" ht="15.75" customHeight="1" x14ac:dyDescent="0.25">
      <c r="A158" s="70">
        <f t="shared" si="9"/>
        <v>8</v>
      </c>
      <c r="B158" s="71"/>
      <c r="C158" s="42" t="s">
        <v>243</v>
      </c>
      <c r="D158" s="56">
        <f>(29.96+(1.8*3+1*(2.4+2.75)))*10.764</f>
        <v>436.04964000000001</v>
      </c>
      <c r="E158" s="56">
        <v>0</v>
      </c>
      <c r="F158" s="42">
        <f t="shared" si="8"/>
        <v>654.07446000000004</v>
      </c>
      <c r="G158" s="76"/>
      <c r="H158" s="77"/>
      <c r="I158" s="36"/>
      <c r="K158" s="65">
        <f t="shared" si="10"/>
        <v>3924446.7600000002</v>
      </c>
    </row>
    <row r="159" spans="1:14" s="64" customFormat="1" x14ac:dyDescent="0.25">
      <c r="A159" s="81" t="s">
        <v>246</v>
      </c>
      <c r="B159" s="82"/>
      <c r="C159" s="82"/>
      <c r="D159" s="82"/>
      <c r="E159" s="82"/>
      <c r="F159" s="82"/>
      <c r="G159" s="82"/>
      <c r="H159" s="83"/>
      <c r="I159" s="36"/>
      <c r="N159" s="36"/>
    </row>
    <row r="160" spans="1:14" s="64" customFormat="1" ht="15.75" customHeight="1" x14ac:dyDescent="0.25">
      <c r="A160" s="70">
        <v>1</v>
      </c>
      <c r="B160" s="71"/>
      <c r="C160" s="42" t="s">
        <v>291</v>
      </c>
      <c r="D160" s="56">
        <f>((49.6)*10.764)+((1*(2.75+2.75))*10.764)</f>
        <v>593.09640000000002</v>
      </c>
      <c r="E160" s="56">
        <v>0</v>
      </c>
      <c r="F160" s="42">
        <f>D160*(($F$129)+1)+(IF(E160&lt;101,E160,IF(E160&lt;201,E160/2,IF(E160&lt;=301,E160/3,E160/4))))</f>
        <v>889.64460000000008</v>
      </c>
      <c r="G160" s="72" t="str">
        <f>A159</f>
        <v>8th, 13th, 19th &amp; 25th Floor (Part Refuge Area)</v>
      </c>
      <c r="H160" s="73"/>
      <c r="I160" s="36"/>
      <c r="N160" s="36"/>
    </row>
    <row r="161" spans="1:15" s="64" customFormat="1" x14ac:dyDescent="0.25">
      <c r="A161" s="70">
        <f t="shared" ref="A161:A167" si="11">A160+1</f>
        <v>2</v>
      </c>
      <c r="B161" s="71"/>
      <c r="C161" s="42" t="s">
        <v>291</v>
      </c>
      <c r="D161" s="56">
        <f>((49.6)*10.764)+((1*(2.75+2.75))*10.764)</f>
        <v>593.09640000000002</v>
      </c>
      <c r="E161" s="56">
        <v>0</v>
      </c>
      <c r="F161" s="42">
        <f>D161*(($F$129)+1)+(IF(E161&lt;101,E161,IF(E161&lt;201,E161/2,IF(E161&lt;=301,E161/3,E161/4))))</f>
        <v>889.64460000000008</v>
      </c>
      <c r="G161" s="74"/>
      <c r="H161" s="75"/>
      <c r="I161" s="36"/>
      <c r="N161" s="36"/>
    </row>
    <row r="162" spans="1:15" s="64" customFormat="1" x14ac:dyDescent="0.25">
      <c r="A162" s="70">
        <f t="shared" si="11"/>
        <v>3</v>
      </c>
      <c r="B162" s="71"/>
      <c r="C162" s="42" t="s">
        <v>288</v>
      </c>
      <c r="D162" s="78" t="s">
        <v>247</v>
      </c>
      <c r="E162" s="79"/>
      <c r="F162" s="80"/>
      <c r="G162" s="74"/>
      <c r="H162" s="75"/>
      <c r="I162" s="36"/>
      <c r="N162" s="36"/>
    </row>
    <row r="163" spans="1:15" s="64" customFormat="1" ht="15.75" customHeight="1" x14ac:dyDescent="0.25">
      <c r="A163" s="70">
        <f t="shared" si="11"/>
        <v>4</v>
      </c>
      <c r="B163" s="71"/>
      <c r="C163" s="42" t="s">
        <v>243</v>
      </c>
      <c r="D163" s="56">
        <f>(37.61)*10.764</f>
        <v>404.83403999999996</v>
      </c>
      <c r="E163" s="56">
        <v>0</v>
      </c>
      <c r="F163" s="42">
        <f>D163*(($F$129)+1)+(IF(E163&lt;101,E163,IF(E163&lt;201,E163/2,IF(E163&lt;=301,E163/3,E163/4))))</f>
        <v>607.25105999999994</v>
      </c>
      <c r="G163" s="74"/>
      <c r="H163" s="75"/>
      <c r="I163" s="36"/>
    </row>
    <row r="164" spans="1:15" s="64" customFormat="1" ht="15.75" customHeight="1" x14ac:dyDescent="0.25">
      <c r="A164" s="70">
        <f t="shared" si="11"/>
        <v>5</v>
      </c>
      <c r="B164" s="71"/>
      <c r="C164" s="42" t="s">
        <v>243</v>
      </c>
      <c r="D164" s="56">
        <f>(39.64)*10.764</f>
        <v>426.68495999999999</v>
      </c>
      <c r="E164" s="56">
        <v>0</v>
      </c>
      <c r="F164" s="42">
        <f>D164*(($F$129)+1)+(IF(E164&lt;101,E164,IF(E164&lt;201,E164/2,IF(E164&lt;=301,E164/3,E164/4))))</f>
        <v>640.02743999999996</v>
      </c>
      <c r="G164" s="74"/>
      <c r="H164" s="75"/>
      <c r="I164" s="36"/>
    </row>
    <row r="165" spans="1:15" s="64" customFormat="1" x14ac:dyDescent="0.25">
      <c r="A165" s="70">
        <f t="shared" si="11"/>
        <v>6</v>
      </c>
      <c r="B165" s="71"/>
      <c r="C165" s="42" t="s">
        <v>290</v>
      </c>
      <c r="D165" s="56">
        <f>(49.83+(1.5*2.9+1.1*(2.75+2.9)+1*(2.15+2.25)))*10.764</f>
        <v>697.45337999999992</v>
      </c>
      <c r="E165" s="56">
        <v>0</v>
      </c>
      <c r="F165" s="42">
        <f>D165*(($F$129)+1)+(IF(E165&lt;101,E165,IF(E165&lt;201,E165/2,IF(E165&lt;=301,E165/3,E165/4))))</f>
        <v>1046.1800699999999</v>
      </c>
      <c r="G165" s="74"/>
      <c r="H165" s="75"/>
      <c r="I165" s="36"/>
      <c r="N165" s="36"/>
    </row>
    <row r="166" spans="1:15" s="64" customFormat="1" ht="15.75" customHeight="1" x14ac:dyDescent="0.25">
      <c r="A166" s="70">
        <f t="shared" si="11"/>
        <v>7</v>
      </c>
      <c r="B166" s="71"/>
      <c r="C166" s="42" t="s">
        <v>291</v>
      </c>
      <c r="D166" s="56">
        <f>(44.29+(1.15*2.75+1.25*2.9)+(1.2*2.9))*10.764</f>
        <v>587.2569299999999</v>
      </c>
      <c r="E166" s="56">
        <v>0</v>
      </c>
      <c r="F166" s="42">
        <f>D166*(($F$129)+1)+(IF(E166&lt;101,E166,IF(E166&lt;201,E166/2,IF(E166&lt;=301,E166/3,E166/4))))</f>
        <v>880.88539499999979</v>
      </c>
      <c r="G166" s="74"/>
      <c r="H166" s="75"/>
      <c r="I166" s="36"/>
    </row>
    <row r="167" spans="1:15" s="64" customFormat="1" ht="15.75" customHeight="1" x14ac:dyDescent="0.25">
      <c r="A167" s="70">
        <f t="shared" si="11"/>
        <v>8</v>
      </c>
      <c r="B167" s="71"/>
      <c r="C167" s="42" t="s">
        <v>243</v>
      </c>
      <c r="D167" s="56">
        <f>(29.96+(1.8*3+1*(2.4+2.75)))*10.764</f>
        <v>436.04964000000001</v>
      </c>
      <c r="E167" s="56">
        <v>0</v>
      </c>
      <c r="F167" s="42">
        <f>D167*(($F$129)+1)+(IF(E167&lt;101,E167,IF(E167&lt;201,E167/2,IF(E167&lt;=301,E167/3,E167/4))))</f>
        <v>654.07446000000004</v>
      </c>
      <c r="G167" s="76"/>
      <c r="H167" s="77"/>
      <c r="I167" s="36"/>
    </row>
    <row r="168" spans="1:15" s="35" customFormat="1" x14ac:dyDescent="0.25">
      <c r="A168" s="81" t="s">
        <v>248</v>
      </c>
      <c r="B168" s="82"/>
      <c r="C168" s="82"/>
      <c r="D168" s="82"/>
      <c r="E168" s="82"/>
      <c r="F168" s="82"/>
      <c r="G168" s="82"/>
      <c r="H168" s="83"/>
    </row>
    <row r="169" spans="1:15" s="37" customFormat="1" x14ac:dyDescent="0.25">
      <c r="A169" s="96" t="s">
        <v>270</v>
      </c>
      <c r="B169" s="97"/>
      <c r="C169" s="97"/>
      <c r="D169" s="97"/>
      <c r="E169" s="97"/>
      <c r="F169" s="97"/>
      <c r="G169" s="97"/>
      <c r="H169" s="98"/>
      <c r="I169" s="36"/>
      <c r="K169" s="59" t="s">
        <v>268</v>
      </c>
    </row>
    <row r="170" spans="1:15" s="37" customFormat="1" ht="33.75" customHeight="1" x14ac:dyDescent="0.25">
      <c r="A170" s="81" t="s">
        <v>262</v>
      </c>
      <c r="B170" s="82"/>
      <c r="C170" s="82"/>
      <c r="D170" s="82"/>
      <c r="E170" s="82"/>
      <c r="F170" s="82"/>
      <c r="G170" s="82"/>
      <c r="H170" s="83"/>
      <c r="I170" s="56">
        <v>10.763999999999999</v>
      </c>
      <c r="J170" s="36"/>
      <c r="K170" s="37" t="s">
        <v>269</v>
      </c>
    </row>
    <row r="171" spans="1:15" s="37" customFormat="1" x14ac:dyDescent="0.25">
      <c r="A171" s="81" t="s">
        <v>263</v>
      </c>
      <c r="B171" s="82"/>
      <c r="C171" s="82"/>
      <c r="D171" s="82"/>
      <c r="E171" s="82"/>
      <c r="F171" s="82"/>
      <c r="G171" s="82"/>
      <c r="H171" s="83"/>
      <c r="I171" s="36"/>
      <c r="L171" s="86"/>
      <c r="M171" s="86"/>
      <c r="N171" s="36"/>
    </row>
    <row r="172" spans="1:15" s="37" customFormat="1" ht="15.75" customHeight="1" x14ac:dyDescent="0.25">
      <c r="A172" s="70">
        <v>1</v>
      </c>
      <c r="B172" s="71"/>
      <c r="C172" s="42" t="s">
        <v>242</v>
      </c>
      <c r="D172" s="56">
        <f>(49.93+(2.9+2.15+1.05*3.6+1.15*(2.75+2.9)))*10.764</f>
        <v>702.4317299999999</v>
      </c>
      <c r="E172" s="42">
        <v>0</v>
      </c>
      <c r="F172" s="42">
        <f>D172*(($F$129)+1)+(IF(E172&lt;101,E172,IF(E172&lt;201,E172/2,IF(E172&lt;=301,E172/3,E172/4))))</f>
        <v>1053.6475949999999</v>
      </c>
      <c r="G172" s="72" t="str">
        <f>A170</f>
        <v>Ground Floor For Driver Room, Meter Room, Society Office,
Fire Control Room &amp; Stilt Area</v>
      </c>
      <c r="H172" s="73"/>
      <c r="I172" s="36">
        <f>4.7*3.05+1.55*1.03+2.15*1.85+3.6*1.7+2.3*2.75+2.1*1.2+2.25*2.9+1.2*1.95*2+2.1*1.95+3.75*0.9+2.15+1.05*3.6+2.75*1.15+1.15*2.9</f>
        <v>65.976500000000001</v>
      </c>
      <c r="J172" s="37" t="s">
        <v>253</v>
      </c>
      <c r="K172" s="37">
        <f>I172*10.764</f>
        <v>710.17104599999993</v>
      </c>
      <c r="L172" s="86">
        <f>7500000/F172</f>
        <v>7118.1294728813009</v>
      </c>
      <c r="M172" s="86"/>
      <c r="N172" s="36"/>
    </row>
    <row r="173" spans="1:15" s="37" customFormat="1" ht="15.75" customHeight="1" x14ac:dyDescent="0.25">
      <c r="A173" s="70">
        <f t="shared" ref="A173:A176" si="12">A172+1</f>
        <v>2</v>
      </c>
      <c r="B173" s="71"/>
      <c r="C173" s="42" t="s">
        <v>242</v>
      </c>
      <c r="D173" s="56">
        <f>(49.93+(1.2*2.9+1.25*2.75+1.15*(2.75+2.9)+1.45*2.15))*10.764</f>
        <v>715.40235000000007</v>
      </c>
      <c r="E173" s="42">
        <v>0</v>
      </c>
      <c r="F173" s="42">
        <f>D173*(($F$129)+1)+(IF(E173&lt;101,E173,IF(E173&lt;201,E173/2,IF(E173&lt;=301,E173/3,E173/4))))</f>
        <v>1073.103525</v>
      </c>
      <c r="G173" s="74"/>
      <c r="H173" s="75"/>
      <c r="I173" s="57">
        <f>2.9*4.15+1.35*1.18+2.15*1.65+2.25*2.75+2.25*2.9+2.75*2+2.1*1.2*2+2.15*1.2+2.1*1.2+3.35*0.9</f>
        <v>48.542999999999999</v>
      </c>
      <c r="J173" s="37">
        <f>2.75*1.25+2.9*1.2+2.15*1.45+2.75*1.15+2.9*1.15</f>
        <v>16.532499999999999</v>
      </c>
      <c r="K173" s="57">
        <f>I173+J173</f>
        <v>65.075500000000005</v>
      </c>
      <c r="L173" s="86">
        <f>7500000/F173</f>
        <v>6989.0740504277073</v>
      </c>
      <c r="M173" s="86"/>
      <c r="N173" s="36">
        <f>I173+2.9*1.2+2.15*1.45+1.15*(2.75+2.9)+2.75*1.25</f>
        <v>65.075500000000005</v>
      </c>
      <c r="O173" s="37">
        <f>N173*10.764</f>
        <v>700.47268199999996</v>
      </c>
    </row>
    <row r="174" spans="1:15" s="37" customFormat="1" ht="15.75" customHeight="1" x14ac:dyDescent="0.25">
      <c r="A174" s="70">
        <f t="shared" si="12"/>
        <v>3</v>
      </c>
      <c r="B174" s="71"/>
      <c r="C174" s="42" t="s">
        <v>243</v>
      </c>
      <c r="D174" s="56">
        <f>(29.91+(1.8*2.95+2.3+2.75))*10.764</f>
        <v>433.46627999999993</v>
      </c>
      <c r="E174" s="42">
        <v>0</v>
      </c>
      <c r="F174" s="42">
        <f>D174*(($F$129)+1)+(IF(E174&lt;101,E174,IF(E174&lt;201,E174/2,IF(E174&lt;=301,E174/3,E174/4))))</f>
        <v>650.19941999999992</v>
      </c>
      <c r="G174" s="74"/>
      <c r="H174" s="75"/>
      <c r="I174" s="58">
        <f>2.95*3.8+2.3*1.35+2.75*2+1.7*0.9+1.8*0.9+2*1.2+1.2*2.1</f>
        <v>27.885000000000002</v>
      </c>
      <c r="J174" s="37">
        <f>2.95*1.8+2.3+2.75</f>
        <v>10.36</v>
      </c>
      <c r="K174" s="37">
        <f>K173*10.764</f>
        <v>700.47268199999996</v>
      </c>
      <c r="L174" s="86">
        <f>2100000/F174</f>
        <v>3229.7783347761219</v>
      </c>
      <c r="M174" s="86"/>
      <c r="N174" s="36">
        <f>3850000/F174</f>
        <v>5921.26028042289</v>
      </c>
      <c r="O174" s="37">
        <f>4100000/F174</f>
        <v>6305.7577012295715</v>
      </c>
    </row>
    <row r="175" spans="1:15" s="37" customFormat="1" ht="15.75" customHeight="1" x14ac:dyDescent="0.25">
      <c r="A175" s="70">
        <f t="shared" si="12"/>
        <v>4</v>
      </c>
      <c r="B175" s="71"/>
      <c r="C175" s="42" t="s">
        <v>243</v>
      </c>
      <c r="D175" s="56">
        <f>(29.93+(1.8*2.95+2.3+2.75))*10.764</f>
        <v>433.68155999999999</v>
      </c>
      <c r="E175" s="42">
        <v>0</v>
      </c>
      <c r="F175" s="42">
        <f>D175*(($F$129)+1)+(IF(E175&lt;101,E175,IF(E175&lt;201,E175/2,IF(E175&lt;=301,E175/3,E175/4))))</f>
        <v>650.52233999999999</v>
      </c>
      <c r="G175" s="74"/>
      <c r="H175" s="75"/>
      <c r="I175" s="36">
        <f>2.95*3.35+2.3*1.35+2.75*2+2*1.2+1.2*2.1+1.7*0.9+1.8*0.9</f>
        <v>26.557500000000001</v>
      </c>
      <c r="K175" s="36">
        <f>I174+J174</f>
        <v>38.245000000000005</v>
      </c>
      <c r="L175" s="86"/>
      <c r="M175" s="86"/>
    </row>
    <row r="176" spans="1:15" s="37" customFormat="1" ht="15.75" customHeight="1" x14ac:dyDescent="0.25">
      <c r="A176" s="70">
        <f t="shared" si="12"/>
        <v>5</v>
      </c>
      <c r="B176" s="71"/>
      <c r="C176" s="42" t="s">
        <v>243</v>
      </c>
      <c r="D176" s="56">
        <f>(29.93+(1.8*2.95+2.3+2.75))*10.764</f>
        <v>433.68155999999999</v>
      </c>
      <c r="E176" s="42">
        <v>0</v>
      </c>
      <c r="F176" s="42">
        <f>D176*(($F$129)+1)+(IF(E176&lt;101,E176,IF(E176&lt;201,E176/2,IF(E176&lt;=301,E176/3,E176/4))))</f>
        <v>650.52233999999999</v>
      </c>
      <c r="G176" s="76"/>
      <c r="H176" s="77"/>
      <c r="I176" s="36">
        <f>2.95*3.35+2.3*1.35+2.75*2+2*1.2+1.2*2.1+1.7*0.9+1.8*0.9</f>
        <v>26.557500000000001</v>
      </c>
      <c r="K176" s="37">
        <f>K175*10.764</f>
        <v>411.66918000000004</v>
      </c>
      <c r="N176" s="36"/>
    </row>
    <row r="177" spans="1:14" s="37" customFormat="1" x14ac:dyDescent="0.25">
      <c r="A177" s="81" t="s">
        <v>244</v>
      </c>
      <c r="B177" s="82"/>
      <c r="C177" s="82"/>
      <c r="D177" s="82"/>
      <c r="E177" s="82"/>
      <c r="F177" s="82"/>
      <c r="G177" s="82"/>
      <c r="H177" s="83"/>
      <c r="I177" s="36"/>
      <c r="N177" s="36"/>
    </row>
    <row r="178" spans="1:14" s="37" customFormat="1" x14ac:dyDescent="0.25">
      <c r="A178" s="70">
        <v>1</v>
      </c>
      <c r="B178" s="71"/>
      <c r="C178" s="42" t="s">
        <v>242</v>
      </c>
      <c r="D178" s="56">
        <f>(49.93+(2.9+2.15+1.05*3.6+1.15*(2.75+2.9)))*10.764</f>
        <v>702.4317299999999</v>
      </c>
      <c r="E178" s="56">
        <v>0</v>
      </c>
      <c r="F178" s="42">
        <f>D178*(($F$129)+1)+(IF(E178&lt;101,E178,IF(E178&lt;201,E178/2,IF(E178&lt;=301,E178/3,E178/4))))</f>
        <v>1053.6475949999999</v>
      </c>
      <c r="G178" s="72" t="str">
        <f>A177</f>
        <v xml:space="preserve">2nd Floor </v>
      </c>
      <c r="H178" s="73"/>
      <c r="I178" s="36"/>
      <c r="N178" s="36"/>
    </row>
    <row r="179" spans="1:14" s="37" customFormat="1" x14ac:dyDescent="0.25">
      <c r="A179" s="70">
        <f t="shared" ref="A179:A182" si="13">A178+1</f>
        <v>2</v>
      </c>
      <c r="B179" s="71"/>
      <c r="C179" s="42" t="s">
        <v>242</v>
      </c>
      <c r="D179" s="56">
        <f>(49.93+(1.2*2.9+1.25*2.75+1.15*(2.75+2.9)+1.45*2.15))*10.764</f>
        <v>715.40235000000007</v>
      </c>
      <c r="E179" s="56">
        <v>0</v>
      </c>
      <c r="F179" s="42">
        <f>D179*(($F$129)+1)+(IF(E179&lt;101,E179,IF(E179&lt;201,E179/2,IF(E179&lt;=301,E179/3,E179/4))))</f>
        <v>1073.103525</v>
      </c>
      <c r="G179" s="74"/>
      <c r="H179" s="75"/>
      <c r="I179" s="36"/>
      <c r="N179" s="36"/>
    </row>
    <row r="180" spans="1:14" s="37" customFormat="1" x14ac:dyDescent="0.25">
      <c r="A180" s="70">
        <f t="shared" si="13"/>
        <v>3</v>
      </c>
      <c r="B180" s="71"/>
      <c r="C180" s="42" t="s">
        <v>243</v>
      </c>
      <c r="D180" s="56">
        <f>(29.91+(1.8*2.95+2.3+2.75))*10.764</f>
        <v>433.46627999999993</v>
      </c>
      <c r="E180" s="56">
        <v>0</v>
      </c>
      <c r="F180" s="42">
        <f>D180*(($F$129)+1)+(IF(E180&lt;101,E180,IF(E180&lt;201,E180/2,IF(E180&lt;=301,E180/3,E180/4))))</f>
        <v>650.19941999999992</v>
      </c>
      <c r="G180" s="74"/>
      <c r="H180" s="75"/>
      <c r="I180" s="36"/>
      <c r="N180" s="36"/>
    </row>
    <row r="181" spans="1:14" s="37" customFormat="1" ht="15.75" customHeight="1" x14ac:dyDescent="0.25">
      <c r="A181" s="70">
        <f t="shared" si="13"/>
        <v>4</v>
      </c>
      <c r="B181" s="71"/>
      <c r="C181" s="42" t="s">
        <v>243</v>
      </c>
      <c r="D181" s="56">
        <f>(29.93+(1.8*2.95+2.3+2.75))*10.764</f>
        <v>433.68155999999999</v>
      </c>
      <c r="E181" s="56">
        <v>0</v>
      </c>
      <c r="F181" s="42">
        <f>D181*(($F$129)+1)+(IF(E181&lt;101,E181,IF(E181&lt;201,E181/2,IF(E181&lt;=301,E181/3,E181/4))))</f>
        <v>650.52233999999999</v>
      </c>
      <c r="G181" s="74"/>
      <c r="H181" s="75"/>
      <c r="I181" s="36"/>
    </row>
    <row r="182" spans="1:14" s="37" customFormat="1" ht="15.75" customHeight="1" x14ac:dyDescent="0.25">
      <c r="A182" s="70">
        <f t="shared" si="13"/>
        <v>5</v>
      </c>
      <c r="B182" s="71"/>
      <c r="C182" s="42" t="s">
        <v>243</v>
      </c>
      <c r="D182" s="56">
        <f>(29.93+(1.8*2.95+2.3+2.75))*10.764</f>
        <v>433.68155999999999</v>
      </c>
      <c r="E182" s="56">
        <v>0</v>
      </c>
      <c r="F182" s="42">
        <f>D182*(($F$129)+1)+(IF(E182&lt;101,E182,IF(E182&lt;201,E182/2,IF(E182&lt;=301,E182/3,E182/4))))</f>
        <v>650.52233999999999</v>
      </c>
      <c r="G182" s="76"/>
      <c r="H182" s="77"/>
      <c r="I182" s="36"/>
    </row>
    <row r="183" spans="1:14" s="37" customFormat="1" x14ac:dyDescent="0.25">
      <c r="A183" s="81" t="s">
        <v>245</v>
      </c>
      <c r="B183" s="82"/>
      <c r="C183" s="82"/>
      <c r="D183" s="82"/>
      <c r="E183" s="82"/>
      <c r="F183" s="82"/>
      <c r="G183" s="82"/>
      <c r="H183" s="83"/>
      <c r="I183" s="36"/>
    </row>
    <row r="184" spans="1:14" s="37" customFormat="1" ht="15.75" customHeight="1" x14ac:dyDescent="0.25">
      <c r="A184" s="70">
        <v>1</v>
      </c>
      <c r="B184" s="71"/>
      <c r="C184" s="42" t="s">
        <v>242</v>
      </c>
      <c r="D184" s="56">
        <f>(49.93+(2.9+2.15+1.05*3.6+1.15*(2.75+2.9)))*10.764</f>
        <v>702.4317299999999</v>
      </c>
      <c r="E184" s="56">
        <v>0</v>
      </c>
      <c r="F184" s="42">
        <f>D184*(($F$129)+1)+(IF(E184&lt;101,E184,IF(E184&lt;201,E184/2,IF(E184&lt;=301,E184/3,E184/4))))</f>
        <v>1053.6475949999999</v>
      </c>
      <c r="G184" s="72" t="str">
        <f>A183</f>
        <v xml:space="preserve">3rd to 7th, 9th to 12th, 14th to 18th, 20th to 24th, 26th to 29th Floor </v>
      </c>
      <c r="H184" s="73"/>
      <c r="I184" s="36"/>
    </row>
    <row r="185" spans="1:14" s="37" customFormat="1" ht="15.75" customHeight="1" x14ac:dyDescent="0.25">
      <c r="A185" s="70">
        <f t="shared" ref="A185:A188" si="14">A184+1</f>
        <v>2</v>
      </c>
      <c r="B185" s="71"/>
      <c r="C185" s="42" t="s">
        <v>242</v>
      </c>
      <c r="D185" s="56">
        <f>(49.93+(1.2*2.9+1.25*2.75+1.15*(2.75+2.9)+1.45*2.15))*10.764</f>
        <v>715.40235000000007</v>
      </c>
      <c r="E185" s="56">
        <v>0</v>
      </c>
      <c r="F185" s="42">
        <f>D185*(($F$129)+1)+(IF(E185&lt;101,E185,IF(E185&lt;201,E185/2,IF(E185&lt;=301,E185/3,E185/4))))</f>
        <v>1073.103525</v>
      </c>
      <c r="G185" s="74"/>
      <c r="H185" s="75"/>
      <c r="I185" s="36"/>
      <c r="N185" s="37">
        <f>8500000/F185</f>
        <v>7920.9505904847347</v>
      </c>
    </row>
    <row r="186" spans="1:14" s="37" customFormat="1" ht="15.75" customHeight="1" x14ac:dyDescent="0.25">
      <c r="A186" s="70">
        <f t="shared" si="14"/>
        <v>3</v>
      </c>
      <c r="B186" s="71"/>
      <c r="C186" s="42" t="s">
        <v>243</v>
      </c>
      <c r="D186" s="56">
        <f>(29.91+(1.8*2.95+2.3+2.75))*10.764</f>
        <v>433.46627999999993</v>
      </c>
      <c r="E186" s="56">
        <v>0</v>
      </c>
      <c r="F186" s="42">
        <f>D186*(($F$129)+1)+(IF(E186&lt;101,E186,IF(E186&lt;201,E186/2,IF(E186&lt;=301,E186/3,E186/4))))</f>
        <v>650.19941999999992</v>
      </c>
      <c r="G186" s="74"/>
      <c r="H186" s="75"/>
      <c r="I186" s="36"/>
    </row>
    <row r="187" spans="1:14" s="37" customFormat="1" ht="15.75" customHeight="1" x14ac:dyDescent="0.25">
      <c r="A187" s="70">
        <f t="shared" si="14"/>
        <v>4</v>
      </c>
      <c r="B187" s="71"/>
      <c r="C187" s="42" t="s">
        <v>243</v>
      </c>
      <c r="D187" s="56">
        <f>(29.93+(1.8*2.95+2.3+2.75))*10.764</f>
        <v>433.68155999999999</v>
      </c>
      <c r="E187" s="56">
        <v>0</v>
      </c>
      <c r="F187" s="42">
        <f>D187*(($F$129)+1)+(IF(E187&lt;101,E187,IF(E187&lt;201,E187/2,IF(E187&lt;=301,E187/3,E187/4))))</f>
        <v>650.52233999999999</v>
      </c>
      <c r="G187" s="74"/>
      <c r="H187" s="75"/>
      <c r="I187" s="36"/>
    </row>
    <row r="188" spans="1:14" s="37" customFormat="1" ht="15.75" customHeight="1" x14ac:dyDescent="0.25">
      <c r="A188" s="70">
        <f t="shared" si="14"/>
        <v>5</v>
      </c>
      <c r="B188" s="71"/>
      <c r="C188" s="42" t="s">
        <v>243</v>
      </c>
      <c r="D188" s="56">
        <f>(29.93+(1.8*2.95+2.3+2.75))*10.764</f>
        <v>433.68155999999999</v>
      </c>
      <c r="E188" s="56">
        <v>0</v>
      </c>
      <c r="F188" s="42">
        <f>D188*(($F$129)+1)+(IF(E188&lt;101,E188,IF(E188&lt;201,E188/2,IF(E188&lt;=301,E188/3,E188/4))))</f>
        <v>650.52233999999999</v>
      </c>
      <c r="G188" s="76"/>
      <c r="H188" s="77"/>
      <c r="I188" s="36"/>
    </row>
    <row r="189" spans="1:14" s="35" customFormat="1" x14ac:dyDescent="0.25">
      <c r="A189" s="81" t="s">
        <v>246</v>
      </c>
      <c r="B189" s="82"/>
      <c r="C189" s="82"/>
      <c r="D189" s="82"/>
      <c r="E189" s="82"/>
      <c r="F189" s="82"/>
      <c r="G189" s="82"/>
      <c r="H189" s="83"/>
    </row>
    <row r="190" spans="1:14" s="35" customFormat="1" x14ac:dyDescent="0.25">
      <c r="A190" s="70">
        <v>1</v>
      </c>
      <c r="B190" s="71"/>
      <c r="C190" s="42" t="s">
        <v>242</v>
      </c>
      <c r="D190" s="56">
        <f>(49.93+(2.9+2.15+1.05*3.6+1.15*(2.75+2.9)))*10.764</f>
        <v>702.4317299999999</v>
      </c>
      <c r="E190" s="56">
        <v>0</v>
      </c>
      <c r="F190" s="42">
        <f>D190*(($F$129)+1)+(IF(E190&lt;101,E190,IF(E190&lt;201,E190/2,IF(E190&lt;=301,E190/3,E190/4))))</f>
        <v>1053.6475949999999</v>
      </c>
      <c r="G190" s="72" t="str">
        <f>A189</f>
        <v>8th, 13th, 19th &amp; 25th Floor (Part Refuge Area)</v>
      </c>
      <c r="H190" s="73"/>
    </row>
    <row r="191" spans="1:14" s="35" customFormat="1" x14ac:dyDescent="0.25">
      <c r="A191" s="70">
        <f t="shared" ref="A191:A194" si="15">A190+1</f>
        <v>2</v>
      </c>
      <c r="B191" s="71"/>
      <c r="C191" s="42" t="s">
        <v>242</v>
      </c>
      <c r="D191" s="56">
        <f>(49.93+(1.2*2.9+1.25*2.75+1.15*(2.75+2.9)+1.45*2.15))*10.764</f>
        <v>715.40235000000007</v>
      </c>
      <c r="E191" s="56">
        <v>0</v>
      </c>
      <c r="F191" s="42">
        <f>D191*(($F$129)+1)+(IF(E191&lt;101,E191,IF(E191&lt;201,E191/2,IF(E191&lt;=301,E191/3,E191/4))))</f>
        <v>1073.103525</v>
      </c>
      <c r="G191" s="74"/>
      <c r="H191" s="75"/>
    </row>
    <row r="192" spans="1:14" s="35" customFormat="1" x14ac:dyDescent="0.25">
      <c r="A192" s="70">
        <f t="shared" si="15"/>
        <v>3</v>
      </c>
      <c r="B192" s="71"/>
      <c r="C192" s="42" t="s">
        <v>243</v>
      </c>
      <c r="D192" s="56">
        <f>(29.91+(1.8*2.95+2.3+2.75))*10.764</f>
        <v>433.46627999999993</v>
      </c>
      <c r="E192" s="56">
        <v>0</v>
      </c>
      <c r="F192" s="42">
        <f>D192*(($F$129)+1)+(IF(E192&lt;101,E192,IF(E192&lt;201,E192/2,IF(E192&lt;=301,E192/3,E192/4))))</f>
        <v>650.19941999999992</v>
      </c>
      <c r="G192" s="74"/>
      <c r="H192" s="75"/>
    </row>
    <row r="193" spans="1:8" s="35" customFormat="1" x14ac:dyDescent="0.25">
      <c r="A193" s="70">
        <f t="shared" si="15"/>
        <v>4</v>
      </c>
      <c r="B193" s="71"/>
      <c r="C193" s="70" t="s">
        <v>247</v>
      </c>
      <c r="D193" s="216"/>
      <c r="E193" s="216"/>
      <c r="F193" s="71"/>
      <c r="G193" s="74"/>
      <c r="H193" s="75"/>
    </row>
    <row r="194" spans="1:8" s="35" customFormat="1" x14ac:dyDescent="0.25">
      <c r="A194" s="70">
        <f t="shared" si="15"/>
        <v>5</v>
      </c>
      <c r="B194" s="71"/>
      <c r="C194" s="42" t="s">
        <v>243</v>
      </c>
      <c r="D194" s="56">
        <f>(29.93+(1.8*2.95+2.3+2.75))*10.764</f>
        <v>433.68155999999999</v>
      </c>
      <c r="E194" s="56">
        <v>0</v>
      </c>
      <c r="F194" s="42">
        <f>D194*(($F$129)+1)+(IF(E194&lt;101,E194,IF(E194&lt;201,E194/2,IF(E194&lt;=301,E194/3,E194/4))))</f>
        <v>650.52233999999999</v>
      </c>
      <c r="G194" s="76"/>
      <c r="H194" s="77"/>
    </row>
    <row r="195" spans="1:8" s="35" customFormat="1" x14ac:dyDescent="0.25">
      <c r="A195" s="81" t="s">
        <v>248</v>
      </c>
      <c r="B195" s="82"/>
      <c r="C195" s="82"/>
      <c r="D195" s="82"/>
      <c r="E195" s="82"/>
      <c r="F195" s="82"/>
      <c r="G195" s="82"/>
      <c r="H195" s="83"/>
    </row>
    <row r="196" spans="1:8" s="35" customFormat="1" x14ac:dyDescent="0.25">
      <c r="A196" s="215" t="s">
        <v>68</v>
      </c>
      <c r="B196" s="215"/>
      <c r="C196" s="215"/>
      <c r="D196" s="215"/>
      <c r="E196" s="215"/>
      <c r="F196" s="215"/>
      <c r="G196" s="215"/>
      <c r="H196" s="215"/>
    </row>
    <row r="197" spans="1:8" s="35" customFormat="1" x14ac:dyDescent="0.25">
      <c r="A197" s="47" t="s">
        <v>155</v>
      </c>
      <c r="B197" s="132" t="s">
        <v>274</v>
      </c>
      <c r="C197" s="133"/>
      <c r="D197" s="133"/>
      <c r="E197" s="133"/>
      <c r="F197" s="133"/>
      <c r="G197" s="133"/>
      <c r="H197" s="134"/>
    </row>
    <row r="198" spans="1:8" s="35" customFormat="1" x14ac:dyDescent="0.25">
      <c r="A198" s="47" t="s">
        <v>155</v>
      </c>
      <c r="B198" s="132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198" s="133"/>
      <c r="D198" s="133"/>
      <c r="E198" s="133"/>
      <c r="F198" s="133"/>
      <c r="G198" s="133"/>
      <c r="H198" s="134"/>
    </row>
    <row r="199" spans="1:8" hidden="1" x14ac:dyDescent="0.25">
      <c r="A199" s="47" t="s">
        <v>155</v>
      </c>
      <c r="B199" s="132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9" s="133"/>
      <c r="D199" s="133"/>
      <c r="E199" s="133"/>
      <c r="F199" s="133"/>
      <c r="G199" s="133"/>
      <c r="H199" s="134"/>
    </row>
    <row r="200" spans="1:8" x14ac:dyDescent="0.25">
      <c r="A200" s="47" t="s">
        <v>155</v>
      </c>
      <c r="B200" s="67" t="s">
        <v>125</v>
      </c>
      <c r="C200" s="68"/>
      <c r="D200" s="68"/>
      <c r="E200" s="68"/>
      <c r="F200" s="68"/>
      <c r="G200" s="68"/>
      <c r="H200" s="69"/>
    </row>
    <row r="201" spans="1:8" ht="15.75" customHeight="1" x14ac:dyDescent="0.25">
      <c r="A201" s="47" t="s">
        <v>155</v>
      </c>
      <c r="B201" s="67" t="s">
        <v>293</v>
      </c>
      <c r="C201" s="68"/>
      <c r="D201" s="68"/>
      <c r="E201" s="68"/>
      <c r="F201" s="68"/>
      <c r="G201" s="68"/>
      <c r="H201" s="69"/>
    </row>
    <row r="202" spans="1:8" x14ac:dyDescent="0.25">
      <c r="A202" s="47" t="s">
        <v>155</v>
      </c>
      <c r="B202" s="67" t="s">
        <v>154</v>
      </c>
      <c r="C202" s="68"/>
      <c r="D202" s="68"/>
      <c r="E202" s="68"/>
      <c r="F202" s="68"/>
      <c r="G202" s="68"/>
      <c r="H202" s="69"/>
    </row>
    <row r="203" spans="1:8" x14ac:dyDescent="0.25">
      <c r="A203" s="47" t="s">
        <v>155</v>
      </c>
      <c r="B203" s="67" t="s">
        <v>126</v>
      </c>
      <c r="C203" s="68"/>
      <c r="D203" s="68"/>
      <c r="E203" s="68"/>
      <c r="F203" s="68"/>
      <c r="G203" s="68"/>
      <c r="H203" s="69"/>
    </row>
    <row r="204" spans="1:8" x14ac:dyDescent="0.25">
      <c r="A204" s="47" t="s">
        <v>155</v>
      </c>
      <c r="B204" s="67" t="s">
        <v>156</v>
      </c>
      <c r="C204" s="68"/>
      <c r="D204" s="68"/>
      <c r="E204" s="68"/>
      <c r="F204" s="68"/>
      <c r="G204" s="68"/>
      <c r="H204" s="69"/>
    </row>
    <row r="205" spans="1:8" x14ac:dyDescent="0.25">
      <c r="A205" s="63" t="s">
        <v>155</v>
      </c>
      <c r="B205" s="67" t="s">
        <v>127</v>
      </c>
      <c r="C205" s="68"/>
      <c r="D205" s="68"/>
      <c r="E205" s="68"/>
      <c r="F205" s="68"/>
      <c r="G205" s="68"/>
      <c r="H205" s="69"/>
    </row>
    <row r="206" spans="1:8" x14ac:dyDescent="0.25">
      <c r="A206" s="66" t="s">
        <v>155</v>
      </c>
      <c r="B206" s="67" t="s">
        <v>296</v>
      </c>
      <c r="C206" s="68"/>
      <c r="D206" s="68"/>
      <c r="E206" s="68"/>
      <c r="F206" s="68"/>
      <c r="G206" s="68"/>
      <c r="H206" s="69"/>
    </row>
    <row r="207" spans="1:8" x14ac:dyDescent="0.25">
      <c r="A207" s="232" t="s">
        <v>155</v>
      </c>
      <c r="B207" s="233" t="s">
        <v>300</v>
      </c>
      <c r="C207" s="234"/>
      <c r="D207" s="234"/>
      <c r="E207" s="234"/>
      <c r="F207" s="234"/>
      <c r="G207" s="234"/>
      <c r="H207" s="235"/>
    </row>
    <row r="208" spans="1:8" x14ac:dyDescent="0.25">
      <c r="A208" s="155" t="s">
        <v>61</v>
      </c>
      <c r="B208" s="155"/>
      <c r="C208" s="155"/>
      <c r="D208" s="155"/>
      <c r="E208" s="155"/>
      <c r="F208" s="155"/>
      <c r="G208" s="155"/>
      <c r="H208" s="155"/>
    </row>
    <row r="209" spans="1:8" x14ac:dyDescent="0.25">
      <c r="A209" s="116" t="s">
        <v>62</v>
      </c>
      <c r="B209" s="116"/>
      <c r="C209" s="116"/>
      <c r="D209" s="116"/>
      <c r="E209" s="116"/>
      <c r="F209" s="116"/>
      <c r="G209" s="116"/>
      <c r="H209" s="116"/>
    </row>
    <row r="210" spans="1:8" x14ac:dyDescent="0.25">
      <c r="A210" s="171" t="s">
        <v>63</v>
      </c>
      <c r="B210" s="171"/>
      <c r="C210" s="171"/>
      <c r="D210" s="171"/>
      <c r="E210" s="171"/>
      <c r="F210" s="171"/>
      <c r="G210" s="171"/>
      <c r="H210" s="171"/>
    </row>
    <row r="211" spans="1:8" x14ac:dyDescent="0.25">
      <c r="A211" s="116" t="s">
        <v>64</v>
      </c>
      <c r="B211" s="116"/>
      <c r="C211" s="116"/>
      <c r="D211" s="116"/>
      <c r="E211" s="116"/>
      <c r="F211" s="116"/>
      <c r="G211" s="116"/>
      <c r="H211" s="116"/>
    </row>
    <row r="212" spans="1:8" x14ac:dyDescent="0.25">
      <c r="A212" s="116" t="s">
        <v>65</v>
      </c>
      <c r="B212" s="116"/>
      <c r="C212" s="116"/>
      <c r="D212" s="116"/>
      <c r="E212" s="116"/>
      <c r="F212" s="116"/>
      <c r="G212" s="116"/>
      <c r="H212" s="116"/>
    </row>
    <row r="213" spans="1:8" x14ac:dyDescent="0.25">
      <c r="A213" s="116" t="s">
        <v>128</v>
      </c>
      <c r="B213" s="116"/>
      <c r="C213" s="116"/>
      <c r="D213" s="116"/>
      <c r="E213" s="116"/>
      <c r="F213" s="116"/>
      <c r="G213" s="116"/>
      <c r="H213" s="116"/>
    </row>
    <row r="214" spans="1:8" x14ac:dyDescent="0.25">
      <c r="A214" s="149" t="s">
        <v>129</v>
      </c>
      <c r="B214" s="149"/>
      <c r="C214" s="149"/>
      <c r="D214" s="149"/>
      <c r="E214" s="149"/>
      <c r="F214" s="149"/>
      <c r="G214" s="149"/>
      <c r="H214" s="149"/>
    </row>
    <row r="215" spans="1:8" ht="15" customHeight="1" x14ac:dyDescent="0.25">
      <c r="A215" s="180" t="s">
        <v>77</v>
      </c>
      <c r="B215" s="180"/>
      <c r="C215" s="180" t="s">
        <v>237</v>
      </c>
      <c r="D215" s="180"/>
      <c r="E215" s="180" t="s">
        <v>107</v>
      </c>
      <c r="F215" s="180"/>
      <c r="G215" s="180" t="s">
        <v>271</v>
      </c>
      <c r="H215" s="180"/>
    </row>
    <row r="216" spans="1:8" x14ac:dyDescent="0.25">
      <c r="A216" s="179" t="s">
        <v>79</v>
      </c>
      <c r="B216" s="179"/>
      <c r="C216" s="179"/>
      <c r="D216" s="179"/>
      <c r="E216" s="179"/>
      <c r="F216" s="179"/>
      <c r="G216" s="179"/>
      <c r="H216" s="179"/>
    </row>
    <row r="217" spans="1:8" x14ac:dyDescent="0.25">
      <c r="A217" s="179"/>
      <c r="B217" s="179"/>
      <c r="C217" s="179"/>
      <c r="D217" s="179"/>
      <c r="E217" s="179"/>
      <c r="F217" s="179"/>
      <c r="G217" s="179"/>
      <c r="H217" s="179"/>
    </row>
    <row r="218" spans="1:8" x14ac:dyDescent="0.25">
      <c r="A218" s="179"/>
      <c r="B218" s="179"/>
      <c r="C218" s="179"/>
      <c r="D218" s="179"/>
      <c r="E218" s="179"/>
      <c r="F218" s="179"/>
      <c r="G218" s="179"/>
      <c r="H218" s="179"/>
    </row>
    <row r="219" spans="1:8" x14ac:dyDescent="0.25">
      <c r="A219" s="179"/>
      <c r="B219" s="179"/>
      <c r="C219" s="179"/>
      <c r="D219" s="179"/>
      <c r="E219" s="179"/>
      <c r="F219" s="179"/>
      <c r="G219" s="179"/>
      <c r="H219" s="179"/>
    </row>
    <row r="220" spans="1:8" x14ac:dyDescent="0.25">
      <c r="A220" s="38" t="s">
        <v>66</v>
      </c>
      <c r="B220" s="39"/>
      <c r="C220" s="39"/>
      <c r="D220" s="38" t="str">
        <f>E8</f>
        <v>Ornate Serenity</v>
      </c>
      <c r="F220" s="39"/>
      <c r="G220" s="39"/>
      <c r="H220" s="39"/>
    </row>
    <row r="221" spans="1:8" x14ac:dyDescent="0.25">
      <c r="A221" s="39"/>
      <c r="B221" s="39"/>
      <c r="C221" s="39"/>
      <c r="D221" s="39"/>
      <c r="E221" s="39"/>
      <c r="F221" s="39"/>
      <c r="G221" s="39"/>
      <c r="H221" s="39"/>
    </row>
    <row r="222" spans="1:8" x14ac:dyDescent="0.25">
      <c r="A222" s="39"/>
      <c r="B222" s="39"/>
      <c r="C222" s="39"/>
      <c r="D222" s="39"/>
      <c r="E222" s="39"/>
      <c r="F222" s="39"/>
      <c r="G222" s="39"/>
      <c r="H222" s="39"/>
    </row>
    <row r="235" spans="9:9" x14ac:dyDescent="0.25">
      <c r="I235"/>
    </row>
    <row r="260" spans="1:1" x14ac:dyDescent="0.25">
      <c r="A260" s="41" t="s">
        <v>166</v>
      </c>
    </row>
    <row r="302" spans="1:1" x14ac:dyDescent="0.25">
      <c r="A302" s="41" t="s">
        <v>67</v>
      </c>
    </row>
  </sheetData>
  <mergeCells count="390">
    <mergeCell ref="B206:H206"/>
    <mergeCell ref="J41:M41"/>
    <mergeCell ref="J42:M42"/>
    <mergeCell ref="J43:M43"/>
    <mergeCell ref="J44:M44"/>
    <mergeCell ref="J45:M45"/>
    <mergeCell ref="J46:M46"/>
    <mergeCell ref="A97:E97"/>
    <mergeCell ref="A94:E94"/>
    <mergeCell ref="F98:H98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A83:B83"/>
    <mergeCell ref="E83:F83"/>
    <mergeCell ref="A39:B39"/>
    <mergeCell ref="C39:H39"/>
    <mergeCell ref="B204:H204"/>
    <mergeCell ref="A48:B48"/>
    <mergeCell ref="C48:H48"/>
    <mergeCell ref="B202:H202"/>
    <mergeCell ref="F96:H96"/>
    <mergeCell ref="A96:E96"/>
    <mergeCell ref="D121:D122"/>
    <mergeCell ref="A98:E98"/>
    <mergeCell ref="C112:D112"/>
    <mergeCell ref="E112:F112"/>
    <mergeCell ref="G112:H112"/>
    <mergeCell ref="C110:D110"/>
    <mergeCell ref="E110:F110"/>
    <mergeCell ref="B121:B122"/>
    <mergeCell ref="A121:A122"/>
    <mergeCell ref="C128:C129"/>
    <mergeCell ref="A72:B72"/>
    <mergeCell ref="A68:B68"/>
    <mergeCell ref="A66:B66"/>
    <mergeCell ref="A169:H169"/>
    <mergeCell ref="A118:B118"/>
    <mergeCell ref="C118:D118"/>
    <mergeCell ref="L173:M173"/>
    <mergeCell ref="B200:H200"/>
    <mergeCell ref="B201:H201"/>
    <mergeCell ref="A196:H196"/>
    <mergeCell ref="A192:B192"/>
    <mergeCell ref="A193:B193"/>
    <mergeCell ref="A175:B175"/>
    <mergeCell ref="A190:B190"/>
    <mergeCell ref="A191:B191"/>
    <mergeCell ref="A180:B180"/>
    <mergeCell ref="L175:M175"/>
    <mergeCell ref="A195:H195"/>
    <mergeCell ref="A188:B188"/>
    <mergeCell ref="G178:H182"/>
    <mergeCell ref="G172:H176"/>
    <mergeCell ref="G184:H188"/>
    <mergeCell ref="A189:H189"/>
    <mergeCell ref="G190:H194"/>
    <mergeCell ref="A194:B194"/>
    <mergeCell ref="C193:F193"/>
    <mergeCell ref="A174:B174"/>
    <mergeCell ref="L172:M172"/>
    <mergeCell ref="L174:M174"/>
    <mergeCell ref="B197:H197"/>
    <mergeCell ref="L171:M171"/>
    <mergeCell ref="A173:B173"/>
    <mergeCell ref="A38:B38"/>
    <mergeCell ref="C38:H38"/>
    <mergeCell ref="A45:D45"/>
    <mergeCell ref="L127:M127"/>
    <mergeCell ref="L126:M126"/>
    <mergeCell ref="L125:M125"/>
    <mergeCell ref="L124:M124"/>
    <mergeCell ref="A77:B77"/>
    <mergeCell ref="C116:D116"/>
    <mergeCell ref="E116:F116"/>
    <mergeCell ref="G116:H116"/>
    <mergeCell ref="F101:H101"/>
    <mergeCell ref="A95:E95"/>
    <mergeCell ref="A123:H123"/>
    <mergeCell ref="E121:E122"/>
    <mergeCell ref="G121:H122"/>
    <mergeCell ref="A105:E105"/>
    <mergeCell ref="G117:H117"/>
    <mergeCell ref="C111:D111"/>
    <mergeCell ref="E111:F111"/>
    <mergeCell ref="G111:H111"/>
    <mergeCell ref="A76:B76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C50:E50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16:H219"/>
    <mergeCell ref="A215:B215"/>
    <mergeCell ref="E215:F215"/>
    <mergeCell ref="C215:D215"/>
    <mergeCell ref="G215:H215"/>
    <mergeCell ref="A108:H108"/>
    <mergeCell ref="A106:E106"/>
    <mergeCell ref="F106:H106"/>
    <mergeCell ref="A107:E107"/>
    <mergeCell ref="F107:H107"/>
    <mergeCell ref="A116:B116"/>
    <mergeCell ref="A185:B185"/>
    <mergeCell ref="A110:B110"/>
    <mergeCell ref="A211:H211"/>
    <mergeCell ref="A113:H113"/>
    <mergeCell ref="A214:H214"/>
    <mergeCell ref="A212:H212"/>
    <mergeCell ref="A208:H208"/>
    <mergeCell ref="G114:H114"/>
    <mergeCell ref="A187:B187"/>
    <mergeCell ref="C121:C122"/>
    <mergeCell ref="B128:B129"/>
    <mergeCell ref="A181:B181"/>
    <mergeCell ref="A178:B178"/>
    <mergeCell ref="A213:H213"/>
    <mergeCell ref="A210:H210"/>
    <mergeCell ref="A114:B114"/>
    <mergeCell ref="D128:D129"/>
    <mergeCell ref="E128:E129"/>
    <mergeCell ref="G128:H129"/>
    <mergeCell ref="F95:H95"/>
    <mergeCell ref="G110:H110"/>
    <mergeCell ref="F102:H102"/>
    <mergeCell ref="C109:D109"/>
    <mergeCell ref="C117:D117"/>
    <mergeCell ref="A170:H170"/>
    <mergeCell ref="A186:B186"/>
    <mergeCell ref="A124:B124"/>
    <mergeCell ref="A209:H209"/>
    <mergeCell ref="E114:F114"/>
    <mergeCell ref="B207:H207"/>
    <mergeCell ref="G126:H126"/>
    <mergeCell ref="G124:H124"/>
    <mergeCell ref="G125:H125"/>
    <mergeCell ref="G127:H127"/>
    <mergeCell ref="B203:H203"/>
    <mergeCell ref="B199:H199"/>
    <mergeCell ref="A119:H119"/>
    <mergeCell ref="F99:H99"/>
    <mergeCell ref="A69:B69"/>
    <mergeCell ref="A99:E99"/>
    <mergeCell ref="A117:B117"/>
    <mergeCell ref="E117:F117"/>
    <mergeCell ref="A80:B80"/>
    <mergeCell ref="C80:H80"/>
    <mergeCell ref="A82:B82"/>
    <mergeCell ref="C82:H82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G115:H115"/>
    <mergeCell ref="A115:B115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B198:H198"/>
    <mergeCell ref="A128:A129"/>
    <mergeCell ref="D64:H64"/>
    <mergeCell ref="A70:B70"/>
    <mergeCell ref="I14:P14"/>
    <mergeCell ref="F105:H105"/>
    <mergeCell ref="F103:H103"/>
    <mergeCell ref="A184:B184"/>
    <mergeCell ref="A120:H120"/>
    <mergeCell ref="G109:H109"/>
    <mergeCell ref="A104:E104"/>
    <mergeCell ref="A125:B125"/>
    <mergeCell ref="A53:B53"/>
    <mergeCell ref="C53:E53"/>
    <mergeCell ref="D55:H55"/>
    <mergeCell ref="F104:H104"/>
    <mergeCell ref="E109:F109"/>
    <mergeCell ref="A109:B109"/>
    <mergeCell ref="A111:B111"/>
    <mergeCell ref="C114:D114"/>
    <mergeCell ref="D63:H63"/>
    <mergeCell ref="A64:C64"/>
    <mergeCell ref="G69:H69"/>
    <mergeCell ref="F94:H94"/>
    <mergeCell ref="A172:B172"/>
    <mergeCell ref="A127:B127"/>
    <mergeCell ref="C52:H52"/>
    <mergeCell ref="A171:H171"/>
    <mergeCell ref="A176:B176"/>
    <mergeCell ref="A177:H177"/>
    <mergeCell ref="A182:B182"/>
    <mergeCell ref="A183:H183"/>
    <mergeCell ref="C51:E51"/>
    <mergeCell ref="A58:C58"/>
    <mergeCell ref="D58:H58"/>
    <mergeCell ref="A126:B126"/>
    <mergeCell ref="A100:E100"/>
    <mergeCell ref="F100:H100"/>
    <mergeCell ref="A101:E101"/>
    <mergeCell ref="A103:E103"/>
    <mergeCell ref="F97:H97"/>
    <mergeCell ref="A102:E102"/>
    <mergeCell ref="E70:F79"/>
    <mergeCell ref="G70:H79"/>
    <mergeCell ref="A78:B78"/>
    <mergeCell ref="A79:B79"/>
    <mergeCell ref="A179:B179"/>
    <mergeCell ref="A112:B112"/>
    <mergeCell ref="A144:B144"/>
    <mergeCell ref="A145:B145"/>
    <mergeCell ref="A146:B146"/>
    <mergeCell ref="A147:B147"/>
    <mergeCell ref="A148:B148"/>
    <mergeCell ref="A149:B149"/>
    <mergeCell ref="D142:F143"/>
    <mergeCell ref="A140:B140"/>
    <mergeCell ref="A141:H141"/>
    <mergeCell ref="A142:B142"/>
    <mergeCell ref="A143:B143"/>
    <mergeCell ref="C115:D115"/>
    <mergeCell ref="E115:F115"/>
    <mergeCell ref="A135:B135"/>
    <mergeCell ref="A136:B136"/>
    <mergeCell ref="A137:B137"/>
    <mergeCell ref="A138:B138"/>
    <mergeCell ref="L138:M138"/>
    <mergeCell ref="A139:B139"/>
    <mergeCell ref="L139:M139"/>
    <mergeCell ref="G133:H140"/>
    <mergeCell ref="L135:M135"/>
    <mergeCell ref="L136:M136"/>
    <mergeCell ref="E118:F118"/>
    <mergeCell ref="G118:H118"/>
    <mergeCell ref="A130:H130"/>
    <mergeCell ref="A131:H131"/>
    <mergeCell ref="A132:H132"/>
    <mergeCell ref="L132:M132"/>
    <mergeCell ref="A133:B133"/>
    <mergeCell ref="L133:M133"/>
    <mergeCell ref="A134:B134"/>
    <mergeCell ref="L134:M134"/>
    <mergeCell ref="D133:F135"/>
    <mergeCell ref="B205:H205"/>
    <mergeCell ref="A158:B158"/>
    <mergeCell ref="A165:B165"/>
    <mergeCell ref="A166:B166"/>
    <mergeCell ref="A167:B167"/>
    <mergeCell ref="G142:H149"/>
    <mergeCell ref="G151:H158"/>
    <mergeCell ref="G160:H167"/>
    <mergeCell ref="D162:F162"/>
    <mergeCell ref="A168:H168"/>
    <mergeCell ref="A150:H150"/>
    <mergeCell ref="A151:B151"/>
    <mergeCell ref="A152:B152"/>
    <mergeCell ref="A153:B153"/>
    <mergeCell ref="A154:B154"/>
    <mergeCell ref="A155:B155"/>
    <mergeCell ref="A156:B156"/>
    <mergeCell ref="A157:B157"/>
    <mergeCell ref="A159:H159"/>
    <mergeCell ref="A160:B160"/>
    <mergeCell ref="A161:B161"/>
    <mergeCell ref="A162:B162"/>
    <mergeCell ref="A163:B163"/>
    <mergeCell ref="A164:B16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No,Old Survey No."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1:E122">
      <formula1>"Attached Loft area,Attached Terrace area,Attached Mezzanine area"</formula1>
    </dataValidation>
    <dataValidation type="list" allowBlank="1" showInputMessage="1" showErrorMessage="1" sqref="F122 F129">
      <formula1>"45%,50%,55%,60%"</formula1>
    </dataValidation>
    <dataValidation type="list" allowBlank="1" showInputMessage="1" showErrorMessage="1" sqref="G215:H215">
      <formula1>"Kunal Kadam,Shruti Tathare,Pranita Mhatre,Shruti Fule,Pooja Kawale,Mansee Mohite,Anjali Kamble, Hitakshi Mhatre, Sachin Sawant"</formula1>
    </dataValidation>
    <dataValidation type="list" allowBlank="1" showInputMessage="1" showErrorMessage="1" sqref="F94:H94">
      <formula1>"On Saleable Area,On Builtup Area,On Carpet Area,On Plot Area"</formula1>
    </dataValidation>
    <dataValidation type="list" allowBlank="1" showInputMessage="1" showErrorMessage="1" sqref="F106:H106">
      <formula1>"100000,150000,200000,250000,300000,350000,400000,500000,600000,700000,800000,900000,1000000,1200000,1400000,1500000"</formula1>
    </dataValidation>
    <dataValidation type="list" allowBlank="1" showInputMessage="1" showErrorMessage="1" sqref="F121 F128">
      <formula1>"Saleable area Loading :,Builder Saleable area"</formula1>
    </dataValidation>
    <dataValidation type="list" allowBlank="1" showInputMessage="1" showErrorMessage="1" sqref="B121:B122">
      <formula1>"Shop No. (Sale Plan),Sale / Rehab,Sale / Mhada"</formula1>
    </dataValidation>
    <dataValidation type="list" allowBlank="1" showInputMessage="1" showErrorMessage="1" sqref="B128:B12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K169" display="https://www.google.com/search?gs_ssp=eJzj4tVP1zc0zC7MMC1LLsoxYLRSNagwTko1T0wzS04yMbJINE4xtDKoSDFLMbE0SrQwNjdKTrawSPTizy_KSyxJVShOLUrNyyypBAD5PBYh&amp;q=ornate+serenity&amp;rlz=1C1FKPE_enIN983IN983&amp;oq=OR&amp;gs_lcrp=EgZjaHJvbWUqEggBEC4YJxivARjHARiABBiKBTIPCAAQIxgnGOMC"/>
    <hyperlink ref="K130" display="https://www.google.com/search?gs_ssp=eJzj4tVP1zc0zC7MMC1LLsoxYLRSNagwTko1T0wzS04yMbJINE4xtDKoSDFLMbE0SrQwNjdKTrawSPTizy_KSyxJVShOLUrNyyypBAD5PBYh&amp;q=ornate+serenity&amp;rlz=1C1FKPE_enIN983IN983&amp;oq=OR&amp;gs_lcrp=EgZjaHJvbWUqEggBEC4YJxivARjHARiABBiKBTIPCAAQIxgnGOMC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9" max="16383" man="1"/>
    <brk id="259" max="16383" man="1"/>
    <brk id="30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82" zoomScale="85" zoomScaleNormal="85" workbookViewId="0">
      <selection activeCell="L74" sqref="L74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1" t="s">
        <v>108</v>
      </c>
      <c r="C3" s="231"/>
      <c r="D3" s="231"/>
      <c r="E3" s="231"/>
      <c r="F3" s="231"/>
      <c r="G3" s="231"/>
      <c r="H3" s="231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4"/>
      <c r="C4" s="54" t="s">
        <v>12</v>
      </c>
      <c r="D4" s="55" t="s">
        <v>179</v>
      </c>
      <c r="E4" s="55" t="s">
        <v>189</v>
      </c>
      <c r="F4" s="55" t="s">
        <v>174</v>
      </c>
      <c r="G4" s="55" t="s">
        <v>194</v>
      </c>
      <c r="H4" s="55" t="s">
        <v>212</v>
      </c>
      <c r="J4" t="s">
        <v>194</v>
      </c>
      <c r="K4" t="s">
        <v>210</v>
      </c>
    </row>
    <row r="5" spans="2:11" x14ac:dyDescent="0.25">
      <c r="B5" s="54"/>
      <c r="C5" s="54"/>
      <c r="D5" s="55" t="s">
        <v>180</v>
      </c>
      <c r="E5" s="55" t="s">
        <v>187</v>
      </c>
      <c r="F5" s="55" t="s">
        <v>209</v>
      </c>
      <c r="G5" s="55" t="s">
        <v>195</v>
      </c>
      <c r="H5" s="55" t="s">
        <v>213</v>
      </c>
    </row>
    <row r="6" spans="2:11" x14ac:dyDescent="0.25">
      <c r="B6" s="54"/>
      <c r="C6" s="54"/>
      <c r="D6" s="55" t="s">
        <v>181</v>
      </c>
      <c r="E6" s="55" t="s">
        <v>188</v>
      </c>
      <c r="F6" s="55" t="s">
        <v>210</v>
      </c>
      <c r="G6" s="55" t="s">
        <v>196</v>
      </c>
      <c r="H6" s="55" t="s">
        <v>226</v>
      </c>
    </row>
    <row r="7" spans="2:11" x14ac:dyDescent="0.25">
      <c r="B7" s="54"/>
      <c r="C7" s="54"/>
      <c r="D7" s="55" t="s">
        <v>182</v>
      </c>
      <c r="E7" s="55" t="s">
        <v>190</v>
      </c>
      <c r="F7" s="55" t="s">
        <v>211</v>
      </c>
      <c r="G7" s="55" t="s">
        <v>197</v>
      </c>
      <c r="H7" s="55" t="s">
        <v>214</v>
      </c>
    </row>
    <row r="8" spans="2:11" x14ac:dyDescent="0.25">
      <c r="B8" s="54"/>
      <c r="C8" s="54"/>
      <c r="D8" s="55" t="s">
        <v>183</v>
      </c>
      <c r="E8" s="55" t="s">
        <v>191</v>
      </c>
      <c r="F8" s="55"/>
      <c r="G8" s="55" t="s">
        <v>198</v>
      </c>
      <c r="H8" s="55" t="s">
        <v>215</v>
      </c>
    </row>
    <row r="9" spans="2:11" x14ac:dyDescent="0.25">
      <c r="B9" s="54"/>
      <c r="C9" s="54"/>
      <c r="D9" s="55" t="s">
        <v>184</v>
      </c>
      <c r="E9" s="55" t="s">
        <v>189</v>
      </c>
      <c r="F9" s="55"/>
      <c r="G9" s="55" t="s">
        <v>199</v>
      </c>
      <c r="H9" s="55" t="s">
        <v>216</v>
      </c>
    </row>
    <row r="10" spans="2:11" x14ac:dyDescent="0.25">
      <c r="B10" s="54"/>
      <c r="C10" s="54"/>
      <c r="D10" s="55" t="s">
        <v>185</v>
      </c>
      <c r="E10" s="55" t="s">
        <v>192</v>
      </c>
      <c r="F10" s="55"/>
      <c r="G10" s="55" t="s">
        <v>200</v>
      </c>
      <c r="H10" s="55" t="s">
        <v>217</v>
      </c>
    </row>
    <row r="11" spans="2:11" x14ac:dyDescent="0.25">
      <c r="B11" s="54"/>
      <c r="C11" s="54"/>
      <c r="D11" s="55" t="s">
        <v>186</v>
      </c>
      <c r="E11" s="55" t="s">
        <v>193</v>
      </c>
      <c r="F11" s="55"/>
      <c r="G11" s="55" t="s">
        <v>201</v>
      </c>
      <c r="H11" s="55" t="s">
        <v>218</v>
      </c>
    </row>
    <row r="12" spans="2:11" x14ac:dyDescent="0.25">
      <c r="B12" s="54"/>
      <c r="C12" s="54"/>
      <c r="D12" s="55"/>
      <c r="E12" s="55"/>
      <c r="F12" s="55"/>
      <c r="G12" s="55" t="s">
        <v>202</v>
      </c>
      <c r="H12" s="55" t="s">
        <v>219</v>
      </c>
    </row>
    <row r="13" spans="2:11" x14ac:dyDescent="0.25">
      <c r="B13" s="54"/>
      <c r="C13" s="54"/>
      <c r="D13" s="55"/>
      <c r="E13" s="55"/>
      <c r="F13" s="55"/>
      <c r="G13" s="55" t="s">
        <v>203</v>
      </c>
      <c r="H13" s="55" t="s">
        <v>220</v>
      </c>
    </row>
    <row r="14" spans="2:11" x14ac:dyDescent="0.25">
      <c r="B14" s="54"/>
      <c r="C14" s="54"/>
      <c r="D14" s="55"/>
      <c r="E14" s="55"/>
      <c r="F14" s="55"/>
      <c r="G14" s="55" t="s">
        <v>204</v>
      </c>
      <c r="H14" s="55" t="s">
        <v>221</v>
      </c>
    </row>
    <row r="15" spans="2:11" x14ac:dyDescent="0.25">
      <c r="B15" s="54"/>
      <c r="C15" s="54"/>
      <c r="D15" s="55"/>
      <c r="E15" s="55"/>
      <c r="F15" s="55"/>
      <c r="G15" s="55" t="s">
        <v>205</v>
      </c>
      <c r="H15" s="55" t="s">
        <v>222</v>
      </c>
    </row>
    <row r="16" spans="2:11" x14ac:dyDescent="0.25">
      <c r="B16" s="54"/>
      <c r="C16" s="54"/>
      <c r="D16" s="55"/>
      <c r="E16" s="55"/>
      <c r="F16" s="55"/>
      <c r="G16" s="55" t="s">
        <v>206</v>
      </c>
      <c r="H16" s="55" t="s">
        <v>223</v>
      </c>
    </row>
    <row r="17" spans="2:8" x14ac:dyDescent="0.25">
      <c r="B17" s="54"/>
      <c r="C17" s="54"/>
      <c r="D17" s="55"/>
      <c r="E17" s="55"/>
      <c r="F17" s="55"/>
      <c r="G17" s="55" t="s">
        <v>207</v>
      </c>
      <c r="H17" s="55" t="s">
        <v>224</v>
      </c>
    </row>
    <row r="18" spans="2:8" x14ac:dyDescent="0.25">
      <c r="B18" s="54"/>
      <c r="C18" s="54"/>
      <c r="D18" s="55"/>
      <c r="E18" s="55"/>
      <c r="F18" s="55"/>
      <c r="G18" s="55" t="s">
        <v>208</v>
      </c>
      <c r="H18" s="55" t="s">
        <v>225</v>
      </c>
    </row>
    <row r="24" spans="2:8" x14ac:dyDescent="0.25">
      <c r="C24" t="s">
        <v>171</v>
      </c>
    </row>
    <row r="25" spans="2:8" x14ac:dyDescent="0.25">
      <c r="C25" t="s">
        <v>227</v>
      </c>
    </row>
    <row r="26" spans="2:8" x14ac:dyDescent="0.25">
      <c r="C26" t="s">
        <v>228</v>
      </c>
    </row>
    <row r="27" spans="2:8" x14ac:dyDescent="0.25">
      <c r="C27" t="s">
        <v>229</v>
      </c>
    </row>
    <row r="28" spans="2:8" x14ac:dyDescent="0.25">
      <c r="C28" t="s">
        <v>230</v>
      </c>
    </row>
    <row r="29" spans="2:8" x14ac:dyDescent="0.25">
      <c r="C29" t="s">
        <v>231</v>
      </c>
    </row>
    <row r="30" spans="2:8" x14ac:dyDescent="0.25">
      <c r="C30" t="s">
        <v>171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2025-09-11T07:11:53Z</cp:lastPrinted>
  <dcterms:created xsi:type="dcterms:W3CDTF">2019-07-16T09:29:46Z</dcterms:created>
  <dcterms:modified xsi:type="dcterms:W3CDTF">2025-09-23T09:14:56Z</dcterms:modified>
</cp:coreProperties>
</file>