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Godrej\20789 - Green Square phase II Tower 1 And 3\"/>
    </mc:Choice>
  </mc:AlternateContent>
  <xr:revisionPtr revIDLastSave="0" documentId="13_ncr:1_{D4105D09-47F9-4FD8-8809-AF50842EF328}"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Report!$A$1:$H$338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4" i="3" l="1"/>
  <c r="M174" i="3"/>
  <c r="L174" i="3"/>
  <c r="D214" i="3"/>
  <c r="J113" i="3"/>
  <c r="I166" i="3"/>
  <c r="I142" i="3"/>
  <c r="F204" i="3"/>
  <c r="E204" i="3"/>
  <c r="F203" i="3"/>
  <c r="E203" i="3"/>
  <c r="F202" i="3"/>
  <c r="E202" i="3"/>
  <c r="F201" i="3"/>
  <c r="E201" i="3"/>
  <c r="F200" i="3"/>
  <c r="E200" i="3"/>
  <c r="H200" i="3" s="1"/>
  <c r="F199" i="3"/>
  <c r="E199" i="3"/>
  <c r="F191" i="3"/>
  <c r="E191" i="3"/>
  <c r="F190" i="3"/>
  <c r="E190" i="3"/>
  <c r="F189" i="3"/>
  <c r="E189" i="3"/>
  <c r="F188" i="3"/>
  <c r="E188" i="3"/>
  <c r="F187" i="3"/>
  <c r="E187" i="3"/>
  <c r="F186" i="3"/>
  <c r="E186" i="3"/>
  <c r="F185" i="3"/>
  <c r="E185" i="3"/>
  <c r="F184" i="3"/>
  <c r="E184" i="3"/>
  <c r="F183" i="3"/>
  <c r="E183" i="3"/>
  <c r="F181" i="3"/>
  <c r="E181" i="3"/>
  <c r="F180" i="3"/>
  <c r="E180" i="3"/>
  <c r="F178" i="3"/>
  <c r="E178" i="3"/>
  <c r="F177" i="3"/>
  <c r="E177" i="3"/>
  <c r="F176" i="3"/>
  <c r="E176" i="3"/>
  <c r="F175" i="3"/>
  <c r="E175" i="3"/>
  <c r="F174" i="3"/>
  <c r="E174" i="3"/>
  <c r="F173" i="3"/>
  <c r="E173" i="3"/>
  <c r="F172" i="3"/>
  <c r="E172" i="3"/>
  <c r="F171" i="3"/>
  <c r="E171" i="3"/>
  <c r="F170" i="3"/>
  <c r="E170" i="3"/>
  <c r="F169" i="3"/>
  <c r="E169" i="3"/>
  <c r="F168" i="3"/>
  <c r="E168" i="3"/>
  <c r="F167" i="3"/>
  <c r="E167" i="3"/>
  <c r="F163" i="3"/>
  <c r="E163" i="3"/>
  <c r="F162" i="3"/>
  <c r="E162" i="3"/>
  <c r="F161" i="3"/>
  <c r="E161" i="3"/>
  <c r="F160" i="3"/>
  <c r="E160" i="3"/>
  <c r="H160" i="3" s="1"/>
  <c r="F159" i="3"/>
  <c r="E159" i="3"/>
  <c r="F158" i="3"/>
  <c r="E158" i="3"/>
  <c r="F157" i="3"/>
  <c r="E157" i="3"/>
  <c r="F155" i="3"/>
  <c r="E155" i="3"/>
  <c r="F154" i="3"/>
  <c r="E154" i="3"/>
  <c r="F152" i="3"/>
  <c r="E152" i="3"/>
  <c r="F151" i="3"/>
  <c r="E151" i="3"/>
  <c r="F150" i="3"/>
  <c r="E150" i="3"/>
  <c r="F149" i="3"/>
  <c r="E149" i="3"/>
  <c r="F148" i="3"/>
  <c r="E148" i="3"/>
  <c r="F147" i="3"/>
  <c r="E147" i="3"/>
  <c r="F146" i="3"/>
  <c r="E146" i="3"/>
  <c r="E145" i="3"/>
  <c r="F144" i="3"/>
  <c r="E144" i="3"/>
  <c r="F143" i="3"/>
  <c r="E143" i="3"/>
  <c r="E141" i="3"/>
  <c r="E140" i="3"/>
  <c r="E139" i="3"/>
  <c r="E138" i="3"/>
  <c r="E137" i="3"/>
  <c r="E136" i="3"/>
  <c r="E135" i="3"/>
  <c r="E134" i="3"/>
  <c r="E133" i="3"/>
  <c r="E132" i="3"/>
  <c r="H204" i="3"/>
  <c r="H199" i="3"/>
  <c r="A194" i="3"/>
  <c r="A195" i="3" s="1"/>
  <c r="A196" i="3" s="1"/>
  <c r="A197" i="3" s="1"/>
  <c r="A198" i="3" s="1"/>
  <c r="A199" i="3" s="1"/>
  <c r="A200" i="3" s="1"/>
  <c r="A201" i="3" s="1"/>
  <c r="A202" i="3" s="1"/>
  <c r="A203" i="3" s="1"/>
  <c r="A204" i="3" s="1"/>
  <c r="A181" i="3"/>
  <c r="A182" i="3" s="1"/>
  <c r="A183" i="3" s="1"/>
  <c r="A184" i="3" s="1"/>
  <c r="A185" i="3" s="1"/>
  <c r="A186" i="3" s="1"/>
  <c r="A187" i="3" s="1"/>
  <c r="A188" i="3" s="1"/>
  <c r="A189" i="3" s="1"/>
  <c r="A190" i="3" s="1"/>
  <c r="A191" i="3" s="1"/>
  <c r="A168" i="3"/>
  <c r="A169" i="3" s="1"/>
  <c r="A170" i="3" s="1"/>
  <c r="A171" i="3" s="1"/>
  <c r="A172" i="3" s="1"/>
  <c r="A173" i="3" s="1"/>
  <c r="A174" i="3" s="1"/>
  <c r="A175" i="3" s="1"/>
  <c r="A176" i="3" s="1"/>
  <c r="A177" i="3" s="1"/>
  <c r="A178" i="3" s="1"/>
  <c r="A155" i="3"/>
  <c r="A156" i="3" s="1"/>
  <c r="A157" i="3" s="1"/>
  <c r="A158" i="3" s="1"/>
  <c r="A159" i="3" s="1"/>
  <c r="A160" i="3" s="1"/>
  <c r="A161" i="3" s="1"/>
  <c r="A162" i="3" s="1"/>
  <c r="A163" i="3" s="1"/>
  <c r="A144" i="3"/>
  <c r="A145" i="3" s="1"/>
  <c r="A146" i="3" s="1"/>
  <c r="A147" i="3" s="1"/>
  <c r="A148" i="3" s="1"/>
  <c r="A149" i="3" s="1"/>
  <c r="A150" i="3" s="1"/>
  <c r="A151" i="3" s="1"/>
  <c r="A152" i="3" s="1"/>
  <c r="J134" i="3"/>
  <c r="J132" i="3"/>
  <c r="H141" i="3"/>
  <c r="H140" i="3"/>
  <c r="U193" i="3"/>
  <c r="V154" i="3"/>
  <c r="U154" i="3"/>
  <c r="V180" i="3"/>
  <c r="V193" i="3"/>
  <c r="U180" i="3"/>
  <c r="H154" i="3" l="1"/>
  <c r="H178" i="3"/>
  <c r="H188" i="3"/>
  <c r="H203" i="3"/>
  <c r="H177" i="3"/>
  <c r="H183" i="3"/>
  <c r="H187" i="3"/>
  <c r="L187" i="3" s="1"/>
  <c r="H202" i="3"/>
  <c r="E125" i="3"/>
  <c r="E121" i="3"/>
  <c r="H176" i="3"/>
  <c r="H186" i="3"/>
  <c r="H201" i="3"/>
  <c r="E124" i="3"/>
  <c r="H180" i="3"/>
  <c r="H190" i="3"/>
  <c r="U194" i="3"/>
  <c r="T193" i="3"/>
  <c r="V194" i="3"/>
  <c r="V195" i="3" s="1"/>
  <c r="V196" i="3" s="1"/>
  <c r="V197" i="3" s="1"/>
  <c r="V198" i="3" s="1"/>
  <c r="V199" i="3" s="1"/>
  <c r="V200" i="3" s="1"/>
  <c r="V201" i="3" s="1"/>
  <c r="V202" i="3" s="1"/>
  <c r="V203" i="3" s="1"/>
  <c r="V204" i="3" s="1"/>
  <c r="H161" i="3"/>
  <c r="H191" i="3"/>
  <c r="H184" i="3"/>
  <c r="H185" i="3"/>
  <c r="H163" i="3"/>
  <c r="H175" i="3"/>
  <c r="H181" i="3"/>
  <c r="H189" i="3"/>
  <c r="U181" i="3"/>
  <c r="T180" i="3"/>
  <c r="V181" i="3"/>
  <c r="V182" i="3" s="1"/>
  <c r="V183" i="3" s="1"/>
  <c r="V184" i="3" s="1"/>
  <c r="V185" i="3" s="1"/>
  <c r="V186" i="3" s="1"/>
  <c r="V187" i="3" s="1"/>
  <c r="V188" i="3" s="1"/>
  <c r="V189" i="3" s="1"/>
  <c r="V190" i="3" s="1"/>
  <c r="V191" i="3" s="1"/>
  <c r="H162" i="3"/>
  <c r="H158" i="3"/>
  <c r="H159" i="3"/>
  <c r="H157" i="3"/>
  <c r="H155" i="3"/>
  <c r="V155" i="3"/>
  <c r="V156" i="3" s="1"/>
  <c r="V157" i="3" s="1"/>
  <c r="V158" i="3" s="1"/>
  <c r="V159" i="3" s="1"/>
  <c r="V160" i="3" s="1"/>
  <c r="V161" i="3" s="1"/>
  <c r="V162" i="3" s="1"/>
  <c r="V163" i="3" s="1"/>
  <c r="U155" i="3"/>
  <c r="T154" i="3"/>
  <c r="H152" i="3"/>
  <c r="H151" i="3"/>
  <c r="G117" i="3"/>
  <c r="G116" i="3"/>
  <c r="C18" i="3"/>
  <c r="D215" i="3"/>
  <c r="D213" i="3"/>
  <c r="H132" i="3"/>
  <c r="H133" i="3"/>
  <c r="H134" i="3"/>
  <c r="H135" i="3"/>
  <c r="H136" i="3"/>
  <c r="A63" i="3"/>
  <c r="E126" i="3" l="1"/>
  <c r="E127" i="3" s="1"/>
  <c r="U195" i="3"/>
  <c r="T194" i="3"/>
  <c r="U182" i="3"/>
  <c r="T181" i="3"/>
  <c r="T155" i="3"/>
  <c r="U156"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U196" i="3" l="1"/>
  <c r="T195" i="3"/>
  <c r="U183" i="3"/>
  <c r="T182" i="3"/>
  <c r="U157" i="3"/>
  <c r="T156" i="3"/>
  <c r="I42" i="6"/>
  <c r="H42" i="6" s="1"/>
  <c r="L42" i="6"/>
  <c r="K42" i="6" s="1"/>
  <c r="E44" i="6"/>
  <c r="D42" i="6"/>
  <c r="D44" i="6" s="1"/>
  <c r="U197" i="3" l="1"/>
  <c r="T196" i="3"/>
  <c r="U184" i="3"/>
  <c r="T183" i="3"/>
  <c r="U158" i="3"/>
  <c r="T157" i="3"/>
  <c r="C26" i="3"/>
  <c r="H174" i="3"/>
  <c r="H173" i="3"/>
  <c r="H172" i="3"/>
  <c r="H171" i="3"/>
  <c r="L171" i="3" s="1"/>
  <c r="H170" i="3"/>
  <c r="H169" i="3"/>
  <c r="H168" i="3"/>
  <c r="H167" i="3"/>
  <c r="L167" i="3" s="1"/>
  <c r="H150" i="3"/>
  <c r="M150" i="3" s="1"/>
  <c r="H149" i="3"/>
  <c r="H148" i="3"/>
  <c r="H147" i="3"/>
  <c r="H146" i="3"/>
  <c r="H145" i="3"/>
  <c r="M145" i="3" s="1"/>
  <c r="H144" i="3"/>
  <c r="H143" i="3"/>
  <c r="H126" i="3"/>
  <c r="H137" i="3"/>
  <c r="H138" i="3"/>
  <c r="H139" i="3"/>
  <c r="G125" i="3" l="1"/>
  <c r="G124" i="3"/>
  <c r="G121" i="3"/>
  <c r="U198" i="3"/>
  <c r="T197" i="3"/>
  <c r="U185" i="3"/>
  <c r="T184" i="3"/>
  <c r="U159" i="3"/>
  <c r="T158" i="3"/>
  <c r="A95" i="3"/>
  <c r="D96" i="3" s="1"/>
  <c r="J105" i="3" s="1"/>
  <c r="A79" i="3"/>
  <c r="D80" i="3" s="1"/>
  <c r="D64" i="3"/>
  <c r="G126" i="3" l="1"/>
  <c r="G127" i="3" s="1"/>
  <c r="U199" i="3"/>
  <c r="T198" i="3"/>
  <c r="U186" i="3"/>
  <c r="T185" i="3"/>
  <c r="U160" i="3"/>
  <c r="T159" i="3"/>
  <c r="J104"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80" i="3"/>
  <c r="U200" i="3" l="1"/>
  <c r="T199" i="3"/>
  <c r="U187" i="3"/>
  <c r="T186" i="3"/>
  <c r="U161" i="3"/>
  <c r="T160" i="3"/>
  <c r="F38" i="4"/>
  <c r="G38" i="4"/>
  <c r="E18" i="4"/>
  <c r="E15" i="4"/>
  <c r="E17" i="4"/>
  <c r="E11" i="4"/>
  <c r="K6" i="4"/>
  <c r="E9" i="4"/>
  <c r="K8" i="4"/>
  <c r="C7" i="4" s="1"/>
  <c r="E14" i="4"/>
  <c r="E12" i="4"/>
  <c r="E16" i="4"/>
  <c r="E10" i="4"/>
  <c r="K9" i="4"/>
  <c r="K10" i="4" s="1"/>
  <c r="K11" i="4" s="1"/>
  <c r="E13" i="4"/>
  <c r="K7" i="4"/>
  <c r="J89" i="3"/>
  <c r="J88" i="3"/>
  <c r="U201" i="3" l="1"/>
  <c r="T200" i="3"/>
  <c r="U188" i="3"/>
  <c r="T187" i="3"/>
  <c r="U162" i="3"/>
  <c r="T161" i="3"/>
  <c r="K12" i="4"/>
  <c r="K16" i="4" s="1"/>
  <c r="C8" i="4" s="1"/>
  <c r="E8" i="4" s="1"/>
  <c r="E7" i="4"/>
  <c r="A133" i="3"/>
  <c r="A134" i="3" s="1"/>
  <c r="A135" i="3" s="1"/>
  <c r="A136" i="3" s="1"/>
  <c r="A137" i="3" s="1"/>
  <c r="A138" i="3" s="1"/>
  <c r="A139" i="3" s="1"/>
  <c r="A140" i="3" s="1"/>
  <c r="A141" i="3" s="1"/>
  <c r="U202" i="3" l="1"/>
  <c r="T201" i="3"/>
  <c r="T188" i="3"/>
  <c r="U189" i="3"/>
  <c r="U163" i="3"/>
  <c r="T163" i="3" s="1"/>
  <c r="T162" i="3"/>
  <c r="F7" i="4"/>
  <c r="J4" i="4" s="1"/>
  <c r="H7" i="4" s="1"/>
  <c r="U203" i="3" l="1"/>
  <c r="T202" i="3"/>
  <c r="U190" i="3"/>
  <c r="T189" i="3"/>
  <c r="G4" i="3"/>
  <c r="U204" i="3" l="1"/>
  <c r="T204" i="3" s="1"/>
  <c r="T203" i="3"/>
  <c r="U191" i="3"/>
  <c r="T191" i="3" s="1"/>
  <c r="T190" i="3"/>
  <c r="G118" i="3" l="1"/>
  <c r="J73" i="3"/>
  <c r="J72" i="3"/>
  <c r="H64" i="3"/>
  <c r="J68" i="3" l="1"/>
  <c r="D73" i="3"/>
  <c r="D70" i="3"/>
  <c r="D68" i="3"/>
  <c r="J66" i="3"/>
  <c r="D77" i="3"/>
  <c r="D75" i="3"/>
  <c r="D72" i="3"/>
  <c r="D69" i="3"/>
  <c r="J67" i="3"/>
  <c r="J65" i="3"/>
  <c r="D76" i="3"/>
  <c r="D74" i="3"/>
  <c r="D71" i="3"/>
  <c r="D93" i="3" l="1"/>
  <c r="D85" i="3"/>
  <c r="D88" i="3"/>
  <c r="J82" i="3"/>
  <c r="D92" i="3"/>
  <c r="D86" i="3"/>
  <c r="J81" i="3"/>
  <c r="D91" i="3"/>
  <c r="J84" i="3"/>
  <c r="J85" i="3" s="1"/>
  <c r="C83" i="3" s="1"/>
  <c r="D90" i="3"/>
  <c r="D84" i="3"/>
  <c r="J83" i="3"/>
  <c r="C82" i="3" s="1"/>
  <c r="D89" i="3"/>
  <c r="D87" i="3"/>
  <c r="J69" i="3"/>
  <c r="J74" i="3" s="1"/>
  <c r="D82" i="3" l="1"/>
  <c r="J86" i="3"/>
  <c r="J90" i="3"/>
  <c r="J87" i="3"/>
  <c r="J70" i="3"/>
  <c r="H96" i="3"/>
  <c r="J91" i="3" l="1"/>
  <c r="D109" i="3"/>
  <c r="D108" i="3"/>
  <c r="D102" i="3"/>
  <c r="J99" i="3"/>
  <c r="C98" i="3" s="1"/>
  <c r="D104" i="3"/>
  <c r="D103" i="3"/>
  <c r="J97" i="3"/>
  <c r="D107" i="3"/>
  <c r="D101" i="3"/>
  <c r="J100" i="3"/>
  <c r="J101" i="3" s="1"/>
  <c r="J102" i="3" s="1"/>
  <c r="J103" i="3" s="1"/>
  <c r="D106" i="3"/>
  <c r="D100" i="3"/>
  <c r="J98" i="3"/>
  <c r="D105" i="3"/>
  <c r="J71" i="3"/>
  <c r="D83" i="3" l="1"/>
  <c r="E82" i="3"/>
  <c r="I79" i="3" s="1"/>
  <c r="G82" i="3" s="1"/>
  <c r="J106" i="3"/>
  <c r="J107" i="3" s="1"/>
  <c r="C99" i="3" s="1"/>
  <c r="D99" i="3" s="1"/>
  <c r="D98" i="3"/>
  <c r="J75" i="3"/>
  <c r="U143" i="3"/>
  <c r="V167" i="3"/>
  <c r="U167" i="3"/>
  <c r="V143" i="3"/>
  <c r="D66" i="3" l="1"/>
  <c r="E98" i="3"/>
  <c r="I95" i="3" s="1"/>
  <c r="G98" i="3" s="1"/>
  <c r="E66" i="3"/>
  <c r="G110" i="3" s="1"/>
  <c r="T167" i="3"/>
  <c r="U168" i="3"/>
  <c r="V168" i="3"/>
  <c r="V169" i="3" s="1"/>
  <c r="V170" i="3" s="1"/>
  <c r="V171" i="3" s="1"/>
  <c r="V172" i="3" s="1"/>
  <c r="V173" i="3" s="1"/>
  <c r="V174" i="3" s="1"/>
  <c r="V175" i="3" s="1"/>
  <c r="V176" i="3" s="1"/>
  <c r="V177" i="3" s="1"/>
  <c r="V178" i="3" s="1"/>
  <c r="V144" i="3"/>
  <c r="V145" i="3" s="1"/>
  <c r="V146" i="3" s="1"/>
  <c r="V147" i="3" s="1"/>
  <c r="V148" i="3" s="1"/>
  <c r="V149" i="3" s="1"/>
  <c r="V150" i="3" s="1"/>
  <c r="V151" i="3" s="1"/>
  <c r="V152" i="3" s="1"/>
  <c r="U144" i="3"/>
  <c r="T143" i="3"/>
  <c r="D67" i="3" l="1"/>
  <c r="I63" i="3"/>
  <c r="G66" i="3" s="1"/>
  <c r="T168" i="3"/>
  <c r="U169" i="3"/>
  <c r="T169" i="3" s="1"/>
  <c r="U145" i="3"/>
  <c r="T144" i="3"/>
  <c r="U170" i="3" l="1"/>
  <c r="T170" i="3" s="1"/>
  <c r="U146" i="3"/>
  <c r="T145" i="3"/>
  <c r="U171" i="3" l="1"/>
  <c r="T171" i="3" s="1"/>
  <c r="U147" i="3"/>
  <c r="T146" i="3"/>
  <c r="U172" i="3" l="1"/>
  <c r="T172" i="3" s="1"/>
  <c r="U148" i="3"/>
  <c r="T147" i="3"/>
  <c r="U173" i="3" l="1"/>
  <c r="T173" i="3" s="1"/>
  <c r="U149" i="3"/>
  <c r="T148" i="3"/>
  <c r="U174" i="3" l="1"/>
  <c r="U150" i="3"/>
  <c r="U151" i="3" s="1"/>
  <c r="T149" i="3"/>
  <c r="T174" i="3" l="1"/>
  <c r="U175" i="3"/>
  <c r="U152" i="3"/>
  <c r="T152" i="3" s="1"/>
  <c r="T151" i="3"/>
  <c r="T150" i="3"/>
  <c r="T175" i="3" l="1"/>
  <c r="U176" i="3"/>
  <c r="T176" i="3" l="1"/>
  <c r="U177" i="3"/>
  <c r="U178" i="3" l="1"/>
  <c r="T178" i="3" s="1"/>
  <c r="T17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13BAD893-7870-49B4-973F-D21813EF47A5}">
      <text>
        <r>
          <rPr>
            <b/>
            <sz val="9"/>
            <color indexed="81"/>
            <rFont val="Tahoma"/>
            <family val="2"/>
          </rPr>
          <t>SACHIN:</t>
        </r>
        <r>
          <rPr>
            <sz val="9"/>
            <color indexed="81"/>
            <rFont val="Tahoma"/>
            <family val="2"/>
          </rPr>
          <t xml:space="preserve">
As per plans</t>
        </r>
      </text>
    </comment>
    <comment ref="C17" authorId="0" shapeId="0" xr:uid="{00000000-0006-0000-0000-000004000000}">
      <text>
        <r>
          <rPr>
            <b/>
            <sz val="12"/>
            <color indexed="81"/>
            <rFont val="Tahoma"/>
            <family val="2"/>
          </rPr>
          <t>Maybe same as RERA Registration Validity or different</t>
        </r>
      </text>
    </comment>
    <comment ref="G17" authorId="0" shapeId="0" xr:uid="{00000000-0006-0000-0000-000005000000}">
      <text>
        <r>
          <rPr>
            <b/>
            <sz val="18"/>
            <color indexed="81"/>
            <rFont val="Tahoma"/>
            <family val="2"/>
          </rPr>
          <t>From Rera</t>
        </r>
      </text>
    </comment>
    <comment ref="G20" authorId="0" shapeId="0" xr:uid="{00000000-0006-0000-0000-000006000000}">
      <text>
        <r>
          <rPr>
            <b/>
            <sz val="16"/>
            <color indexed="81"/>
            <rFont val="Tahoma"/>
            <family val="2"/>
          </rPr>
          <t>From RERA</t>
        </r>
      </text>
    </comment>
    <comment ref="G21" authorId="0" shapeId="0" xr:uid="{00000000-0006-0000-0000-000007000000}">
      <text>
        <r>
          <rPr>
            <b/>
            <sz val="16"/>
            <color indexed="81"/>
            <rFont val="Tahoma"/>
            <family val="2"/>
          </rPr>
          <t>From RERA</t>
        </r>
      </text>
    </comment>
    <comment ref="G27" authorId="0" shapeId="0" xr:uid="{00000000-0006-0000-0000-000008000000}">
      <text>
        <r>
          <rPr>
            <b/>
            <sz val="12"/>
            <color indexed="81"/>
            <rFont val="Tahoma"/>
            <family val="2"/>
          </rPr>
          <t>SACHIN:</t>
        </r>
        <r>
          <rPr>
            <sz val="12"/>
            <color indexed="81"/>
            <rFont val="Tahoma"/>
            <family val="2"/>
          </rPr>
          <t xml:space="preserve">
Road size should be in metre</t>
        </r>
      </text>
    </comment>
    <comment ref="G116" authorId="0" shapeId="0" xr:uid="{00000000-0006-0000-0000-000009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<sst xmlns="http://schemas.openxmlformats.org/spreadsheetml/2006/main" count="711" uniqueCount="371">
  <si>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</si>
  <si>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</si>
  <si>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</si>
  <si>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</si>
  <si>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</si>
  <si>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</si>
  <si>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</si>
  <si>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</si>
  <si>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</si>
  <si>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</si>
  <si>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</si>
  <si>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</si>
  <si>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</si>
  <si>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</si>
  <si>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</si>
  <si>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</si>
  <si>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</si>
  <si>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</si>
  <si>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</si>
  <si>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</si>
  <si>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</si>
  <si>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</si>
  <si>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</si>
  <si>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</si>
  <si>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</si>
  <si>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</si>
  <si>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</si>
  <si>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</si>
  <si>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</si>
  <si>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</si>
  <si>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</si>
  <si>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</si>
  <si>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</si>
  <si>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</si>
  <si>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</si>
  <si>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</si>
  <si>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</si>
  <si>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</si>
  <si>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</si>
  <si>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</si>
  <si>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</si>
  <si>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</si>
  <si>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</si>
  <si>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</si>
  <si>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</si>
  <si>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</si>
  <si>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</si>
  <si>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</si>
  <si>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</si>
  <si>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</si>
  <si>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</si>
  <si>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</si>
  <si>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</si>
  <si>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</si>
  <si>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</si>
  <si>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</si>
  <si>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</si>
  <si>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</si>
  <si>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</si>
  <si>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</si>
  <si>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</si>
  <si>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</si>
  <si>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</si>
  <si>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</si>
  <si>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</si>
  <si>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</si>
  <si>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</si>
  <si>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</si>
  <si>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</si>
  <si>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</si>
  <si>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</si>
  <si>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</si>
  <si>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</si>
  <si>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</si>
  <si>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</si>
  <si>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</si>
  <si>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</si>
  <si>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</si>
  <si>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</si>
  <si>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</si>
  <si>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</si>
  <si>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</si>
  <si>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</si>
  <si>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</si>
  <si>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</si>
  <si>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</si>
  <si>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</si>
  <si>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</si>
  <si>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</si>
  <si>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</si>
  <si>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</si>
  <si>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</si>
  <si>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</si>
  <si>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</si>
  <si>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</si>
  <si>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</si>
  <si>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</si>
  <si>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</si>
  <si>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</si>
  <si>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</si>
  <si>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</si>
  <si>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</si>
  <si>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</si>
  <si>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</si>
  <si>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</si>
  <si>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</si>
  <si>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</si>
  <si>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</si>
  <si>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</si>
  <si>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</si>
  <si>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</si>
  <si>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</si>
  <si>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</si>
  <si>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</si>
  <si>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</si>
  <si>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</si>
  <si>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</si>
  <si>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</si>
  <si>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</si>
  <si>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</si>
  <si>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</si>
  <si>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</si>
  <si>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</si>
  <si>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</si>
  <si>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</si>
  <si>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</si>
  <si>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</si>
  <si>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</si>
  <si>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</si>
  <si>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</si>
  <si>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</si>
  <si>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</si>
  <si>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</si>
  <si>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</si>
  <si>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</si>
  <si>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</si>
  <si>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</si>
  <si>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</si>
  <si>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</si>
  <si>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</si>
  <si>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</si>
  <si>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</si>
  <si>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</si>
  <si>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</si>
  <si>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</si>
  <si>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</si>
  <si>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</si>
  <si>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</si>
  <si>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</si>
  <si>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</si>
  <si>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</si>
  <si>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</si>
  <si>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</si>
  <si>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</si>
  <si>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</si>
  <si>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</si>
  <si>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</si>
  <si>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</si>
  <si>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</si>
  <si>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</si>
  <si>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</si>
  <si>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</si>
  <si>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</si>
  <si>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</si>
  <si>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</si>
  <si>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</si>
  <si>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</si>
  <si>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</si>
  <si>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</si>
  <si>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</si>
  <si>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</si>
  <si>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</si>
  <si>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</si>
  <si>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</si>
  <si>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</si>
  <si>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</si>
  <si>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</si>
  <si>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</si>
  <si>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</si>
  <si>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</si>
  <si>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</si>
  <si>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</si>
  <si>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</si>
  <si>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</si>
  <si>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</si>
  <si>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</si>
  <si>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</si>
  <si>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</si>
  <si>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</si>
  <si>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</si>
  <si>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</si>
  <si>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</si>
  <si>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</si>
  <si>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</si>
  <si>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</si>
  <si>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</si>
  <si>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</si>
  <si>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</si>
  <si>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</si>
  <si>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</si>
  <si>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</si>
  <si>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</si>
  <si>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</si>
  <si>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</si>
  <si>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</si>
  <si>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</si>
  <si>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</si>
  <si>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</si>
  <si>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</si>
  <si>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</si>
  <si>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</si>
  <si>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</si>
  <si>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</si>
  <si>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</si>
  <si>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</si>
  <si>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</si>
  <si>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</si>
  <si>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</si>
  <si>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</si>
  <si>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</si>
  <si>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</si>
  <si>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</si>
  <si>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</si>
  <si>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</si>
  <si>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</si>
  <si>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</si>
  <si>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</si>
  <si>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</si>
  <si>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</si>
  <si>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</si>
  <si>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</si>
  <si>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</si>
  <si>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</si>
  <si>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</si>
  <si>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</si>
  <si>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</si>
  <si>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</si>
  <si>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Construction work is in process at the time of Visit (labour found)
Construction work was not active at the time of Visit. (labour Not found)
All work completed. Wait for OC / OC received.
Work not yet Started.</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</si>
  <si>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</si>
  <si>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</si>
  <si>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</si>
  <si>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</si>
  <si>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</si>
  <si>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</si>
  <si>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</si>
  <si>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</si>
  <si>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</si>
  <si>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</si>
  <si>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</si>
  <si>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</si>
  <si>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</si>
  <si>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</si>
  <si>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</si>
  <si>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</si>
  <si>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</si>
  <si>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</si>
  <si>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</si>
  <si>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</si>
  <si>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</si>
  <si>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</si>
  <si>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</si>
  <si>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</si>
  <si>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</si>
  <si>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</si>
  <si>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</si>
  <si>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</si>
  <si>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</si>
  <si>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</si>
  <si>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</si>
  <si>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</si>
  <si>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</si>
  <si>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</si>
  <si>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</si>
  <si>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</si>
  <si>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</si>
  <si>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</si>
  <si>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</si>
  <si>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</si>
  <si>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</si>
  <si>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</si>
  <si>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</si>
  <si>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</si>
  <si>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</si>
  <si>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</si>
  <si>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</si>
  <si>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</si>
  <si>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</si>
  <si>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</si>
  <si>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</si>
  <si>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</si>
  <si>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</si>
  <si>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</si>
  <si>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</si>
  <si>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</si>
  <si>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</si>
  <si>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</si>
  <si>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</si>
  <si>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</si>
  <si>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</si>
  <si>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</si>
  <si>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</si>
  <si>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</si>
  <si>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3 </t>
  </si>
  <si>
    <t xml:space="preserve">Tower 4 </t>
  </si>
  <si>
    <t>Bitumen</t>
  </si>
  <si>
    <t>7 RCC
3Brick 
2 plaster</t>
  </si>
  <si>
    <t>Tower 1</t>
  </si>
  <si>
    <t>Mr. Suraj Khare</t>
  </si>
  <si>
    <t>Green Square phase II Tower 1 And 3</t>
  </si>
  <si>
    <t>P51700077787</t>
  </si>
  <si>
    <t>Poornima  9892539779
Manish Tiwari 8382868528</t>
  </si>
  <si>
    <t>Squarefeet Enterprises</t>
  </si>
  <si>
    <t>Google</t>
  </si>
  <si>
    <t>Green Square phase II, Survey No.166/31, 168PT,169/4/D,170/4/A at Thane (M Corp.), Thane, Thane, 400607</t>
  </si>
  <si>
    <t>Green Square phase II Tower 1 And 3, Proposed Building on Plot Bearing S. No 166/31, 168, 169/4/D, 170/4/A at Village - Kavesar, Tal Dist - Thane</t>
  </si>
  <si>
    <t>19.257434, 72.963285</t>
  </si>
  <si>
    <t>https://maps.app.goo.gl/mvrPxxNiEe4yhNUJA</t>
  </si>
  <si>
    <t>Saptgiri Chs, Sanghvi Hills</t>
  </si>
  <si>
    <t>Approved Layout &amp; Floor Plans, CC &amp; RERA certificate</t>
  </si>
  <si>
    <t>Thane Municipal Corporation (TMC)</t>
  </si>
  <si>
    <t>AXIS BANK
IFSC Code UTIB0001963</t>
  </si>
  <si>
    <t>Jogging Area, Banquet Hall, Seating Area, Kids’ Play Area, Chess Table, Pool Table, Swimming Pool, Gymnasium, Boxing Room, Library, Day Care Room, Party Area</t>
  </si>
  <si>
    <t>Middle</t>
  </si>
  <si>
    <t>40M</t>
  </si>
  <si>
    <t>40.00 M. Wide Road</t>
  </si>
  <si>
    <t>Other Plot</t>
  </si>
  <si>
    <t>Internal Road</t>
  </si>
  <si>
    <t>Green Square A&amp;B</t>
  </si>
  <si>
    <t>Open Plot</t>
  </si>
  <si>
    <t>Gr +1st to 22nd Floor</t>
  </si>
  <si>
    <t>Gr +1st to 36th Floor</t>
  </si>
  <si>
    <t>V.P. S06/0383/22 (2023/24) TMC/TD-DP/TPS/0080/24</t>
  </si>
  <si>
    <t>Tower 1 = 2nd Floor to 22nd Floor
Tower 3 = 25th to 35th Floor &amp; 36th Floor(pt)</t>
  </si>
  <si>
    <t xml:space="preserve">CC Details
Valid Up to: </t>
  </si>
  <si>
    <t>Tower 1 = Ground (pt.)/Stilt(pt.) + 1st Floor
Tower 3 = Ground (pt.)/Stilt(pt.) + 1st to 24th Floor &amp; Club House</t>
  </si>
  <si>
    <t>V.P. No. S06/0383/22 (2003/24) TMC/TDD/0080/24</t>
  </si>
  <si>
    <t>V.P. No. S06/0383/22 (2003/24) TMC/TDD/54</t>
  </si>
  <si>
    <t>Shop</t>
  </si>
  <si>
    <t>1BHK</t>
  </si>
  <si>
    <t>1st to 7th, 9th to 12th, 14th to 17th &amp; 19th to 22nd Floor For Residential</t>
  </si>
  <si>
    <t>8th, 13th &amp; 18th Floor (Part Refuge Area)</t>
  </si>
  <si>
    <t>Refuge Area</t>
  </si>
  <si>
    <t>Ground Floor For Entrance Lobby &amp; Parking</t>
  </si>
  <si>
    <t>Ground Floor For Commercial, Entrance Lobby, Fitness Centre, Society Office, 
Meter Room, Drivers Room, Pump Room &amp; Parking</t>
  </si>
  <si>
    <t>1st to 7th, 9th to 12th, 14th to 17th, 19th to 22nd, 24th to 27th, 
29th to 32nd, 34th &amp; 35th Floor For Residential</t>
  </si>
  <si>
    <t>2BHK</t>
  </si>
  <si>
    <t>8th, 13th, 18th, 23rd, 28th &amp; 33rd Floor (Part Refuge Area)</t>
  </si>
  <si>
    <t>Tower 3</t>
  </si>
  <si>
    <t>36th Floor (Part Terrace Area)</t>
  </si>
  <si>
    <t>Terrace Area</t>
  </si>
  <si>
    <t>Shops</t>
  </si>
  <si>
    <t>Please check for Fire NOC.</t>
  </si>
  <si>
    <t>1.10KM from Anand Nagar Bus Stop</t>
  </si>
  <si>
    <t>About 1.10KM from 
DG International School</t>
  </si>
  <si>
    <t xml:space="preserve">About 0.90KM form Thane Noble Hospital </t>
  </si>
  <si>
    <t>1. Approx. 0.80KM from Dmart.
2. Approx. 7.20KM from High Street Mall.</t>
  </si>
  <si>
    <t>11.80KM from Thane Railway Station
12.90KM from Kalva Railway Station</t>
  </si>
  <si>
    <t>10/09/2025 @ 12:20PM</t>
  </si>
  <si>
    <t xml:space="preserve">We considered Gross carpet area = Net carpet +Balcony.
</t>
  </si>
  <si>
    <t>Flats = 637 &amp; 
Shop = 10</t>
  </si>
  <si>
    <t>Nearby</t>
  </si>
  <si>
    <t xml:space="preserve">Builder </t>
  </si>
  <si>
    <t>14000-15000</t>
  </si>
  <si>
    <t xml:space="preserve">Index tap </t>
  </si>
  <si>
    <t>Mr.Ajay Sonagare</t>
  </si>
  <si>
    <t>Magic 14200</t>
  </si>
  <si>
    <t>Green Square phase II Tower 1 And 3, S. No 166/31, 168, 169/4/D, 170/4/A, Near 
Saptgiri Chs, Sanghvi Hills, Ghodbunder Road, Kavesar, Thane, Thane 400607</t>
  </si>
  <si>
    <t>Unit no 309-312, Centrum IT Park, Plot No C-3 Next to Satkar Grande Hotel, Wagle Estate Rd, opp. Raila Devi TMC Office, Thane West, Thane, Maharashtra 400604</t>
  </si>
  <si>
    <t>As per RERA = Not Mentioned</t>
  </si>
  <si>
    <t>14500 to 15500</t>
  </si>
  <si>
    <t>carpet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</si>
</sst>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4"/>
      <color theme="10"/>
      <name val="Calibri"/>
      <family val="2"/>
    </font>
    <font>
      <sz val="14"/>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187">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14" fontId="4" fillId="4" borderId="1" xfId="0" applyNumberFormat="1" applyFont="1" applyFill="1" applyBorder="1" applyAlignment="1">
      <alignment horizontal="left" vertical="top" wrapText="1"/>
    </xf>
    <xf numFmtId="0" fontId="3" fillId="0" borderId="0" xfId="0" applyFont="1" applyAlignment="1">
      <alignment horizontal="left" vertical="top"/>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64" fontId="4" fillId="4" borderId="1" xfId="0" applyNumberFormat="1" applyFont="1" applyFill="1" applyBorder="1" applyAlignment="1">
      <alignment horizontal="left" vertical="top" wrapText="1"/>
    </xf>
    <xf numFmtId="0" fontId="26" fillId="4" borderId="1" xfId="2" applyFont="1" applyFill="1" applyBorder="1" applyAlignment="1">
      <alignment horizontal="left" vertical="top" wrapText="1"/>
    </xf>
    <xf numFmtId="0" fontId="27" fillId="4" borderId="1" xfId="0" applyFont="1" applyFill="1" applyBorder="1" applyAlignment="1">
      <alignment horizontal="left"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top" wrapText="1"/>
    </xf>
    <xf numFmtId="9" fontId="2"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0" borderId="1" xfId="0" applyFont="1" applyBorder="1" applyAlignment="1">
      <alignment horizontal="center" vertical="top" wrapText="1"/>
    </xf>
    <xf numFmtId="0" fontId="4" fillId="4" borderId="1" xfId="0" applyFont="1" applyFill="1" applyBorder="1" applyAlignment="1">
      <alignment horizontal="left" vertical="top"/>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0" xfId="1" applyFont="1" applyFill="1" applyAlignment="1">
      <alignment horizontal="center" vertical="center" wrapText="1"/>
    </xf>
    <xf numFmtId="0" fontId="6" fillId="4" borderId="11"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xr:uid="{00000000-0005-0000-0000-000001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304800</xdr:colOff>
      <xdr:row>7</xdr:row>
      <xdr:rowOff>381000</xdr:rowOff>
    </xdr:from>
    <xdr:to>
      <xdr:col>14</xdr:col>
      <xdr:colOff>285061</xdr:colOff>
      <xdr:row>8</xdr:row>
      <xdr:rowOff>499718</xdr:rowOff>
    </xdr:to>
    <xdr:pic>
      <xdr:nvPicPr>
        <xdr:cNvPr id="2" name="Picture 1">
          <a:extLst>
            <a:ext uri="{FF2B5EF4-FFF2-40B4-BE49-F238E27FC236}">
              <a16:creationId xmlns:a16="http://schemas.microsoft.com/office/drawing/2014/main" id="{3D8115A9-A4FD-2298-330E-58EB9116B82A}"/>
            </a:ext>
          </a:extLst>
        </xdr:cNvPr>
        <xdr:cNvPicPr>
          <a:picLocks noChangeAspect="1"/>
        </xdr:cNvPicPr>
      </xdr:nvPicPr>
      <xdr:blipFill>
        <a:blip xmlns:r="http://schemas.openxmlformats.org/officeDocument/2006/relationships" r:embed="rId1"/>
        <a:stretch>
          <a:fillRect/>
        </a:stretch>
      </xdr:blipFill>
      <xdr:spPr>
        <a:xfrm>
          <a:off x="9971314" y="3385457"/>
          <a:ext cx="6454699" cy="739204"/>
        </a:xfrm>
        <a:prstGeom prst="rect">
          <a:avLst/>
        </a:prstGeom>
      </xdr:spPr>
    </xdr:pic>
    <xdr:clientData/>
  </xdr:twoCellAnchor>
  <xdr:twoCellAnchor editAs="oneCell">
    <xdr:from>
      <xdr:col>8</xdr:col>
      <xdr:colOff>342132</xdr:colOff>
      <xdr:row>44</xdr:row>
      <xdr:rowOff>93490</xdr:rowOff>
    </xdr:from>
    <xdr:to>
      <xdr:col>10</xdr:col>
      <xdr:colOff>75072</xdr:colOff>
      <xdr:row>51</xdr:row>
      <xdr:rowOff>492347</xdr:rowOff>
    </xdr:to>
    <xdr:pic>
      <xdr:nvPicPr>
        <xdr:cNvPr id="3" name="Picture 2">
          <a:extLst>
            <a:ext uri="{FF2B5EF4-FFF2-40B4-BE49-F238E27FC236}">
              <a16:creationId xmlns:a16="http://schemas.microsoft.com/office/drawing/2014/main" id="{B4A8EF3B-D892-97D5-EAFB-3E2FA18BFFA7}"/>
            </a:ext>
          </a:extLst>
        </xdr:cNvPr>
        <xdr:cNvPicPr>
          <a:picLocks noChangeAspect="1"/>
        </xdr:cNvPicPr>
      </xdr:nvPicPr>
      <xdr:blipFill>
        <a:blip xmlns:r="http://schemas.openxmlformats.org/officeDocument/2006/relationships" r:embed="rId2"/>
        <a:stretch>
          <a:fillRect/>
        </a:stretch>
      </xdr:blipFill>
      <xdr:spPr>
        <a:xfrm>
          <a:off x="9973812" y="19920730"/>
          <a:ext cx="2880000" cy="2006677"/>
        </a:xfrm>
        <a:prstGeom prst="rect">
          <a:avLst/>
        </a:prstGeom>
      </xdr:spPr>
    </xdr:pic>
    <xdr:clientData/>
  </xdr:twoCellAnchor>
  <xdr:twoCellAnchor editAs="oneCell">
    <xdr:from>
      <xdr:col>8</xdr:col>
      <xdr:colOff>231738</xdr:colOff>
      <xdr:row>52</xdr:row>
      <xdr:rowOff>96372</xdr:rowOff>
    </xdr:from>
    <xdr:to>
      <xdr:col>10</xdr:col>
      <xdr:colOff>687368</xdr:colOff>
      <xdr:row>54</xdr:row>
      <xdr:rowOff>535469</xdr:rowOff>
    </xdr:to>
    <xdr:pic>
      <xdr:nvPicPr>
        <xdr:cNvPr id="4" name="Picture 3">
          <a:extLst>
            <a:ext uri="{FF2B5EF4-FFF2-40B4-BE49-F238E27FC236}">
              <a16:creationId xmlns:a16="http://schemas.microsoft.com/office/drawing/2014/main" id="{FD060C92-E9A3-F99B-B93F-C07CC91E363F}"/>
            </a:ext>
          </a:extLst>
        </xdr:cNvPr>
        <xdr:cNvPicPr>
          <a:picLocks noChangeAspect="1"/>
        </xdr:cNvPicPr>
      </xdr:nvPicPr>
      <xdr:blipFill>
        <a:blip xmlns:r="http://schemas.openxmlformats.org/officeDocument/2006/relationships" r:embed="rId3"/>
        <a:stretch>
          <a:fillRect/>
        </a:stretch>
      </xdr:blipFill>
      <xdr:spPr>
        <a:xfrm>
          <a:off x="9863418" y="22087692"/>
          <a:ext cx="3600000" cy="1551617"/>
        </a:xfrm>
        <a:prstGeom prst="rect">
          <a:avLst/>
        </a:prstGeom>
      </xdr:spPr>
    </xdr:pic>
    <xdr:clientData/>
  </xdr:twoCellAnchor>
  <xdr:twoCellAnchor editAs="oneCell">
    <xdr:from>
      <xdr:col>8</xdr:col>
      <xdr:colOff>274320</xdr:colOff>
      <xdr:row>55</xdr:row>
      <xdr:rowOff>83821</xdr:rowOff>
    </xdr:from>
    <xdr:to>
      <xdr:col>10</xdr:col>
      <xdr:colOff>729950</xdr:colOff>
      <xdr:row>61</xdr:row>
      <xdr:rowOff>194754</xdr:rowOff>
    </xdr:to>
    <xdr:pic>
      <xdr:nvPicPr>
        <xdr:cNvPr id="5" name="Picture 4">
          <a:extLst>
            <a:ext uri="{FF2B5EF4-FFF2-40B4-BE49-F238E27FC236}">
              <a16:creationId xmlns:a16="http://schemas.microsoft.com/office/drawing/2014/main" id="{BF8DF4C3-A87F-13AB-A13A-F2D845D15AE5}"/>
            </a:ext>
          </a:extLst>
        </xdr:cNvPr>
        <xdr:cNvPicPr>
          <a:picLocks noChangeAspect="1"/>
        </xdr:cNvPicPr>
      </xdr:nvPicPr>
      <xdr:blipFill>
        <a:blip xmlns:r="http://schemas.openxmlformats.org/officeDocument/2006/relationships" r:embed="rId4"/>
        <a:stretch>
          <a:fillRect/>
        </a:stretch>
      </xdr:blipFill>
      <xdr:spPr>
        <a:xfrm>
          <a:off x="9906000" y="23774401"/>
          <a:ext cx="3600000" cy="1253933"/>
        </a:xfrm>
        <a:prstGeom prst="rect">
          <a:avLst/>
        </a:prstGeom>
      </xdr:spPr>
    </xdr:pic>
    <xdr:clientData/>
  </xdr:twoCellAnchor>
  <xdr:twoCellAnchor editAs="oneCell">
    <xdr:from>
      <xdr:col>8</xdr:col>
      <xdr:colOff>435685</xdr:colOff>
      <xdr:row>117</xdr:row>
      <xdr:rowOff>6724</xdr:rowOff>
    </xdr:from>
    <xdr:to>
      <xdr:col>10</xdr:col>
      <xdr:colOff>891315</xdr:colOff>
      <xdr:row>126</xdr:row>
      <xdr:rowOff>125190</xdr:rowOff>
    </xdr:to>
    <xdr:pic>
      <xdr:nvPicPr>
        <xdr:cNvPr id="6" name="Picture 5">
          <a:extLst>
            <a:ext uri="{FF2B5EF4-FFF2-40B4-BE49-F238E27FC236}">
              <a16:creationId xmlns:a16="http://schemas.microsoft.com/office/drawing/2014/main" id="{4506BF4F-9898-8F72-6E67-C3A25C0B3E54}"/>
            </a:ext>
          </a:extLst>
        </xdr:cNvPr>
        <xdr:cNvPicPr>
          <a:picLocks noChangeAspect="1"/>
        </xdr:cNvPicPr>
      </xdr:nvPicPr>
      <xdr:blipFill>
        <a:blip xmlns:r="http://schemas.openxmlformats.org/officeDocument/2006/relationships" r:embed="rId5"/>
        <a:stretch>
          <a:fillRect/>
        </a:stretch>
      </xdr:blipFill>
      <xdr:spPr>
        <a:xfrm>
          <a:off x="10045850" y="36896489"/>
          <a:ext cx="3602241" cy="2521007"/>
        </a:xfrm>
        <a:prstGeom prst="rect">
          <a:avLst/>
        </a:prstGeom>
      </xdr:spPr>
    </xdr:pic>
    <xdr:clientData/>
  </xdr:twoCellAnchor>
  <xdr:twoCellAnchor>
    <xdr:from>
      <xdr:col>0</xdr:col>
      <xdr:colOff>457199</xdr:colOff>
      <xdr:row>255</xdr:row>
      <xdr:rowOff>259977</xdr:rowOff>
    </xdr:from>
    <xdr:to>
      <xdr:col>7</xdr:col>
      <xdr:colOff>699246</xdr:colOff>
      <xdr:row>278</xdr:row>
      <xdr:rowOff>170329</xdr:rowOff>
    </xdr:to>
    <xdr:grpSp>
      <xdr:nvGrpSpPr>
        <xdr:cNvPr id="7" name="Group 6">
          <a:extLst>
            <a:ext uri="{FF2B5EF4-FFF2-40B4-BE49-F238E27FC236}">
              <a16:creationId xmlns:a16="http://schemas.microsoft.com/office/drawing/2014/main" id="{367EFD97-286E-90E0-FC99-7826D83E1618}"/>
            </a:ext>
          </a:extLst>
        </xdr:cNvPr>
        <xdr:cNvGrpSpPr/>
      </xdr:nvGrpSpPr>
      <xdr:grpSpPr>
        <a:xfrm>
          <a:off x="457199" y="75070448"/>
          <a:ext cx="8650941" cy="6095999"/>
          <a:chOff x="0" y="2329841"/>
          <a:chExt cx="6858000" cy="4484318"/>
        </a:xfrm>
      </xdr:grpSpPr>
      <xdr:pic>
        <xdr:nvPicPr>
          <xdr:cNvPr id="8" name="Picture 7">
            <a:extLst>
              <a:ext uri="{FF2B5EF4-FFF2-40B4-BE49-F238E27FC236}">
                <a16:creationId xmlns:a16="http://schemas.microsoft.com/office/drawing/2014/main" id="{7A3DE50C-2DBA-887D-341A-BD217CD21066}"/>
              </a:ext>
            </a:extLst>
          </xdr:cNvPr>
          <xdr:cNvPicPr>
            <a:picLocks noChangeAspect="1"/>
          </xdr:cNvPicPr>
        </xdr:nvPicPr>
        <xdr:blipFill>
          <a:blip xmlns:r="http://schemas.openxmlformats.org/officeDocument/2006/relationships" r:embed="rId6"/>
          <a:stretch>
            <a:fillRect/>
          </a:stretch>
        </xdr:blipFill>
        <xdr:spPr>
          <a:xfrm>
            <a:off x="0" y="2329841"/>
            <a:ext cx="6858000" cy="4484318"/>
          </a:xfrm>
          <a:prstGeom prst="rect">
            <a:avLst/>
          </a:prstGeom>
          <a:ln>
            <a:solidFill>
              <a:schemeClr val="tx1"/>
            </a:solidFill>
          </a:ln>
        </xdr:spPr>
      </xdr:pic>
      <xdr:sp macro="" textlink="">
        <xdr:nvSpPr>
          <xdr:cNvPr id="9" name="Rectangle 8">
            <a:extLst>
              <a:ext uri="{FF2B5EF4-FFF2-40B4-BE49-F238E27FC236}">
                <a16:creationId xmlns:a16="http://schemas.microsoft.com/office/drawing/2014/main" id="{F1E88D18-E06B-96AE-A230-B794347CF9C9}"/>
              </a:ext>
            </a:extLst>
          </xdr:cNvPr>
          <xdr:cNvSpPr/>
        </xdr:nvSpPr>
        <xdr:spPr>
          <a:xfrm rot="830242">
            <a:off x="1245871" y="4446270"/>
            <a:ext cx="1276350" cy="601980"/>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0" name="Rectangle 9">
            <a:extLst>
              <a:ext uri="{FF2B5EF4-FFF2-40B4-BE49-F238E27FC236}">
                <a16:creationId xmlns:a16="http://schemas.microsoft.com/office/drawing/2014/main" id="{914BE7E7-E046-407A-0F2A-444E3F3005A4}"/>
              </a:ext>
            </a:extLst>
          </xdr:cNvPr>
          <xdr:cNvSpPr/>
        </xdr:nvSpPr>
        <xdr:spPr>
          <a:xfrm rot="3078200">
            <a:off x="4021225" y="4197793"/>
            <a:ext cx="997977" cy="601980"/>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1" name="TextBox 5">
            <a:extLst>
              <a:ext uri="{FF2B5EF4-FFF2-40B4-BE49-F238E27FC236}">
                <a16:creationId xmlns:a16="http://schemas.microsoft.com/office/drawing/2014/main" id="{3C6AB779-8F32-5309-EA66-7DBDCB981133}"/>
              </a:ext>
            </a:extLst>
          </xdr:cNvPr>
          <xdr:cNvSpPr txBox="1"/>
        </xdr:nvSpPr>
        <xdr:spPr>
          <a:xfrm>
            <a:off x="4450080" y="3790355"/>
            <a:ext cx="660758"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rgbClr val="FF0000"/>
                </a:solidFill>
              </a:rPr>
              <a:t>Tower 1</a:t>
            </a:r>
            <a:endParaRPr lang="en-IN" sz="1100" b="1">
              <a:solidFill>
                <a:srgbClr val="FF0000"/>
              </a:solidFill>
            </a:endParaRPr>
          </a:p>
        </xdr:txBody>
      </xdr:sp>
      <xdr:sp macro="" textlink="">
        <xdr:nvSpPr>
          <xdr:cNvPr id="12" name="TextBox 6">
            <a:extLst>
              <a:ext uri="{FF2B5EF4-FFF2-40B4-BE49-F238E27FC236}">
                <a16:creationId xmlns:a16="http://schemas.microsoft.com/office/drawing/2014/main" id="{8FE3B755-14A1-8A04-9A29-83B58848AFF9}"/>
              </a:ext>
            </a:extLst>
          </xdr:cNvPr>
          <xdr:cNvSpPr txBox="1"/>
        </xdr:nvSpPr>
        <xdr:spPr>
          <a:xfrm>
            <a:off x="995530" y="4040764"/>
            <a:ext cx="660758"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solidFill>
                  <a:srgbClr val="FF0000"/>
                </a:solidFill>
              </a:rPr>
              <a:t>Tower 3</a:t>
            </a:r>
            <a:endParaRPr lang="en-IN" sz="1100" b="1">
              <a:solidFill>
                <a:srgbClr val="FF0000"/>
              </a:solidFill>
            </a:endParaRPr>
          </a:p>
        </xdr:txBody>
      </xdr:sp>
    </xdr:grpSp>
    <xdr:clientData/>
  </xdr:twoCellAnchor>
  <xdr:twoCellAnchor>
    <xdr:from>
      <xdr:col>2</xdr:col>
      <xdr:colOff>268942</xdr:colOff>
      <xdr:row>300</xdr:row>
      <xdr:rowOff>188258</xdr:rowOff>
    </xdr:from>
    <xdr:to>
      <xdr:col>5</xdr:col>
      <xdr:colOff>1147484</xdr:colOff>
      <xdr:row>325</xdr:row>
      <xdr:rowOff>116541</xdr:rowOff>
    </xdr:to>
    <xdr:grpSp>
      <xdr:nvGrpSpPr>
        <xdr:cNvPr id="13" name="Group 12">
          <a:extLst>
            <a:ext uri="{FF2B5EF4-FFF2-40B4-BE49-F238E27FC236}">
              <a16:creationId xmlns:a16="http://schemas.microsoft.com/office/drawing/2014/main" id="{93346F6E-B123-7958-4071-8F6A37DA1F3F}"/>
            </a:ext>
          </a:extLst>
        </xdr:cNvPr>
        <xdr:cNvGrpSpPr/>
      </xdr:nvGrpSpPr>
      <xdr:grpSpPr>
        <a:xfrm>
          <a:off x="2671483" y="87101082"/>
          <a:ext cx="4482354" cy="6651812"/>
          <a:chOff x="1895856" y="992954"/>
          <a:chExt cx="3115056" cy="4792150"/>
        </a:xfrm>
      </xdr:grpSpPr>
      <xdr:pic>
        <xdr:nvPicPr>
          <xdr:cNvPr id="14" name="Picture 13">
            <a:extLst>
              <a:ext uri="{FF2B5EF4-FFF2-40B4-BE49-F238E27FC236}">
                <a16:creationId xmlns:a16="http://schemas.microsoft.com/office/drawing/2014/main" id="{2A4A5EE0-A3FB-1641-94DB-D4DD88C5C392}"/>
              </a:ext>
            </a:extLst>
          </xdr:cNvPr>
          <xdr:cNvPicPr>
            <a:picLocks noChangeAspect="1"/>
          </xdr:cNvPicPr>
        </xdr:nvPicPr>
        <xdr:blipFill>
          <a:blip xmlns:r="http://schemas.openxmlformats.org/officeDocument/2006/relationships" r:embed="rId7"/>
          <a:srcRect l="27644" t="14760" r="26933" b="18553"/>
          <a:stretch/>
        </xdr:blipFill>
        <xdr:spPr>
          <a:xfrm>
            <a:off x="1895856" y="3212592"/>
            <a:ext cx="3115056" cy="2572512"/>
          </a:xfrm>
          <a:prstGeom prst="rect">
            <a:avLst/>
          </a:prstGeom>
          <a:ln>
            <a:solidFill>
              <a:schemeClr val="tx1"/>
            </a:solidFill>
          </a:ln>
        </xdr:spPr>
      </xdr:pic>
      <xdr:pic>
        <xdr:nvPicPr>
          <xdr:cNvPr id="15" name="Picture 14">
            <a:extLst>
              <a:ext uri="{FF2B5EF4-FFF2-40B4-BE49-F238E27FC236}">
                <a16:creationId xmlns:a16="http://schemas.microsoft.com/office/drawing/2014/main" id="{F410B26E-6F7A-0259-A284-278043EFA28F}"/>
              </a:ext>
            </a:extLst>
          </xdr:cNvPr>
          <xdr:cNvPicPr>
            <a:picLocks noChangeAspect="1"/>
          </xdr:cNvPicPr>
        </xdr:nvPicPr>
        <xdr:blipFill>
          <a:blip xmlns:r="http://schemas.openxmlformats.org/officeDocument/2006/relationships" r:embed="rId8"/>
          <a:srcRect l="40711" t="27560" r="28889" b="17920"/>
          <a:stretch/>
        </xdr:blipFill>
        <xdr:spPr>
          <a:xfrm>
            <a:off x="2410968" y="992954"/>
            <a:ext cx="2084832" cy="2103120"/>
          </a:xfrm>
          <a:prstGeom prst="rect">
            <a:avLst/>
          </a:prstGeom>
          <a:ln>
            <a:solidFill>
              <a:schemeClr val="tx1"/>
            </a:solidFill>
          </a:ln>
        </xdr:spPr>
      </xdr:pic>
      <xdr:sp macro="" textlink="">
        <xdr:nvSpPr>
          <xdr:cNvPr id="16" name="Rectangle 15">
            <a:extLst>
              <a:ext uri="{FF2B5EF4-FFF2-40B4-BE49-F238E27FC236}">
                <a16:creationId xmlns:a16="http://schemas.microsoft.com/office/drawing/2014/main" id="{7702F1DA-6FA5-8BFA-E990-492EADD39BD9}"/>
              </a:ext>
            </a:extLst>
          </xdr:cNvPr>
          <xdr:cNvSpPr/>
        </xdr:nvSpPr>
        <xdr:spPr>
          <a:xfrm rot="364436">
            <a:off x="2556510" y="4210050"/>
            <a:ext cx="1485900" cy="1276350"/>
          </a:xfrm>
          <a:prstGeom prst="rect">
            <a:avLst/>
          </a:prstGeom>
          <a:no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7" name="Rectangle 16">
            <a:extLst>
              <a:ext uri="{FF2B5EF4-FFF2-40B4-BE49-F238E27FC236}">
                <a16:creationId xmlns:a16="http://schemas.microsoft.com/office/drawing/2014/main" id="{F0EAFCD0-A797-71DC-B47D-E046EEC998B3}"/>
              </a:ext>
            </a:extLst>
          </xdr:cNvPr>
          <xdr:cNvSpPr/>
        </xdr:nvSpPr>
        <xdr:spPr>
          <a:xfrm rot="19708169">
            <a:off x="2651760" y="5087306"/>
            <a:ext cx="480060" cy="247650"/>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8" name="Rectangle 17">
            <a:extLst>
              <a:ext uri="{FF2B5EF4-FFF2-40B4-BE49-F238E27FC236}">
                <a16:creationId xmlns:a16="http://schemas.microsoft.com/office/drawing/2014/main" id="{4039D14F-8F07-359C-58D1-F64FDA07F5F8}"/>
              </a:ext>
            </a:extLst>
          </xdr:cNvPr>
          <xdr:cNvSpPr/>
        </xdr:nvSpPr>
        <xdr:spPr>
          <a:xfrm rot="478189">
            <a:off x="3348991" y="4305299"/>
            <a:ext cx="400050" cy="240030"/>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9" name="TextBox 8">
            <a:extLst>
              <a:ext uri="{FF2B5EF4-FFF2-40B4-BE49-F238E27FC236}">
                <a16:creationId xmlns:a16="http://schemas.microsoft.com/office/drawing/2014/main" id="{BCCFF1DC-CEC0-6893-428D-03DE89ECA793}"/>
              </a:ext>
            </a:extLst>
          </xdr:cNvPr>
          <xdr:cNvSpPr txBox="1"/>
        </xdr:nvSpPr>
        <xdr:spPr>
          <a:xfrm>
            <a:off x="3685342" y="4363984"/>
            <a:ext cx="309700" cy="21544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solidFill>
                  <a:srgbClr val="FFFF00"/>
                </a:solidFill>
              </a:rPr>
              <a:t>T 1</a:t>
            </a:r>
            <a:endParaRPr lang="en-IN" sz="800" b="1">
              <a:solidFill>
                <a:srgbClr val="FFFF00"/>
              </a:solidFill>
            </a:endParaRPr>
          </a:p>
        </xdr:txBody>
      </xdr:sp>
      <xdr:sp macro="" textlink="">
        <xdr:nvSpPr>
          <xdr:cNvPr id="20" name="TextBox 9">
            <a:extLst>
              <a:ext uri="{FF2B5EF4-FFF2-40B4-BE49-F238E27FC236}">
                <a16:creationId xmlns:a16="http://schemas.microsoft.com/office/drawing/2014/main" id="{E9A6D961-2438-F362-1E10-73069E2BB58C}"/>
              </a:ext>
            </a:extLst>
          </xdr:cNvPr>
          <xdr:cNvSpPr txBox="1"/>
        </xdr:nvSpPr>
        <xdr:spPr>
          <a:xfrm>
            <a:off x="2974840" y="5226756"/>
            <a:ext cx="309700" cy="21544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solidFill>
                  <a:srgbClr val="FFFF00"/>
                </a:solidFill>
              </a:rPr>
              <a:t>T 3</a:t>
            </a:r>
            <a:endParaRPr lang="en-IN" sz="800" b="1">
              <a:solidFill>
                <a:srgbClr val="FFFF00"/>
              </a:solidFill>
            </a:endParaRPr>
          </a:p>
        </xdr:txBody>
      </xdr:sp>
    </xdr:grpSp>
    <xdr:clientData/>
  </xdr:twoCellAnchor>
  <xdr:twoCellAnchor>
    <xdr:from>
      <xdr:col>0</xdr:col>
      <xdr:colOff>564776</xdr:colOff>
      <xdr:row>216</xdr:row>
      <xdr:rowOff>0</xdr:rowOff>
    </xdr:from>
    <xdr:to>
      <xdr:col>7</xdr:col>
      <xdr:colOff>555811</xdr:colOff>
      <xdr:row>243</xdr:row>
      <xdr:rowOff>116542</xdr:rowOff>
    </xdr:to>
    <xdr:grpSp>
      <xdr:nvGrpSpPr>
        <xdr:cNvPr id="21" name="Group 20">
          <a:extLst>
            <a:ext uri="{FF2B5EF4-FFF2-40B4-BE49-F238E27FC236}">
              <a16:creationId xmlns:a16="http://schemas.microsoft.com/office/drawing/2014/main" id="{E64B5BBA-BE3B-8928-CE90-6FCD0C9E8AF8}"/>
            </a:ext>
          </a:extLst>
        </xdr:cNvPr>
        <xdr:cNvGrpSpPr/>
      </xdr:nvGrpSpPr>
      <xdr:grpSpPr>
        <a:xfrm>
          <a:off x="564776" y="64321765"/>
          <a:ext cx="8399929" cy="7377953"/>
          <a:chOff x="316549" y="256341"/>
          <a:chExt cx="6162104" cy="4919097"/>
        </a:xfrm>
      </xdr:grpSpPr>
      <xdr:grpSp>
        <xdr:nvGrpSpPr>
          <xdr:cNvPr id="22" name="Group 21">
            <a:extLst>
              <a:ext uri="{FF2B5EF4-FFF2-40B4-BE49-F238E27FC236}">
                <a16:creationId xmlns:a16="http://schemas.microsoft.com/office/drawing/2014/main" id="{12306D23-951B-49E2-915E-09B8F5E78BD3}"/>
              </a:ext>
            </a:extLst>
          </xdr:cNvPr>
          <xdr:cNvGrpSpPr/>
        </xdr:nvGrpSpPr>
        <xdr:grpSpPr>
          <a:xfrm>
            <a:off x="1437904" y="3375438"/>
            <a:ext cx="3919395" cy="1800000"/>
            <a:chOff x="1989618" y="3672000"/>
            <a:chExt cx="3919395" cy="1800000"/>
          </a:xfrm>
        </xdr:grpSpPr>
        <xdr:pic>
          <xdr:nvPicPr>
            <xdr:cNvPr id="26" name="Picture 25">
              <a:extLst>
                <a:ext uri="{FF2B5EF4-FFF2-40B4-BE49-F238E27FC236}">
                  <a16:creationId xmlns:a16="http://schemas.microsoft.com/office/drawing/2014/main" id="{3FEF8F64-0EE3-DF24-8830-E41496AD88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60413" y="3672000"/>
              <a:ext cx="1348600" cy="1800000"/>
            </a:xfrm>
            <a:prstGeom prst="rect">
              <a:avLst/>
            </a:prstGeom>
            <a:ln>
              <a:solidFill>
                <a:schemeClr val="tx1"/>
              </a:solidFill>
            </a:ln>
          </xdr:spPr>
        </xdr:pic>
        <xdr:pic>
          <xdr:nvPicPr>
            <xdr:cNvPr id="27" name="Picture 26">
              <a:extLst>
                <a:ext uri="{FF2B5EF4-FFF2-40B4-BE49-F238E27FC236}">
                  <a16:creationId xmlns:a16="http://schemas.microsoft.com/office/drawing/2014/main" id="{1B87BA56-2025-CAF3-82EB-2B5339039EC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89618" y="3672000"/>
              <a:ext cx="2397800" cy="1800000"/>
            </a:xfrm>
            <a:prstGeom prst="rect">
              <a:avLst/>
            </a:prstGeom>
            <a:ln>
              <a:solidFill>
                <a:schemeClr val="tx1"/>
              </a:solidFill>
            </a:ln>
          </xdr:spPr>
        </xdr:pic>
      </xdr:grpSp>
      <xdr:grpSp>
        <xdr:nvGrpSpPr>
          <xdr:cNvPr id="23" name="Group 22">
            <a:extLst>
              <a:ext uri="{FF2B5EF4-FFF2-40B4-BE49-F238E27FC236}">
                <a16:creationId xmlns:a16="http://schemas.microsoft.com/office/drawing/2014/main" id="{F4687315-EDDA-AA1E-2F5D-4EB703233C57}"/>
              </a:ext>
            </a:extLst>
          </xdr:cNvPr>
          <xdr:cNvGrpSpPr/>
        </xdr:nvGrpSpPr>
        <xdr:grpSpPr>
          <a:xfrm>
            <a:off x="316549" y="256341"/>
            <a:ext cx="6162104" cy="2880000"/>
            <a:chOff x="316549" y="256341"/>
            <a:chExt cx="6162104" cy="2880000"/>
          </a:xfrm>
        </xdr:grpSpPr>
        <xdr:pic>
          <xdr:nvPicPr>
            <xdr:cNvPr id="24" name="Picture 23">
              <a:extLst>
                <a:ext uri="{FF2B5EF4-FFF2-40B4-BE49-F238E27FC236}">
                  <a16:creationId xmlns:a16="http://schemas.microsoft.com/office/drawing/2014/main" id="{A34B38A3-EE6C-5825-1D7C-EBF5A42649E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642173" y="256341"/>
              <a:ext cx="3836480" cy="2880000"/>
            </a:xfrm>
            <a:prstGeom prst="rect">
              <a:avLst/>
            </a:prstGeom>
            <a:ln>
              <a:solidFill>
                <a:schemeClr val="tx1"/>
              </a:solidFill>
            </a:ln>
          </xdr:spPr>
        </xdr:pic>
        <xdr:pic>
          <xdr:nvPicPr>
            <xdr:cNvPr id="25" name="Picture 24">
              <a:extLst>
                <a:ext uri="{FF2B5EF4-FFF2-40B4-BE49-F238E27FC236}">
                  <a16:creationId xmlns:a16="http://schemas.microsoft.com/office/drawing/2014/main" id="{BCEE4ECE-7F5B-1A84-16D9-EC52D74FABE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16549" y="256341"/>
              <a:ext cx="2157760" cy="2880000"/>
            </a:xfrm>
            <a:prstGeom prst="rect">
              <a:avLst/>
            </a:prstGeom>
            <a:ln>
              <a:solidFill>
                <a:schemeClr val="tx1"/>
              </a:solidFill>
            </a:ln>
          </xdr:spPr>
        </xdr:pic>
      </xdr:grpSp>
    </xdr:grpSp>
    <xdr:clientData/>
  </xdr:twoCellAnchor>
  <xdr:twoCellAnchor>
    <xdr:from>
      <xdr:col>1</xdr:col>
      <xdr:colOff>582706</xdr:colOff>
      <xdr:row>222</xdr:row>
      <xdr:rowOff>35858</xdr:rowOff>
    </xdr:from>
    <xdr:to>
      <xdr:col>1</xdr:col>
      <xdr:colOff>842682</xdr:colOff>
      <xdr:row>225</xdr:row>
      <xdr:rowOff>134471</xdr:rowOff>
    </xdr:to>
    <xdr:cxnSp macro="">
      <xdr:nvCxnSpPr>
        <xdr:cNvPr id="29" name="Straight Arrow Connector 28">
          <a:extLst>
            <a:ext uri="{FF2B5EF4-FFF2-40B4-BE49-F238E27FC236}">
              <a16:creationId xmlns:a16="http://schemas.microsoft.com/office/drawing/2014/main" id="{91767AE4-7E2B-659F-B958-13441C688FEB}"/>
            </a:ext>
          </a:extLst>
        </xdr:cNvPr>
        <xdr:cNvCxnSpPr/>
      </xdr:nvCxnSpPr>
      <xdr:spPr>
        <a:xfrm flipH="1">
          <a:off x="1783977" y="65971270"/>
          <a:ext cx="259976" cy="905436"/>
        </a:xfrm>
        <a:prstGeom prst="straightConnector1">
          <a:avLst/>
        </a:prstGeom>
        <a:ln w="190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519952</xdr:colOff>
      <xdr:row>220</xdr:row>
      <xdr:rowOff>251012</xdr:rowOff>
    </xdr:from>
    <xdr:ext cx="876009" cy="342786"/>
    <xdr:sp macro="" textlink="">
      <xdr:nvSpPr>
        <xdr:cNvPr id="32" name="TextBox 31">
          <a:extLst>
            <a:ext uri="{FF2B5EF4-FFF2-40B4-BE49-F238E27FC236}">
              <a16:creationId xmlns:a16="http://schemas.microsoft.com/office/drawing/2014/main" id="{46358520-27AB-80D6-A4C8-41B0A196D40E}"/>
            </a:ext>
          </a:extLst>
        </xdr:cNvPr>
        <xdr:cNvSpPr txBox="1"/>
      </xdr:nvSpPr>
      <xdr:spPr>
        <a:xfrm>
          <a:off x="1721223" y="65648541"/>
          <a:ext cx="87600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1">
              <a:solidFill>
                <a:srgbClr val="FFFF00"/>
              </a:solidFill>
            </a:rPr>
            <a:t>Tower 3</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mvrPxxNiEe4yhNUJ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38"/>
  <sheetViews>
    <sheetView tabSelected="1" view="pageBreakPreview" topLeftCell="A93" zoomScale="85" zoomScaleNormal="85" zoomScaleSheetLayoutView="85" zoomScalePageLayoutView="70" workbookViewId="0">
      <selection activeCell="J113" sqref="J113"/>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0" width="12" style="1" bestFit="1" customWidth="1"/>
    <col min="11" max="11" width="18.44140625" style="1" customWidth="1"/>
    <col min="12" max="12" width="12.109375" style="1" bestFit="1" customWidth="1"/>
    <col min="13" max="19" width="9.109375" style="1"/>
    <col min="20" max="22" width="0" style="1" hidden="1" customWidth="1"/>
    <col min="23" max="25" width="9.109375" style="1"/>
    <col min="26" max="26" width="7.88671875" style="1" customWidth="1"/>
    <col min="27" max="16384" width="9.109375" style="1"/>
  </cols>
  <sheetData>
    <row r="1" spans="1:11" ht="21" x14ac:dyDescent="0.3">
      <c r="A1" s="122" t="s">
        <v>38</v>
      </c>
      <c r="B1" s="123"/>
      <c r="C1" s="123"/>
      <c r="D1" s="123"/>
      <c r="E1" s="123"/>
      <c r="F1" s="123"/>
      <c r="G1" s="123"/>
      <c r="H1" s="124"/>
    </row>
    <row r="2" spans="1:11" ht="42" customHeight="1" x14ac:dyDescent="0.3">
      <c r="A2" s="78" t="s">
        <v>10</v>
      </c>
      <c r="B2" s="78"/>
      <c r="C2" s="77" t="s">
        <v>87</v>
      </c>
      <c r="D2" s="77"/>
      <c r="E2" s="78" t="s">
        <v>12</v>
      </c>
      <c r="F2" s="78"/>
      <c r="G2" s="84">
        <v>45909</v>
      </c>
      <c r="H2" s="77"/>
      <c r="J2" s="85"/>
      <c r="K2" s="86"/>
    </row>
    <row r="3" spans="1:11" ht="42.75" customHeight="1" x14ac:dyDescent="0.3">
      <c r="A3" s="78" t="s">
        <v>39</v>
      </c>
      <c r="B3" s="78"/>
      <c r="C3" s="87" t="s">
        <v>308</v>
      </c>
      <c r="D3" s="77"/>
      <c r="E3" s="78" t="s">
        <v>157</v>
      </c>
      <c r="F3" s="78"/>
      <c r="G3" s="84" t="s">
        <v>357</v>
      </c>
      <c r="H3" s="77"/>
    </row>
    <row r="4" spans="1:11" ht="43.5" customHeight="1" x14ac:dyDescent="0.3">
      <c r="A4" s="78" t="s">
        <v>36</v>
      </c>
      <c r="B4" s="78"/>
      <c r="C4" s="77" t="s">
        <v>310</v>
      </c>
      <c r="D4" s="77"/>
      <c r="E4" s="78" t="s">
        <v>33</v>
      </c>
      <c r="F4" s="78"/>
      <c r="G4" s="77" t="str">
        <f ca="1">TEXT(TODAY(),"DD/MM/YYYY")</f>
        <v>11/09/2025</v>
      </c>
      <c r="H4" s="77"/>
    </row>
    <row r="5" spans="1:11" ht="21" x14ac:dyDescent="0.3">
      <c r="A5" s="101" t="s">
        <v>40</v>
      </c>
      <c r="B5" s="101"/>
      <c r="C5" s="101"/>
      <c r="D5" s="101"/>
      <c r="E5" s="101"/>
      <c r="F5" s="101"/>
      <c r="G5" s="101"/>
      <c r="H5" s="101"/>
    </row>
    <row r="6" spans="1:11" ht="43.5" customHeight="1" x14ac:dyDescent="0.3">
      <c r="A6" s="78" t="s">
        <v>29</v>
      </c>
      <c r="B6" s="78"/>
      <c r="C6" s="77" t="s">
        <v>93</v>
      </c>
      <c r="D6" s="77"/>
      <c r="E6" s="78" t="s">
        <v>35</v>
      </c>
      <c r="F6" s="78"/>
      <c r="G6" s="77" t="s">
        <v>307</v>
      </c>
      <c r="H6" s="77"/>
    </row>
    <row r="7" spans="1:11" ht="23.25" customHeight="1" x14ac:dyDescent="0.3">
      <c r="A7" s="78" t="s">
        <v>42</v>
      </c>
      <c r="B7" s="78"/>
      <c r="C7" s="77" t="s">
        <v>311</v>
      </c>
      <c r="D7" s="77"/>
      <c r="E7" s="78" t="s">
        <v>43</v>
      </c>
      <c r="F7" s="78"/>
      <c r="G7" s="77" t="s">
        <v>311</v>
      </c>
      <c r="H7" s="77"/>
    </row>
    <row r="8" spans="1:11" ht="48.75" customHeight="1" x14ac:dyDescent="0.3">
      <c r="A8" s="78" t="s">
        <v>44</v>
      </c>
      <c r="B8" s="78"/>
      <c r="C8" s="77" t="s">
        <v>367</v>
      </c>
      <c r="D8" s="77"/>
      <c r="E8" s="77"/>
      <c r="F8" s="77"/>
      <c r="G8" s="77"/>
      <c r="H8" s="77"/>
      <c r="I8" s="1" t="s">
        <v>312</v>
      </c>
    </row>
    <row r="9" spans="1:11" ht="45" customHeight="1" x14ac:dyDescent="0.3">
      <c r="A9" s="83" t="s">
        <v>148</v>
      </c>
      <c r="B9" s="36" t="s">
        <v>41</v>
      </c>
      <c r="C9" s="77" t="s">
        <v>313</v>
      </c>
      <c r="D9" s="77"/>
      <c r="E9" s="77"/>
      <c r="F9" s="77"/>
      <c r="G9" s="77"/>
      <c r="H9" s="77"/>
    </row>
    <row r="10" spans="1:11" ht="44.4" customHeight="1" x14ac:dyDescent="0.3">
      <c r="A10" s="83"/>
      <c r="B10" s="36" t="s">
        <v>11</v>
      </c>
      <c r="C10" s="77" t="s">
        <v>314</v>
      </c>
      <c r="D10" s="77"/>
      <c r="E10" s="77"/>
      <c r="F10" s="77"/>
      <c r="G10" s="77"/>
      <c r="H10" s="77"/>
    </row>
    <row r="11" spans="1:11" ht="42" customHeight="1" x14ac:dyDescent="0.3">
      <c r="A11" s="83"/>
      <c r="B11" s="36" t="s">
        <v>5</v>
      </c>
      <c r="C11" s="77" t="s">
        <v>366</v>
      </c>
      <c r="D11" s="77"/>
      <c r="E11" s="77"/>
      <c r="F11" s="77"/>
      <c r="G11" s="77"/>
      <c r="H11" s="77"/>
    </row>
    <row r="12" spans="1:11" ht="40.5" customHeight="1" x14ac:dyDescent="0.3">
      <c r="A12" s="78" t="s">
        <v>34</v>
      </c>
      <c r="B12" s="78"/>
      <c r="C12" s="77" t="s">
        <v>318</v>
      </c>
      <c r="D12" s="77"/>
      <c r="E12" s="77"/>
      <c r="F12" s="77"/>
      <c r="G12" s="77"/>
      <c r="H12" s="77"/>
    </row>
    <row r="13" spans="1:11" ht="20.100000000000001" customHeight="1" x14ac:dyDescent="0.3">
      <c r="A13" s="101" t="s">
        <v>45</v>
      </c>
      <c r="B13" s="101"/>
      <c r="C13" s="101"/>
      <c r="D13" s="101"/>
      <c r="E13" s="101"/>
      <c r="F13" s="101"/>
      <c r="G13" s="101"/>
      <c r="H13" s="101"/>
    </row>
    <row r="14" spans="1:11" ht="41.25" customHeight="1" x14ac:dyDescent="0.3">
      <c r="A14" s="78" t="s">
        <v>27</v>
      </c>
      <c r="B14" s="78" t="s">
        <v>4</v>
      </c>
      <c r="C14" s="77" t="s">
        <v>88</v>
      </c>
      <c r="D14" s="77"/>
      <c r="E14" s="78" t="s">
        <v>46</v>
      </c>
      <c r="F14" s="78" t="s">
        <v>4</v>
      </c>
      <c r="G14" s="77" t="s">
        <v>319</v>
      </c>
      <c r="H14" s="77"/>
    </row>
    <row r="15" spans="1:11" ht="41.25" customHeight="1" x14ac:dyDescent="0.3">
      <c r="A15" s="78" t="s">
        <v>47</v>
      </c>
      <c r="B15" s="78" t="s">
        <v>4</v>
      </c>
      <c r="C15" s="77" t="s">
        <v>309</v>
      </c>
      <c r="D15" s="77"/>
      <c r="E15" s="78" t="s">
        <v>48</v>
      </c>
      <c r="F15" s="78" t="s">
        <v>4</v>
      </c>
      <c r="G15" s="84">
        <v>47848</v>
      </c>
      <c r="H15" s="77"/>
    </row>
    <row r="16" spans="1:11" ht="41.25" customHeight="1" x14ac:dyDescent="0.3">
      <c r="A16" s="78" t="s">
        <v>49</v>
      </c>
      <c r="B16" s="78" t="s">
        <v>4</v>
      </c>
      <c r="C16" s="84">
        <v>45595</v>
      </c>
      <c r="D16" s="77"/>
      <c r="E16" s="78" t="s">
        <v>50</v>
      </c>
      <c r="F16" s="78" t="s">
        <v>4</v>
      </c>
      <c r="G16" s="107">
        <v>45778</v>
      </c>
      <c r="H16" s="77"/>
    </row>
    <row r="17" spans="1:8" ht="41.25" customHeight="1" x14ac:dyDescent="0.3">
      <c r="A17" s="78" t="s">
        <v>51</v>
      </c>
      <c r="B17" s="78" t="s">
        <v>4</v>
      </c>
      <c r="C17" s="84">
        <v>47848</v>
      </c>
      <c r="D17" s="77"/>
      <c r="E17" s="78" t="s">
        <v>52</v>
      </c>
      <c r="F17" s="78" t="s">
        <v>4</v>
      </c>
      <c r="G17" s="77" t="s">
        <v>320</v>
      </c>
      <c r="H17" s="77"/>
    </row>
    <row r="18" spans="1:8" ht="41.25" customHeight="1" x14ac:dyDescent="0.3">
      <c r="A18" s="78" t="s">
        <v>53</v>
      </c>
      <c r="B18" s="78" t="s">
        <v>4</v>
      </c>
      <c r="C18" s="77" t="str">
        <f>IF(AND(ISNUMBER(SEARCH("Flat",C21)),ISNUMBER(SEARCH("Shop",C21)),ISNUMBER(SEARCH("Office",C21))),"Residential + Commercial",IF(AND(ISNUMBER(SEARCH("Flat",C21)),ISNUMBER(SEARCH("Shop",C21))),"Residential + Commercial",IF(AND(ISNUMBER(SEARCH("Flat",C21)),ISNUMBER(SEARCH("Office",C21))),"Residential + Commercial",IF(AND(ISNUMBER(SEARCH("Shop",C21)),ISNUMBER(SEARCH("Office",C21))),"Commercial",IF(ISNUMBER(SEARCH("Shop",C21)),"Commercial",IF(ISNUMBER(SEARCH("Office",C21)),"Commercial",IF(ISNUMBER(SEARCH("Flat",C21)),"Residential")))))))</f>
        <v>Residential + Commercial</v>
      </c>
      <c r="D18" s="77"/>
      <c r="E18" s="78" t="s">
        <v>96</v>
      </c>
      <c r="F18" s="78" t="s">
        <v>4</v>
      </c>
      <c r="G18" s="77">
        <v>20952.13</v>
      </c>
      <c r="H18" s="77"/>
    </row>
    <row r="19" spans="1:8" ht="41.25" customHeight="1" x14ac:dyDescent="0.3">
      <c r="A19" s="78" t="s">
        <v>54</v>
      </c>
      <c r="B19" s="78" t="s">
        <v>4</v>
      </c>
      <c r="C19" s="108">
        <v>1.1000000000000001</v>
      </c>
      <c r="D19" s="108"/>
      <c r="E19" s="78" t="s">
        <v>242</v>
      </c>
      <c r="F19" s="78" t="s">
        <v>4</v>
      </c>
      <c r="G19" s="77">
        <v>19904.52</v>
      </c>
      <c r="H19" s="77"/>
    </row>
    <row r="20" spans="1:8" ht="41.25" customHeight="1" x14ac:dyDescent="0.3">
      <c r="A20" s="78" t="s">
        <v>94</v>
      </c>
      <c r="B20" s="78" t="s">
        <v>4</v>
      </c>
      <c r="C20" s="77">
        <v>75039.289999999994</v>
      </c>
      <c r="D20" s="77"/>
      <c r="E20" s="78" t="s">
        <v>95</v>
      </c>
      <c r="F20" s="78" t="s">
        <v>4</v>
      </c>
      <c r="G20" s="77">
        <v>75032.95</v>
      </c>
      <c r="H20" s="77"/>
    </row>
    <row r="21" spans="1:8" ht="41.25" customHeight="1" x14ac:dyDescent="0.3">
      <c r="A21" s="78" t="s">
        <v>56</v>
      </c>
      <c r="B21" s="78" t="s">
        <v>4</v>
      </c>
      <c r="C21" s="77" t="s">
        <v>359</v>
      </c>
      <c r="D21" s="77"/>
      <c r="E21" s="78" t="s">
        <v>55</v>
      </c>
      <c r="F21" s="78" t="s">
        <v>4</v>
      </c>
      <c r="G21" s="77" t="s">
        <v>368</v>
      </c>
      <c r="H21" s="77"/>
    </row>
    <row r="22" spans="1:8" ht="41.25" customHeight="1" x14ac:dyDescent="0.3">
      <c r="A22" s="78" t="s">
        <v>161</v>
      </c>
      <c r="B22" s="78" t="s">
        <v>4</v>
      </c>
      <c r="C22" s="77" t="s">
        <v>315</v>
      </c>
      <c r="D22" s="77"/>
      <c r="E22" s="78" t="s">
        <v>162</v>
      </c>
      <c r="F22" s="78" t="s">
        <v>4</v>
      </c>
      <c r="G22" s="77" t="s">
        <v>317</v>
      </c>
      <c r="H22" s="77"/>
    </row>
    <row r="23" spans="1:8" ht="21" x14ac:dyDescent="0.3">
      <c r="A23" s="78" t="s">
        <v>159</v>
      </c>
      <c r="B23" s="78" t="s">
        <v>4</v>
      </c>
      <c r="C23" s="109" t="s">
        <v>316</v>
      </c>
      <c r="D23" s="110"/>
      <c r="E23" s="110"/>
      <c r="F23" s="110"/>
      <c r="G23" s="110"/>
      <c r="H23" s="110"/>
    </row>
    <row r="24" spans="1:8" ht="47.4" customHeight="1" x14ac:dyDescent="0.3">
      <c r="A24" s="78" t="s">
        <v>25</v>
      </c>
      <c r="B24" s="78" t="s">
        <v>4</v>
      </c>
      <c r="C24" s="77" t="s">
        <v>321</v>
      </c>
      <c r="D24" s="77"/>
      <c r="E24" s="77"/>
      <c r="F24" s="77"/>
      <c r="G24" s="77"/>
      <c r="H24" s="77"/>
    </row>
    <row r="25" spans="1:8" ht="24" customHeight="1" x14ac:dyDescent="0.3">
      <c r="A25" s="101" t="s">
        <v>20</v>
      </c>
      <c r="B25" s="101"/>
      <c r="C25" s="101"/>
      <c r="D25" s="101"/>
      <c r="E25" s="101"/>
      <c r="F25" s="101"/>
      <c r="G25" s="101"/>
      <c r="H25" s="101"/>
    </row>
    <row r="26" spans="1:8" ht="43.5" customHeight="1" x14ac:dyDescent="0.3">
      <c r="A26" s="78" t="s">
        <v>26</v>
      </c>
      <c r="B26" s="78" t="s">
        <v>4</v>
      </c>
      <c r="C26" s="77" t="str">
        <f>IF(AND(G26="Upper"),"Developed","Developing")</f>
        <v>Developing</v>
      </c>
      <c r="D26" s="77"/>
      <c r="E26" s="78" t="s">
        <v>13</v>
      </c>
      <c r="F26" s="78" t="s">
        <v>4</v>
      </c>
      <c r="G26" s="77" t="s">
        <v>322</v>
      </c>
      <c r="H26" s="77"/>
    </row>
    <row r="27" spans="1:8" ht="43.5" customHeight="1" x14ac:dyDescent="0.3">
      <c r="A27" s="78" t="s">
        <v>14</v>
      </c>
      <c r="B27" s="78" t="s">
        <v>4</v>
      </c>
      <c r="C27" s="77" t="s">
        <v>304</v>
      </c>
      <c r="D27" s="77"/>
      <c r="E27" s="78" t="s">
        <v>149</v>
      </c>
      <c r="F27" s="78" t="s">
        <v>4</v>
      </c>
      <c r="G27" s="77" t="s">
        <v>323</v>
      </c>
      <c r="H27" s="77"/>
    </row>
    <row r="28" spans="1:8" ht="43.5" customHeight="1" x14ac:dyDescent="0.3">
      <c r="A28" s="78" t="s">
        <v>23</v>
      </c>
      <c r="B28" s="78" t="s">
        <v>4</v>
      </c>
      <c r="C28" s="77" t="s">
        <v>98</v>
      </c>
      <c r="D28" s="77"/>
      <c r="E28" s="78" t="s">
        <v>16</v>
      </c>
      <c r="F28" s="78" t="s">
        <v>4</v>
      </c>
      <c r="G28" s="77" t="s">
        <v>352</v>
      </c>
      <c r="H28" s="77"/>
    </row>
    <row r="29" spans="1:8" ht="43.5" customHeight="1" x14ac:dyDescent="0.3">
      <c r="A29" s="78" t="s">
        <v>107</v>
      </c>
      <c r="B29" s="78" t="s">
        <v>4</v>
      </c>
      <c r="C29" s="77" t="s">
        <v>353</v>
      </c>
      <c r="D29" s="77"/>
      <c r="E29" s="78" t="s">
        <v>108</v>
      </c>
      <c r="F29" s="78" t="s">
        <v>4</v>
      </c>
      <c r="G29" s="77" t="s">
        <v>354</v>
      </c>
      <c r="H29" s="77"/>
    </row>
    <row r="30" spans="1:8" ht="84" customHeight="1" x14ac:dyDescent="0.3">
      <c r="A30" s="78" t="s">
        <v>17</v>
      </c>
      <c r="B30" s="78" t="s">
        <v>4</v>
      </c>
      <c r="C30" s="77" t="s">
        <v>355</v>
      </c>
      <c r="D30" s="77"/>
      <c r="E30" s="78" t="s">
        <v>15</v>
      </c>
      <c r="F30" s="78" t="s">
        <v>4</v>
      </c>
      <c r="G30" s="77" t="s">
        <v>356</v>
      </c>
      <c r="H30" s="77"/>
    </row>
    <row r="31" spans="1:8" ht="21" x14ac:dyDescent="0.3">
      <c r="A31" s="78" t="s">
        <v>113</v>
      </c>
      <c r="B31" s="78" t="s">
        <v>4</v>
      </c>
      <c r="C31" s="77" t="s">
        <v>114</v>
      </c>
      <c r="D31" s="77"/>
      <c r="E31" s="78" t="s">
        <v>115</v>
      </c>
      <c r="F31" s="78" t="s">
        <v>4</v>
      </c>
      <c r="G31" s="77" t="s">
        <v>114</v>
      </c>
      <c r="H31" s="77"/>
    </row>
    <row r="32" spans="1:8" ht="21.75" customHeight="1" x14ac:dyDescent="0.3">
      <c r="A32" s="78" t="s">
        <v>116</v>
      </c>
      <c r="B32" s="78" t="s">
        <v>4</v>
      </c>
      <c r="C32" s="77" t="s">
        <v>114</v>
      </c>
      <c r="D32" s="77"/>
      <c r="E32" s="77"/>
      <c r="F32" s="77"/>
      <c r="G32" s="77"/>
      <c r="H32" s="77"/>
    </row>
    <row r="33" spans="1:15" ht="21" x14ac:dyDescent="0.3">
      <c r="A33" s="139" t="s">
        <v>37</v>
      </c>
      <c r="B33" s="139"/>
      <c r="C33" s="139"/>
      <c r="D33" s="139"/>
      <c r="E33" s="139"/>
      <c r="F33" s="139"/>
      <c r="G33" s="139"/>
      <c r="H33" s="139"/>
    </row>
    <row r="34" spans="1:15" ht="43.5" customHeight="1" x14ac:dyDescent="0.3">
      <c r="A34" s="78" t="s">
        <v>18</v>
      </c>
      <c r="B34" s="78"/>
      <c r="C34" s="77" t="s">
        <v>99</v>
      </c>
      <c r="D34" s="77"/>
      <c r="E34" s="78" t="s">
        <v>19</v>
      </c>
      <c r="F34" s="78" t="s">
        <v>4</v>
      </c>
      <c r="G34" s="77" t="s">
        <v>100</v>
      </c>
      <c r="H34" s="77"/>
    </row>
    <row r="35" spans="1:15" ht="43.5" customHeight="1" x14ac:dyDescent="0.3">
      <c r="A35" s="78" t="s">
        <v>22</v>
      </c>
      <c r="B35" s="78"/>
      <c r="C35" s="77" t="s">
        <v>100</v>
      </c>
      <c r="D35" s="77"/>
      <c r="E35" s="78" t="s">
        <v>32</v>
      </c>
      <c r="F35" s="78" t="s">
        <v>4</v>
      </c>
      <c r="G35" s="77" t="s">
        <v>100</v>
      </c>
      <c r="H35" s="77"/>
    </row>
    <row r="36" spans="1:15" ht="21" x14ac:dyDescent="0.3">
      <c r="A36" s="78" t="s">
        <v>31</v>
      </c>
      <c r="B36" s="78"/>
      <c r="C36" s="77" t="s">
        <v>101</v>
      </c>
      <c r="D36" s="77"/>
      <c r="E36" s="78" t="s">
        <v>21</v>
      </c>
      <c r="F36" s="78" t="s">
        <v>4</v>
      </c>
      <c r="G36" s="77" t="s">
        <v>102</v>
      </c>
      <c r="H36" s="77"/>
    </row>
    <row r="37" spans="1:15" ht="21" x14ac:dyDescent="0.3">
      <c r="A37" s="101" t="s">
        <v>0</v>
      </c>
      <c r="B37" s="101"/>
      <c r="C37" s="101"/>
      <c r="D37" s="101"/>
      <c r="E37" s="101"/>
      <c r="F37" s="101"/>
      <c r="G37" s="101"/>
      <c r="H37" s="101"/>
    </row>
    <row r="38" spans="1:15" ht="21" x14ac:dyDescent="0.3">
      <c r="A38" s="81" t="s">
        <v>0</v>
      </c>
      <c r="B38" s="81"/>
      <c r="C38" s="81" t="s">
        <v>227</v>
      </c>
      <c r="D38" s="81"/>
      <c r="E38" s="81"/>
      <c r="F38" s="81" t="s">
        <v>7</v>
      </c>
      <c r="G38" s="81"/>
      <c r="H38" s="81"/>
      <c r="J38" s="79" t="s">
        <v>1</v>
      </c>
      <c r="K38" s="80"/>
      <c r="L38" s="2" t="s">
        <v>6</v>
      </c>
      <c r="M38" s="79" t="s">
        <v>2</v>
      </c>
      <c r="N38" s="80"/>
      <c r="O38" s="2" t="s">
        <v>3</v>
      </c>
    </row>
    <row r="39" spans="1:15" ht="21" x14ac:dyDescent="0.3">
      <c r="A39" s="83" t="s">
        <v>2</v>
      </c>
      <c r="B39" s="83"/>
      <c r="C39" s="82" t="s">
        <v>324</v>
      </c>
      <c r="D39" s="82"/>
      <c r="E39" s="82"/>
      <c r="F39" s="82" t="s">
        <v>326</v>
      </c>
      <c r="G39" s="82"/>
      <c r="H39" s="82"/>
    </row>
    <row r="40" spans="1:15" ht="21" x14ac:dyDescent="0.3">
      <c r="A40" s="83" t="s">
        <v>3</v>
      </c>
      <c r="B40" s="83"/>
      <c r="C40" s="82" t="s">
        <v>325</v>
      </c>
      <c r="D40" s="82"/>
      <c r="E40" s="82"/>
      <c r="F40" s="82" t="s">
        <v>327</v>
      </c>
      <c r="G40" s="82"/>
      <c r="H40" s="82"/>
    </row>
    <row r="41" spans="1:15" ht="21" x14ac:dyDescent="0.3">
      <c r="A41" s="83" t="s">
        <v>1</v>
      </c>
      <c r="B41" s="83"/>
      <c r="C41" s="82" t="s">
        <v>324</v>
      </c>
      <c r="D41" s="82"/>
      <c r="E41" s="82"/>
      <c r="F41" s="82" t="s">
        <v>326</v>
      </c>
      <c r="G41" s="82"/>
      <c r="H41" s="82"/>
    </row>
    <row r="42" spans="1:15" ht="21" x14ac:dyDescent="0.3">
      <c r="A42" s="83" t="s">
        <v>6</v>
      </c>
      <c r="B42" s="83"/>
      <c r="C42" s="82" t="s">
        <v>325</v>
      </c>
      <c r="D42" s="82"/>
      <c r="E42" s="82"/>
      <c r="F42" s="82" t="s">
        <v>328</v>
      </c>
      <c r="G42" s="82"/>
      <c r="H42" s="82"/>
    </row>
    <row r="43" spans="1:15" ht="51" customHeight="1" x14ac:dyDescent="0.3">
      <c r="A43" s="78" t="s">
        <v>228</v>
      </c>
      <c r="B43" s="78"/>
      <c r="C43" s="77" t="s">
        <v>98</v>
      </c>
      <c r="D43" s="77"/>
      <c r="E43" s="77"/>
      <c r="F43" s="77"/>
      <c r="G43" s="77"/>
      <c r="H43" s="77"/>
    </row>
    <row r="44" spans="1:15" ht="21" x14ac:dyDescent="0.3">
      <c r="A44" s="101" t="s">
        <v>57</v>
      </c>
      <c r="B44" s="101"/>
      <c r="C44" s="101"/>
      <c r="D44" s="101"/>
      <c r="E44" s="101"/>
      <c r="F44" s="101"/>
      <c r="G44" s="101"/>
      <c r="H44" s="101"/>
    </row>
    <row r="45" spans="1:15" ht="21" customHeight="1" x14ac:dyDescent="0.3">
      <c r="A45" s="81" t="s">
        <v>58</v>
      </c>
      <c r="B45" s="81"/>
      <c r="C45" s="2" t="s">
        <v>59</v>
      </c>
      <c r="D45" s="81" t="s">
        <v>147</v>
      </c>
      <c r="E45" s="81"/>
      <c r="F45" s="81"/>
      <c r="G45" s="81" t="s">
        <v>60</v>
      </c>
      <c r="H45" s="81"/>
    </row>
    <row r="46" spans="1:15" ht="21" customHeight="1" x14ac:dyDescent="0.3">
      <c r="A46" s="156" t="s">
        <v>306</v>
      </c>
      <c r="B46" s="156"/>
      <c r="C46" s="35" t="s">
        <v>89</v>
      </c>
      <c r="D46" s="82" t="s">
        <v>329</v>
      </c>
      <c r="E46" s="82"/>
      <c r="F46" s="82"/>
      <c r="G46" s="85" t="s">
        <v>329</v>
      </c>
      <c r="H46" s="86"/>
    </row>
    <row r="47" spans="1:15" ht="21" customHeight="1" x14ac:dyDescent="0.3">
      <c r="A47" s="156" t="s">
        <v>302</v>
      </c>
      <c r="B47" s="156"/>
      <c r="C47" s="35" t="s">
        <v>89</v>
      </c>
      <c r="D47" s="82" t="s">
        <v>330</v>
      </c>
      <c r="E47" s="82"/>
      <c r="F47" s="82"/>
      <c r="G47" s="85" t="s">
        <v>330</v>
      </c>
      <c r="H47" s="86"/>
    </row>
    <row r="48" spans="1:15" ht="21" hidden="1" x14ac:dyDescent="0.3">
      <c r="A48" s="156" t="s">
        <v>302</v>
      </c>
      <c r="B48" s="156"/>
      <c r="C48" s="35" t="s">
        <v>89</v>
      </c>
      <c r="D48" s="77"/>
      <c r="E48" s="77"/>
      <c r="F48" s="77"/>
      <c r="G48" s="77"/>
      <c r="H48" s="77"/>
    </row>
    <row r="49" spans="1:14" ht="21" hidden="1" x14ac:dyDescent="0.3">
      <c r="A49" s="156" t="s">
        <v>303</v>
      </c>
      <c r="B49" s="156"/>
      <c r="C49" s="35" t="s">
        <v>89</v>
      </c>
      <c r="D49" s="77"/>
      <c r="E49" s="77"/>
      <c r="F49" s="77"/>
      <c r="G49" s="77"/>
      <c r="H49" s="77"/>
    </row>
    <row r="50" spans="1:14" ht="21" x14ac:dyDescent="0.3">
      <c r="A50" s="101" t="s">
        <v>61</v>
      </c>
      <c r="B50" s="101"/>
      <c r="C50" s="101"/>
      <c r="D50" s="101"/>
      <c r="E50" s="101"/>
      <c r="F50" s="101"/>
      <c r="G50" s="101"/>
      <c r="H50" s="101"/>
    </row>
    <row r="51" spans="1:14" ht="42.75" customHeight="1" x14ac:dyDescent="0.3">
      <c r="A51" s="78" t="s">
        <v>62</v>
      </c>
      <c r="B51" s="78" t="s">
        <v>4</v>
      </c>
      <c r="C51" s="77" t="s">
        <v>98</v>
      </c>
      <c r="D51" s="77"/>
      <c r="E51" s="77"/>
      <c r="F51" s="77"/>
      <c r="G51" s="77"/>
      <c r="H51" s="77"/>
    </row>
    <row r="52" spans="1:14" ht="44.25" customHeight="1" x14ac:dyDescent="0.3">
      <c r="A52" s="78" t="s">
        <v>63</v>
      </c>
      <c r="B52" s="78" t="s">
        <v>4</v>
      </c>
      <c r="C52" s="77" t="s">
        <v>331</v>
      </c>
      <c r="D52" s="77"/>
      <c r="E52" s="77"/>
      <c r="F52" s="77"/>
      <c r="G52" s="52" t="s">
        <v>229</v>
      </c>
      <c r="H52" s="75">
        <v>45316</v>
      </c>
    </row>
    <row r="53" spans="1:14" ht="44.25" customHeight="1" x14ac:dyDescent="0.3">
      <c r="A53" s="78" t="s">
        <v>64</v>
      </c>
      <c r="B53" s="78" t="s">
        <v>4</v>
      </c>
      <c r="C53" s="77" t="s">
        <v>331</v>
      </c>
      <c r="D53" s="77"/>
      <c r="E53" s="77"/>
      <c r="F53" s="77"/>
      <c r="G53" s="52" t="s">
        <v>229</v>
      </c>
      <c r="H53" s="75">
        <v>45316</v>
      </c>
    </row>
    <row r="54" spans="1:14" ht="44.25" customHeight="1" x14ac:dyDescent="0.3">
      <c r="A54" s="78" t="s">
        <v>333</v>
      </c>
      <c r="B54" s="78"/>
      <c r="C54" s="77" t="s">
        <v>335</v>
      </c>
      <c r="D54" s="77"/>
      <c r="E54" s="77"/>
      <c r="F54" s="77"/>
      <c r="G54" s="52" t="s">
        <v>229</v>
      </c>
      <c r="H54" s="75">
        <v>45316</v>
      </c>
    </row>
    <row r="55" spans="1:14" ht="46.2" customHeight="1" x14ac:dyDescent="0.3">
      <c r="A55" s="78"/>
      <c r="B55" s="78"/>
      <c r="C55" s="97" t="s">
        <v>334</v>
      </c>
      <c r="D55" s="98"/>
      <c r="E55" s="98"/>
      <c r="F55" s="98"/>
      <c r="G55" s="98"/>
      <c r="H55" s="99"/>
    </row>
    <row r="56" spans="1:14" ht="44.25" customHeight="1" x14ac:dyDescent="0.3">
      <c r="A56" s="78" t="s">
        <v>333</v>
      </c>
      <c r="B56" s="78"/>
      <c r="C56" s="77" t="s">
        <v>336</v>
      </c>
      <c r="D56" s="77"/>
      <c r="E56" s="77"/>
      <c r="F56" s="77"/>
      <c r="G56" s="52" t="s">
        <v>229</v>
      </c>
      <c r="H56" s="75">
        <v>45621</v>
      </c>
    </row>
    <row r="57" spans="1:14" ht="46.2" customHeight="1" x14ac:dyDescent="0.3">
      <c r="A57" s="78"/>
      <c r="B57" s="78"/>
      <c r="C57" s="97" t="s">
        <v>332</v>
      </c>
      <c r="D57" s="98"/>
      <c r="E57" s="98"/>
      <c r="F57" s="98"/>
      <c r="G57" s="98"/>
      <c r="H57" s="99"/>
    </row>
    <row r="58" spans="1:14" ht="46.5" hidden="1" customHeight="1" x14ac:dyDescent="0.3">
      <c r="A58" s="78" t="s">
        <v>65</v>
      </c>
      <c r="B58" s="78" t="s">
        <v>4</v>
      </c>
      <c r="C58" s="77"/>
      <c r="D58" s="77"/>
      <c r="E58" s="77"/>
      <c r="F58" s="77"/>
      <c r="G58" s="52" t="s">
        <v>230</v>
      </c>
      <c r="H58" s="37"/>
    </row>
    <row r="59" spans="1:14" ht="45" hidden="1" customHeight="1" x14ac:dyDescent="0.3">
      <c r="A59" s="78" t="s">
        <v>67</v>
      </c>
      <c r="B59" s="78" t="s">
        <v>4</v>
      </c>
      <c r="C59" s="77"/>
      <c r="D59" s="77"/>
      <c r="E59" s="77"/>
      <c r="F59" s="77"/>
      <c r="G59" s="52" t="s">
        <v>230</v>
      </c>
      <c r="H59" s="37"/>
    </row>
    <row r="60" spans="1:14" ht="46.5" hidden="1" customHeight="1" x14ac:dyDescent="0.3">
      <c r="A60" s="78" t="s">
        <v>66</v>
      </c>
      <c r="B60" s="78" t="s">
        <v>4</v>
      </c>
      <c r="C60" s="77"/>
      <c r="D60" s="77"/>
      <c r="E60" s="77"/>
      <c r="F60" s="77"/>
      <c r="G60" s="52" t="s">
        <v>230</v>
      </c>
      <c r="H60" s="37"/>
      <c r="N60" s="74" t="s">
        <v>305</v>
      </c>
    </row>
    <row r="61" spans="1:14" ht="45" hidden="1" customHeight="1" x14ac:dyDescent="0.3">
      <c r="A61" s="78" t="s">
        <v>68</v>
      </c>
      <c r="B61" s="78" t="s">
        <v>4</v>
      </c>
      <c r="C61" s="77"/>
      <c r="D61" s="77"/>
      <c r="E61" s="77"/>
      <c r="F61" s="77"/>
      <c r="G61" s="52" t="s">
        <v>230</v>
      </c>
      <c r="H61" s="37"/>
    </row>
    <row r="62" spans="1:14" ht="21.6" thickBot="1" x14ac:dyDescent="0.35">
      <c r="A62" s="101" t="s">
        <v>69</v>
      </c>
      <c r="B62" s="101"/>
      <c r="C62" s="101"/>
      <c r="D62" s="101"/>
      <c r="E62" s="101"/>
      <c r="F62" s="101"/>
      <c r="G62" s="101"/>
      <c r="H62" s="101"/>
    </row>
    <row r="63" spans="1:14" ht="20.25" customHeight="1" x14ac:dyDescent="0.4">
      <c r="A63" s="151" t="str">
        <f>CONCATENATE((IF(OR(A46="",A46="NA"),"",A46)),"= ",(IF(OR(D46="",D46="NA"),"",D46)),".")</f>
        <v>Tower 1= Gr +1st to 22nd Floor.</v>
      </c>
      <c r="B63" s="151"/>
      <c r="C63" s="151"/>
      <c r="D63" s="30" t="s">
        <v>117</v>
      </c>
      <c r="E63" s="140" t="s">
        <v>104</v>
      </c>
      <c r="F63" s="140"/>
      <c r="G63" s="30" t="s">
        <v>118</v>
      </c>
      <c r="H63" s="30" t="s">
        <v>119</v>
      </c>
      <c r="I63" s="16" t="str">
        <f ca="1">(IF(E66&gt;99%,"All work completed. Please provide OC.",IF(E66&gt;89.8%,"Plinth, RCC, Brick, Plaster, Flooring, Wooden, Plumbing, Electrification, etc., work Completed. Finishing work is in process.",IF(E66&lt;94%,(IF(C66=0,"Work not yet Started.",IF(D66=25%,"Piling work in process",IF(D66=50%,"Excavation work in process",IF(D66=100%,"Excavation work Completed. ","0")))&amp;(IF(C67=0%,"",IF(C67=J68,"Footing work is process",IF(C67=J69,"Footing work Completed",IF(C67=J70,"1st Basement Completed",IF(C67=J71,"1st &amp; 2nd Basement Completed",IF(C67=J72,"1st to 3rd Basement Completed",IF(C67=J73,"1st to 4th Basement Completed",IF(C67=J74,"Plinth work is process",IF(C67=J75,"Plinth work completed","0")))))))))))&amp;(IF(C68=(E64+G64+H64),", RCC Slab",IF(C68&gt;0,", RCC upto "&amp;C68&amp;" Slab",""))&amp;(IF(C69=H64,", Brickwork",IF(C69&gt;0,", Brickwork upto "&amp;C69&amp;" Floor",""))&amp;(IF(C70=H64,", Internal Plaster",IF(C70&gt;0,", Internal Plaster upto "&amp;C70&amp;" Floor",""))&amp;(IF(C71=H64,", External Plaster",IF(C71&gt;0,", External Plaster upto "&amp;C71&amp;" Floor",""))&amp;(IF(C72=H64,", External Plumbing, Elevation and Waterproofing",IF(C72&gt;0,", External Plumbing, Elevation and Waterproofing upto "&amp;C72&amp;" Floor",""))&amp;(IF(C73=H64,", Flooring &amp; Fitting",IF(C73&gt;0,", Flooring &amp; Fitting upto "&amp;C73&amp;" Floor",""))&amp;(IF(C74=H64,", Wooden Work",IF(C74&gt;0,", Wooden Work upto "&amp;C74&amp;" Floor",""))&amp;(IF(C75=H64,", Electrical &amp; Sanitary fittings",IF(C75&gt;0,", Electrical &amp; Sanitary fittings upto "&amp;C75&amp;" Floor",""))&amp;(IF(C76&gt;0,", Finishing upto "&amp;C76&amp;" Floor","")&amp;(IF(C68&gt;0.5," Completed",""))))))))))))))))</f>
        <v>Work not yet Started.</v>
      </c>
      <c r="J63" s="18"/>
    </row>
    <row r="64" spans="1:14" ht="21" x14ac:dyDescent="0.4">
      <c r="A64" s="151"/>
      <c r="B64" s="151"/>
      <c r="C64" s="151"/>
      <c r="D64" s="30">
        <f>IF(AND(ISNUMBER(SEARCH("1B",A63))),1,IF(AND(ISNUMBER(SEARCH("2B",A63))),2,IF(AND(ISNUMBER(SEARCH("3B",A63))),3,IF(AND(ISNUMBER(SEARCH("4B",A63))),4,IF(ISNUMBER(SEARCH("5B",A63)),5,0)))))</f>
        <v>0</v>
      </c>
      <c r="E64" s="140">
        <v>1</v>
      </c>
      <c r="F64" s="140"/>
      <c r="G64" s="30">
        <v>0</v>
      </c>
      <c r="H64" s="30">
        <f ca="1">--TRIM(RIGHT(SUBSTITUTE(LEFT(A63,_xlfn.AGGREGATE(16,6,FIND({0,1,2,3,4,5,6,7,8,9},A63,ROW(INDIRECT("1:"&amp;LEN(A63)))),1))," ",REPT(" ",LEN(A63))),LEN(A63)))</f>
        <v>22</v>
      </c>
      <c r="I64" s="17" t="s">
        <v>123</v>
      </c>
      <c r="J64" s="18"/>
    </row>
    <row r="65" spans="1:10" ht="20.25" customHeight="1" x14ac:dyDescent="0.4">
      <c r="A65" s="141" t="s">
        <v>121</v>
      </c>
      <c r="B65" s="141"/>
      <c r="C65" s="28" t="s">
        <v>131</v>
      </c>
      <c r="D65" s="28" t="s">
        <v>132</v>
      </c>
      <c r="E65" s="141" t="s">
        <v>122</v>
      </c>
      <c r="F65" s="141"/>
      <c r="G65" s="29" t="s">
        <v>120</v>
      </c>
      <c r="H65" s="29"/>
      <c r="I65" s="20" t="s">
        <v>133</v>
      </c>
      <c r="J65" s="19">
        <f ca="1">H64*25%</f>
        <v>5.5</v>
      </c>
    </row>
    <row r="66" spans="1:10" ht="20.25" customHeight="1" x14ac:dyDescent="0.4">
      <c r="A66" s="94" t="s">
        <v>134</v>
      </c>
      <c r="B66" s="94"/>
      <c r="C66" s="30">
        <v>0</v>
      </c>
      <c r="D66" s="5">
        <f ca="1">((100/H64)*C66)/100</f>
        <v>0</v>
      </c>
      <c r="E66" s="88">
        <f ca="1">(((C66/H64*10)+(C67/H64*15)+(25/(E64+G64+H64)*C68)+(5/(H64)*C69)+(2.5/(H64)*C70)+(2.5/(H64)*C71)+(5/H64*C72)+(10/H64*C73)+(2.5/H64*C74)+(2.5/H64*C75)+(10/H64*C76)+(10/H64*C77))/100)</f>
        <v>0</v>
      </c>
      <c r="F66" s="89"/>
      <c r="G66" s="94" t="str">
        <f ca="1">I63</f>
        <v>Work not yet Started.</v>
      </c>
      <c r="H66" s="94"/>
      <c r="I66" s="20" t="s">
        <v>124</v>
      </c>
      <c r="J66" s="24">
        <f ca="1">H64*50%</f>
        <v>11</v>
      </c>
    </row>
    <row r="67" spans="1:10" ht="21" x14ac:dyDescent="0.4">
      <c r="A67" s="94" t="s">
        <v>105</v>
      </c>
      <c r="B67" s="94"/>
      <c r="C67" s="30">
        <v>0</v>
      </c>
      <c r="D67" s="5">
        <f ca="1">((100/H64)*C67)/100</f>
        <v>0</v>
      </c>
      <c r="E67" s="90"/>
      <c r="F67" s="91"/>
      <c r="G67" s="94"/>
      <c r="H67" s="94"/>
      <c r="I67" s="20" t="s">
        <v>125</v>
      </c>
      <c r="J67" s="24">
        <f ca="1">H64</f>
        <v>22</v>
      </c>
    </row>
    <row r="68" spans="1:10" ht="21" customHeight="1" x14ac:dyDescent="0.4">
      <c r="A68" s="94" t="s">
        <v>135</v>
      </c>
      <c r="B68" s="94"/>
      <c r="C68" s="30">
        <v>0</v>
      </c>
      <c r="D68" s="5">
        <f ca="1">((100/(E64+G64+H64))*C68)/100</f>
        <v>0</v>
      </c>
      <c r="E68" s="90"/>
      <c r="F68" s="91"/>
      <c r="G68" s="94"/>
      <c r="H68" s="94"/>
      <c r="I68" s="20" t="s">
        <v>126</v>
      </c>
      <c r="J68" s="25">
        <f ca="1">(IF(D64&gt;1,(H64/(D64+2)),H64*0.2))</f>
        <v>4.4000000000000004</v>
      </c>
    </row>
    <row r="69" spans="1:10" ht="21" customHeight="1" x14ac:dyDescent="0.4">
      <c r="A69" s="94" t="s">
        <v>136</v>
      </c>
      <c r="B69" s="94"/>
      <c r="C69" s="30">
        <v>0</v>
      </c>
      <c r="D69" s="5">
        <f ca="1">((100/H64)*C69)/100</f>
        <v>0</v>
      </c>
      <c r="E69" s="90"/>
      <c r="F69" s="91"/>
      <c r="G69" s="94"/>
      <c r="H69" s="94"/>
      <c r="I69" s="20" t="s">
        <v>127</v>
      </c>
      <c r="J69" s="25">
        <f ca="1">(IF(D64&gt;1,(H64/(D64+2)+J68),H64*0.2+J68))</f>
        <v>8.8000000000000007</v>
      </c>
    </row>
    <row r="70" spans="1:10" ht="21" customHeight="1" x14ac:dyDescent="0.4">
      <c r="A70" s="95" t="s">
        <v>137</v>
      </c>
      <c r="B70" s="96"/>
      <c r="C70" s="30">
        <v>0</v>
      </c>
      <c r="D70" s="5">
        <f ca="1">((100/H64)*C70)/100</f>
        <v>0</v>
      </c>
      <c r="E70" s="90"/>
      <c r="F70" s="91"/>
      <c r="G70" s="94"/>
      <c r="H70" s="94"/>
      <c r="I70" s="20" t="s">
        <v>138</v>
      </c>
      <c r="J70" s="25">
        <f>(IF(D64&gt;1,(H64/(D64+2)+J69),0))</f>
        <v>0</v>
      </c>
    </row>
    <row r="71" spans="1:10" ht="21" customHeight="1" x14ac:dyDescent="0.4">
      <c r="A71" s="95" t="s">
        <v>168</v>
      </c>
      <c r="B71" s="96"/>
      <c r="C71" s="30">
        <v>0</v>
      </c>
      <c r="D71" s="5">
        <f ca="1">((100/H64)*C71)/100</f>
        <v>0</v>
      </c>
      <c r="E71" s="90"/>
      <c r="F71" s="91"/>
      <c r="G71" s="94"/>
      <c r="H71" s="94"/>
      <c r="I71" s="20" t="s">
        <v>139</v>
      </c>
      <c r="J71" s="25">
        <f>(IF(D64&gt;2,(H64/(D64+2)+J70),0))</f>
        <v>0</v>
      </c>
    </row>
    <row r="72" spans="1:10" ht="21" x14ac:dyDescent="0.4">
      <c r="A72" s="95" t="s">
        <v>165</v>
      </c>
      <c r="B72" s="96"/>
      <c r="C72" s="30">
        <v>0</v>
      </c>
      <c r="D72" s="5">
        <f ca="1">((100/(H64))*C72)/100</f>
        <v>0</v>
      </c>
      <c r="E72" s="90"/>
      <c r="F72" s="91"/>
      <c r="G72" s="94"/>
      <c r="H72" s="94"/>
      <c r="I72" s="20" t="s">
        <v>141</v>
      </c>
      <c r="J72" s="26">
        <f>(IF(D64&gt;3,(H64/(D64+2)+J71),0))</f>
        <v>0</v>
      </c>
    </row>
    <row r="73" spans="1:10" ht="21" x14ac:dyDescent="0.4">
      <c r="A73" s="94" t="s">
        <v>140</v>
      </c>
      <c r="B73" s="94"/>
      <c r="C73" s="30">
        <v>0</v>
      </c>
      <c r="D73" s="5">
        <f ca="1">((100/(H64))*C73)/100</f>
        <v>0</v>
      </c>
      <c r="E73" s="90"/>
      <c r="F73" s="91"/>
      <c r="G73" s="94"/>
      <c r="H73" s="94"/>
      <c r="I73" s="20" t="s">
        <v>142</v>
      </c>
      <c r="J73" s="25">
        <f>(IF(D64&gt;4,(H64/(D64+2)+J72),0))</f>
        <v>0</v>
      </c>
    </row>
    <row r="74" spans="1:10" ht="21" customHeight="1" x14ac:dyDescent="0.4">
      <c r="A74" s="94" t="s">
        <v>167</v>
      </c>
      <c r="B74" s="94"/>
      <c r="C74" s="30">
        <v>0</v>
      </c>
      <c r="D74" s="5">
        <f ca="1">((100/H64)*C74)/100</f>
        <v>0</v>
      </c>
      <c r="E74" s="90"/>
      <c r="F74" s="91"/>
      <c r="G74" s="94"/>
      <c r="H74" s="94"/>
      <c r="I74" s="20" t="s">
        <v>128</v>
      </c>
      <c r="J74" s="25">
        <f ca="1">(IF(D64=1,(H64/(D64+3)+J69),IF(D64=0,(H64*0.3+J69),IF(D64&gt;1,0))))</f>
        <v>15.4</v>
      </c>
    </row>
    <row r="75" spans="1:10" ht="21.6" thickBot="1" x14ac:dyDescent="0.45">
      <c r="A75" s="94" t="s">
        <v>166</v>
      </c>
      <c r="B75" s="94"/>
      <c r="C75" s="30">
        <v>0</v>
      </c>
      <c r="D75" s="5">
        <f ca="1">((100/H64)*C75)/100</f>
        <v>0</v>
      </c>
      <c r="E75" s="90"/>
      <c r="F75" s="91"/>
      <c r="G75" s="94"/>
      <c r="H75" s="94"/>
      <c r="I75" s="22" t="s">
        <v>129</v>
      </c>
      <c r="J75" s="27">
        <f ca="1">(IF(D64&gt;1.5,(H64/(D64+2)+J69+MAX(0,J70-J69)+MAX(0,J71-J70)+MAX(0,J72-J71)+MAX(0,J73-J72)+MAX(0,J74-J73)),IF(D64=1,(H64/(D64+3)+J74),IF(D64=0,H64*0.3+J74))))</f>
        <v>22</v>
      </c>
    </row>
    <row r="76" spans="1:10" ht="21" x14ac:dyDescent="0.3">
      <c r="A76" s="94" t="s">
        <v>143</v>
      </c>
      <c r="B76" s="94"/>
      <c r="C76" s="30">
        <v>0</v>
      </c>
      <c r="D76" s="5">
        <f ca="1">((100/(H64))*C76)/100</f>
        <v>0</v>
      </c>
      <c r="E76" s="90"/>
      <c r="F76" s="91"/>
      <c r="G76" s="94"/>
      <c r="H76" s="94"/>
    </row>
    <row r="77" spans="1:10" ht="21" x14ac:dyDescent="0.3">
      <c r="A77" s="94" t="s">
        <v>144</v>
      </c>
      <c r="B77" s="94"/>
      <c r="C77" s="30">
        <v>0</v>
      </c>
      <c r="D77" s="5">
        <f ca="1">((100/(H64))*C77)/100</f>
        <v>0</v>
      </c>
      <c r="E77" s="92"/>
      <c r="F77" s="93"/>
      <c r="G77" s="94"/>
      <c r="H77" s="94"/>
    </row>
    <row r="78" spans="1:10" ht="21.6" thickBot="1" x14ac:dyDescent="0.35">
      <c r="A78" s="101" t="s">
        <v>69</v>
      </c>
      <c r="B78" s="101"/>
      <c r="C78" s="101"/>
      <c r="D78" s="101"/>
      <c r="E78" s="101"/>
      <c r="F78" s="101"/>
      <c r="G78" s="101"/>
      <c r="H78" s="101"/>
    </row>
    <row r="79" spans="1:10" ht="20.25" customHeight="1" x14ac:dyDescent="0.4">
      <c r="A79" s="151" t="str">
        <f>CONCATENATE((IF(OR(A47="",A47="NA"),"",A47)),"= ",(IF(OR(D47="",D47="NA"),"",D47)),".")</f>
        <v>Tower 3 = Gr +1st to 36th Floor.</v>
      </c>
      <c r="B79" s="151"/>
      <c r="C79" s="151"/>
      <c r="D79" s="30" t="s">
        <v>117</v>
      </c>
      <c r="E79" s="140" t="s">
        <v>104</v>
      </c>
      <c r="F79" s="140"/>
      <c r="G79" s="30" t="s">
        <v>118</v>
      </c>
      <c r="H79" s="30" t="s">
        <v>119</v>
      </c>
      <c r="I79" s="16" t="str">
        <f ca="1">(IF(E82&gt;99%,"All work completed. Please provide OC.",IF(E82&gt;89.8%,"Plinth, RCC, Brick, Plaster, Flooring, Wooden, Plumbing, Electrification, etc., work Completed. Finishing work is in process.",IF(E82&lt;94%,(IF(C82=0,"Work not yet Started.",IF(D82=25%,"Piling work in process",IF(D82=50%,"Excavation work in process",IF(D82=100%,"Excavation work Completed. ","0")))&amp;(IF(C83=0%,"",IF(C83=J84,"Footing work is process",IF(C83=J85,"Footing work Completed",IF(C83=J86,"1st Basement Completed",IF(C83=J87,"1st &amp; 2nd Basement Completed",IF(C83=J88,"1st to 3rd Basement Completed",IF(C83=J89,"1st to 4th Basement Completed",IF(C83=J90,"Plinth work is process",IF(C83=J91,"Plinth work completed","0")))))))))))&amp;(IF(C84=(E80+G80+H80),", RCC Slab",IF(C84&gt;0,", RCC upto "&amp;C84&amp;" Slab",""))&amp;(IF(C85=H80,", Brickwork",IF(C85&gt;0,", Brickwork upto "&amp;C85&amp;" Floor",""))&amp;(IF(C86=H80,", Internal Plaster",IF(C86&gt;0,", Internal Plaster upto "&amp;C86&amp;" Floor",""))&amp;(IF(C87=H80,", External Plaster",IF(C87&gt;0,", External Plaster upto "&amp;C87&amp;" Floor",""))&amp;(IF(C88=H80,", External Plumbing, Elevation and Waterproofing",IF(C88&gt;0,", External Plumbing, Elevation and Waterproofing upto "&amp;C88&amp;" Floor",""))&amp;(IF(C89=H80,", Flooring &amp; Fitting",IF(C89&gt;0,", Flooring &amp; Fitting upto "&amp;C89&amp;" Floor",""))&amp;(IF(C90=H80,", Wooden Work",IF(C90&gt;0,", Wooden Work upto "&amp;C90&amp;" Floor",""))&amp;(IF(C91=H80,", Electrical &amp; Sanitary fittings",IF(C91&gt;0,", Electrical &amp; Sanitary fittings upto "&amp;C91&amp;" Floor",""))&amp;(IF(C92&gt;0,", Finishing upto "&amp;C92&amp;" Floor","")&amp;(IF(C84&gt;0.5," Completed",""))))))))))))))))</f>
        <v>Excavation work Completed. Footing work Completed</v>
      </c>
      <c r="J79" s="18"/>
    </row>
    <row r="80" spans="1:10" ht="21" x14ac:dyDescent="0.4">
      <c r="A80" s="151"/>
      <c r="B80" s="151"/>
      <c r="C80" s="151"/>
      <c r="D80" s="30">
        <f>IF(AND(ISNUMBER(SEARCH("1B",A79))),1,IF(AND(ISNUMBER(SEARCH("2B",A79))),2,IF(AND(ISNUMBER(SEARCH("3B",A79))),3,IF(AND(ISNUMBER(SEARCH("4B",A79))),4,IF(ISNUMBER(SEARCH("5B",A79)),5,0)))))</f>
        <v>0</v>
      </c>
      <c r="E80" s="140">
        <v>1</v>
      </c>
      <c r="F80" s="140"/>
      <c r="G80" s="30">
        <v>0</v>
      </c>
      <c r="H80" s="30">
        <f ca="1">--TRIM(RIGHT(SUBSTITUTE(LEFT(A79,_xlfn.AGGREGATE(16,6,FIND({0,1,2,3,4,5,6,7,8,9},A79,ROW(INDIRECT("1:"&amp;LEN(A79)))),1))," ",REPT(" ",LEN(A79))),LEN(A79)))</f>
        <v>36</v>
      </c>
      <c r="I80" s="17" t="s">
        <v>123</v>
      </c>
      <c r="J80" s="18"/>
    </row>
    <row r="81" spans="1:13" ht="20.25" customHeight="1" x14ac:dyDescent="0.4">
      <c r="A81" s="141" t="s">
        <v>121</v>
      </c>
      <c r="B81" s="141"/>
      <c r="C81" s="28" t="s">
        <v>131</v>
      </c>
      <c r="D81" s="28" t="s">
        <v>132</v>
      </c>
      <c r="E81" s="141" t="s">
        <v>122</v>
      </c>
      <c r="F81" s="141"/>
      <c r="G81" s="29" t="s">
        <v>120</v>
      </c>
      <c r="H81" s="29"/>
      <c r="I81" s="20" t="s">
        <v>133</v>
      </c>
      <c r="J81" s="19">
        <f ca="1">H80*25%</f>
        <v>9</v>
      </c>
    </row>
    <row r="82" spans="1:13" ht="20.25" customHeight="1" x14ac:dyDescent="0.4">
      <c r="A82" s="94" t="s">
        <v>134</v>
      </c>
      <c r="B82" s="94"/>
      <c r="C82" s="30">
        <f ca="1">J83</f>
        <v>36</v>
      </c>
      <c r="D82" s="5">
        <f ca="1">((100/H80)*C82)/100</f>
        <v>1</v>
      </c>
      <c r="E82" s="88">
        <f ca="1">(((C82/H80*10)+(C83/H80*15)+(25/(E80+G80+H80)*C84)+(5/(H80)*C85)+(2.5/(H80)*C86)+(2.5/(H80)*C87)+(5/H80*C88)+(10/H80*C89)+(2.5/H80*C90)+(2.5/H80*C91)+(10/H80*C92)+(10/H80*C93))/100)</f>
        <v>0.16</v>
      </c>
      <c r="F82" s="89"/>
      <c r="G82" s="94" t="str">
        <f ca="1">I79</f>
        <v>Excavation work Completed. Footing work Completed</v>
      </c>
      <c r="H82" s="94"/>
      <c r="I82" s="20" t="s">
        <v>124</v>
      </c>
      <c r="J82" s="24">
        <f ca="1">H80*50%</f>
        <v>18</v>
      </c>
    </row>
    <row r="83" spans="1:13" ht="21" x14ac:dyDescent="0.4">
      <c r="A83" s="94" t="s">
        <v>105</v>
      </c>
      <c r="B83" s="94"/>
      <c r="C83" s="32">
        <f ca="1">J85</f>
        <v>14.4</v>
      </c>
      <c r="D83" s="5">
        <f ca="1">((100/H80)*C83)/100</f>
        <v>0.4</v>
      </c>
      <c r="E83" s="90"/>
      <c r="F83" s="91"/>
      <c r="G83" s="94"/>
      <c r="H83" s="94"/>
      <c r="I83" s="20" t="s">
        <v>125</v>
      </c>
      <c r="J83" s="24">
        <f ca="1">H80</f>
        <v>36</v>
      </c>
    </row>
    <row r="84" spans="1:13" ht="21" customHeight="1" x14ac:dyDescent="0.4">
      <c r="A84" s="94" t="s">
        <v>135</v>
      </c>
      <c r="B84" s="94"/>
      <c r="C84" s="30">
        <v>0</v>
      </c>
      <c r="D84" s="5">
        <f ca="1">((100/(E80+G80+H80))*C84)/100</f>
        <v>0</v>
      </c>
      <c r="E84" s="90"/>
      <c r="F84" s="91"/>
      <c r="G84" s="94"/>
      <c r="H84" s="94"/>
      <c r="I84" s="20" t="s">
        <v>126</v>
      </c>
      <c r="J84" s="25">
        <f ca="1">(IF(D80&gt;1,(H80/(D80+2)),H80*0.2))</f>
        <v>7.2</v>
      </c>
    </row>
    <row r="85" spans="1:13" ht="21" customHeight="1" x14ac:dyDescent="0.4">
      <c r="A85" s="94" t="s">
        <v>136</v>
      </c>
      <c r="B85" s="94"/>
      <c r="C85" s="30">
        <v>0</v>
      </c>
      <c r="D85" s="5">
        <f ca="1">((100/H80)*C85)/100</f>
        <v>0</v>
      </c>
      <c r="E85" s="90"/>
      <c r="F85" s="91"/>
      <c r="G85" s="94"/>
      <c r="H85" s="94"/>
      <c r="I85" s="20" t="s">
        <v>127</v>
      </c>
      <c r="J85" s="25">
        <f ca="1">(IF(D80&gt;1,(H80/(D80+2)+J84),H80*0.2+J84))</f>
        <v>14.4</v>
      </c>
    </row>
    <row r="86" spans="1:13" ht="21" customHeight="1" x14ac:dyDescent="0.4">
      <c r="A86" s="95" t="s">
        <v>137</v>
      </c>
      <c r="B86" s="96"/>
      <c r="C86" s="30">
        <v>0</v>
      </c>
      <c r="D86" s="5">
        <f ca="1">((100/H80)*C86)/100</f>
        <v>0</v>
      </c>
      <c r="E86" s="90"/>
      <c r="F86" s="91"/>
      <c r="G86" s="94"/>
      <c r="H86" s="94"/>
      <c r="I86" s="20" t="s">
        <v>138</v>
      </c>
      <c r="J86" s="25">
        <f>(IF(D80&gt;1,(H80/(D80+2)+J85),0))</f>
        <v>0</v>
      </c>
    </row>
    <row r="87" spans="1:13" ht="21" customHeight="1" x14ac:dyDescent="0.4">
      <c r="A87" s="95" t="s">
        <v>168</v>
      </c>
      <c r="B87" s="96"/>
      <c r="C87" s="30">
        <v>0</v>
      </c>
      <c r="D87" s="5">
        <f ca="1">((100/H80)*C87)/100</f>
        <v>0</v>
      </c>
      <c r="E87" s="90"/>
      <c r="F87" s="91"/>
      <c r="G87" s="94"/>
      <c r="H87" s="94"/>
      <c r="I87" s="20" t="s">
        <v>139</v>
      </c>
      <c r="J87" s="25">
        <f>(IF(D80&gt;2,(H80/(D80+2)+J86),0))</f>
        <v>0</v>
      </c>
    </row>
    <row r="88" spans="1:13" ht="57.75" customHeight="1" x14ac:dyDescent="0.4">
      <c r="A88" s="95" t="s">
        <v>165</v>
      </c>
      <c r="B88" s="96"/>
      <c r="C88" s="30">
        <v>0</v>
      </c>
      <c r="D88" s="5">
        <f ca="1">((100/(H80))*C88)/100</f>
        <v>0</v>
      </c>
      <c r="E88" s="90"/>
      <c r="F88" s="91"/>
      <c r="G88" s="94"/>
      <c r="H88" s="94"/>
      <c r="I88" s="20" t="s">
        <v>141</v>
      </c>
      <c r="J88" s="26">
        <f>(IF(D80&gt;3,(H80/(D80+2)+J87),0))</f>
        <v>0</v>
      </c>
    </row>
    <row r="89" spans="1:13" ht="21" x14ac:dyDescent="0.4">
      <c r="A89" s="94" t="s">
        <v>140</v>
      </c>
      <c r="B89" s="94"/>
      <c r="C89" s="30">
        <v>0</v>
      </c>
      <c r="D89" s="5">
        <f ca="1">((100/(H80))*C89)/100</f>
        <v>0</v>
      </c>
      <c r="E89" s="90"/>
      <c r="F89" s="91"/>
      <c r="G89" s="94"/>
      <c r="H89" s="94"/>
      <c r="I89" s="20" t="s">
        <v>142</v>
      </c>
      <c r="J89" s="25">
        <f>(IF(D80&gt;4,(H80/(D80+2)+J88),0))</f>
        <v>0</v>
      </c>
    </row>
    <row r="90" spans="1:13" ht="21" customHeight="1" x14ac:dyDescent="0.4">
      <c r="A90" s="94" t="s">
        <v>167</v>
      </c>
      <c r="B90" s="94"/>
      <c r="C90" s="30">
        <v>0</v>
      </c>
      <c r="D90" s="5">
        <f ca="1">((100/H80)*C90)/100</f>
        <v>0</v>
      </c>
      <c r="E90" s="90"/>
      <c r="F90" s="91"/>
      <c r="G90" s="94"/>
      <c r="H90" s="94"/>
      <c r="I90" s="20" t="s">
        <v>128</v>
      </c>
      <c r="J90" s="25">
        <f ca="1">(IF(D80=1,(H80/(D80+3)+J85),IF(D80=0,(H80*0.3+J85),IF(D80&gt;1,0))))</f>
        <v>25.2</v>
      </c>
    </row>
    <row r="91" spans="1:13" ht="21.6" thickBot="1" x14ac:dyDescent="0.45">
      <c r="A91" s="94" t="s">
        <v>166</v>
      </c>
      <c r="B91" s="94"/>
      <c r="C91" s="30">
        <v>0</v>
      </c>
      <c r="D91" s="5">
        <f ca="1">((100/H80)*C91)/100</f>
        <v>0</v>
      </c>
      <c r="E91" s="90"/>
      <c r="F91" s="91"/>
      <c r="G91" s="94"/>
      <c r="H91" s="94"/>
      <c r="I91" s="22" t="s">
        <v>129</v>
      </c>
      <c r="J91" s="27">
        <f ca="1">(IF(D80&gt;1.5,(H80/(D80+2)+J85+MAX(0,J86-J85)+MAX(0,J87-J86)+MAX(0,J88-J87)+MAX(0,J89-J88)+MAX(0,J90-J89)),IF(D80=1,(H80/(D80+3)+J90),IF(D80=0,H80*0.3+J90))))</f>
        <v>36</v>
      </c>
    </row>
    <row r="92" spans="1:13" ht="21" x14ac:dyDescent="0.3">
      <c r="A92" s="94" t="s">
        <v>143</v>
      </c>
      <c r="B92" s="94"/>
      <c r="C92" s="30">
        <v>0</v>
      </c>
      <c r="D92" s="5">
        <f ca="1">((100/(H80))*C92)/100</f>
        <v>0</v>
      </c>
      <c r="E92" s="90"/>
      <c r="F92" s="91"/>
      <c r="G92" s="94"/>
      <c r="H92" s="94"/>
    </row>
    <row r="93" spans="1:13" ht="21" x14ac:dyDescent="0.3">
      <c r="A93" s="94" t="s">
        <v>144</v>
      </c>
      <c r="B93" s="94"/>
      <c r="C93" s="30">
        <v>0</v>
      </c>
      <c r="D93" s="5">
        <f ca="1">((100/(H80))*C93)/100</f>
        <v>0</v>
      </c>
      <c r="E93" s="92"/>
      <c r="F93" s="93"/>
      <c r="G93" s="94"/>
      <c r="H93" s="94"/>
      <c r="L93" s="1">
        <v>15000</v>
      </c>
      <c r="M93" s="1" t="s">
        <v>370</v>
      </c>
    </row>
    <row r="94" spans="1:13" ht="21.6" hidden="1" thickBot="1" x14ac:dyDescent="0.35">
      <c r="A94" s="101" t="s">
        <v>69</v>
      </c>
      <c r="B94" s="101"/>
      <c r="C94" s="101"/>
      <c r="D94" s="101"/>
      <c r="E94" s="101"/>
      <c r="F94" s="101"/>
      <c r="G94" s="101"/>
      <c r="H94" s="101"/>
    </row>
    <row r="95" spans="1:13" ht="20.25" hidden="1" customHeight="1" x14ac:dyDescent="0.4">
      <c r="A95" s="151" t="str">
        <f>CONCATENATE((IF(OR(A48="",A48="NA"),"",A48)),"= ",(IF(OR(D48="",D48="NA"),"",D48)),".")</f>
        <v>Tower 3 = .</v>
      </c>
      <c r="B95" s="151"/>
      <c r="C95" s="151"/>
      <c r="D95" s="30" t="s">
        <v>117</v>
      </c>
      <c r="E95" s="140" t="s">
        <v>104</v>
      </c>
      <c r="F95" s="140"/>
      <c r="G95" s="30" t="s">
        <v>118</v>
      </c>
      <c r="H95" s="30" t="s">
        <v>119</v>
      </c>
      <c r="I95" s="16" t="str">
        <f ca="1">(IF(E98&gt;99%,"All work completed. Please provide OC.",IF(E98&gt;89.8%,"Plinth, RCC, Brick, Plaster, Flooring, Wooden, Plumbing, Electrification, etc., work Completed. Finishing work is in process.",IF(E98&lt;94%,(IF(C98=0,"Work not yet Started.",IF(D98=25%,"Piling work in process",IF(D98=50%,"Excavation work in process",IF(D98=100%,"Excavation work Completed. ","0")))&amp;(IF(C99=0%,"",IF(C99=J100,"Footing work is process",IF(C99=J101,"Footing work Completed",IF(C99=J102,"1st Basement Completed",IF(C99=J103,"1st &amp; 2nd Basement Completed",IF(C99=J104,"1st to 3rd Basement Completed",IF(C99=J105,"1st to 4th Basement Completed",IF(C99=J106,"Plinth work is process",IF(C99=J107,"Plinth work completed","0")))))))))))&amp;(IF(C100=(E96+G96+H96),", RCC Slab",IF(C100&gt;0,", RCC upto "&amp;C100&amp;" Slab",""))&amp;(IF(C101=H96,", Brickwork",IF(C101&gt;0,", Brickwork upto "&amp;C101&amp;" Floor",""))&amp;(IF(C102=H96,", Internal Plaster",IF(C102&gt;0,", Internal Plaster upto "&amp;C102&amp;" Floor",""))&amp;(IF(C103=H96,", External Plaster",IF(C103&gt;0,", External Plaster upto "&amp;C103&amp;" Floor",""))&amp;(IF(C104=H96,", External Plumbing, Elevation and Waterproofing",IF(C104&gt;0,", External Plumbing, Elevation and Waterproofing upto "&amp;C104&amp;" Floor",""))&amp;(IF(C105=H96,", Flooring &amp; Fitting",IF(C105&gt;0,", Flooring &amp; Fitting upto "&amp;C105&amp;" Floor",""))&amp;(IF(C106=H96,", Wooden Work",IF(C106&gt;0,", Wooden Work upto "&amp;C106&amp;" Floor",""))&amp;(IF(C107=H96,", Electrical &amp; Sanitary fittings",IF(C107&gt;0,", Electrical &amp; Sanitary fittings upto "&amp;C107&amp;" Floor",""))&amp;(IF(C108&gt;0,", Finishing upto "&amp;C108&amp;" Floor","")&amp;(IF(C100&gt;0.5," Completed",""))))))))))))))))</f>
        <v>Excavation work Completed. Plinth work completed</v>
      </c>
      <c r="J95" s="18"/>
    </row>
    <row r="96" spans="1:13" ht="21" hidden="1" x14ac:dyDescent="0.4">
      <c r="A96" s="151"/>
      <c r="B96" s="151"/>
      <c r="C96" s="151"/>
      <c r="D96" s="53">
        <f>IF(AND(ISNUMBER(SEARCH("1B",A95))),1,IF(AND(ISNUMBER(SEARCH("2B",A95))),2,IF(AND(ISNUMBER(SEARCH("3B",A95))),3,IF(AND(ISNUMBER(SEARCH("4B",A95))),4,IF(ISNUMBER(SEARCH("5B",A95)),5,0)))))</f>
        <v>0</v>
      </c>
      <c r="E96" s="140">
        <v>1</v>
      </c>
      <c r="F96" s="140"/>
      <c r="G96" s="53">
        <v>0</v>
      </c>
      <c r="H96" s="30">
        <f ca="1">--TRIM(RIGHT(SUBSTITUTE(LEFT(A95,_xlfn.AGGREGATE(16,6,FIND({0,1,2,3,4,5,6,7,8,9},A95,ROW(INDIRECT("1:"&amp;LEN(A95)))),1))," ",REPT(" ",LEN(A95))),LEN(A95)))</f>
        <v>3</v>
      </c>
      <c r="I96" s="17" t="s">
        <v>123</v>
      </c>
      <c r="J96" s="18"/>
    </row>
    <row r="97" spans="1:13" ht="20.25" hidden="1" customHeight="1" x14ac:dyDescent="0.4">
      <c r="A97" s="141" t="s">
        <v>121</v>
      </c>
      <c r="B97" s="141"/>
      <c r="C97" s="28" t="s">
        <v>131</v>
      </c>
      <c r="D97" s="28" t="s">
        <v>132</v>
      </c>
      <c r="E97" s="141" t="s">
        <v>122</v>
      </c>
      <c r="F97" s="141"/>
      <c r="G97" s="29" t="s">
        <v>120</v>
      </c>
      <c r="H97" s="29"/>
      <c r="I97" s="20" t="s">
        <v>133</v>
      </c>
      <c r="J97" s="19">
        <f ca="1">H96*25%</f>
        <v>0.75</v>
      </c>
    </row>
    <row r="98" spans="1:13" ht="20.25" hidden="1" customHeight="1" x14ac:dyDescent="0.4">
      <c r="A98" s="94" t="s">
        <v>134</v>
      </c>
      <c r="B98" s="94"/>
      <c r="C98" s="30">
        <f ca="1">J99</f>
        <v>3</v>
      </c>
      <c r="D98" s="5">
        <f ca="1">((100/H96)*C98)/100</f>
        <v>1</v>
      </c>
      <c r="E98" s="88">
        <f ca="1">(((C98/H96*10)+(C99/H96*15)+(25/(E96+G96+H96)*C100)+(5/(H96)*C101)+(2.5/(H96)*C102)+(2.5/(H96)*C103)+(5/H96*C104)+(10/H96*C105)+(2.5/H96*C106)+(2.5/H96*C107)+(10/H96*C108)+(10/H96*C109))/100)</f>
        <v>0.25</v>
      </c>
      <c r="F98" s="89"/>
      <c r="G98" s="94" t="str">
        <f ca="1">I95</f>
        <v>Excavation work Completed. Plinth work completed</v>
      </c>
      <c r="H98" s="94"/>
      <c r="I98" s="20" t="s">
        <v>124</v>
      </c>
      <c r="J98" s="24">
        <f ca="1">H96*50%</f>
        <v>1.5</v>
      </c>
    </row>
    <row r="99" spans="1:13" ht="21" hidden="1" x14ac:dyDescent="0.4">
      <c r="A99" s="94" t="s">
        <v>105</v>
      </c>
      <c r="B99" s="94"/>
      <c r="C99" s="32">
        <f ca="1">J107</f>
        <v>3</v>
      </c>
      <c r="D99" s="5">
        <f ca="1">((100/H96)*C99)/100</f>
        <v>1</v>
      </c>
      <c r="E99" s="90"/>
      <c r="F99" s="91"/>
      <c r="G99" s="94"/>
      <c r="H99" s="94"/>
      <c r="I99" s="20" t="s">
        <v>125</v>
      </c>
      <c r="J99" s="24">
        <f ca="1">H96</f>
        <v>3</v>
      </c>
    </row>
    <row r="100" spans="1:13" ht="21" hidden="1" customHeight="1" x14ac:dyDescent="0.4">
      <c r="A100" s="94" t="s">
        <v>135</v>
      </c>
      <c r="B100" s="94"/>
      <c r="C100" s="30">
        <v>0</v>
      </c>
      <c r="D100" s="5">
        <f ca="1">((100/(E96+G96+H96))*C100)/100</f>
        <v>0</v>
      </c>
      <c r="E100" s="90"/>
      <c r="F100" s="91"/>
      <c r="G100" s="94"/>
      <c r="H100" s="94"/>
      <c r="I100" s="20" t="s">
        <v>126</v>
      </c>
      <c r="J100" s="25">
        <f ca="1">(IF(D96&gt;1,(H96/(D96+2)),H96*0.2))</f>
        <v>0.60000000000000009</v>
      </c>
    </row>
    <row r="101" spans="1:13" ht="21" hidden="1" customHeight="1" x14ac:dyDescent="0.4">
      <c r="A101" s="94" t="s">
        <v>136</v>
      </c>
      <c r="B101" s="94"/>
      <c r="C101" s="30">
        <v>0</v>
      </c>
      <c r="D101" s="5">
        <f ca="1">((100/H96)*C101)/100</f>
        <v>0</v>
      </c>
      <c r="E101" s="90"/>
      <c r="F101" s="91"/>
      <c r="G101" s="94"/>
      <c r="H101" s="94"/>
      <c r="I101" s="20" t="s">
        <v>127</v>
      </c>
      <c r="J101" s="25">
        <f ca="1">(IF(D96&gt;1,(H96/(D96+2)+J100),H96*0.2+J100))</f>
        <v>1.2000000000000002</v>
      </c>
    </row>
    <row r="102" spans="1:13" ht="21" hidden="1" customHeight="1" x14ac:dyDescent="0.4">
      <c r="A102" s="95" t="s">
        <v>137</v>
      </c>
      <c r="B102" s="96"/>
      <c r="C102" s="30">
        <v>0</v>
      </c>
      <c r="D102" s="5">
        <f ca="1">((100/H96)*C102)/100</f>
        <v>0</v>
      </c>
      <c r="E102" s="90"/>
      <c r="F102" s="91"/>
      <c r="G102" s="94"/>
      <c r="H102" s="94"/>
      <c r="I102" s="20" t="s">
        <v>138</v>
      </c>
      <c r="J102" s="25">
        <f>(IF(D96&gt;1,(H96/(D96+2)+J101),0))</f>
        <v>0</v>
      </c>
    </row>
    <row r="103" spans="1:13" ht="21" hidden="1" customHeight="1" x14ac:dyDescent="0.4">
      <c r="A103" s="95" t="s">
        <v>168</v>
      </c>
      <c r="B103" s="96"/>
      <c r="C103" s="30">
        <v>0</v>
      </c>
      <c r="D103" s="5">
        <f ca="1">((100/H96)*C103)/100</f>
        <v>0</v>
      </c>
      <c r="E103" s="90"/>
      <c r="F103" s="91"/>
      <c r="G103" s="94"/>
      <c r="H103" s="94"/>
      <c r="I103" s="20" t="s">
        <v>139</v>
      </c>
      <c r="J103" s="25">
        <f>(IF(D96&gt;2,(H96/(D96+2)+J102),0))</f>
        <v>0</v>
      </c>
    </row>
    <row r="104" spans="1:13" ht="57.75" hidden="1" customHeight="1" x14ac:dyDescent="0.4">
      <c r="A104" s="95" t="s">
        <v>165</v>
      </c>
      <c r="B104" s="96"/>
      <c r="C104" s="30">
        <v>0</v>
      </c>
      <c r="D104" s="5">
        <f ca="1">((100/(H96))*C104)/100</f>
        <v>0</v>
      </c>
      <c r="E104" s="90"/>
      <c r="F104" s="91"/>
      <c r="G104" s="94"/>
      <c r="H104" s="94"/>
      <c r="I104" s="20" t="s">
        <v>141</v>
      </c>
      <c r="J104" s="26">
        <f>(IF(D96&gt;3,(H96/(D96+2)+J103),0))</f>
        <v>0</v>
      </c>
    </row>
    <row r="105" spans="1:13" ht="21" hidden="1" x14ac:dyDescent="0.4">
      <c r="A105" s="94" t="s">
        <v>140</v>
      </c>
      <c r="B105" s="94"/>
      <c r="C105" s="30">
        <v>0</v>
      </c>
      <c r="D105" s="5">
        <f ca="1">((100/(H96))*C105)/100</f>
        <v>0</v>
      </c>
      <c r="E105" s="90"/>
      <c r="F105" s="91"/>
      <c r="G105" s="94"/>
      <c r="H105" s="94"/>
      <c r="I105" s="20" t="s">
        <v>142</v>
      </c>
      <c r="J105" s="25">
        <f>(IF(D96&gt;4,(H96/(D96+2)+J104),0))</f>
        <v>0</v>
      </c>
    </row>
    <row r="106" spans="1:13" ht="21" hidden="1" customHeight="1" x14ac:dyDescent="0.4">
      <c r="A106" s="94" t="s">
        <v>167</v>
      </c>
      <c r="B106" s="94"/>
      <c r="C106" s="30">
        <v>0</v>
      </c>
      <c r="D106" s="5">
        <f ca="1">((100/H96)*C106)/100</f>
        <v>0</v>
      </c>
      <c r="E106" s="90"/>
      <c r="F106" s="91"/>
      <c r="G106" s="94"/>
      <c r="H106" s="94"/>
      <c r="I106" s="20" t="s">
        <v>128</v>
      </c>
      <c r="J106" s="25">
        <f ca="1">(IF(D96=1,(H96/(D96+3)+J101),IF(D96=0,(H96*0.3+J101),IF(D96&gt;1,0))))</f>
        <v>2.1</v>
      </c>
    </row>
    <row r="107" spans="1:13" ht="21.6" hidden="1" thickBot="1" x14ac:dyDescent="0.45">
      <c r="A107" s="94" t="s">
        <v>166</v>
      </c>
      <c r="B107" s="94"/>
      <c r="C107" s="30">
        <v>0</v>
      </c>
      <c r="D107" s="5">
        <f ca="1">((100/H96)*C107)/100</f>
        <v>0</v>
      </c>
      <c r="E107" s="90"/>
      <c r="F107" s="91"/>
      <c r="G107" s="94"/>
      <c r="H107" s="94"/>
      <c r="I107" s="22" t="s">
        <v>129</v>
      </c>
      <c r="J107" s="27">
        <f ca="1">(IF(D96&gt;1.5,(H96/(D96+2)+J101+MAX(0,J102-J101)+MAX(0,J103-J102)+MAX(0,J104-J103)+MAX(0,J105-J104)+MAX(0,J106-J105)),IF(D96=1,(H96/(D96+3)+J106),IF(D96=0,H96*0.3+J106))))</f>
        <v>3</v>
      </c>
    </row>
    <row r="108" spans="1:13" ht="21" hidden="1" x14ac:dyDescent="0.3">
      <c r="A108" s="94" t="s">
        <v>143</v>
      </c>
      <c r="B108" s="94"/>
      <c r="C108" s="30">
        <v>0</v>
      </c>
      <c r="D108" s="5">
        <f ca="1">((100/(H96))*C108)/100</f>
        <v>0</v>
      </c>
      <c r="E108" s="90"/>
      <c r="F108" s="91"/>
      <c r="G108" s="94"/>
      <c r="H108" s="94"/>
    </row>
    <row r="109" spans="1:13" ht="21" hidden="1" x14ac:dyDescent="0.3">
      <c r="A109" s="94" t="s">
        <v>144</v>
      </c>
      <c r="B109" s="94"/>
      <c r="C109" s="30">
        <v>0</v>
      </c>
      <c r="D109" s="5">
        <f ca="1">((100/(H96))*C109)/100</f>
        <v>0</v>
      </c>
      <c r="E109" s="92"/>
      <c r="F109" s="93"/>
      <c r="G109" s="94"/>
      <c r="H109" s="94"/>
    </row>
    <row r="110" spans="1:13" ht="36.75" customHeight="1" x14ac:dyDescent="0.4">
      <c r="A110" s="158" t="s">
        <v>130</v>
      </c>
      <c r="B110" s="159"/>
      <c r="C110" s="159"/>
      <c r="D110" s="159"/>
      <c r="E110" s="159"/>
      <c r="F110" s="159"/>
      <c r="G110" s="152">
        <f ca="1">AVERAGE(E66,E82)</f>
        <v>0.08</v>
      </c>
      <c r="H110" s="153"/>
      <c r="I110" s="20"/>
      <c r="J110" s="21"/>
      <c r="K110" s="21"/>
    </row>
    <row r="111" spans="1:13" ht="21" x14ac:dyDescent="0.3">
      <c r="A111" s="122" t="s">
        <v>73</v>
      </c>
      <c r="B111" s="123"/>
      <c r="C111" s="123"/>
      <c r="D111" s="123"/>
      <c r="E111" s="123"/>
      <c r="F111" s="123"/>
      <c r="G111" s="123"/>
      <c r="H111" s="124"/>
    </row>
    <row r="112" spans="1:13" ht="54.75" customHeight="1" x14ac:dyDescent="0.3">
      <c r="A112" s="148" t="s">
        <v>74</v>
      </c>
      <c r="B112" s="149"/>
      <c r="C112" s="146" t="s">
        <v>109</v>
      </c>
      <c r="D112" s="147"/>
      <c r="E112" s="148" t="s">
        <v>145</v>
      </c>
      <c r="F112" s="149" t="s">
        <v>4</v>
      </c>
      <c r="G112" s="157" t="s">
        <v>158</v>
      </c>
      <c r="H112" s="157"/>
      <c r="J112" s="1" t="s">
        <v>360</v>
      </c>
      <c r="K112" s="1">
        <v>99</v>
      </c>
      <c r="L112" s="1" t="s">
        <v>361</v>
      </c>
      <c r="M112" s="1" t="s">
        <v>363</v>
      </c>
    </row>
    <row r="113" spans="1:150 16226:16383" ht="44.25" customHeight="1" x14ac:dyDescent="0.3">
      <c r="A113" s="148" t="s">
        <v>155</v>
      </c>
      <c r="B113" s="149"/>
      <c r="C113" s="146" t="s">
        <v>369</v>
      </c>
      <c r="D113" s="147"/>
      <c r="E113" s="148" t="s">
        <v>156</v>
      </c>
      <c r="F113" s="149" t="s">
        <v>4</v>
      </c>
      <c r="G113" s="77" t="s">
        <v>146</v>
      </c>
      <c r="H113" s="77"/>
      <c r="J113" s="1">
        <f>9000*1.5</f>
        <v>13500</v>
      </c>
      <c r="K113" s="1" t="s">
        <v>362</v>
      </c>
      <c r="L113" s="1">
        <v>14500</v>
      </c>
      <c r="M113" s="1">
        <v>12500</v>
      </c>
    </row>
    <row r="114" spans="1:150 16226:16383" ht="21" x14ac:dyDescent="0.3">
      <c r="A114" s="148" t="s">
        <v>75</v>
      </c>
      <c r="B114" s="149"/>
      <c r="C114" s="97">
        <v>600000</v>
      </c>
      <c r="D114" s="99"/>
      <c r="E114" s="148" t="s">
        <v>103</v>
      </c>
      <c r="F114" s="149" t="s">
        <v>4</v>
      </c>
      <c r="G114" s="146" t="s">
        <v>110</v>
      </c>
      <c r="H114" s="147"/>
      <c r="L114" s="1" t="s">
        <v>365</v>
      </c>
    </row>
    <row r="115" spans="1:150 16226:16383" ht="21" x14ac:dyDescent="0.3">
      <c r="A115" s="122" t="s">
        <v>72</v>
      </c>
      <c r="B115" s="123"/>
      <c r="C115" s="123"/>
      <c r="D115" s="123"/>
      <c r="E115" s="123"/>
      <c r="F115" s="123"/>
      <c r="G115" s="123"/>
      <c r="H115" s="124"/>
    </row>
    <row r="116" spans="1:150 16226:16383" ht="20.25" customHeight="1" x14ac:dyDescent="0.3">
      <c r="A116" s="148" t="s">
        <v>8</v>
      </c>
      <c r="B116" s="150"/>
      <c r="C116" s="150"/>
      <c r="D116" s="150"/>
      <c r="E116" s="150"/>
      <c r="F116" s="149"/>
      <c r="G116" s="154">
        <f>23600/10.764</f>
        <v>2192.4934968413231</v>
      </c>
      <c r="H116" s="155"/>
    </row>
    <row r="117" spans="1:150 16226:16383" ht="20.25" customHeight="1" x14ac:dyDescent="0.3">
      <c r="A117" s="148" t="s">
        <v>28</v>
      </c>
      <c r="B117" s="150"/>
      <c r="C117" s="150"/>
      <c r="D117" s="150"/>
      <c r="E117" s="150"/>
      <c r="F117" s="149" t="s">
        <v>4</v>
      </c>
      <c r="G117" s="138">
        <f>136300/10.764</f>
        <v>12662.578966926794</v>
      </c>
      <c r="H117" s="138"/>
    </row>
    <row r="118" spans="1:150 16226:16383" ht="20.25" customHeight="1" x14ac:dyDescent="0.3">
      <c r="A118" s="148" t="s">
        <v>111</v>
      </c>
      <c r="B118" s="150"/>
      <c r="C118" s="150"/>
      <c r="D118" s="150"/>
      <c r="E118" s="150"/>
      <c r="F118" s="149" t="s">
        <v>4</v>
      </c>
      <c r="G118" s="138">
        <f>G116*0.8</f>
        <v>1753.9947974730585</v>
      </c>
      <c r="H118" s="138"/>
    </row>
    <row r="119" spans="1:150 16226:16383" ht="21" x14ac:dyDescent="0.3">
      <c r="A119" s="136" t="s">
        <v>243</v>
      </c>
      <c r="B119" s="137"/>
      <c r="C119" s="137"/>
      <c r="D119" s="137"/>
      <c r="E119" s="137"/>
      <c r="F119" s="137"/>
      <c r="G119" s="137"/>
      <c r="H119" s="135"/>
    </row>
    <row r="120" spans="1:150 16226:16383" s="3" customFormat="1" ht="21" x14ac:dyDescent="0.3">
      <c r="A120" s="144" t="s">
        <v>152</v>
      </c>
      <c r="B120" s="145"/>
      <c r="C120" s="144" t="s">
        <v>153</v>
      </c>
      <c r="D120" s="145"/>
      <c r="E120" s="144" t="s">
        <v>151</v>
      </c>
      <c r="F120" s="145"/>
      <c r="G120" s="144" t="s">
        <v>163</v>
      </c>
      <c r="H120" s="145"/>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1" x14ac:dyDescent="0.3">
      <c r="A121" s="142" t="s">
        <v>350</v>
      </c>
      <c r="B121" s="143"/>
      <c r="C121" s="142" t="s">
        <v>89</v>
      </c>
      <c r="D121" s="143"/>
      <c r="E121" s="142">
        <f>COUNT(E132:E141)</f>
        <v>10</v>
      </c>
      <c r="F121" s="143"/>
      <c r="G121" s="142">
        <f>SUM(H132:H141)</f>
        <v>2929.0996800000003</v>
      </c>
      <c r="H121" s="143"/>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1" x14ac:dyDescent="0.3">
      <c r="A122" s="136" t="s">
        <v>231</v>
      </c>
      <c r="B122" s="137"/>
      <c r="C122" s="137"/>
      <c r="D122" s="137"/>
      <c r="E122" s="137"/>
      <c r="F122" s="137"/>
      <c r="G122" s="137"/>
      <c r="H122" s="135"/>
    </row>
    <row r="123" spans="1:150 16226:16383" s="3" customFormat="1" ht="21" x14ac:dyDescent="0.3">
      <c r="A123" s="144" t="s">
        <v>152</v>
      </c>
      <c r="B123" s="145"/>
      <c r="C123" s="144" t="s">
        <v>153</v>
      </c>
      <c r="D123" s="145"/>
      <c r="E123" s="144" t="s">
        <v>151</v>
      </c>
      <c r="F123" s="145"/>
      <c r="G123" s="144" t="s">
        <v>163</v>
      </c>
      <c r="H123" s="145"/>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1" x14ac:dyDescent="0.3">
      <c r="A124" s="142" t="s">
        <v>306</v>
      </c>
      <c r="B124" s="143"/>
      <c r="C124" s="142" t="s">
        <v>89</v>
      </c>
      <c r="D124" s="143"/>
      <c r="E124" s="142">
        <f>COUNT(E143:E152)*19+COUNT(E154:E155,E157:E163)*3</f>
        <v>217</v>
      </c>
      <c r="F124" s="143"/>
      <c r="G124" s="142">
        <f>SUM(H143:H152)*19+SUM(H154:H155,H157:H163)*3</f>
        <v>85127.309279999987</v>
      </c>
      <c r="H124" s="143"/>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1" x14ac:dyDescent="0.3">
      <c r="A125" s="142" t="s">
        <v>347</v>
      </c>
      <c r="B125" s="143"/>
      <c r="C125" s="142" t="s">
        <v>89</v>
      </c>
      <c r="D125" s="143"/>
      <c r="E125" s="142">
        <f>COUNT(E167:E178)*29+COUNT(E180:E181,E183:E191)*6+COUNT(E199:E204)</f>
        <v>420</v>
      </c>
      <c r="F125" s="143"/>
      <c r="G125" s="142">
        <f>SUM(H167:H178)*29+SUM(H180:H181,H183:H191)*6+SUM(H199:H204)</f>
        <v>234069.20783999993</v>
      </c>
      <c r="H125" s="143"/>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1" x14ac:dyDescent="0.3">
      <c r="A126" s="144" t="s">
        <v>154</v>
      </c>
      <c r="B126" s="145"/>
      <c r="C126" s="144" t="s">
        <v>97</v>
      </c>
      <c r="D126" s="145"/>
      <c r="E126" s="144">
        <f>SUM(E124:F125)</f>
        <v>637</v>
      </c>
      <c r="F126" s="145"/>
      <c r="G126" s="144">
        <f>SUM(G124:H125)</f>
        <v>319196.51711999992</v>
      </c>
      <c r="H126" s="145">
        <f>SUM(H124:H125)</f>
        <v>0</v>
      </c>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x14ac:dyDescent="0.3">
      <c r="A127" s="144" t="s">
        <v>244</v>
      </c>
      <c r="B127" s="145"/>
      <c r="C127" s="144" t="s">
        <v>97</v>
      </c>
      <c r="D127" s="145"/>
      <c r="E127" s="144">
        <f>E121+E126</f>
        <v>647</v>
      </c>
      <c r="F127" s="145"/>
      <c r="G127" s="144">
        <f>G121+G126</f>
        <v>322125.6167999999</v>
      </c>
      <c r="H127" s="145"/>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ht="21" x14ac:dyDescent="0.3">
      <c r="A128" s="133" t="s">
        <v>150</v>
      </c>
      <c r="B128" s="134"/>
      <c r="C128" s="134"/>
      <c r="D128" s="134"/>
      <c r="E128" s="134"/>
      <c r="F128" s="134"/>
      <c r="G128" s="134"/>
      <c r="H128" s="135"/>
    </row>
    <row r="129" spans="1:150 16226:16383" ht="66" customHeight="1" x14ac:dyDescent="0.3">
      <c r="A129" s="54" t="s">
        <v>232</v>
      </c>
      <c r="B129" s="31" t="s">
        <v>233</v>
      </c>
      <c r="C129" s="34" t="s">
        <v>234</v>
      </c>
      <c r="D129" s="31" t="s">
        <v>90</v>
      </c>
      <c r="E129" s="31" t="s">
        <v>164</v>
      </c>
      <c r="F129" s="34" t="s">
        <v>235</v>
      </c>
      <c r="G129" s="31" t="s">
        <v>92</v>
      </c>
      <c r="H129" s="31" t="s">
        <v>91</v>
      </c>
    </row>
    <row r="130" spans="1:150 16226:16383" s="3" customFormat="1" ht="21" x14ac:dyDescent="0.3">
      <c r="A130" s="128" t="s">
        <v>306</v>
      </c>
      <c r="B130" s="129"/>
      <c r="C130" s="129"/>
      <c r="D130" s="129"/>
      <c r="E130" s="129"/>
      <c r="F130" s="129"/>
      <c r="G130" s="129"/>
      <c r="H130" s="130"/>
      <c r="I130" s="1"/>
      <c r="J130" s="33">
        <v>10.763999999999999</v>
      </c>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48.6" customHeight="1" x14ac:dyDescent="0.3">
      <c r="A131" s="128" t="s">
        <v>343</v>
      </c>
      <c r="B131" s="129"/>
      <c r="C131" s="129"/>
      <c r="D131" s="129"/>
      <c r="E131" s="129"/>
      <c r="F131" s="129"/>
      <c r="G131" s="129"/>
      <c r="H131" s="13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1" x14ac:dyDescent="0.3">
      <c r="A132" s="100">
        <v>1</v>
      </c>
      <c r="B132" s="100"/>
      <c r="C132" s="55" t="s">
        <v>89</v>
      </c>
      <c r="D132" s="55" t="s">
        <v>337</v>
      </c>
      <c r="E132" s="33">
        <f>(26.94)*10.764</f>
        <v>289.98216000000002</v>
      </c>
      <c r="F132" s="6">
        <v>0</v>
      </c>
      <c r="G132" s="6">
        <v>0</v>
      </c>
      <c r="H132" s="6">
        <f>E132+F132+(IF(G132&lt;101,G132,IF(G132&lt;201,G132/2,IF(G132&lt;=301,G132/3,G132/4))))</f>
        <v>289.98216000000002</v>
      </c>
      <c r="I132" s="1"/>
      <c r="J132" s="1">
        <f>4.85*4.25+2.75*0.65+1.55*1.65+1.05*1.5</f>
        <v>26.532499999999999</v>
      </c>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1" x14ac:dyDescent="0.3">
      <c r="A133" s="131">
        <f>A132+1</f>
        <v>2</v>
      </c>
      <c r="B133" s="132"/>
      <c r="C133" s="55" t="s">
        <v>89</v>
      </c>
      <c r="D133" s="55" t="s">
        <v>337</v>
      </c>
      <c r="E133" s="33">
        <f>(20.35)*10.764</f>
        <v>219.04740000000001</v>
      </c>
      <c r="F133" s="6">
        <v>0</v>
      </c>
      <c r="G133" s="6">
        <v>0</v>
      </c>
      <c r="H133" s="6">
        <f t="shared" ref="H133:H139" si="0">E133+F133+(IF(G133&lt;101,G133,IF(G133&lt;201,G133/2,IF(G133&lt;=301,G133/3,G133/4))))</f>
        <v>219.04740000000001</v>
      </c>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1" x14ac:dyDescent="0.3">
      <c r="A134" s="131">
        <f t="shared" ref="A134:A141" si="1">A133+1</f>
        <v>3</v>
      </c>
      <c r="B134" s="132"/>
      <c r="C134" s="55" t="s">
        <v>89</v>
      </c>
      <c r="D134" s="55" t="s">
        <v>337</v>
      </c>
      <c r="E134" s="33">
        <f>(42.97)*10.764</f>
        <v>462.52907999999996</v>
      </c>
      <c r="F134" s="6">
        <v>0</v>
      </c>
      <c r="G134" s="6">
        <v>0</v>
      </c>
      <c r="H134" s="6">
        <f t="shared" si="0"/>
        <v>462.52907999999996</v>
      </c>
      <c r="I134" s="1"/>
      <c r="J134" s="1">
        <f>5.35*5.8+4.15*2.4+1.05*1.5</f>
        <v>42.564999999999998</v>
      </c>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3">
      <c r="A135" s="131">
        <f t="shared" si="1"/>
        <v>4</v>
      </c>
      <c r="B135" s="132"/>
      <c r="C135" s="55" t="s">
        <v>89</v>
      </c>
      <c r="D135" s="55" t="s">
        <v>337</v>
      </c>
      <c r="E135" s="33">
        <f>(22.88)*10.764</f>
        <v>246.28031999999996</v>
      </c>
      <c r="F135" s="6">
        <v>0</v>
      </c>
      <c r="G135" s="6">
        <v>0</v>
      </c>
      <c r="H135" s="6">
        <f t="shared" si="0"/>
        <v>246.28031999999996</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3">
      <c r="A136" s="131">
        <f t="shared" si="1"/>
        <v>5</v>
      </c>
      <c r="B136" s="132"/>
      <c r="C136" s="55" t="s">
        <v>89</v>
      </c>
      <c r="D136" s="55" t="s">
        <v>337</v>
      </c>
      <c r="E136" s="33">
        <f>(29.22)*10.764</f>
        <v>314.52407999999997</v>
      </c>
      <c r="F136" s="6">
        <v>0</v>
      </c>
      <c r="G136" s="6">
        <v>0</v>
      </c>
      <c r="H136" s="6">
        <f t="shared" si="0"/>
        <v>314.52407999999997</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3">
      <c r="A137" s="131">
        <f t="shared" si="1"/>
        <v>6</v>
      </c>
      <c r="B137" s="132"/>
      <c r="C137" s="55" t="s">
        <v>89</v>
      </c>
      <c r="D137" s="55" t="s">
        <v>337</v>
      </c>
      <c r="E137" s="33">
        <f>(17.52)*10.764</f>
        <v>188.58527999999998</v>
      </c>
      <c r="F137" s="6">
        <v>0</v>
      </c>
      <c r="G137" s="6">
        <v>0</v>
      </c>
      <c r="H137" s="6">
        <f t="shared" si="0"/>
        <v>188.58527999999998</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3">
      <c r="A138" s="131">
        <f t="shared" si="1"/>
        <v>7</v>
      </c>
      <c r="B138" s="132"/>
      <c r="C138" s="55" t="s">
        <v>89</v>
      </c>
      <c r="D138" s="55" t="s">
        <v>337</v>
      </c>
      <c r="E138" s="33">
        <f>(42.63)*10.764</f>
        <v>458.86932000000002</v>
      </c>
      <c r="F138" s="6">
        <v>0</v>
      </c>
      <c r="G138" s="6">
        <v>0</v>
      </c>
      <c r="H138" s="6">
        <f t="shared" si="0"/>
        <v>458.86932000000002</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3">
      <c r="A139" s="131">
        <f t="shared" si="1"/>
        <v>8</v>
      </c>
      <c r="B139" s="132"/>
      <c r="C139" s="55" t="s">
        <v>89</v>
      </c>
      <c r="D139" s="55" t="s">
        <v>337</v>
      </c>
      <c r="E139" s="33">
        <f>(22.32)*10.764</f>
        <v>240.25247999999999</v>
      </c>
      <c r="F139" s="6">
        <v>0</v>
      </c>
      <c r="G139" s="6">
        <v>0</v>
      </c>
      <c r="H139" s="6">
        <f t="shared" si="0"/>
        <v>240.25247999999999</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3">
      <c r="A140" s="131">
        <f t="shared" si="1"/>
        <v>9</v>
      </c>
      <c r="B140" s="132"/>
      <c r="C140" s="55" t="s">
        <v>89</v>
      </c>
      <c r="D140" s="55" t="s">
        <v>337</v>
      </c>
      <c r="E140" s="33">
        <f>(20.35)*10.764</f>
        <v>219.04740000000001</v>
      </c>
      <c r="F140" s="6">
        <v>0</v>
      </c>
      <c r="G140" s="6">
        <v>0</v>
      </c>
      <c r="H140" s="6">
        <f t="shared" ref="H140:H141" si="2">E140+F140+(IF(G140&lt;101,G140,IF(G140&lt;201,G140/2,IF(G140&lt;=301,G140/3,G140/4))))</f>
        <v>219.04740000000001</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3">
      <c r="A141" s="131">
        <f t="shared" si="1"/>
        <v>10</v>
      </c>
      <c r="B141" s="132"/>
      <c r="C141" s="55" t="s">
        <v>89</v>
      </c>
      <c r="D141" s="55" t="s">
        <v>337</v>
      </c>
      <c r="E141" s="33">
        <f>(26.94)*10.764</f>
        <v>289.98216000000002</v>
      </c>
      <c r="F141" s="6">
        <v>0</v>
      </c>
      <c r="G141" s="6">
        <v>0</v>
      </c>
      <c r="H141" s="6">
        <f t="shared" si="2"/>
        <v>289.98216000000002</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1" x14ac:dyDescent="0.3">
      <c r="A142" s="102" t="s">
        <v>339</v>
      </c>
      <c r="B142" s="103"/>
      <c r="C142" s="103"/>
      <c r="D142" s="103"/>
      <c r="E142" s="103"/>
      <c r="F142" s="103"/>
      <c r="G142" s="103"/>
      <c r="H142" s="104"/>
      <c r="I142" s="1">
        <f>7+4+4+4</f>
        <v>19</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3">
      <c r="A143" s="100">
        <v>1</v>
      </c>
      <c r="B143" s="100"/>
      <c r="C143" s="55" t="s">
        <v>89</v>
      </c>
      <c r="D143" s="55" t="s">
        <v>338</v>
      </c>
      <c r="E143" s="33">
        <f>(36.71)*10.764</f>
        <v>395.14643999999998</v>
      </c>
      <c r="F143" s="33">
        <f>(2.47)*10.764</f>
        <v>26.58708</v>
      </c>
      <c r="G143" s="6">
        <v>0</v>
      </c>
      <c r="H143" s="6">
        <f>E143+F143+(IF(G143&lt;101,G143,IF(G143&lt;201,G143/2,IF(G143&lt;=301,G143/3,G143/4))))</f>
        <v>421.73352</v>
      </c>
      <c r="I143" s="1"/>
      <c r="J143" s="1"/>
      <c r="K143" s="1"/>
      <c r="L143" s="1"/>
      <c r="M143" s="1"/>
      <c r="N143" s="1"/>
      <c r="O143" s="1"/>
      <c r="P143" s="1"/>
      <c r="Q143" s="1"/>
      <c r="R143" s="1"/>
      <c r="S143" s="1"/>
      <c r="T143" s="23" t="str">
        <f t="shared" ref="T143:T150" ca="1" si="3">U143&amp;""&amp;",..,"&amp;""&amp;V143</f>
        <v>1701,..,2201</v>
      </c>
      <c r="U143" s="23">
        <f ca="1">(SUMPRODUCT(MID(0&amp;(LEFT(A142,SUM(LEN(A142)-LEN(SUBSTITUTE(A142,{"0","1","2","3"},""))))), LARGE(INDEX(ISNUMBER(--MID((LEFT(A142,SUM(LEN(A142)-LEN(SUBSTITUTE(A142,{"0","1","2","3"},""))))), ROW(INDIRECT("1:"&amp;LEN((LEFT(A142,SUM(LEN(A142)-LEN(SUBSTITUTE(A142,{"0","1","2","3"},"")))))))), 1)) * ROW(INDIRECT("1:"&amp;LEN((LEFT(A142,SUM(LEN(A142)-LEN(SUBSTITUTE(A142,{"0","1","2","3"},"")))))))), 0), ROW(INDIRECT("1:"&amp;LEN((LEFT(A142,SUM(LEN(A142)-LEN(SUBSTITUTE(A142,{"0","1","2","3"},"")))))))))+1, 1) * 10^ROW(INDIRECT("1:"&amp;LEN((LEFT(A142,SUM(LEN(A142)-LEN(SUBSTITUTE(A142,{"0","1","2","3"},""))))))))/10))*100+1</f>
        <v>1701</v>
      </c>
      <c r="V143" s="23">
        <f ca="1">(SUMPRODUCT(MID(0&amp;(--TRIM(RIGHT(SUBSTITUTE(LEFT(A142,_xlfn.AGGREGATE(16,6,FIND({0,1,2,3,4,5,6,7,8,9},A142,ROW(INDIRECT("1:"&amp;LEN(A142)))),1))," ",REPT(" ",LEN(A142))),LEN(A142)))), LARGE(INDEX(ISNUMBER(--MID((--TRIM(RIGHT(SUBSTITUTE(LEFT(A142,_xlfn.AGGREGATE(16,6,FIND({0,1,2,3,4,5,6,7,8,9},A142,ROW(INDIRECT("1:"&amp;LEN(A142)))),1))," ",REPT(" ",LEN(A142))),LEN(A142)))), ROW(INDIRECT("1:"&amp;LEN((--TRIM(RIGHT(SUBSTITUTE(LEFT(A142,_xlfn.AGGREGATE(16,6,FIND({0,1,2,3,4,5,6,7,8,9},A142,ROW(INDIRECT("1:"&amp;LEN(A142)))),1))," ",REPT(" ",LEN(A142))),LEN(A142))))))), 1)) * ROW(INDIRECT("1:"&amp;LEN((--TRIM(RIGHT(SUBSTITUTE(LEFT(A142,_xlfn.AGGREGATE(16,6,FIND({0,1,2,3,4,5,6,7,8,9},A142,ROW(INDIRECT("1:"&amp;LEN(A142)))),1))," ",REPT(" ",LEN(A142))),LEN(A142))))))), 0), ROW(INDIRECT("1:"&amp;LEN((--TRIM(RIGHT(SUBSTITUTE(LEFT(A142,_xlfn.AGGREGATE(16,6,FIND({0,1,2,3,4,5,6,7,8,9},A142,ROW(INDIRECT("1:"&amp;LEN(A142)))),1))," ",REPT(" ",LEN(A142))),LEN(A142))))))))+1, 1) * 10^ROW(INDIRECT("1:"&amp;LEN((--TRIM(RIGHT(SUBSTITUTE(LEFT(A142,_xlfn.AGGREGATE(16,6,FIND({0,1,2,3,4,5,6,7,8,9},A142,ROW(INDIRECT("1:"&amp;LEN(A142)))),1))," ",REPT(" ",LEN(A142))),LEN(A142)))))))/10))*100+1</f>
        <v>2201</v>
      </c>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3">
      <c r="A144" s="131">
        <f>A143+1</f>
        <v>2</v>
      </c>
      <c r="B144" s="132"/>
      <c r="C144" s="55" t="s">
        <v>89</v>
      </c>
      <c r="D144" s="55" t="s">
        <v>338</v>
      </c>
      <c r="E144" s="33">
        <f>(35.54)*10.764</f>
        <v>382.55255999999997</v>
      </c>
      <c r="F144" s="33">
        <f>(2.47)*10.764</f>
        <v>26.58708</v>
      </c>
      <c r="G144" s="6">
        <v>0</v>
      </c>
      <c r="H144" s="6">
        <f t="shared" ref="H144:H150" si="4">E144+F144+(IF(G144&lt;101,G144,IF(G144&lt;201,G144/2,IF(G144&lt;=301,G144/3,G144/4))))</f>
        <v>409.13963999999999</v>
      </c>
      <c r="I144" s="1"/>
      <c r="J144" s="1"/>
      <c r="K144" s="1"/>
      <c r="L144" s="1"/>
      <c r="M144" s="1"/>
      <c r="N144" s="1"/>
      <c r="O144" s="1"/>
      <c r="P144" s="1"/>
      <c r="Q144" s="1"/>
      <c r="R144" s="1"/>
      <c r="S144" s="1"/>
      <c r="T144" s="23" t="str">
        <f t="shared" ca="1" si="3"/>
        <v>1702,..,2202</v>
      </c>
      <c r="U144" s="23">
        <f ca="1">U143+1</f>
        <v>1702</v>
      </c>
      <c r="V144" s="23">
        <f ca="1">V143+1</f>
        <v>2202</v>
      </c>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customHeight="1" x14ac:dyDescent="0.3">
      <c r="A145" s="131">
        <f t="shared" ref="A145:A152" si="5">A144+1</f>
        <v>3</v>
      </c>
      <c r="B145" s="132"/>
      <c r="C145" s="55" t="s">
        <v>89</v>
      </c>
      <c r="D145" s="55" t="s">
        <v>338</v>
      </c>
      <c r="E145" s="33">
        <f>(29.86)*10.764</f>
        <v>321.41303999999997</v>
      </c>
      <c r="F145" s="33">
        <v>0</v>
      </c>
      <c r="G145" s="6">
        <v>0</v>
      </c>
      <c r="H145" s="6">
        <f t="shared" si="4"/>
        <v>321.41303999999997</v>
      </c>
      <c r="I145" s="1"/>
      <c r="J145" s="1"/>
      <c r="K145" s="1"/>
      <c r="L145" s="1">
        <v>4545000</v>
      </c>
      <c r="M145" s="1">
        <f>L145/H145</f>
        <v>14140.683277815986</v>
      </c>
      <c r="N145" s="1"/>
      <c r="O145" s="1"/>
      <c r="P145" s="1"/>
      <c r="Q145" s="1"/>
      <c r="R145" s="1"/>
      <c r="S145" s="1"/>
      <c r="T145" s="23" t="str">
        <f t="shared" ca="1" si="3"/>
        <v>1703,..,2203</v>
      </c>
      <c r="U145" s="23">
        <f t="shared" ref="U145:U152" ca="1" si="6">U144+1</f>
        <v>1703</v>
      </c>
      <c r="V145" s="23">
        <f t="shared" ref="V145:V152" ca="1" si="7">V144+1</f>
        <v>2203</v>
      </c>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customHeight="1" x14ac:dyDescent="0.3">
      <c r="A146" s="131">
        <f t="shared" si="5"/>
        <v>4</v>
      </c>
      <c r="B146" s="132"/>
      <c r="C146" s="55" t="s">
        <v>89</v>
      </c>
      <c r="D146" s="55" t="s">
        <v>338</v>
      </c>
      <c r="E146" s="33">
        <f>(35.54)*10.764</f>
        <v>382.55255999999997</v>
      </c>
      <c r="F146" s="33">
        <f>(2.47)*10.764</f>
        <v>26.58708</v>
      </c>
      <c r="G146" s="6">
        <v>0</v>
      </c>
      <c r="H146" s="6">
        <f t="shared" si="4"/>
        <v>409.13963999999999</v>
      </c>
      <c r="I146" s="1"/>
      <c r="J146" s="1"/>
      <c r="K146" s="1"/>
      <c r="N146" s="1"/>
      <c r="O146" s="1"/>
      <c r="P146" s="1"/>
      <c r="Q146" s="1"/>
      <c r="R146" s="1"/>
      <c r="S146" s="1"/>
      <c r="T146" s="23" t="str">
        <f t="shared" ca="1" si="3"/>
        <v>1704,..,2204</v>
      </c>
      <c r="U146" s="23">
        <f t="shared" ca="1" si="6"/>
        <v>1704</v>
      </c>
      <c r="V146" s="23">
        <f t="shared" ca="1" si="7"/>
        <v>2204</v>
      </c>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3">
      <c r="A147" s="131">
        <f t="shared" si="5"/>
        <v>5</v>
      </c>
      <c r="B147" s="132"/>
      <c r="C147" s="55" t="s">
        <v>89</v>
      </c>
      <c r="D147" s="55" t="s">
        <v>338</v>
      </c>
      <c r="E147" s="33">
        <f>(36.71)*10.764</f>
        <v>395.14643999999998</v>
      </c>
      <c r="F147" s="33">
        <f>(2.47)*10.764</f>
        <v>26.58708</v>
      </c>
      <c r="G147" s="6">
        <v>0</v>
      </c>
      <c r="H147" s="6">
        <f t="shared" si="4"/>
        <v>421.73352</v>
      </c>
      <c r="I147" s="1"/>
      <c r="J147" s="1"/>
      <c r="K147" s="1"/>
      <c r="L147" s="1"/>
      <c r="M147" s="1"/>
      <c r="N147" s="1"/>
      <c r="O147" s="1"/>
      <c r="P147" s="1"/>
      <c r="Q147" s="1"/>
      <c r="R147" s="1"/>
      <c r="S147" s="1"/>
      <c r="T147" s="23" t="str">
        <f t="shared" ca="1" si="3"/>
        <v>1705,..,2205</v>
      </c>
      <c r="U147" s="23">
        <f t="shared" ca="1" si="6"/>
        <v>1705</v>
      </c>
      <c r="V147" s="23">
        <f t="shared" ca="1" si="7"/>
        <v>2205</v>
      </c>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3">
      <c r="A148" s="131">
        <f t="shared" si="5"/>
        <v>6</v>
      </c>
      <c r="B148" s="132"/>
      <c r="C148" s="55" t="s">
        <v>89</v>
      </c>
      <c r="D148" s="55" t="s">
        <v>338</v>
      </c>
      <c r="E148" s="33">
        <f>(36.71)*10.764</f>
        <v>395.14643999999998</v>
      </c>
      <c r="F148" s="33">
        <f>(2.61)*10.764</f>
        <v>28.094039999999996</v>
      </c>
      <c r="G148" s="6">
        <v>0</v>
      </c>
      <c r="H148" s="6">
        <f t="shared" si="4"/>
        <v>423.24047999999999</v>
      </c>
      <c r="I148" s="1"/>
      <c r="J148" s="1"/>
      <c r="K148" s="1"/>
      <c r="L148" s="1"/>
      <c r="M148" s="1"/>
      <c r="N148" s="1"/>
      <c r="O148" s="1"/>
      <c r="P148" s="1"/>
      <c r="Q148" s="1"/>
      <c r="R148" s="1"/>
      <c r="S148" s="1"/>
      <c r="T148" s="23" t="str">
        <f t="shared" ca="1" si="3"/>
        <v>1706,..,2206</v>
      </c>
      <c r="U148" s="23">
        <f t="shared" ca="1" si="6"/>
        <v>1706</v>
      </c>
      <c r="V148" s="23">
        <f t="shared" ca="1" si="7"/>
        <v>2206</v>
      </c>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3">
      <c r="A149" s="131">
        <f t="shared" si="5"/>
        <v>7</v>
      </c>
      <c r="B149" s="132"/>
      <c r="C149" s="55" t="s">
        <v>89</v>
      </c>
      <c r="D149" s="55" t="s">
        <v>338</v>
      </c>
      <c r="E149" s="33">
        <f>(29.97)*10.764</f>
        <v>322.59707999999995</v>
      </c>
      <c r="F149" s="33">
        <f>(1.43)*10.764</f>
        <v>15.392519999999998</v>
      </c>
      <c r="G149" s="6">
        <v>0</v>
      </c>
      <c r="H149" s="6">
        <f t="shared" si="4"/>
        <v>337.98959999999994</v>
      </c>
      <c r="I149" s="1"/>
      <c r="J149" s="1"/>
      <c r="K149" s="1"/>
      <c r="L149" s="1"/>
      <c r="M149" s="1"/>
      <c r="N149" s="1"/>
      <c r="O149" s="1"/>
      <c r="P149" s="1"/>
      <c r="Q149" s="1"/>
      <c r="R149" s="1"/>
      <c r="S149" s="1"/>
      <c r="T149" s="23" t="str">
        <f t="shared" ca="1" si="3"/>
        <v>1707,..,2207</v>
      </c>
      <c r="U149" s="23">
        <f t="shared" ca="1" si="6"/>
        <v>1707</v>
      </c>
      <c r="V149" s="23">
        <f t="shared" ca="1" si="7"/>
        <v>2207</v>
      </c>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3">
      <c r="A150" s="131">
        <f t="shared" si="5"/>
        <v>8</v>
      </c>
      <c r="B150" s="132"/>
      <c r="C150" s="55" t="s">
        <v>89</v>
      </c>
      <c r="D150" s="55" t="s">
        <v>338</v>
      </c>
      <c r="E150" s="33">
        <f>(29.97)*10.764</f>
        <v>322.59707999999995</v>
      </c>
      <c r="F150" s="33">
        <f>(1.43)*10.764</f>
        <v>15.392519999999998</v>
      </c>
      <c r="G150" s="6">
        <v>0</v>
      </c>
      <c r="H150" s="6">
        <f t="shared" si="4"/>
        <v>337.98959999999994</v>
      </c>
      <c r="I150" s="1"/>
      <c r="J150" s="1"/>
      <c r="K150" s="1"/>
      <c r="L150" s="1">
        <v>4899000</v>
      </c>
      <c r="M150" s="1">
        <f>L150/H150</f>
        <v>14494.52882573902</v>
      </c>
      <c r="N150" s="1"/>
      <c r="O150" s="1"/>
      <c r="P150" s="1"/>
      <c r="Q150" s="1"/>
      <c r="R150" s="1"/>
      <c r="S150" s="1"/>
      <c r="T150" s="23" t="str">
        <f t="shared" ca="1" si="3"/>
        <v>1708,..,2208</v>
      </c>
      <c r="U150" s="23">
        <f t="shared" ca="1" si="6"/>
        <v>1708</v>
      </c>
      <c r="V150" s="23">
        <f t="shared" ca="1" si="7"/>
        <v>2208</v>
      </c>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3">
      <c r="A151" s="131">
        <f t="shared" si="5"/>
        <v>9</v>
      </c>
      <c r="B151" s="132"/>
      <c r="C151" s="55" t="s">
        <v>89</v>
      </c>
      <c r="D151" s="55" t="s">
        <v>338</v>
      </c>
      <c r="E151" s="33">
        <f>(35.54)*10.764</f>
        <v>382.55255999999997</v>
      </c>
      <c r="F151" s="33">
        <f>(2.47)*10.764</f>
        <v>26.58708</v>
      </c>
      <c r="G151" s="6">
        <v>0</v>
      </c>
      <c r="H151" s="6">
        <f t="shared" ref="H151:H152" si="8">E151+F151+(IF(G151&lt;101,G151,IF(G151&lt;201,G151/2,IF(G151&lt;=301,G151/3,G151/4))))</f>
        <v>409.13963999999999</v>
      </c>
      <c r="I151" s="1"/>
      <c r="J151" s="1"/>
      <c r="K151" s="1"/>
      <c r="L151" s="1"/>
      <c r="M151" s="1"/>
      <c r="N151" s="1"/>
      <c r="O151" s="1"/>
      <c r="P151" s="1"/>
      <c r="Q151" s="1"/>
      <c r="R151" s="1"/>
      <c r="S151" s="1"/>
      <c r="T151" s="23" t="str">
        <f t="shared" ref="T151:T152" ca="1" si="9">U151&amp;""&amp;",..,"&amp;""&amp;V151</f>
        <v>1709,..,2209</v>
      </c>
      <c r="U151" s="23">
        <f t="shared" ca="1" si="6"/>
        <v>1709</v>
      </c>
      <c r="V151" s="23">
        <f t="shared" ca="1" si="7"/>
        <v>2209</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3">
      <c r="A152" s="131">
        <f t="shared" si="5"/>
        <v>10</v>
      </c>
      <c r="B152" s="132"/>
      <c r="C152" s="55" t="s">
        <v>89</v>
      </c>
      <c r="D152" s="55" t="s">
        <v>338</v>
      </c>
      <c r="E152" s="33">
        <f>(36.71)*10.764</f>
        <v>395.14643999999998</v>
      </c>
      <c r="F152" s="33">
        <f>(2.47)*10.764</f>
        <v>26.58708</v>
      </c>
      <c r="G152" s="6">
        <v>0</v>
      </c>
      <c r="H152" s="6">
        <f t="shared" si="8"/>
        <v>421.73352</v>
      </c>
      <c r="I152" s="1"/>
      <c r="J152" s="1"/>
      <c r="K152" s="1"/>
      <c r="L152" s="1"/>
      <c r="M152" s="1"/>
      <c r="N152" s="1"/>
      <c r="O152" s="1"/>
      <c r="P152" s="1"/>
      <c r="Q152" s="1"/>
      <c r="R152" s="1"/>
      <c r="S152" s="1"/>
      <c r="T152" s="23" t="str">
        <f t="shared" ca="1" si="9"/>
        <v>1710,..,2210</v>
      </c>
      <c r="U152" s="23">
        <f t="shared" ca="1" si="6"/>
        <v>1710</v>
      </c>
      <c r="V152" s="23">
        <f t="shared" ca="1" si="7"/>
        <v>2210</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1" x14ac:dyDescent="0.3">
      <c r="A153" s="102" t="s">
        <v>340</v>
      </c>
      <c r="B153" s="103"/>
      <c r="C153" s="103"/>
      <c r="D153" s="103"/>
      <c r="E153" s="103"/>
      <c r="F153" s="103"/>
      <c r="G153" s="103"/>
      <c r="H153" s="104"/>
      <c r="I153" s="1">
        <v>3</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3">
      <c r="A154" s="100">
        <v>1</v>
      </c>
      <c r="B154" s="100"/>
      <c r="C154" s="55" t="s">
        <v>89</v>
      </c>
      <c r="D154" s="55" t="s">
        <v>338</v>
      </c>
      <c r="E154" s="33">
        <f>(36.71)*10.764</f>
        <v>395.14643999999998</v>
      </c>
      <c r="F154" s="33">
        <f>(2.47)*10.764</f>
        <v>26.58708</v>
      </c>
      <c r="G154" s="6">
        <v>0</v>
      </c>
      <c r="H154" s="6">
        <f>E154+F154+(IF(G154&lt;101,G154,IF(G154&lt;201,G154/2,IF(G154&lt;=301,G154/3,G154/4))))</f>
        <v>421.73352</v>
      </c>
      <c r="I154" s="1"/>
      <c r="J154" s="1"/>
      <c r="K154" s="1"/>
      <c r="L154" s="1"/>
      <c r="M154" s="1"/>
      <c r="N154" s="1"/>
      <c r="O154" s="1"/>
      <c r="P154" s="1"/>
      <c r="Q154" s="1"/>
      <c r="R154" s="1"/>
      <c r="S154" s="1"/>
      <c r="T154" s="23" t="str">
        <f t="shared" ref="T154:T163" ca="1" si="10">U154&amp;""&amp;",..,"&amp;""&amp;V154</f>
        <v>801,..,1801</v>
      </c>
      <c r="U154" s="23">
        <f ca="1">(SUMPRODUCT(MID(0&amp;(LEFT(A153,SUM(LEN(A153)-LEN(SUBSTITUTE(A153,{"0","1","2","3"},""))))), LARGE(INDEX(ISNUMBER(--MID((LEFT(A153,SUM(LEN(A153)-LEN(SUBSTITUTE(A153,{"0","1","2","3"},""))))), ROW(INDIRECT("1:"&amp;LEN((LEFT(A153,SUM(LEN(A153)-LEN(SUBSTITUTE(A153,{"0","1","2","3"},"")))))))), 1)) * ROW(INDIRECT("1:"&amp;LEN((LEFT(A153,SUM(LEN(A153)-LEN(SUBSTITUTE(A153,{"0","1","2","3"},"")))))))), 0), ROW(INDIRECT("1:"&amp;LEN((LEFT(A153,SUM(LEN(A153)-LEN(SUBSTITUTE(A153,{"0","1","2","3"},"")))))))))+1, 1) * 10^ROW(INDIRECT("1:"&amp;LEN((LEFT(A153,SUM(LEN(A153)-LEN(SUBSTITUTE(A153,{"0","1","2","3"},""))))))))/10))*100+1</f>
        <v>801</v>
      </c>
      <c r="V154" s="23">
        <f ca="1">(SUMPRODUCT(MID(0&amp;(--TRIM(RIGHT(SUBSTITUTE(LEFT(A153,_xlfn.AGGREGATE(16,6,FIND({0,1,2,3,4,5,6,7,8,9},A153,ROW(INDIRECT("1:"&amp;LEN(A153)))),1)),"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",LEN(A153))),LEN(A153)))))))/10))*100+1</f>
        <v>1801</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3">
      <c r="A155" s="131">
        <f>A154+1</f>
        <v>2</v>
      </c>
      <c r="B155" s="132"/>
      <c r="C155" s="55" t="s">
        <v>89</v>
      </c>
      <c r="D155" s="55" t="s">
        <v>338</v>
      </c>
      <c r="E155" s="33">
        <f>(35.54)*10.764</f>
        <v>382.55255999999997</v>
      </c>
      <c r="F155" s="33">
        <f>(2.47)*10.764</f>
        <v>26.58708</v>
      </c>
      <c r="G155" s="6">
        <v>0</v>
      </c>
      <c r="H155" s="6">
        <f t="shared" ref="H155:H163" si="11">E155+F155+(IF(G155&lt;101,G155,IF(G155&lt;201,G155/2,IF(G155&lt;=301,G155/3,G155/4))))</f>
        <v>409.13963999999999</v>
      </c>
      <c r="I155" s="1"/>
      <c r="J155" s="1"/>
      <c r="K155" s="1"/>
      <c r="L155" s="1"/>
      <c r="M155" s="1"/>
      <c r="N155" s="1"/>
      <c r="O155" s="1"/>
      <c r="P155" s="1"/>
      <c r="Q155" s="1"/>
      <c r="R155" s="1"/>
      <c r="S155" s="1"/>
      <c r="T155" s="23" t="str">
        <f t="shared" ca="1" si="10"/>
        <v>802,..,1802</v>
      </c>
      <c r="U155" s="23">
        <f ca="1">U154+1</f>
        <v>802</v>
      </c>
      <c r="V155" s="23">
        <f ca="1">V154+1</f>
        <v>1802</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3">
      <c r="A156" s="131">
        <f t="shared" ref="A156:A163" si="12">A155+1</f>
        <v>3</v>
      </c>
      <c r="B156" s="132"/>
      <c r="C156" s="55" t="s">
        <v>97</v>
      </c>
      <c r="D156" s="160" t="s">
        <v>341</v>
      </c>
      <c r="E156" s="161"/>
      <c r="F156" s="161"/>
      <c r="G156" s="161"/>
      <c r="H156" s="162"/>
      <c r="I156" s="1"/>
      <c r="J156" s="1"/>
      <c r="K156" s="1"/>
      <c r="L156" s="1"/>
      <c r="M156" s="1"/>
      <c r="N156" s="1"/>
      <c r="O156" s="1"/>
      <c r="P156" s="1"/>
      <c r="Q156" s="1"/>
      <c r="R156" s="1"/>
      <c r="S156" s="1"/>
      <c r="T156" s="23" t="str">
        <f t="shared" ca="1" si="10"/>
        <v>803,..,1803</v>
      </c>
      <c r="U156" s="23">
        <f t="shared" ref="U156:V163" ca="1" si="13">U155+1</f>
        <v>803</v>
      </c>
      <c r="V156" s="23">
        <f t="shared" ca="1" si="13"/>
        <v>1803</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3">
      <c r="A157" s="131">
        <f t="shared" si="12"/>
        <v>4</v>
      </c>
      <c r="B157" s="132"/>
      <c r="C157" s="55" t="s">
        <v>89</v>
      </c>
      <c r="D157" s="55" t="s">
        <v>338</v>
      </c>
      <c r="E157" s="33">
        <f>(35.54)*10.764</f>
        <v>382.55255999999997</v>
      </c>
      <c r="F157" s="33">
        <f>(2.47)*10.764</f>
        <v>26.58708</v>
      </c>
      <c r="G157" s="6">
        <v>0</v>
      </c>
      <c r="H157" s="6">
        <f t="shared" si="11"/>
        <v>409.13963999999999</v>
      </c>
      <c r="I157" s="1"/>
      <c r="J157" s="1"/>
      <c r="K157" s="1"/>
      <c r="L157" s="1"/>
      <c r="M157" s="1"/>
      <c r="N157" s="1"/>
      <c r="O157" s="1"/>
      <c r="P157" s="1"/>
      <c r="Q157" s="1"/>
      <c r="R157" s="1"/>
      <c r="S157" s="1"/>
      <c r="T157" s="23" t="str">
        <f t="shared" ca="1" si="10"/>
        <v>804,..,1804</v>
      </c>
      <c r="U157" s="23">
        <f t="shared" ca="1" si="13"/>
        <v>804</v>
      </c>
      <c r="V157" s="23">
        <f t="shared" ca="1" si="13"/>
        <v>1804</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3">
      <c r="A158" s="131">
        <f t="shared" si="12"/>
        <v>5</v>
      </c>
      <c r="B158" s="132"/>
      <c r="C158" s="55" t="s">
        <v>89</v>
      </c>
      <c r="D158" s="55" t="s">
        <v>338</v>
      </c>
      <c r="E158" s="33">
        <f>(36.71)*10.764</f>
        <v>395.14643999999998</v>
      </c>
      <c r="F158" s="33">
        <f>(2.47)*10.764</f>
        <v>26.58708</v>
      </c>
      <c r="G158" s="6">
        <v>0</v>
      </c>
      <c r="H158" s="6">
        <f t="shared" si="11"/>
        <v>421.73352</v>
      </c>
      <c r="I158" s="1"/>
      <c r="J158" s="1"/>
      <c r="K158" s="1"/>
      <c r="L158" s="1"/>
      <c r="M158" s="1"/>
      <c r="N158" s="1"/>
      <c r="O158" s="1"/>
      <c r="P158" s="1"/>
      <c r="Q158" s="1"/>
      <c r="R158" s="1"/>
      <c r="S158" s="1"/>
      <c r="T158" s="23" t="str">
        <f t="shared" ca="1" si="10"/>
        <v>805,..,1805</v>
      </c>
      <c r="U158" s="23">
        <f t="shared" ca="1" si="13"/>
        <v>805</v>
      </c>
      <c r="V158" s="23">
        <f t="shared" ca="1" si="13"/>
        <v>1805</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3">
      <c r="A159" s="131">
        <f t="shared" si="12"/>
        <v>6</v>
      </c>
      <c r="B159" s="132"/>
      <c r="C159" s="55" t="s">
        <v>89</v>
      </c>
      <c r="D159" s="55" t="s">
        <v>338</v>
      </c>
      <c r="E159" s="33">
        <f>(36.71)*10.764</f>
        <v>395.14643999999998</v>
      </c>
      <c r="F159" s="33">
        <f>(2.61)*10.764</f>
        <v>28.094039999999996</v>
      </c>
      <c r="G159" s="6">
        <v>0</v>
      </c>
      <c r="H159" s="6">
        <f t="shared" si="11"/>
        <v>423.24047999999999</v>
      </c>
      <c r="I159" s="1"/>
      <c r="J159" s="1"/>
      <c r="K159" s="1"/>
      <c r="L159" s="1"/>
      <c r="M159" s="1"/>
      <c r="N159" s="1"/>
      <c r="O159" s="1"/>
      <c r="P159" s="1"/>
      <c r="Q159" s="1"/>
      <c r="R159" s="1"/>
      <c r="S159" s="1"/>
      <c r="T159" s="23" t="str">
        <f t="shared" ca="1" si="10"/>
        <v>806,..,1806</v>
      </c>
      <c r="U159" s="23">
        <f t="shared" ca="1" si="13"/>
        <v>806</v>
      </c>
      <c r="V159" s="23">
        <f t="shared" ca="1" si="13"/>
        <v>1806</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3">
      <c r="A160" s="131">
        <f t="shared" si="12"/>
        <v>7</v>
      </c>
      <c r="B160" s="132"/>
      <c r="C160" s="55" t="s">
        <v>89</v>
      </c>
      <c r="D160" s="55" t="s">
        <v>338</v>
      </c>
      <c r="E160" s="33">
        <f>(29.97)*10.764</f>
        <v>322.59707999999995</v>
      </c>
      <c r="F160" s="33">
        <f>(1.43)*10.764</f>
        <v>15.392519999999998</v>
      </c>
      <c r="G160" s="6">
        <v>0</v>
      </c>
      <c r="H160" s="6">
        <f t="shared" si="11"/>
        <v>337.98959999999994</v>
      </c>
      <c r="I160" s="1"/>
      <c r="J160" s="1"/>
      <c r="K160" s="1"/>
      <c r="L160" s="1"/>
      <c r="M160" s="1"/>
      <c r="N160" s="1"/>
      <c r="O160" s="1"/>
      <c r="P160" s="1"/>
      <c r="Q160" s="1"/>
      <c r="R160" s="1"/>
      <c r="S160" s="1"/>
      <c r="T160" s="23" t="str">
        <f t="shared" ca="1" si="10"/>
        <v>807,..,1807</v>
      </c>
      <c r="U160" s="23">
        <f t="shared" ca="1" si="13"/>
        <v>807</v>
      </c>
      <c r="V160" s="23">
        <f t="shared" ca="1" si="13"/>
        <v>1807</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3">
      <c r="A161" s="131">
        <f t="shared" si="12"/>
        <v>8</v>
      </c>
      <c r="B161" s="132"/>
      <c r="C161" s="55" t="s">
        <v>89</v>
      </c>
      <c r="D161" s="55" t="s">
        <v>338</v>
      </c>
      <c r="E161" s="33">
        <f>(29.97)*10.764</f>
        <v>322.59707999999995</v>
      </c>
      <c r="F161" s="33">
        <f>(1.43)*10.764</f>
        <v>15.392519999999998</v>
      </c>
      <c r="G161" s="6">
        <v>0</v>
      </c>
      <c r="H161" s="6">
        <f t="shared" si="11"/>
        <v>337.98959999999994</v>
      </c>
      <c r="I161" s="1"/>
      <c r="J161" s="1"/>
      <c r="K161" s="1"/>
      <c r="L161" s="1"/>
      <c r="M161" s="1"/>
      <c r="N161" s="1"/>
      <c r="O161" s="1"/>
      <c r="P161" s="1"/>
      <c r="Q161" s="1"/>
      <c r="R161" s="1"/>
      <c r="S161" s="1"/>
      <c r="T161" s="23" t="str">
        <f t="shared" ca="1" si="10"/>
        <v>808,..,1808</v>
      </c>
      <c r="U161" s="23">
        <f t="shared" ca="1" si="13"/>
        <v>808</v>
      </c>
      <c r="V161" s="23">
        <f t="shared" ca="1" si="13"/>
        <v>1808</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3">
      <c r="A162" s="131">
        <f t="shared" si="12"/>
        <v>9</v>
      </c>
      <c r="B162" s="132"/>
      <c r="C162" s="55" t="s">
        <v>89</v>
      </c>
      <c r="D162" s="55" t="s">
        <v>338</v>
      </c>
      <c r="E162" s="33">
        <f>(35.54)*10.764</f>
        <v>382.55255999999997</v>
      </c>
      <c r="F162" s="33">
        <f>(2.47)*10.764</f>
        <v>26.58708</v>
      </c>
      <c r="G162" s="6">
        <v>0</v>
      </c>
      <c r="H162" s="6">
        <f t="shared" si="11"/>
        <v>409.13963999999999</v>
      </c>
      <c r="I162" s="1"/>
      <c r="J162" s="1"/>
      <c r="K162" s="1"/>
      <c r="L162" s="1"/>
      <c r="M162" s="1"/>
      <c r="N162" s="1"/>
      <c r="O162" s="1"/>
      <c r="P162" s="1"/>
      <c r="Q162" s="1"/>
      <c r="R162" s="1"/>
      <c r="S162" s="1"/>
      <c r="T162" s="23" t="str">
        <f t="shared" ca="1" si="10"/>
        <v>809,..,1809</v>
      </c>
      <c r="U162" s="23">
        <f t="shared" ca="1" si="13"/>
        <v>809</v>
      </c>
      <c r="V162" s="23">
        <f t="shared" ca="1" si="13"/>
        <v>1809</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3">
      <c r="A163" s="131">
        <f t="shared" si="12"/>
        <v>10</v>
      </c>
      <c r="B163" s="132"/>
      <c r="C163" s="55" t="s">
        <v>89</v>
      </c>
      <c r="D163" s="55" t="s">
        <v>338</v>
      </c>
      <c r="E163" s="33">
        <f>(36.71)*10.764</f>
        <v>395.14643999999998</v>
      </c>
      <c r="F163" s="33">
        <f>(2.47)*10.764</f>
        <v>26.58708</v>
      </c>
      <c r="G163" s="6">
        <v>0</v>
      </c>
      <c r="H163" s="6">
        <f t="shared" si="11"/>
        <v>421.73352</v>
      </c>
      <c r="I163" s="1"/>
      <c r="J163" s="1"/>
      <c r="K163" s="1"/>
      <c r="L163" s="1"/>
      <c r="M163" s="1"/>
      <c r="N163" s="1"/>
      <c r="O163" s="1"/>
      <c r="P163" s="1"/>
      <c r="Q163" s="1"/>
      <c r="R163" s="1"/>
      <c r="S163" s="1"/>
      <c r="T163" s="23" t="str">
        <f t="shared" ca="1" si="10"/>
        <v>810,..,1810</v>
      </c>
      <c r="U163" s="23">
        <f t="shared" ca="1" si="13"/>
        <v>810</v>
      </c>
      <c r="V163" s="23">
        <f t="shared" ca="1" si="13"/>
        <v>1810</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1" x14ac:dyDescent="0.3">
      <c r="A164" s="102" t="s">
        <v>347</v>
      </c>
      <c r="B164" s="103"/>
      <c r="C164" s="103"/>
      <c r="D164" s="103"/>
      <c r="E164" s="103"/>
      <c r="F164" s="103"/>
      <c r="G164" s="103"/>
      <c r="H164" s="104"/>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1" x14ac:dyDescent="0.3">
      <c r="A165" s="102" t="s">
        <v>342</v>
      </c>
      <c r="B165" s="103"/>
      <c r="C165" s="103"/>
      <c r="D165" s="103"/>
      <c r="E165" s="103"/>
      <c r="F165" s="103"/>
      <c r="G165" s="103"/>
      <c r="H165" s="104"/>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42" customHeight="1" x14ac:dyDescent="0.3">
      <c r="A166" s="102" t="s">
        <v>344</v>
      </c>
      <c r="B166" s="103"/>
      <c r="C166" s="103"/>
      <c r="D166" s="103"/>
      <c r="E166" s="103"/>
      <c r="F166" s="103"/>
      <c r="G166" s="103"/>
      <c r="H166" s="104"/>
      <c r="I166" s="76">
        <f>7+4+4+4+4+4+2</f>
        <v>29</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3">
      <c r="A167" s="100">
        <v>1</v>
      </c>
      <c r="B167" s="100"/>
      <c r="C167" s="55" t="s">
        <v>89</v>
      </c>
      <c r="D167" s="55" t="s">
        <v>345</v>
      </c>
      <c r="E167" s="33">
        <f>(49.1)*10.764</f>
        <v>528.51239999999996</v>
      </c>
      <c r="F167" s="33">
        <f>(2.41)*10.764</f>
        <v>25.941240000000001</v>
      </c>
      <c r="G167" s="6">
        <v>0</v>
      </c>
      <c r="H167" s="6">
        <f>E167+F167+(IF(G167&lt;101,G167,IF(G167&lt;201,G167/2,IF(G167&lt;=301,G167/3,G167/4))))</f>
        <v>554.45363999999995</v>
      </c>
      <c r="I167" s="76"/>
      <c r="J167" s="1"/>
      <c r="K167" s="1">
        <v>7999000</v>
      </c>
      <c r="L167" s="1">
        <f>K167/H167</f>
        <v>14426.814837034888</v>
      </c>
      <c r="M167" s="1"/>
      <c r="N167" s="1"/>
      <c r="O167" s="1"/>
      <c r="P167" s="1"/>
      <c r="Q167" s="1"/>
      <c r="R167" s="1"/>
      <c r="S167" s="1"/>
      <c r="T167" s="23" t="str">
        <f ca="1">U167&amp;""&amp;" to "&amp;""&amp;V167</f>
        <v>17901 to 3501</v>
      </c>
      <c r="U167" s="23">
        <f ca="1">(SUMPRODUCT(MID(0&amp;(LEFT(A166,SUM(LEN(A166)-LEN(SUBSTITUTE(A166,{"0","1","2","3"},""))))), LARGE(INDEX(ISNUMBER(--MID((LEFT(A166,SUM(LEN(A166)-LEN(SUBSTITUTE(A166,{"0","1","2","3"},""))))), ROW(INDIRECT("1:"&amp;LEN((LEFT(A166,SUM(LEN(A166)-LEN(SUBSTITUTE(A166,{"0","1","2","3"},"")))))))), 1)) * ROW(INDIRECT("1:"&amp;LEN((LEFT(A166,SUM(LEN(A166)-LEN(SUBSTITUTE(A166,{"0","1","2","3"},"")))))))), 0), ROW(INDIRECT("1:"&amp;LEN((LEFT(A166,SUM(LEN(A166)-LEN(SUBSTITUTE(A166,{"0","1","2","3"},"")))))))))+1, 1) * 10^ROW(INDIRECT("1:"&amp;LEN((LEFT(A166,SUM(LEN(A166)-LEN(SUBSTITUTE(A166,{"0","1","2","3"},""))))))))/10))*100+1</f>
        <v>17901</v>
      </c>
      <c r="V167" s="23">
        <f ca="1">(SUMPRODUCT(MID(0&amp;(--TRIM(RIGHT(SUBSTITUTE(LEFT(A166,_xlfn.AGGREGATE(16,6,FIND({0,1,2,3,4,5,6,7,8,9},A166,ROW(INDIRECT("1:"&amp;LEN(A166)))),1)),"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",LEN(A166))),LEN(A166)))))))/10))*100+1</f>
        <v>3501</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3">
      <c r="A168" s="100">
        <f>A167+1</f>
        <v>2</v>
      </c>
      <c r="B168" s="100"/>
      <c r="C168" s="55" t="s">
        <v>89</v>
      </c>
      <c r="D168" s="55" t="s">
        <v>345</v>
      </c>
      <c r="E168" s="33">
        <f>(49.3)*10.764</f>
        <v>530.66519999999991</v>
      </c>
      <c r="F168" s="33">
        <f>(2.41)*10.764</f>
        <v>25.941240000000001</v>
      </c>
      <c r="G168" s="6">
        <v>0</v>
      </c>
      <c r="H168" s="6">
        <f t="shared" ref="H168:H174" si="14">E168+F168+(IF(G168&lt;101,G168,IF(G168&lt;201,G168/2,IF(G168&lt;=301,G168/3,G168/4))))</f>
        <v>556.60643999999991</v>
      </c>
      <c r="I168" s="76"/>
      <c r="J168" s="1"/>
      <c r="K168" s="1"/>
      <c r="L168" s="1"/>
      <c r="M168" s="1"/>
      <c r="N168" s="1"/>
      <c r="O168" s="1"/>
      <c r="P168" s="1"/>
      <c r="Q168" s="1"/>
      <c r="R168" s="1"/>
      <c r="S168" s="1"/>
      <c r="T168" s="23" t="str">
        <f t="shared" ref="T168:T174" ca="1" si="15">U168&amp;""&amp;" to "&amp;""&amp;V168</f>
        <v>17902 to 3502</v>
      </c>
      <c r="U168" s="23">
        <f ca="1">U167+1</f>
        <v>17902</v>
      </c>
      <c r="V168" s="23">
        <f ca="1">V167+1</f>
        <v>3502</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3">
      <c r="A169" s="100">
        <f t="shared" ref="A169:A174" si="16">A168+1</f>
        <v>3</v>
      </c>
      <c r="B169" s="100"/>
      <c r="C169" s="55" t="s">
        <v>89</v>
      </c>
      <c r="D169" s="55" t="s">
        <v>345</v>
      </c>
      <c r="E169" s="33">
        <f>(49.24)*10.764</f>
        <v>530.01936000000001</v>
      </c>
      <c r="F169" s="33">
        <f>(2.88)*10.764</f>
        <v>31.000319999999999</v>
      </c>
      <c r="G169" s="6">
        <v>0</v>
      </c>
      <c r="H169" s="6">
        <f t="shared" si="14"/>
        <v>561.01967999999999</v>
      </c>
      <c r="I169" s="76"/>
      <c r="J169" s="1"/>
      <c r="K169" s="1"/>
      <c r="L169" s="1"/>
      <c r="M169" s="1"/>
      <c r="N169" s="1"/>
      <c r="O169" s="1"/>
      <c r="P169" s="1"/>
      <c r="Q169" s="1"/>
      <c r="R169" s="1"/>
      <c r="S169" s="1"/>
      <c r="T169" s="23" t="str">
        <f t="shared" ca="1" si="15"/>
        <v>17903 to 3503</v>
      </c>
      <c r="U169" s="23">
        <f t="shared" ref="U169:U178" ca="1" si="17">U168+1</f>
        <v>17903</v>
      </c>
      <c r="V169" s="23">
        <f t="shared" ref="V169:V178" ca="1" si="18">V168+1</f>
        <v>3503</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3">
      <c r="A170" s="100">
        <f t="shared" si="16"/>
        <v>4</v>
      </c>
      <c r="B170" s="100"/>
      <c r="C170" s="55" t="s">
        <v>89</v>
      </c>
      <c r="D170" s="55" t="s">
        <v>345</v>
      </c>
      <c r="E170" s="33">
        <f>(49.24)*10.764</f>
        <v>530.01936000000001</v>
      </c>
      <c r="F170" s="33">
        <f>(2.88)*10.764</f>
        <v>31.000319999999999</v>
      </c>
      <c r="G170" s="6">
        <v>0</v>
      </c>
      <c r="H170" s="6">
        <f t="shared" si="14"/>
        <v>561.01967999999999</v>
      </c>
      <c r="I170" s="76"/>
      <c r="J170" s="1"/>
      <c r="K170" s="1"/>
      <c r="L170" s="1"/>
      <c r="M170" s="1"/>
      <c r="N170" s="1"/>
      <c r="O170" s="1"/>
      <c r="P170" s="1"/>
      <c r="Q170" s="1"/>
      <c r="R170" s="1"/>
      <c r="S170" s="1"/>
      <c r="T170" s="23" t="str">
        <f t="shared" ca="1" si="15"/>
        <v>17904 to 3504</v>
      </c>
      <c r="U170" s="23">
        <f t="shared" ca="1" si="17"/>
        <v>17904</v>
      </c>
      <c r="V170" s="23">
        <f t="shared" ca="1" si="18"/>
        <v>3504</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customHeight="1" x14ac:dyDescent="0.3">
      <c r="A171" s="100">
        <f t="shared" si="16"/>
        <v>5</v>
      </c>
      <c r="B171" s="100"/>
      <c r="C171" s="55" t="s">
        <v>89</v>
      </c>
      <c r="D171" s="55" t="s">
        <v>345</v>
      </c>
      <c r="E171" s="33">
        <f>(49.3)*10.764</f>
        <v>530.66519999999991</v>
      </c>
      <c r="F171" s="33">
        <f>(2.41)*10.764</f>
        <v>25.941240000000001</v>
      </c>
      <c r="G171" s="6">
        <v>0</v>
      </c>
      <c r="H171" s="6">
        <f t="shared" si="14"/>
        <v>556.60643999999991</v>
      </c>
      <c r="I171" s="76"/>
      <c r="J171" s="1"/>
      <c r="K171" s="1">
        <v>8500000</v>
      </c>
      <c r="L171" s="1">
        <f>K171/H171</f>
        <v>15271.113284280364</v>
      </c>
      <c r="M171" s="1"/>
      <c r="N171" s="1"/>
      <c r="O171" s="1"/>
      <c r="P171" s="1"/>
      <c r="Q171" s="1"/>
      <c r="R171" s="1"/>
      <c r="S171" s="1"/>
      <c r="T171" s="23" t="str">
        <f t="shared" ca="1" si="15"/>
        <v>17905 to 3505</v>
      </c>
      <c r="U171" s="23">
        <f t="shared" ca="1" si="17"/>
        <v>17905</v>
      </c>
      <c r="V171" s="23">
        <f t="shared" ca="1" si="18"/>
        <v>3505</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customHeight="1" x14ac:dyDescent="0.3">
      <c r="A172" s="100">
        <f t="shared" si="16"/>
        <v>6</v>
      </c>
      <c r="B172" s="100"/>
      <c r="C172" s="55" t="s">
        <v>89</v>
      </c>
      <c r="D172" s="55" t="s">
        <v>345</v>
      </c>
      <c r="E172" s="33">
        <f>(49.1)*10.764</f>
        <v>528.51239999999996</v>
      </c>
      <c r="F172" s="33">
        <f>(2.41)*10.764</f>
        <v>25.941240000000001</v>
      </c>
      <c r="G172" s="6">
        <v>0</v>
      </c>
      <c r="H172" s="6">
        <f t="shared" si="14"/>
        <v>554.45363999999995</v>
      </c>
      <c r="I172" s="76"/>
      <c r="J172" s="1"/>
      <c r="K172" s="1"/>
      <c r="L172" s="1"/>
      <c r="M172" s="1"/>
      <c r="N172" s="1"/>
      <c r="O172" s="1"/>
      <c r="P172" s="1"/>
      <c r="Q172" s="1"/>
      <c r="R172" s="1"/>
      <c r="S172" s="1"/>
      <c r="T172" s="23" t="str">
        <f t="shared" ca="1" si="15"/>
        <v>17906 to 3506</v>
      </c>
      <c r="U172" s="23">
        <f t="shared" ca="1" si="17"/>
        <v>17906</v>
      </c>
      <c r="V172" s="23">
        <f t="shared" ca="1" si="18"/>
        <v>3506</v>
      </c>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customHeight="1" x14ac:dyDescent="0.3">
      <c r="A173" s="100">
        <f t="shared" si="16"/>
        <v>7</v>
      </c>
      <c r="B173" s="100"/>
      <c r="C173" s="55" t="s">
        <v>89</v>
      </c>
      <c r="D173" s="55" t="s">
        <v>345</v>
      </c>
      <c r="E173" s="33">
        <f>(49.1)*10.764</f>
        <v>528.51239999999996</v>
      </c>
      <c r="F173" s="33">
        <f>(2.41)*10.764</f>
        <v>25.941240000000001</v>
      </c>
      <c r="G173" s="6">
        <v>0</v>
      </c>
      <c r="H173" s="6">
        <f t="shared" si="14"/>
        <v>554.45363999999995</v>
      </c>
      <c r="I173" s="76"/>
      <c r="J173" s="1"/>
      <c r="K173" s="1"/>
      <c r="L173" s="1"/>
      <c r="M173" s="1"/>
      <c r="N173" s="1"/>
      <c r="O173" s="1"/>
      <c r="P173" s="1"/>
      <c r="Q173" s="1"/>
      <c r="R173" s="1"/>
      <c r="S173" s="1"/>
      <c r="T173" s="23" t="str">
        <f t="shared" ca="1" si="15"/>
        <v>17907 to 3507</v>
      </c>
      <c r="U173" s="23">
        <f t="shared" ca="1" si="17"/>
        <v>17907</v>
      </c>
      <c r="V173" s="23">
        <f t="shared" ca="1" si="18"/>
        <v>3507</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customHeight="1" x14ac:dyDescent="0.3">
      <c r="A174" s="100">
        <f t="shared" si="16"/>
        <v>8</v>
      </c>
      <c r="B174" s="100"/>
      <c r="C174" s="55" t="s">
        <v>89</v>
      </c>
      <c r="D174" s="55" t="s">
        <v>345</v>
      </c>
      <c r="E174" s="33">
        <f>(49.3)*10.764</f>
        <v>530.66519999999991</v>
      </c>
      <c r="F174" s="33">
        <f>(2.41)*10.764</f>
        <v>25.941240000000001</v>
      </c>
      <c r="G174" s="6">
        <v>0</v>
      </c>
      <c r="H174" s="6">
        <f t="shared" si="14"/>
        <v>556.60643999999991</v>
      </c>
      <c r="I174" s="76"/>
      <c r="J174" s="1"/>
      <c r="K174" s="1">
        <f>8130000</f>
        <v>8130000</v>
      </c>
      <c r="L174" s="1">
        <f>K174/H174</f>
        <v>14606.370706023454</v>
      </c>
      <c r="M174" s="1">
        <f>8217601/H174</f>
        <v>14763.754799531247</v>
      </c>
      <c r="N174" s="1"/>
      <c r="O174" s="1"/>
      <c r="P174" s="1"/>
      <c r="Q174" s="1"/>
      <c r="R174" s="1"/>
      <c r="S174" s="1"/>
      <c r="T174" s="23" t="str">
        <f t="shared" ca="1" si="15"/>
        <v>17908 to 3508</v>
      </c>
      <c r="U174" s="23">
        <f t="shared" ca="1" si="17"/>
        <v>17908</v>
      </c>
      <c r="V174" s="23">
        <f t="shared" ca="1" si="18"/>
        <v>3508</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3">
      <c r="A175" s="100">
        <f t="shared" ref="A175:A178" si="19">A174+1</f>
        <v>9</v>
      </c>
      <c r="B175" s="100"/>
      <c r="C175" s="55" t="s">
        <v>89</v>
      </c>
      <c r="D175" s="55" t="s">
        <v>345</v>
      </c>
      <c r="E175" s="33">
        <f>(49.24)*10.764</f>
        <v>530.01936000000001</v>
      </c>
      <c r="F175" s="33">
        <f>(2.88)*10.764</f>
        <v>31.000319999999999</v>
      </c>
      <c r="G175" s="6">
        <v>0</v>
      </c>
      <c r="H175" s="6">
        <f t="shared" ref="H175:H178" si="20">E175+F175+(IF(G175&lt;101,G175,IF(G175&lt;201,G175/2,IF(G175&lt;=301,G175/3,G175/4))))</f>
        <v>561.01967999999999</v>
      </c>
      <c r="I175" s="76"/>
      <c r="J175" s="1"/>
      <c r="K175" s="1"/>
      <c r="L175" s="1"/>
      <c r="M175" s="1"/>
      <c r="N175" s="1"/>
      <c r="O175" s="1"/>
      <c r="P175" s="1"/>
      <c r="Q175" s="1"/>
      <c r="R175" s="1"/>
      <c r="S175" s="1"/>
      <c r="T175" s="23" t="str">
        <f t="shared" ref="T175:T178" ca="1" si="21">U175&amp;""&amp;" to "&amp;""&amp;V175</f>
        <v>17909 to 3509</v>
      </c>
      <c r="U175" s="23">
        <f t="shared" ca="1" si="17"/>
        <v>17909</v>
      </c>
      <c r="V175" s="23">
        <f t="shared" ca="1" si="18"/>
        <v>3509</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3">
      <c r="A176" s="100">
        <f t="shared" si="19"/>
        <v>10</v>
      </c>
      <c r="B176" s="100"/>
      <c r="C176" s="55" t="s">
        <v>89</v>
      </c>
      <c r="D176" s="55" t="s">
        <v>345</v>
      </c>
      <c r="E176" s="33">
        <f>(49.24)*10.764</f>
        <v>530.01936000000001</v>
      </c>
      <c r="F176" s="33">
        <f>(2.88)*10.764</f>
        <v>31.000319999999999</v>
      </c>
      <c r="G176" s="6">
        <v>0</v>
      </c>
      <c r="H176" s="6">
        <f t="shared" si="20"/>
        <v>561.01967999999999</v>
      </c>
      <c r="I176" s="76"/>
      <c r="J176" s="1"/>
      <c r="K176" s="1"/>
      <c r="L176" s="1"/>
      <c r="M176" s="1"/>
      <c r="N176" s="1"/>
      <c r="O176" s="1"/>
      <c r="P176" s="1"/>
      <c r="Q176" s="1"/>
      <c r="R176" s="1"/>
      <c r="S176" s="1"/>
      <c r="T176" s="23" t="str">
        <f t="shared" ca="1" si="21"/>
        <v>17910 to 3510</v>
      </c>
      <c r="U176" s="23">
        <f t="shared" ca="1" si="17"/>
        <v>17910</v>
      </c>
      <c r="V176" s="23">
        <f t="shared" ca="1" si="18"/>
        <v>3510</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3">
      <c r="A177" s="100">
        <f t="shared" si="19"/>
        <v>11</v>
      </c>
      <c r="B177" s="100"/>
      <c r="C177" s="55" t="s">
        <v>89</v>
      </c>
      <c r="D177" s="55" t="s">
        <v>345</v>
      </c>
      <c r="E177" s="33">
        <f>(49.3)*10.764</f>
        <v>530.66519999999991</v>
      </c>
      <c r="F177" s="33">
        <f>(2.41)*10.764</f>
        <v>25.941240000000001</v>
      </c>
      <c r="G177" s="6">
        <v>0</v>
      </c>
      <c r="H177" s="6">
        <f t="shared" si="20"/>
        <v>556.60643999999991</v>
      </c>
      <c r="I177" s="76"/>
      <c r="J177" s="1"/>
      <c r="K177" s="1"/>
      <c r="L177" s="1"/>
      <c r="M177" s="1"/>
      <c r="N177" s="1"/>
      <c r="O177" s="1"/>
      <c r="P177" s="1"/>
      <c r="Q177" s="1"/>
      <c r="R177" s="1"/>
      <c r="S177" s="1"/>
      <c r="T177" s="23" t="str">
        <f t="shared" ca="1" si="21"/>
        <v>17911 to 3511</v>
      </c>
      <c r="U177" s="23">
        <f t="shared" ca="1" si="17"/>
        <v>17911</v>
      </c>
      <c r="V177" s="23">
        <f t="shared" ca="1" si="18"/>
        <v>3511</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3">
      <c r="A178" s="100">
        <f t="shared" si="19"/>
        <v>12</v>
      </c>
      <c r="B178" s="100"/>
      <c r="C178" s="55" t="s">
        <v>89</v>
      </c>
      <c r="D178" s="55" t="s">
        <v>345</v>
      </c>
      <c r="E178" s="33">
        <f>(49.1)*10.764</f>
        <v>528.51239999999996</v>
      </c>
      <c r="F178" s="33">
        <f>(2.41)*10.764</f>
        <v>25.941240000000001</v>
      </c>
      <c r="G178" s="6">
        <v>0</v>
      </c>
      <c r="H178" s="6">
        <f t="shared" si="20"/>
        <v>554.45363999999995</v>
      </c>
      <c r="I178" s="76"/>
      <c r="J178" s="1"/>
      <c r="K178" s="1"/>
      <c r="L178" s="1"/>
      <c r="M178" s="1"/>
      <c r="N178" s="1"/>
      <c r="O178" s="1"/>
      <c r="P178" s="1"/>
      <c r="Q178" s="1"/>
      <c r="R178" s="1"/>
      <c r="S178" s="1"/>
      <c r="T178" s="23" t="str">
        <f t="shared" ca="1" si="21"/>
        <v>17912 to 3512</v>
      </c>
      <c r="U178" s="23">
        <f t="shared" ca="1" si="17"/>
        <v>17912</v>
      </c>
      <c r="V178" s="23">
        <f t="shared" ca="1" si="18"/>
        <v>3512</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42" customHeight="1" x14ac:dyDescent="0.3">
      <c r="A179" s="102" t="s">
        <v>346</v>
      </c>
      <c r="B179" s="103"/>
      <c r="C179" s="103"/>
      <c r="D179" s="103"/>
      <c r="E179" s="103"/>
      <c r="F179" s="103"/>
      <c r="G179" s="103"/>
      <c r="H179" s="104"/>
      <c r="I179" s="76">
        <v>6</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customHeight="1" x14ac:dyDescent="0.3">
      <c r="A180" s="100">
        <v>1</v>
      </c>
      <c r="B180" s="100"/>
      <c r="C180" s="55" t="s">
        <v>89</v>
      </c>
      <c r="D180" s="55" t="s">
        <v>345</v>
      </c>
      <c r="E180" s="33">
        <f>(49.1)*10.764</f>
        <v>528.51239999999996</v>
      </c>
      <c r="F180" s="33">
        <f>(2.41)*10.764</f>
        <v>25.941240000000001</v>
      </c>
      <c r="G180" s="6">
        <v>0</v>
      </c>
      <c r="H180" s="6">
        <f>E180+F180+(IF(G180&lt;101,G180,IF(G180&lt;201,G180/2,IF(G180&lt;=301,G180/3,G180/4))))</f>
        <v>554.45363999999995</v>
      </c>
      <c r="I180" s="76"/>
      <c r="J180" s="1"/>
      <c r="K180" s="1"/>
      <c r="L180" s="1"/>
      <c r="M180" s="1"/>
      <c r="N180" s="1"/>
      <c r="O180" s="1"/>
      <c r="P180" s="1"/>
      <c r="Q180" s="1"/>
      <c r="R180" s="1"/>
      <c r="S180" s="1"/>
      <c r="T180" s="23" t="str">
        <f ca="1">U180&amp;""&amp;" to "&amp;""&amp;V180</f>
        <v>81301 to 3301</v>
      </c>
      <c r="U180" s="23">
        <f ca="1">(SUMPRODUCT(MID(0&amp;(LEFT(A179,SUM(LEN(A179)-LEN(SUBSTITUTE(A179,{"0","1","2","3"},""))))), LARGE(INDEX(ISNUMBER(--MID((LEFT(A179,SUM(LEN(A179)-LEN(SUBSTITUTE(A179,{"0","1","2","3"},""))))), ROW(INDIRECT("1:"&amp;LEN((LEFT(A179,SUM(LEN(A179)-LEN(SUBSTITUTE(A179,{"0","1","2","3"},"")))))))), 1)) * ROW(INDIRECT("1:"&amp;LEN((LEFT(A179,SUM(LEN(A179)-LEN(SUBSTITUTE(A179,{"0","1","2","3"},"")))))))), 0), ROW(INDIRECT("1:"&amp;LEN((LEFT(A179,SUM(LEN(A179)-LEN(SUBSTITUTE(A179,{"0","1","2","3"},"")))))))))+1, 1) * 10^ROW(INDIRECT("1:"&amp;LEN((LEFT(A179,SUM(LEN(A179)-LEN(SUBSTITUTE(A179,{"0","1","2","3"},""))))))))/10))*100+1</f>
        <v>81301</v>
      </c>
      <c r="V180" s="23">
        <f ca="1">(SUMPRODUCT(MID(0&amp;(--TRIM(RIGHT(SUBSTITUTE(LEFT(A179,_xlfn.AGGREGATE(16,6,FIND({0,1,2,3,4,5,6,7,8,9},A179,ROW(INDIRECT("1:"&amp;LEN(A179)))),1)),"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",LEN(A179))),LEN(A179)))))))/10))*100+1</f>
        <v>3301</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3">
      <c r="A181" s="100">
        <f>A180+1</f>
        <v>2</v>
      </c>
      <c r="B181" s="100"/>
      <c r="C181" s="55" t="s">
        <v>89</v>
      </c>
      <c r="D181" s="55" t="s">
        <v>345</v>
      </c>
      <c r="E181" s="33">
        <f>(49.3)*10.764</f>
        <v>530.66519999999991</v>
      </c>
      <c r="F181" s="33">
        <f>(2.41)*10.764</f>
        <v>25.941240000000001</v>
      </c>
      <c r="G181" s="6">
        <v>0</v>
      </c>
      <c r="H181" s="6">
        <f t="shared" ref="H181:H191" si="22">E181+F181+(IF(G181&lt;101,G181,IF(G181&lt;201,G181/2,IF(G181&lt;=301,G181/3,G181/4))))</f>
        <v>556.60643999999991</v>
      </c>
      <c r="I181" s="76"/>
      <c r="J181" s="1"/>
      <c r="K181" s="1"/>
      <c r="L181" s="1"/>
      <c r="M181" s="1"/>
      <c r="N181" s="1"/>
      <c r="O181" s="1"/>
      <c r="P181" s="1"/>
      <c r="Q181" s="1"/>
      <c r="R181" s="1"/>
      <c r="S181" s="1"/>
      <c r="T181" s="23" t="str">
        <f t="shared" ref="T181:T191" ca="1" si="23">U181&amp;""&amp;" to "&amp;""&amp;V181</f>
        <v>81302 to 3302</v>
      </c>
      <c r="U181" s="23">
        <f ca="1">U180+1</f>
        <v>81302</v>
      </c>
      <c r="V181" s="23">
        <f ca="1">V180+1</f>
        <v>3302</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customHeight="1" x14ac:dyDescent="0.3">
      <c r="A182" s="100">
        <f t="shared" ref="A182:A191" si="24">A181+1</f>
        <v>3</v>
      </c>
      <c r="B182" s="100"/>
      <c r="C182" s="55" t="s">
        <v>97</v>
      </c>
      <c r="D182" s="160" t="s">
        <v>341</v>
      </c>
      <c r="E182" s="161"/>
      <c r="F182" s="161"/>
      <c r="G182" s="161"/>
      <c r="H182" s="162"/>
      <c r="I182" s="76"/>
      <c r="J182" s="1"/>
      <c r="K182" s="1"/>
      <c r="L182" s="1"/>
      <c r="M182" s="1"/>
      <c r="N182" s="1"/>
      <c r="O182" s="1"/>
      <c r="P182" s="1"/>
      <c r="Q182" s="1"/>
      <c r="R182" s="1"/>
      <c r="S182" s="1"/>
      <c r="T182" s="23" t="str">
        <f t="shared" ca="1" si="23"/>
        <v>81303 to 3303</v>
      </c>
      <c r="U182" s="23">
        <f t="shared" ref="U182:V191" ca="1" si="25">U181+1</f>
        <v>81303</v>
      </c>
      <c r="V182" s="23">
        <f t="shared" ca="1" si="25"/>
        <v>3303</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customHeight="1" x14ac:dyDescent="0.3">
      <c r="A183" s="100">
        <f t="shared" si="24"/>
        <v>4</v>
      </c>
      <c r="B183" s="100"/>
      <c r="C183" s="55" t="s">
        <v>89</v>
      </c>
      <c r="D183" s="55" t="s">
        <v>345</v>
      </c>
      <c r="E183" s="33">
        <f>(49.24)*10.764</f>
        <v>530.01936000000001</v>
      </c>
      <c r="F183" s="33">
        <f>(2.88)*10.764</f>
        <v>31.000319999999999</v>
      </c>
      <c r="G183" s="6">
        <v>0</v>
      </c>
      <c r="H183" s="6">
        <f t="shared" si="22"/>
        <v>561.01967999999999</v>
      </c>
      <c r="I183" s="76"/>
      <c r="J183" s="1"/>
      <c r="K183" s="1"/>
      <c r="L183" s="1"/>
      <c r="M183" s="1"/>
      <c r="N183" s="1"/>
      <c r="O183" s="1"/>
      <c r="P183" s="1"/>
      <c r="Q183" s="1"/>
      <c r="R183" s="1"/>
      <c r="S183" s="1"/>
      <c r="T183" s="23" t="str">
        <f t="shared" ca="1" si="23"/>
        <v>81304 to 3304</v>
      </c>
      <c r="U183" s="23">
        <f t="shared" ca="1" si="25"/>
        <v>81304</v>
      </c>
      <c r="V183" s="23">
        <f t="shared" ca="1" si="25"/>
        <v>3304</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3">
      <c r="A184" s="100">
        <f t="shared" si="24"/>
        <v>5</v>
      </c>
      <c r="B184" s="100"/>
      <c r="C184" s="55" t="s">
        <v>89</v>
      </c>
      <c r="D184" s="55" t="s">
        <v>345</v>
      </c>
      <c r="E184" s="33">
        <f>(49.3)*10.764</f>
        <v>530.66519999999991</v>
      </c>
      <c r="F184" s="33">
        <f>(2.41)*10.764</f>
        <v>25.941240000000001</v>
      </c>
      <c r="G184" s="6">
        <v>0</v>
      </c>
      <c r="H184" s="6">
        <f t="shared" si="22"/>
        <v>556.60643999999991</v>
      </c>
      <c r="I184" s="76"/>
      <c r="J184" s="1"/>
      <c r="K184" s="1"/>
      <c r="L184" s="1"/>
      <c r="M184" s="1"/>
      <c r="N184" s="1"/>
      <c r="O184" s="1"/>
      <c r="P184" s="1"/>
      <c r="Q184" s="1"/>
      <c r="R184" s="1"/>
      <c r="S184" s="1"/>
      <c r="T184" s="23" t="str">
        <f t="shared" ca="1" si="23"/>
        <v>81305 to 3305</v>
      </c>
      <c r="U184" s="23">
        <f t="shared" ca="1" si="25"/>
        <v>81305</v>
      </c>
      <c r="V184" s="23">
        <f t="shared" ca="1" si="25"/>
        <v>3305</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3">
      <c r="A185" s="100">
        <f t="shared" si="24"/>
        <v>6</v>
      </c>
      <c r="B185" s="100"/>
      <c r="C185" s="55" t="s">
        <v>89</v>
      </c>
      <c r="D185" s="55" t="s">
        <v>345</v>
      </c>
      <c r="E185" s="33">
        <f>(49.1)*10.764</f>
        <v>528.51239999999996</v>
      </c>
      <c r="F185" s="33">
        <f>(2.41)*10.764</f>
        <v>25.941240000000001</v>
      </c>
      <c r="G185" s="6">
        <v>0</v>
      </c>
      <c r="H185" s="6">
        <f t="shared" si="22"/>
        <v>554.45363999999995</v>
      </c>
      <c r="I185" s="76"/>
      <c r="J185" s="1"/>
      <c r="K185" s="1"/>
      <c r="L185" s="1"/>
      <c r="M185" s="1"/>
      <c r="N185" s="1"/>
      <c r="O185" s="1"/>
      <c r="P185" s="1"/>
      <c r="Q185" s="1"/>
      <c r="R185" s="1"/>
      <c r="S185" s="1"/>
      <c r="T185" s="23" t="str">
        <f t="shared" ca="1" si="23"/>
        <v>81306 to 3306</v>
      </c>
      <c r="U185" s="23">
        <f t="shared" ca="1" si="25"/>
        <v>81306</v>
      </c>
      <c r="V185" s="23">
        <f t="shared" ca="1" si="25"/>
        <v>3306</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3">
      <c r="A186" s="100">
        <f t="shared" si="24"/>
        <v>7</v>
      </c>
      <c r="B186" s="100"/>
      <c r="C186" s="55" t="s">
        <v>89</v>
      </c>
      <c r="D186" s="55" t="s">
        <v>345</v>
      </c>
      <c r="E186" s="33">
        <f>(49.1)*10.764</f>
        <v>528.51239999999996</v>
      </c>
      <c r="F186" s="33">
        <f>(2.41)*10.764</f>
        <v>25.941240000000001</v>
      </c>
      <c r="G186" s="6">
        <v>0</v>
      </c>
      <c r="H186" s="6">
        <f t="shared" si="22"/>
        <v>554.45363999999995</v>
      </c>
      <c r="I186" s="76"/>
      <c r="J186" s="1"/>
      <c r="K186" s="1"/>
      <c r="L186" s="1"/>
      <c r="M186" s="1"/>
      <c r="N186" s="1"/>
      <c r="O186" s="1"/>
      <c r="P186" s="1"/>
      <c r="Q186" s="1"/>
      <c r="R186" s="1"/>
      <c r="S186" s="1"/>
      <c r="T186" s="23" t="str">
        <f t="shared" ca="1" si="23"/>
        <v>81307 to 3307</v>
      </c>
      <c r="U186" s="23">
        <f t="shared" ca="1" si="25"/>
        <v>81307</v>
      </c>
      <c r="V186" s="23">
        <f t="shared" ca="1" si="25"/>
        <v>3307</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3">
      <c r="A187" s="100">
        <f t="shared" si="24"/>
        <v>8</v>
      </c>
      <c r="B187" s="100"/>
      <c r="C187" s="55" t="s">
        <v>89</v>
      </c>
      <c r="D187" s="55" t="s">
        <v>345</v>
      </c>
      <c r="E187" s="33">
        <f>(49.3)*10.764</f>
        <v>530.66519999999991</v>
      </c>
      <c r="F187" s="33">
        <f>(2.41)*10.764</f>
        <v>25.941240000000001</v>
      </c>
      <c r="G187" s="6">
        <v>0</v>
      </c>
      <c r="H187" s="6">
        <f t="shared" si="22"/>
        <v>556.60643999999991</v>
      </c>
      <c r="I187" s="76"/>
      <c r="J187" s="1"/>
      <c r="K187" s="1">
        <v>7950000</v>
      </c>
      <c r="L187" s="1">
        <f>K187/H187</f>
        <v>14282.982424709282</v>
      </c>
      <c r="M187" s="1"/>
      <c r="N187" s="1"/>
      <c r="O187" s="1"/>
      <c r="P187" s="1"/>
      <c r="Q187" s="1"/>
      <c r="R187" s="1"/>
      <c r="S187" s="1"/>
      <c r="T187" s="23" t="str">
        <f t="shared" ca="1" si="23"/>
        <v>81308 to 3308</v>
      </c>
      <c r="U187" s="23">
        <f t="shared" ca="1" si="25"/>
        <v>81308</v>
      </c>
      <c r="V187" s="23">
        <f t="shared" ca="1" si="25"/>
        <v>3308</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3">
      <c r="A188" s="100">
        <f t="shared" si="24"/>
        <v>9</v>
      </c>
      <c r="B188" s="100"/>
      <c r="C188" s="55" t="s">
        <v>89</v>
      </c>
      <c r="D188" s="55" t="s">
        <v>345</v>
      </c>
      <c r="E188" s="33">
        <f>(49.24)*10.764</f>
        <v>530.01936000000001</v>
      </c>
      <c r="F188" s="33">
        <f>(2.88)*10.764</f>
        <v>31.000319999999999</v>
      </c>
      <c r="G188" s="6">
        <v>0</v>
      </c>
      <c r="H188" s="6">
        <f t="shared" si="22"/>
        <v>561.01967999999999</v>
      </c>
      <c r="I188" s="76"/>
      <c r="J188" s="1"/>
      <c r="K188" s="1"/>
      <c r="L188" s="1"/>
      <c r="M188" s="1"/>
      <c r="N188" s="1"/>
      <c r="O188" s="1"/>
      <c r="P188" s="1"/>
      <c r="Q188" s="1"/>
      <c r="R188" s="1"/>
      <c r="S188" s="1"/>
      <c r="T188" s="23" t="str">
        <f t="shared" ca="1" si="23"/>
        <v>81309 to 3309</v>
      </c>
      <c r="U188" s="23">
        <f t="shared" ca="1" si="25"/>
        <v>81309</v>
      </c>
      <c r="V188" s="23">
        <f t="shared" ca="1" si="25"/>
        <v>3309</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customHeight="1" x14ac:dyDescent="0.3">
      <c r="A189" s="100">
        <f t="shared" si="24"/>
        <v>10</v>
      </c>
      <c r="B189" s="100"/>
      <c r="C189" s="55" t="s">
        <v>89</v>
      </c>
      <c r="D189" s="55" t="s">
        <v>345</v>
      </c>
      <c r="E189" s="33">
        <f>(49.24)*10.764</f>
        <v>530.01936000000001</v>
      </c>
      <c r="F189" s="33">
        <f>(2.88)*10.764</f>
        <v>31.000319999999999</v>
      </c>
      <c r="G189" s="6">
        <v>0</v>
      </c>
      <c r="H189" s="6">
        <f t="shared" si="22"/>
        <v>561.01967999999999</v>
      </c>
      <c r="I189" s="76"/>
      <c r="J189" s="1"/>
      <c r="K189" s="1"/>
      <c r="L189" s="1"/>
      <c r="M189" s="1"/>
      <c r="N189" s="1"/>
      <c r="O189" s="1"/>
      <c r="P189" s="1"/>
      <c r="Q189" s="1"/>
      <c r="R189" s="1"/>
      <c r="S189" s="1"/>
      <c r="T189" s="23" t="str">
        <f t="shared" ca="1" si="23"/>
        <v>81310 to 3310</v>
      </c>
      <c r="U189" s="23">
        <f t="shared" ca="1" si="25"/>
        <v>81310</v>
      </c>
      <c r="V189" s="23">
        <f t="shared" ca="1" si="25"/>
        <v>3310</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customHeight="1" x14ac:dyDescent="0.3">
      <c r="A190" s="100">
        <f t="shared" si="24"/>
        <v>11</v>
      </c>
      <c r="B190" s="100"/>
      <c r="C190" s="55" t="s">
        <v>89</v>
      </c>
      <c r="D190" s="55" t="s">
        <v>345</v>
      </c>
      <c r="E190" s="33">
        <f>(49.3)*10.764</f>
        <v>530.66519999999991</v>
      </c>
      <c r="F190" s="33">
        <f>(2.41)*10.764</f>
        <v>25.941240000000001</v>
      </c>
      <c r="G190" s="6">
        <v>0</v>
      </c>
      <c r="H190" s="6">
        <f t="shared" si="22"/>
        <v>556.60643999999991</v>
      </c>
      <c r="I190" s="76"/>
      <c r="J190" s="1"/>
      <c r="K190" s="1"/>
      <c r="L190" s="1"/>
      <c r="M190" s="1"/>
      <c r="N190" s="1"/>
      <c r="O190" s="1"/>
      <c r="P190" s="1"/>
      <c r="Q190" s="1"/>
      <c r="R190" s="1"/>
      <c r="S190" s="1"/>
      <c r="T190" s="23" t="str">
        <f t="shared" ca="1" si="23"/>
        <v>81311 to 3311</v>
      </c>
      <c r="U190" s="23">
        <f t="shared" ca="1" si="25"/>
        <v>81311</v>
      </c>
      <c r="V190" s="23">
        <f t="shared" ca="1" si="25"/>
        <v>3311</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customHeight="1" x14ac:dyDescent="0.3">
      <c r="A191" s="100">
        <f t="shared" si="24"/>
        <v>12</v>
      </c>
      <c r="B191" s="100"/>
      <c r="C191" s="55" t="s">
        <v>89</v>
      </c>
      <c r="D191" s="55" t="s">
        <v>345</v>
      </c>
      <c r="E191" s="33">
        <f>(49.1)*10.764</f>
        <v>528.51239999999996</v>
      </c>
      <c r="F191" s="33">
        <f>(2.41)*10.764</f>
        <v>25.941240000000001</v>
      </c>
      <c r="G191" s="6">
        <v>0</v>
      </c>
      <c r="H191" s="6">
        <f t="shared" si="22"/>
        <v>554.45363999999995</v>
      </c>
      <c r="I191" s="76"/>
      <c r="J191" s="1"/>
      <c r="K191" s="1"/>
      <c r="L191" s="1"/>
      <c r="M191" s="1"/>
      <c r="N191" s="1"/>
      <c r="O191" s="1"/>
      <c r="P191" s="1"/>
      <c r="Q191" s="1"/>
      <c r="R191" s="1"/>
      <c r="S191" s="1"/>
      <c r="T191" s="23" t="str">
        <f t="shared" ca="1" si="23"/>
        <v>81312 to 3312</v>
      </c>
      <c r="U191" s="23">
        <f t="shared" ca="1" si="25"/>
        <v>81312</v>
      </c>
      <c r="V191" s="23">
        <f t="shared" ca="1" si="25"/>
        <v>3312</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42" customHeight="1" x14ac:dyDescent="0.3">
      <c r="A192" s="102" t="s">
        <v>348</v>
      </c>
      <c r="B192" s="103"/>
      <c r="C192" s="103"/>
      <c r="D192" s="103"/>
      <c r="E192" s="103"/>
      <c r="F192" s="103"/>
      <c r="G192" s="103"/>
      <c r="H192" s="104"/>
      <c r="I192" s="76">
        <v>1</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customHeight="1" x14ac:dyDescent="0.3">
      <c r="A193" s="100">
        <v>1</v>
      </c>
      <c r="B193" s="100"/>
      <c r="C193" s="55" t="s">
        <v>97</v>
      </c>
      <c r="D193" s="163" t="s">
        <v>349</v>
      </c>
      <c r="E193" s="164"/>
      <c r="F193" s="164"/>
      <c r="G193" s="164"/>
      <c r="H193" s="165"/>
      <c r="I193" s="1"/>
      <c r="J193" s="1"/>
      <c r="K193" s="1"/>
      <c r="L193" s="1"/>
      <c r="M193" s="1"/>
      <c r="N193" s="1"/>
      <c r="O193" s="1"/>
      <c r="P193" s="1"/>
      <c r="Q193" s="1"/>
      <c r="R193" s="1"/>
      <c r="S193" s="1"/>
      <c r="T193" s="23" t="str">
        <f ca="1">U193&amp;""&amp;" to "&amp;""&amp;V193</f>
        <v>301 to 3601</v>
      </c>
      <c r="U193" s="23">
        <f ca="1">(SUMPRODUCT(MID(0&amp;(LEFT(A192,SUM(LEN(A192)-LEN(SUBSTITUTE(A192,{"0","1","2","3"},""))))), LARGE(INDEX(ISNUMBER(--MID((LEFT(A192,SUM(LEN(A192)-LEN(SUBSTITUTE(A192,{"0","1","2","3"},""))))), ROW(INDIRECT("1:"&amp;LEN((LEFT(A192,SUM(LEN(A192)-LEN(SUBSTITUTE(A192,{"0","1","2","3"},"")))))))), 1)) * ROW(INDIRECT("1:"&amp;LEN((LEFT(A192,SUM(LEN(A192)-LEN(SUBSTITUTE(A192,{"0","1","2","3"},"")))))))), 0), ROW(INDIRECT("1:"&amp;LEN((LEFT(A192,SUM(LEN(A192)-LEN(SUBSTITUTE(A192,{"0","1","2","3"},"")))))))))+1, 1) * 10^ROW(INDIRECT("1:"&amp;LEN((LEFT(A192,SUM(LEN(A192)-LEN(SUBSTITUTE(A192,{"0","1","2","3"},""))))))))/10))*100+1</f>
        <v>301</v>
      </c>
      <c r="V193" s="23">
        <f ca="1">(SUMPRODUCT(MID(0&amp;(--TRIM(RIGHT(SUBSTITUTE(LEFT(A192,_xlfn.AGGREGATE(16,6,FIND({0,1,2,3,4,5,6,7,8,9},A192,ROW(INDIRECT("1:"&amp;LEN(A192)))),1)),"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",LEN(A192))),LEN(A192)))))))/10))*100+1</f>
        <v>3601</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customHeight="1" x14ac:dyDescent="0.3">
      <c r="A194" s="100">
        <f>A193+1</f>
        <v>2</v>
      </c>
      <c r="B194" s="100"/>
      <c r="C194" s="55" t="s">
        <v>97</v>
      </c>
      <c r="D194" s="166"/>
      <c r="E194" s="167"/>
      <c r="F194" s="167"/>
      <c r="G194" s="167"/>
      <c r="H194" s="168"/>
      <c r="I194" s="1"/>
      <c r="J194" s="1"/>
      <c r="K194" s="1"/>
      <c r="L194" s="1"/>
      <c r="M194" s="1"/>
      <c r="N194" s="1"/>
      <c r="O194" s="1"/>
      <c r="P194" s="1"/>
      <c r="Q194" s="1"/>
      <c r="R194" s="1"/>
      <c r="S194" s="1"/>
      <c r="T194" s="23" t="str">
        <f t="shared" ref="T194:T204" ca="1" si="26">U194&amp;""&amp;" to "&amp;""&amp;V194</f>
        <v>302 to 3602</v>
      </c>
      <c r="U194" s="23">
        <f ca="1">U193+1</f>
        <v>302</v>
      </c>
      <c r="V194" s="23">
        <f ca="1">V193+1</f>
        <v>3602</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3">
      <c r="A195" s="100">
        <f t="shared" ref="A195:A204" si="27">A194+1</f>
        <v>3</v>
      </c>
      <c r="B195" s="100"/>
      <c r="C195" s="55" t="s">
        <v>97</v>
      </c>
      <c r="D195" s="166"/>
      <c r="E195" s="167"/>
      <c r="F195" s="167"/>
      <c r="G195" s="167"/>
      <c r="H195" s="168"/>
      <c r="I195" s="1"/>
      <c r="J195" s="1"/>
      <c r="K195" s="1"/>
      <c r="L195" s="1"/>
      <c r="M195" s="1"/>
      <c r="N195" s="1"/>
      <c r="O195" s="1"/>
      <c r="P195" s="1"/>
      <c r="Q195" s="1"/>
      <c r="R195" s="1"/>
      <c r="S195" s="1"/>
      <c r="T195" s="23" t="str">
        <f t="shared" ca="1" si="26"/>
        <v>303 to 3603</v>
      </c>
      <c r="U195" s="23">
        <f t="shared" ref="U195:V204" ca="1" si="28">U194+1</f>
        <v>303</v>
      </c>
      <c r="V195" s="23">
        <f t="shared" ca="1" si="28"/>
        <v>3603</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3">
      <c r="A196" s="100">
        <f t="shared" si="27"/>
        <v>4</v>
      </c>
      <c r="B196" s="100"/>
      <c r="C196" s="55" t="s">
        <v>97</v>
      </c>
      <c r="D196" s="166"/>
      <c r="E196" s="167"/>
      <c r="F196" s="167"/>
      <c r="G196" s="167"/>
      <c r="H196" s="168"/>
      <c r="I196" s="1"/>
      <c r="J196" s="1"/>
      <c r="K196" s="1"/>
      <c r="L196" s="1"/>
      <c r="M196" s="1"/>
      <c r="N196" s="1"/>
      <c r="O196" s="1"/>
      <c r="P196" s="1"/>
      <c r="Q196" s="1"/>
      <c r="R196" s="1"/>
      <c r="S196" s="1"/>
      <c r="T196" s="23" t="str">
        <f t="shared" ca="1" si="26"/>
        <v>304 to 3604</v>
      </c>
      <c r="U196" s="23">
        <f t="shared" ca="1" si="28"/>
        <v>304</v>
      </c>
      <c r="V196" s="23">
        <f t="shared" ca="1" si="28"/>
        <v>3604</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3">
      <c r="A197" s="100">
        <f t="shared" si="27"/>
        <v>5</v>
      </c>
      <c r="B197" s="100"/>
      <c r="C197" s="55" t="s">
        <v>97</v>
      </c>
      <c r="D197" s="166"/>
      <c r="E197" s="167"/>
      <c r="F197" s="167"/>
      <c r="G197" s="167"/>
      <c r="H197" s="168"/>
      <c r="I197" s="1"/>
      <c r="J197" s="1"/>
      <c r="K197" s="1"/>
      <c r="L197" s="1"/>
      <c r="M197" s="1"/>
      <c r="N197" s="1"/>
      <c r="O197" s="1"/>
      <c r="P197" s="1"/>
      <c r="Q197" s="1"/>
      <c r="R197" s="1"/>
      <c r="S197" s="1"/>
      <c r="T197" s="23" t="str">
        <f t="shared" ca="1" si="26"/>
        <v>305 to 3605</v>
      </c>
      <c r="U197" s="23">
        <f t="shared" ca="1" si="28"/>
        <v>305</v>
      </c>
      <c r="V197" s="23">
        <f t="shared" ca="1" si="28"/>
        <v>3605</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3">
      <c r="A198" s="100">
        <f t="shared" si="27"/>
        <v>6</v>
      </c>
      <c r="B198" s="100"/>
      <c r="C198" s="55" t="s">
        <v>97</v>
      </c>
      <c r="D198" s="169"/>
      <c r="E198" s="170"/>
      <c r="F198" s="170"/>
      <c r="G198" s="170"/>
      <c r="H198" s="171"/>
      <c r="I198" s="1"/>
      <c r="J198" s="1"/>
      <c r="K198" s="1"/>
      <c r="L198" s="1"/>
      <c r="M198" s="1"/>
      <c r="N198" s="1"/>
      <c r="O198" s="1"/>
      <c r="P198" s="1"/>
      <c r="Q198" s="1"/>
      <c r="R198" s="1"/>
      <c r="S198" s="1"/>
      <c r="T198" s="23" t="str">
        <f t="shared" ca="1" si="26"/>
        <v>306 to 3606</v>
      </c>
      <c r="U198" s="23">
        <f t="shared" ca="1" si="28"/>
        <v>306</v>
      </c>
      <c r="V198" s="23">
        <f t="shared" ca="1" si="28"/>
        <v>3606</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3">
      <c r="A199" s="100">
        <f t="shared" si="27"/>
        <v>7</v>
      </c>
      <c r="B199" s="100"/>
      <c r="C199" s="55" t="s">
        <v>89</v>
      </c>
      <c r="D199" s="55" t="s">
        <v>345</v>
      </c>
      <c r="E199" s="33">
        <f>(49.1)*10.764</f>
        <v>528.51239999999996</v>
      </c>
      <c r="F199" s="33">
        <f>(2.41)*10.764</f>
        <v>25.941240000000001</v>
      </c>
      <c r="G199" s="6">
        <v>0</v>
      </c>
      <c r="H199" s="6">
        <f t="shared" ref="H199:H204" si="29">E199+F199+(IF(G199&lt;101,G199,IF(G199&lt;201,G199/2,IF(G199&lt;=301,G199/3,G199/4))))</f>
        <v>554.45363999999995</v>
      </c>
      <c r="I199" s="1"/>
      <c r="J199" s="1"/>
      <c r="K199" s="1"/>
      <c r="L199" s="1"/>
      <c r="M199" s="1"/>
      <c r="N199" s="1"/>
      <c r="O199" s="1"/>
      <c r="P199" s="1"/>
      <c r="Q199" s="1"/>
      <c r="R199" s="1"/>
      <c r="S199" s="1"/>
      <c r="T199" s="23" t="str">
        <f t="shared" ca="1" si="26"/>
        <v>307 to 3607</v>
      </c>
      <c r="U199" s="23">
        <f t="shared" ca="1" si="28"/>
        <v>307</v>
      </c>
      <c r="V199" s="23">
        <f t="shared" ca="1" si="28"/>
        <v>3607</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customHeight="1" x14ac:dyDescent="0.3">
      <c r="A200" s="100">
        <f t="shared" si="27"/>
        <v>8</v>
      </c>
      <c r="B200" s="100"/>
      <c r="C200" s="55" t="s">
        <v>89</v>
      </c>
      <c r="D200" s="55" t="s">
        <v>345</v>
      </c>
      <c r="E200" s="33">
        <f>(49.3)*10.764</f>
        <v>530.66519999999991</v>
      </c>
      <c r="F200" s="33">
        <f>(2.41)*10.764</f>
        <v>25.941240000000001</v>
      </c>
      <c r="G200" s="6">
        <v>0</v>
      </c>
      <c r="H200" s="6">
        <f t="shared" si="29"/>
        <v>556.60643999999991</v>
      </c>
      <c r="I200" s="1"/>
      <c r="J200" s="1"/>
      <c r="K200" s="1"/>
      <c r="L200" s="1"/>
      <c r="M200" s="1"/>
      <c r="N200" s="1"/>
      <c r="O200" s="1"/>
      <c r="P200" s="1"/>
      <c r="Q200" s="1"/>
      <c r="R200" s="1"/>
      <c r="S200" s="1"/>
      <c r="T200" s="23" t="str">
        <f t="shared" ca="1" si="26"/>
        <v>308 to 3608</v>
      </c>
      <c r="U200" s="23">
        <f t="shared" ca="1" si="28"/>
        <v>308</v>
      </c>
      <c r="V200" s="23">
        <f t="shared" ca="1" si="28"/>
        <v>3608</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3">
      <c r="A201" s="100">
        <f t="shared" si="27"/>
        <v>9</v>
      </c>
      <c r="B201" s="100"/>
      <c r="C201" s="55" t="s">
        <v>89</v>
      </c>
      <c r="D201" s="55" t="s">
        <v>345</v>
      </c>
      <c r="E201" s="33">
        <f>(49.24)*10.764</f>
        <v>530.01936000000001</v>
      </c>
      <c r="F201" s="33">
        <f>(2.88)*10.764</f>
        <v>31.000319999999999</v>
      </c>
      <c r="G201" s="6">
        <v>0</v>
      </c>
      <c r="H201" s="6">
        <f t="shared" si="29"/>
        <v>561.01967999999999</v>
      </c>
      <c r="I201" s="1"/>
      <c r="J201" s="1"/>
      <c r="K201" s="1"/>
      <c r="L201" s="1"/>
      <c r="M201" s="1"/>
      <c r="N201" s="1"/>
      <c r="O201" s="1"/>
      <c r="P201" s="1"/>
      <c r="Q201" s="1"/>
      <c r="R201" s="1"/>
      <c r="S201" s="1"/>
      <c r="T201" s="23" t="str">
        <f t="shared" ca="1" si="26"/>
        <v>309 to 3609</v>
      </c>
      <c r="U201" s="23">
        <f t="shared" ca="1" si="28"/>
        <v>309</v>
      </c>
      <c r="V201" s="23">
        <f t="shared" ca="1" si="28"/>
        <v>3609</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3">
      <c r="A202" s="100">
        <f t="shared" si="27"/>
        <v>10</v>
      </c>
      <c r="B202" s="100"/>
      <c r="C202" s="55" t="s">
        <v>89</v>
      </c>
      <c r="D202" s="55" t="s">
        <v>345</v>
      </c>
      <c r="E202" s="33">
        <f>(49.24)*10.764</f>
        <v>530.01936000000001</v>
      </c>
      <c r="F202" s="33">
        <f>(2.88)*10.764</f>
        <v>31.000319999999999</v>
      </c>
      <c r="G202" s="6">
        <v>0</v>
      </c>
      <c r="H202" s="6">
        <f t="shared" si="29"/>
        <v>561.01967999999999</v>
      </c>
      <c r="I202" s="1"/>
      <c r="J202" s="1"/>
      <c r="K202" s="1"/>
      <c r="L202" s="1"/>
      <c r="M202" s="1"/>
      <c r="N202" s="1"/>
      <c r="O202" s="1"/>
      <c r="P202" s="1"/>
      <c r="Q202" s="1"/>
      <c r="R202" s="1"/>
      <c r="S202" s="1"/>
      <c r="T202" s="23" t="str">
        <f t="shared" ca="1" si="26"/>
        <v>310 to 3610</v>
      </c>
      <c r="U202" s="23">
        <f t="shared" ca="1" si="28"/>
        <v>310</v>
      </c>
      <c r="V202" s="23">
        <f t="shared" ca="1" si="28"/>
        <v>3610</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3">
      <c r="A203" s="100">
        <f t="shared" si="27"/>
        <v>11</v>
      </c>
      <c r="B203" s="100"/>
      <c r="C203" s="55" t="s">
        <v>89</v>
      </c>
      <c r="D203" s="55" t="s">
        <v>345</v>
      </c>
      <c r="E203" s="33">
        <f>(49.3)*10.764</f>
        <v>530.66519999999991</v>
      </c>
      <c r="F203" s="33">
        <f>(2.41)*10.764</f>
        <v>25.941240000000001</v>
      </c>
      <c r="G203" s="6">
        <v>0</v>
      </c>
      <c r="H203" s="6">
        <f t="shared" si="29"/>
        <v>556.60643999999991</v>
      </c>
      <c r="I203" s="1"/>
      <c r="J203" s="1"/>
      <c r="K203" s="1"/>
      <c r="L203" s="1"/>
      <c r="M203" s="1"/>
      <c r="N203" s="1"/>
      <c r="O203" s="1"/>
      <c r="P203" s="1"/>
      <c r="Q203" s="1"/>
      <c r="R203" s="1"/>
      <c r="S203" s="1"/>
      <c r="T203" s="23" t="str">
        <f t="shared" ca="1" si="26"/>
        <v>311 to 3611</v>
      </c>
      <c r="U203" s="23">
        <f t="shared" ca="1" si="28"/>
        <v>311</v>
      </c>
      <c r="V203" s="23">
        <f t="shared" ca="1" si="28"/>
        <v>3611</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3">
      <c r="A204" s="100">
        <f t="shared" si="27"/>
        <v>12</v>
      </c>
      <c r="B204" s="100"/>
      <c r="C204" s="55" t="s">
        <v>89</v>
      </c>
      <c r="D204" s="55" t="s">
        <v>345</v>
      </c>
      <c r="E204" s="33">
        <f>(49.1)*10.764</f>
        <v>528.51239999999996</v>
      </c>
      <c r="F204" s="33">
        <f>(2.41)*10.764</f>
        <v>25.941240000000001</v>
      </c>
      <c r="G204" s="6">
        <v>0</v>
      </c>
      <c r="H204" s="6">
        <f t="shared" si="29"/>
        <v>554.45363999999995</v>
      </c>
      <c r="I204" s="1"/>
      <c r="J204" s="1"/>
      <c r="K204" s="1"/>
      <c r="L204" s="1"/>
      <c r="M204" s="1"/>
      <c r="N204" s="1"/>
      <c r="O204" s="1"/>
      <c r="P204" s="1"/>
      <c r="Q204" s="1"/>
      <c r="R204" s="1"/>
      <c r="S204" s="1"/>
      <c r="T204" s="23" t="str">
        <f t="shared" ca="1" si="26"/>
        <v>312 to 3612</v>
      </c>
      <c r="U204" s="23">
        <f t="shared" ca="1" si="28"/>
        <v>312</v>
      </c>
      <c r="V204" s="23">
        <f t="shared" ca="1" si="28"/>
        <v>3612</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ht="21" x14ac:dyDescent="0.3">
      <c r="A205" s="101" t="s">
        <v>70</v>
      </c>
      <c r="B205" s="101"/>
      <c r="C205" s="101"/>
      <c r="D205" s="101"/>
      <c r="E205" s="101"/>
      <c r="F205" s="101"/>
      <c r="G205" s="101"/>
      <c r="H205" s="101"/>
    </row>
    <row r="206" spans="1:150 16226:16383" ht="21" x14ac:dyDescent="0.3">
      <c r="A206" s="2" t="s">
        <v>236</v>
      </c>
      <c r="B206" s="97" t="s">
        <v>237</v>
      </c>
      <c r="C206" s="98"/>
      <c r="D206" s="98"/>
      <c r="E206" s="98"/>
      <c r="F206" s="98"/>
      <c r="G206" s="98"/>
      <c r="H206" s="99"/>
    </row>
    <row r="207" spans="1:150 16226:16383" ht="21" x14ac:dyDescent="0.3">
      <c r="A207" s="2" t="s">
        <v>236</v>
      </c>
      <c r="B207" s="97" t="s">
        <v>238</v>
      </c>
      <c r="C207" s="98"/>
      <c r="D207" s="98"/>
      <c r="E207" s="98"/>
      <c r="F207" s="98"/>
      <c r="G207" s="98"/>
      <c r="H207" s="99"/>
    </row>
    <row r="208" spans="1:150 16226:16383" ht="21" x14ac:dyDescent="0.3">
      <c r="A208" s="2" t="s">
        <v>236</v>
      </c>
      <c r="B208" s="97" t="s">
        <v>358</v>
      </c>
      <c r="C208" s="98"/>
      <c r="D208" s="98"/>
      <c r="E208" s="98"/>
      <c r="F208" s="98"/>
      <c r="G208" s="98"/>
      <c r="H208" s="99"/>
    </row>
    <row r="209" spans="1:8" ht="21" x14ac:dyDescent="0.3">
      <c r="A209" s="2" t="s">
        <v>236</v>
      </c>
      <c r="B209" s="97" t="s">
        <v>239</v>
      </c>
      <c r="C209" s="98"/>
      <c r="D209" s="98"/>
      <c r="E209" s="98"/>
      <c r="F209" s="98"/>
      <c r="G209" s="98"/>
      <c r="H209" s="99"/>
    </row>
    <row r="210" spans="1:8" ht="21" x14ac:dyDescent="0.3">
      <c r="A210" s="2" t="s">
        <v>236</v>
      </c>
      <c r="B210" s="97" t="s">
        <v>240</v>
      </c>
      <c r="C210" s="98"/>
      <c r="D210" s="98"/>
      <c r="E210" s="98"/>
      <c r="F210" s="98"/>
      <c r="G210" s="98"/>
      <c r="H210" s="99"/>
    </row>
    <row r="211" spans="1:8" ht="21" x14ac:dyDescent="0.3">
      <c r="A211" s="2" t="s">
        <v>236</v>
      </c>
      <c r="B211" s="97" t="s">
        <v>351</v>
      </c>
      <c r="C211" s="98"/>
      <c r="D211" s="98"/>
      <c r="E211" s="98"/>
      <c r="F211" s="98"/>
      <c r="G211" s="98"/>
      <c r="H211" s="99"/>
    </row>
    <row r="212" spans="1:8" ht="21" x14ac:dyDescent="0.3">
      <c r="A212" s="112" t="s">
        <v>76</v>
      </c>
      <c r="B212" s="112"/>
      <c r="C212" s="112"/>
      <c r="D212" s="112"/>
      <c r="E212" s="112"/>
      <c r="F212" s="112"/>
      <c r="G212" s="112"/>
      <c r="H212" s="112"/>
    </row>
    <row r="213" spans="1:8" ht="21" x14ac:dyDescent="0.3">
      <c r="A213" s="78" t="s">
        <v>71</v>
      </c>
      <c r="B213" s="78"/>
      <c r="C213" s="78"/>
      <c r="D213" s="97" t="str">
        <f>C3</f>
        <v>Green Square phase II Tower 1 And 3</v>
      </c>
      <c r="E213" s="98"/>
      <c r="F213" s="98"/>
      <c r="G213" s="98"/>
      <c r="H213" s="99"/>
    </row>
    <row r="214" spans="1:8" ht="40.5" customHeight="1" x14ac:dyDescent="0.3">
      <c r="A214" s="78" t="s">
        <v>106</v>
      </c>
      <c r="B214" s="78"/>
      <c r="C214" s="78"/>
      <c r="D214" s="97" t="str">
        <f>C11</f>
        <v>Green Square phase II Tower 1 And 3, S. No 166/31, 168, 169/4/D, 170/4/A, Near 
Saptgiri Chs, Sanghvi Hills, Ghodbunder Road, Kavesar, Thane, Thane 400607</v>
      </c>
      <c r="E214" s="98"/>
      <c r="F214" s="98"/>
      <c r="G214" s="98"/>
      <c r="H214" s="99"/>
    </row>
    <row r="215" spans="1:8" ht="20.25" customHeight="1" x14ac:dyDescent="0.3">
      <c r="A215" s="125" t="s">
        <v>112</v>
      </c>
      <c r="B215" s="125"/>
      <c r="C215" s="125"/>
      <c r="D215" s="97" t="str">
        <f>G3</f>
        <v>10/09/2025 @ 12:20PM</v>
      </c>
      <c r="E215" s="98"/>
      <c r="F215" s="98"/>
      <c r="G215" s="98"/>
      <c r="H215" s="99"/>
    </row>
    <row r="216" spans="1:8" ht="21" x14ac:dyDescent="0.3">
      <c r="A216" s="10"/>
      <c r="B216" s="11"/>
      <c r="C216" s="11"/>
      <c r="D216" s="11"/>
      <c r="E216" s="11"/>
      <c r="F216" s="11"/>
      <c r="G216" s="11"/>
      <c r="H216" s="7"/>
    </row>
    <row r="217" spans="1:8" ht="21" x14ac:dyDescent="0.3">
      <c r="A217" s="12"/>
      <c r="B217" s="13"/>
      <c r="C217" s="13"/>
      <c r="D217" s="13"/>
      <c r="E217" s="13"/>
      <c r="F217" s="13"/>
      <c r="G217" s="13"/>
      <c r="H217" s="8"/>
    </row>
    <row r="218" spans="1:8" ht="21" x14ac:dyDescent="0.3">
      <c r="A218" s="12"/>
      <c r="B218" s="13"/>
      <c r="C218" s="13"/>
      <c r="D218" s="13"/>
      <c r="E218" s="13"/>
      <c r="F218" s="13"/>
      <c r="G218" s="13"/>
      <c r="H218" s="8"/>
    </row>
    <row r="219" spans="1:8" ht="21" x14ac:dyDescent="0.3">
      <c r="A219" s="12"/>
      <c r="B219" s="13"/>
      <c r="C219" s="13"/>
      <c r="D219" s="13"/>
      <c r="E219" s="13"/>
      <c r="F219" s="13"/>
      <c r="G219" s="13"/>
      <c r="H219" s="8"/>
    </row>
    <row r="220" spans="1:8" ht="21" x14ac:dyDescent="0.3">
      <c r="A220" s="12"/>
      <c r="B220" s="13"/>
      <c r="C220" s="13"/>
      <c r="D220" s="13"/>
      <c r="E220" s="13"/>
      <c r="F220" s="13"/>
      <c r="G220" s="13"/>
      <c r="H220" s="8"/>
    </row>
    <row r="221" spans="1:8" ht="21" x14ac:dyDescent="0.3">
      <c r="A221" s="12"/>
      <c r="B221" s="13"/>
      <c r="C221" s="13"/>
      <c r="D221" s="13"/>
      <c r="E221" s="13"/>
      <c r="F221" s="13"/>
      <c r="G221" s="13"/>
      <c r="H221" s="8"/>
    </row>
    <row r="222" spans="1:8" ht="21" x14ac:dyDescent="0.3">
      <c r="A222" s="12"/>
      <c r="B222" s="13"/>
      <c r="C222" s="13"/>
      <c r="D222" s="13"/>
      <c r="E222" s="13"/>
      <c r="F222" s="13"/>
      <c r="G222" s="13"/>
      <c r="H222" s="8"/>
    </row>
    <row r="223" spans="1:8" ht="21" x14ac:dyDescent="0.3">
      <c r="A223" s="12"/>
      <c r="B223" s="13"/>
      <c r="C223" s="13"/>
      <c r="D223" s="13"/>
      <c r="E223" s="13"/>
      <c r="F223" s="13"/>
      <c r="G223" s="13"/>
      <c r="H223" s="8"/>
    </row>
    <row r="224" spans="1:8" ht="21" x14ac:dyDescent="0.3">
      <c r="A224" s="12"/>
      <c r="B224" s="13"/>
      <c r="C224" s="13"/>
      <c r="D224" s="13"/>
      <c r="E224" s="13"/>
      <c r="F224" s="13"/>
      <c r="G224" s="13"/>
      <c r="H224" s="8"/>
    </row>
    <row r="225" spans="1:8" ht="21" x14ac:dyDescent="0.3">
      <c r="A225" s="12"/>
      <c r="B225" s="13"/>
      <c r="C225" s="13"/>
      <c r="D225" s="13"/>
      <c r="E225" s="13"/>
      <c r="F225" s="13"/>
      <c r="G225" s="13"/>
      <c r="H225" s="8"/>
    </row>
    <row r="226" spans="1:8" ht="21" x14ac:dyDescent="0.3">
      <c r="A226" s="12"/>
      <c r="B226" s="13"/>
      <c r="C226" s="13"/>
      <c r="D226" s="13"/>
      <c r="E226" s="13"/>
      <c r="F226" s="13"/>
      <c r="G226" s="13"/>
      <c r="H226" s="8"/>
    </row>
    <row r="227" spans="1:8" ht="21" x14ac:dyDescent="0.3">
      <c r="A227" s="12"/>
      <c r="B227" s="13"/>
      <c r="C227" s="13"/>
      <c r="D227" s="13"/>
      <c r="E227" s="13"/>
      <c r="F227" s="13"/>
      <c r="G227" s="13"/>
      <c r="H227" s="8"/>
    </row>
    <row r="228" spans="1:8" ht="21" x14ac:dyDescent="0.3">
      <c r="A228" s="12"/>
      <c r="B228" s="13"/>
      <c r="C228" s="13"/>
      <c r="D228" s="13"/>
      <c r="E228" s="13"/>
      <c r="F228" s="13"/>
      <c r="G228" s="13"/>
      <c r="H228" s="8"/>
    </row>
    <row r="229" spans="1:8" ht="21" x14ac:dyDescent="0.3">
      <c r="A229" s="12"/>
      <c r="B229" s="13"/>
      <c r="C229" s="13"/>
      <c r="D229" s="13"/>
      <c r="E229" s="13"/>
      <c r="F229" s="13"/>
      <c r="G229" s="13"/>
      <c r="H229" s="8"/>
    </row>
    <row r="230" spans="1:8" ht="21" x14ac:dyDescent="0.3">
      <c r="A230" s="12"/>
      <c r="B230" s="13"/>
      <c r="C230" s="13"/>
      <c r="D230" s="13"/>
      <c r="E230" s="13"/>
      <c r="F230" s="13"/>
      <c r="G230" s="13"/>
      <c r="H230" s="8"/>
    </row>
    <row r="231" spans="1:8" ht="21" x14ac:dyDescent="0.3">
      <c r="A231" s="12"/>
      <c r="B231" s="13"/>
      <c r="C231" s="13"/>
      <c r="D231" s="13"/>
      <c r="E231" s="13"/>
      <c r="F231" s="13"/>
      <c r="G231" s="13"/>
      <c r="H231" s="8"/>
    </row>
    <row r="232" spans="1:8" ht="21" x14ac:dyDescent="0.3">
      <c r="A232" s="12"/>
      <c r="B232" s="13"/>
      <c r="C232" s="13"/>
      <c r="D232" s="13"/>
      <c r="E232" s="13"/>
      <c r="F232" s="13"/>
      <c r="G232" s="13"/>
      <c r="H232" s="8"/>
    </row>
    <row r="233" spans="1:8" ht="21" x14ac:dyDescent="0.3">
      <c r="A233" s="12"/>
      <c r="B233" s="13"/>
      <c r="C233" s="13"/>
      <c r="D233" s="13"/>
      <c r="E233" s="13"/>
      <c r="F233" s="13"/>
      <c r="G233" s="13"/>
      <c r="H233" s="8"/>
    </row>
    <row r="234" spans="1:8" ht="21" x14ac:dyDescent="0.3">
      <c r="A234" s="12"/>
      <c r="B234" s="13"/>
      <c r="C234" s="13"/>
      <c r="D234" s="13"/>
      <c r="E234" s="13"/>
      <c r="F234" s="13"/>
      <c r="G234" s="13"/>
      <c r="H234" s="8"/>
    </row>
    <row r="235" spans="1:8" ht="21" x14ac:dyDescent="0.3">
      <c r="A235" s="12"/>
      <c r="B235" s="13"/>
      <c r="C235" s="13"/>
      <c r="D235" s="13"/>
      <c r="E235" s="13"/>
      <c r="F235" s="13"/>
      <c r="G235" s="13"/>
      <c r="H235" s="8"/>
    </row>
    <row r="236" spans="1:8" ht="21" x14ac:dyDescent="0.3">
      <c r="A236" s="12"/>
      <c r="B236" s="13"/>
      <c r="C236" s="13"/>
      <c r="D236" s="13"/>
      <c r="E236" s="13"/>
      <c r="F236" s="13"/>
      <c r="G236" s="13"/>
      <c r="H236" s="8"/>
    </row>
    <row r="237" spans="1:8" ht="21" x14ac:dyDescent="0.3">
      <c r="A237" s="12"/>
      <c r="B237" s="13"/>
      <c r="C237" s="13"/>
      <c r="D237" s="13"/>
      <c r="E237" s="13"/>
      <c r="F237" s="13"/>
      <c r="G237" s="13"/>
      <c r="H237" s="8"/>
    </row>
    <row r="238" spans="1:8" ht="21" x14ac:dyDescent="0.3">
      <c r="A238" s="12"/>
      <c r="B238" s="13"/>
      <c r="C238" s="13"/>
      <c r="D238" s="13"/>
      <c r="E238" s="13"/>
      <c r="F238" s="13"/>
      <c r="G238" s="13"/>
      <c r="H238" s="8"/>
    </row>
    <row r="239" spans="1:8" ht="21" x14ac:dyDescent="0.3">
      <c r="A239" s="12"/>
      <c r="B239" s="13"/>
      <c r="C239" s="13"/>
      <c r="D239" s="13"/>
      <c r="E239" s="13"/>
      <c r="F239" s="13"/>
      <c r="G239" s="13"/>
      <c r="H239" s="8"/>
    </row>
    <row r="240" spans="1:8" ht="21" x14ac:dyDescent="0.3">
      <c r="A240" s="12"/>
      <c r="B240" s="13"/>
      <c r="C240" s="13"/>
      <c r="D240" s="13"/>
      <c r="E240" s="13"/>
      <c r="F240" s="13"/>
      <c r="G240" s="13"/>
      <c r="H240" s="8"/>
    </row>
    <row r="241" spans="1:8" ht="21" x14ac:dyDescent="0.3">
      <c r="A241" s="12"/>
      <c r="B241" s="13"/>
      <c r="C241" s="13"/>
      <c r="D241" s="13"/>
      <c r="E241" s="13"/>
      <c r="F241" s="13"/>
      <c r="G241" s="13"/>
      <c r="H241" s="8"/>
    </row>
    <row r="242" spans="1:8" ht="21" x14ac:dyDescent="0.3">
      <c r="A242" s="12"/>
      <c r="B242" s="13"/>
      <c r="C242" s="13"/>
      <c r="D242" s="13"/>
      <c r="E242" s="13"/>
      <c r="F242" s="13"/>
      <c r="G242" s="13"/>
      <c r="H242" s="8"/>
    </row>
    <row r="243" spans="1:8" ht="21" x14ac:dyDescent="0.3">
      <c r="A243" s="12"/>
      <c r="B243" s="13"/>
      <c r="C243" s="13"/>
      <c r="D243" s="13"/>
      <c r="E243" s="13"/>
      <c r="F243" s="13"/>
      <c r="G243" s="13"/>
      <c r="H243" s="8"/>
    </row>
    <row r="244" spans="1:8" ht="21" x14ac:dyDescent="0.3">
      <c r="A244" s="12"/>
      <c r="B244" s="13"/>
      <c r="C244" s="13"/>
      <c r="D244" s="13"/>
      <c r="E244" s="13"/>
      <c r="F244" s="13"/>
      <c r="G244" s="13"/>
      <c r="H244" s="8"/>
    </row>
    <row r="245" spans="1:8" ht="21" x14ac:dyDescent="0.3">
      <c r="A245" s="12"/>
      <c r="B245" s="13"/>
      <c r="C245" s="13"/>
      <c r="D245" s="13"/>
      <c r="E245" s="13"/>
      <c r="F245" s="13"/>
      <c r="G245" s="13"/>
      <c r="H245" s="8"/>
    </row>
    <row r="246" spans="1:8" ht="21" x14ac:dyDescent="0.3">
      <c r="A246" s="12"/>
      <c r="B246" s="13"/>
      <c r="C246" s="13"/>
      <c r="D246" s="13"/>
      <c r="E246" s="13"/>
      <c r="F246" s="13"/>
      <c r="G246" s="13"/>
      <c r="H246" s="8"/>
    </row>
    <row r="247" spans="1:8" ht="21" x14ac:dyDescent="0.3">
      <c r="A247" s="12"/>
      <c r="B247" s="13"/>
      <c r="C247" s="13"/>
      <c r="D247" s="13"/>
      <c r="E247" s="13"/>
      <c r="F247" s="13"/>
      <c r="G247" s="13"/>
      <c r="H247" s="8"/>
    </row>
    <row r="248" spans="1:8" ht="21" x14ac:dyDescent="0.3">
      <c r="A248" s="12"/>
      <c r="B248" s="13"/>
      <c r="C248" s="13"/>
      <c r="D248" s="13"/>
      <c r="E248" s="13"/>
      <c r="F248" s="13"/>
      <c r="G248" s="13"/>
      <c r="H248" s="8"/>
    </row>
    <row r="249" spans="1:8" ht="21" x14ac:dyDescent="0.3">
      <c r="A249" s="12"/>
      <c r="B249" s="13"/>
      <c r="C249" s="13"/>
      <c r="D249" s="13"/>
      <c r="E249" s="13"/>
      <c r="F249" s="13"/>
      <c r="G249" s="13"/>
      <c r="H249" s="8"/>
    </row>
    <row r="250" spans="1:8" ht="21" x14ac:dyDescent="0.3">
      <c r="A250" s="12"/>
      <c r="B250" s="13"/>
      <c r="C250" s="13"/>
      <c r="D250" s="13"/>
      <c r="E250" s="13"/>
      <c r="F250" s="13"/>
      <c r="G250" s="13"/>
      <c r="H250" s="8"/>
    </row>
    <row r="251" spans="1:8" ht="21" x14ac:dyDescent="0.3">
      <c r="A251" s="12"/>
      <c r="B251" s="13"/>
      <c r="C251" s="13"/>
      <c r="D251" s="13"/>
      <c r="E251" s="13"/>
      <c r="F251" s="13"/>
      <c r="G251" s="13"/>
      <c r="H251" s="8"/>
    </row>
    <row r="252" spans="1:8" ht="21" x14ac:dyDescent="0.3">
      <c r="A252" s="12"/>
      <c r="B252" s="13"/>
      <c r="C252" s="13"/>
      <c r="D252" s="13"/>
      <c r="E252" s="13"/>
      <c r="F252" s="13"/>
      <c r="G252" s="13"/>
      <c r="H252" s="8"/>
    </row>
    <row r="253" spans="1:8" ht="21" x14ac:dyDescent="0.3">
      <c r="A253" s="12"/>
      <c r="B253" s="13"/>
      <c r="C253" s="13"/>
      <c r="D253" s="13"/>
      <c r="E253" s="13"/>
      <c r="F253" s="13"/>
      <c r="G253" s="13"/>
      <c r="H253" s="8"/>
    </row>
    <row r="254" spans="1:8" ht="21" x14ac:dyDescent="0.3">
      <c r="A254" s="14"/>
      <c r="B254" s="15"/>
      <c r="C254" s="15"/>
      <c r="D254" s="15"/>
      <c r="E254" s="15"/>
      <c r="F254" s="15"/>
      <c r="G254" s="15"/>
      <c r="H254" s="9"/>
    </row>
    <row r="255" spans="1:8" ht="21" x14ac:dyDescent="0.3">
      <c r="A255" s="101" t="s">
        <v>160</v>
      </c>
      <c r="B255" s="101"/>
      <c r="C255" s="101"/>
      <c r="D255" s="101"/>
      <c r="E255" s="101"/>
      <c r="F255" s="101"/>
      <c r="G255" s="101"/>
      <c r="H255" s="101"/>
    </row>
    <row r="256" spans="1:8" ht="21" x14ac:dyDescent="0.3">
      <c r="A256" s="10"/>
      <c r="B256" s="11"/>
      <c r="C256" s="11"/>
      <c r="D256" s="11"/>
      <c r="E256" s="11"/>
      <c r="F256" s="11"/>
      <c r="G256" s="11"/>
      <c r="H256" s="7"/>
    </row>
    <row r="257" spans="1:8" ht="21" x14ac:dyDescent="0.3">
      <c r="A257" s="12"/>
      <c r="B257" s="13"/>
      <c r="C257" s="13"/>
      <c r="D257" s="13"/>
      <c r="E257" s="13"/>
      <c r="F257" s="13"/>
      <c r="G257" s="13"/>
      <c r="H257" s="8"/>
    </row>
    <row r="258" spans="1:8" ht="21" x14ac:dyDescent="0.3">
      <c r="A258" s="12"/>
      <c r="B258" s="13"/>
      <c r="C258" s="13"/>
      <c r="D258" s="13"/>
      <c r="E258" s="13"/>
      <c r="F258" s="13"/>
      <c r="G258" s="13"/>
      <c r="H258" s="8"/>
    </row>
    <row r="259" spans="1:8" ht="21" x14ac:dyDescent="0.3">
      <c r="A259" s="12"/>
      <c r="B259" s="13"/>
      <c r="C259" s="13"/>
      <c r="D259" s="13"/>
      <c r="E259" s="13"/>
      <c r="F259" s="13"/>
      <c r="G259" s="13"/>
      <c r="H259" s="8"/>
    </row>
    <row r="260" spans="1:8" ht="21" x14ac:dyDescent="0.3">
      <c r="A260" s="12"/>
      <c r="B260" s="13"/>
      <c r="C260" s="13"/>
      <c r="D260" s="13"/>
      <c r="E260" s="13"/>
      <c r="F260" s="13"/>
      <c r="G260" s="13"/>
      <c r="H260" s="8"/>
    </row>
    <row r="261" spans="1:8" ht="21" x14ac:dyDescent="0.3">
      <c r="A261" s="12"/>
      <c r="B261" s="13"/>
      <c r="C261" s="13"/>
      <c r="D261" s="13"/>
      <c r="E261" s="13"/>
      <c r="F261" s="13"/>
      <c r="G261" s="13"/>
      <c r="H261" s="8"/>
    </row>
    <row r="262" spans="1:8" ht="21" x14ac:dyDescent="0.3">
      <c r="A262" s="12"/>
      <c r="B262" s="13"/>
      <c r="C262" s="13"/>
      <c r="D262" s="13"/>
      <c r="E262" s="13"/>
      <c r="F262" s="13"/>
      <c r="G262" s="13"/>
      <c r="H262" s="8"/>
    </row>
    <row r="263" spans="1:8" ht="21" x14ac:dyDescent="0.3">
      <c r="A263" s="12"/>
      <c r="B263" s="13"/>
      <c r="C263" s="13"/>
      <c r="D263" s="13"/>
      <c r="E263" s="13"/>
      <c r="F263" s="13"/>
      <c r="G263" s="13"/>
      <c r="H263" s="8"/>
    </row>
    <row r="264" spans="1:8" ht="21" x14ac:dyDescent="0.3">
      <c r="A264" s="12"/>
      <c r="B264" s="13"/>
      <c r="C264" s="13"/>
      <c r="D264" s="13"/>
      <c r="E264" s="13"/>
      <c r="F264" s="13"/>
      <c r="G264" s="13"/>
      <c r="H264" s="8"/>
    </row>
    <row r="265" spans="1:8" ht="21" x14ac:dyDescent="0.3">
      <c r="A265" s="12"/>
      <c r="B265" s="13"/>
      <c r="C265" s="13"/>
      <c r="D265" s="13"/>
      <c r="E265" s="13"/>
      <c r="F265" s="13"/>
      <c r="G265" s="13"/>
      <c r="H265" s="8"/>
    </row>
    <row r="266" spans="1:8" ht="21" x14ac:dyDescent="0.3">
      <c r="A266" s="12"/>
      <c r="B266" s="13"/>
      <c r="C266" s="13"/>
      <c r="D266" s="13"/>
      <c r="E266" s="13"/>
      <c r="F266" s="13"/>
      <c r="G266" s="13"/>
      <c r="H266" s="8"/>
    </row>
    <row r="267" spans="1:8" ht="21" x14ac:dyDescent="0.3">
      <c r="A267" s="12"/>
      <c r="B267" s="13"/>
      <c r="C267" s="13"/>
      <c r="D267" s="13"/>
      <c r="E267" s="13"/>
      <c r="F267" s="13"/>
      <c r="G267" s="13"/>
      <c r="H267" s="8"/>
    </row>
    <row r="268" spans="1:8" ht="21" x14ac:dyDescent="0.3">
      <c r="A268" s="12"/>
      <c r="B268" s="13"/>
      <c r="C268" s="13"/>
      <c r="D268" s="13"/>
      <c r="E268" s="13"/>
      <c r="F268" s="13"/>
      <c r="G268" s="13"/>
      <c r="H268" s="8"/>
    </row>
    <row r="269" spans="1:8" ht="21" x14ac:dyDescent="0.3">
      <c r="A269" s="12"/>
      <c r="B269" s="13"/>
      <c r="C269" s="13"/>
      <c r="D269" s="13"/>
      <c r="E269" s="13"/>
      <c r="F269" s="13"/>
      <c r="G269" s="13"/>
      <c r="H269" s="8"/>
    </row>
    <row r="270" spans="1:8" ht="21" x14ac:dyDescent="0.3">
      <c r="A270" s="12"/>
      <c r="B270" s="13"/>
      <c r="C270" s="13"/>
      <c r="D270" s="13"/>
      <c r="E270" s="13"/>
      <c r="F270" s="13"/>
      <c r="G270" s="13"/>
      <c r="H270" s="8"/>
    </row>
    <row r="271" spans="1:8" ht="21" x14ac:dyDescent="0.3">
      <c r="A271" s="12"/>
      <c r="B271" s="13"/>
      <c r="C271" s="13"/>
      <c r="D271" s="13"/>
      <c r="E271" s="13"/>
      <c r="F271" s="13"/>
      <c r="G271" s="13"/>
      <c r="H271" s="8"/>
    </row>
    <row r="272" spans="1:8" ht="21" x14ac:dyDescent="0.3">
      <c r="A272" s="12"/>
      <c r="B272" s="13"/>
      <c r="C272" s="13"/>
      <c r="D272" s="13"/>
      <c r="E272" s="13"/>
      <c r="F272" s="13"/>
      <c r="G272" s="13"/>
      <c r="H272" s="8"/>
    </row>
    <row r="273" spans="1:8" ht="21" x14ac:dyDescent="0.3">
      <c r="A273" s="12"/>
      <c r="B273" s="13"/>
      <c r="C273" s="13"/>
      <c r="D273" s="13"/>
      <c r="E273" s="13"/>
      <c r="F273" s="13"/>
      <c r="G273" s="13"/>
      <c r="H273" s="8"/>
    </row>
    <row r="274" spans="1:8" ht="21" x14ac:dyDescent="0.3">
      <c r="A274" s="12"/>
      <c r="B274" s="13"/>
      <c r="C274" s="13"/>
      <c r="D274" s="13"/>
      <c r="E274" s="13"/>
      <c r="F274" s="13"/>
      <c r="G274" s="13"/>
      <c r="H274" s="8"/>
    </row>
    <row r="275" spans="1:8" ht="21" x14ac:dyDescent="0.3">
      <c r="A275" s="12"/>
      <c r="B275" s="13"/>
      <c r="C275" s="13"/>
      <c r="D275" s="13"/>
      <c r="E275" s="13"/>
      <c r="F275" s="13"/>
      <c r="G275" s="13"/>
      <c r="H275" s="8"/>
    </row>
    <row r="276" spans="1:8" ht="21" x14ac:dyDescent="0.3">
      <c r="A276" s="12"/>
      <c r="B276" s="13"/>
      <c r="C276" s="13"/>
      <c r="D276" s="13"/>
      <c r="E276" s="13"/>
      <c r="F276" s="13"/>
      <c r="G276" s="13"/>
      <c r="H276" s="8"/>
    </row>
    <row r="277" spans="1:8" ht="21" x14ac:dyDescent="0.3">
      <c r="A277" s="12"/>
      <c r="B277" s="13"/>
      <c r="C277" s="13"/>
      <c r="D277" s="13"/>
      <c r="E277" s="13"/>
      <c r="F277" s="13"/>
      <c r="G277" s="13"/>
      <c r="H277" s="8"/>
    </row>
    <row r="278" spans="1:8" ht="21" x14ac:dyDescent="0.3">
      <c r="A278" s="12"/>
      <c r="B278" s="13"/>
      <c r="C278" s="13"/>
      <c r="D278" s="13"/>
      <c r="E278" s="13"/>
      <c r="F278" s="13"/>
      <c r="G278" s="13"/>
      <c r="H278" s="8"/>
    </row>
    <row r="279" spans="1:8" ht="21" x14ac:dyDescent="0.3">
      <c r="A279" s="12"/>
      <c r="B279" s="13"/>
      <c r="C279" s="13"/>
      <c r="D279" s="13"/>
      <c r="E279" s="13"/>
      <c r="F279" s="13"/>
      <c r="G279" s="13"/>
      <c r="H279" s="8"/>
    </row>
    <row r="280" spans="1:8" ht="21" x14ac:dyDescent="0.3">
      <c r="A280" s="12"/>
      <c r="B280" s="13"/>
      <c r="C280" s="13"/>
      <c r="D280" s="13"/>
      <c r="E280" s="13"/>
      <c r="F280" s="13"/>
      <c r="G280" s="13"/>
      <c r="H280" s="8"/>
    </row>
    <row r="281" spans="1:8" ht="21" x14ac:dyDescent="0.3">
      <c r="A281" s="12"/>
      <c r="B281" s="13"/>
      <c r="C281" s="13"/>
      <c r="D281" s="13"/>
      <c r="E281" s="13"/>
      <c r="F281" s="13"/>
      <c r="G281" s="13"/>
      <c r="H281" s="8"/>
    </row>
    <row r="282" spans="1:8" ht="21" x14ac:dyDescent="0.3">
      <c r="A282" s="12"/>
      <c r="B282" s="13"/>
      <c r="C282" s="13"/>
      <c r="D282" s="13"/>
      <c r="E282" s="13"/>
      <c r="F282" s="13"/>
      <c r="G282" s="13"/>
      <c r="H282" s="8"/>
    </row>
    <row r="283" spans="1:8" ht="21" x14ac:dyDescent="0.3">
      <c r="A283" s="12"/>
      <c r="B283" s="13"/>
      <c r="C283" s="13"/>
      <c r="D283" s="13"/>
      <c r="E283" s="13"/>
      <c r="F283" s="13"/>
      <c r="G283" s="13"/>
      <c r="H283" s="8"/>
    </row>
    <row r="284" spans="1:8" ht="21" x14ac:dyDescent="0.3">
      <c r="A284" s="12"/>
      <c r="B284" s="13"/>
      <c r="C284" s="13"/>
      <c r="D284" s="13"/>
      <c r="E284" s="13"/>
      <c r="F284" s="13"/>
      <c r="G284" s="13"/>
      <c r="H284" s="8"/>
    </row>
    <row r="285" spans="1:8" ht="21" x14ac:dyDescent="0.3">
      <c r="A285" s="12"/>
      <c r="B285" s="13"/>
      <c r="C285" s="13"/>
      <c r="D285" s="13"/>
      <c r="E285" s="13"/>
      <c r="F285" s="13"/>
      <c r="G285" s="13"/>
      <c r="H285" s="8"/>
    </row>
    <row r="286" spans="1:8" ht="21" x14ac:dyDescent="0.3">
      <c r="A286" s="12"/>
      <c r="B286" s="13"/>
      <c r="C286" s="13"/>
      <c r="D286" s="13"/>
      <c r="E286" s="13"/>
      <c r="F286" s="13"/>
      <c r="G286" s="13"/>
      <c r="H286" s="8"/>
    </row>
    <row r="287" spans="1:8" ht="21" x14ac:dyDescent="0.3">
      <c r="A287" s="12"/>
      <c r="B287" s="13"/>
      <c r="C287" s="13"/>
      <c r="D287" s="13"/>
      <c r="E287" s="13"/>
      <c r="F287" s="13"/>
      <c r="G287" s="13"/>
      <c r="H287" s="8"/>
    </row>
    <row r="288" spans="1:8" ht="21" x14ac:dyDescent="0.3">
      <c r="A288" s="12"/>
      <c r="B288" s="13"/>
      <c r="C288" s="13"/>
      <c r="D288" s="13"/>
      <c r="E288" s="13"/>
      <c r="F288" s="13"/>
      <c r="G288" s="13"/>
      <c r="H288" s="8"/>
    </row>
    <row r="289" spans="1:8" ht="21" x14ac:dyDescent="0.3">
      <c r="A289" s="12"/>
      <c r="B289" s="13"/>
      <c r="C289" s="13"/>
      <c r="D289" s="13"/>
      <c r="E289" s="13"/>
      <c r="F289" s="13"/>
      <c r="G289" s="13"/>
      <c r="H289" s="8"/>
    </row>
    <row r="290" spans="1:8" ht="21" x14ac:dyDescent="0.3">
      <c r="A290" s="12"/>
      <c r="B290" s="13"/>
      <c r="C290" s="13"/>
      <c r="D290" s="13"/>
      <c r="E290" s="13"/>
      <c r="F290" s="13"/>
      <c r="G290" s="13"/>
      <c r="H290" s="8"/>
    </row>
    <row r="291" spans="1:8" ht="21" x14ac:dyDescent="0.3">
      <c r="A291" s="12"/>
      <c r="B291" s="13"/>
      <c r="C291" s="13"/>
      <c r="D291" s="13"/>
      <c r="E291" s="13"/>
      <c r="F291" s="13"/>
      <c r="G291" s="13"/>
      <c r="H291" s="8"/>
    </row>
    <row r="292" spans="1:8" ht="21" x14ac:dyDescent="0.3">
      <c r="A292" s="12"/>
      <c r="B292" s="13"/>
      <c r="C292" s="13"/>
      <c r="D292" s="13"/>
      <c r="E292" s="13"/>
      <c r="F292" s="13"/>
      <c r="G292" s="13"/>
      <c r="H292" s="8"/>
    </row>
    <row r="293" spans="1:8" ht="21" x14ac:dyDescent="0.3">
      <c r="A293" s="12"/>
      <c r="B293" s="13"/>
      <c r="C293" s="13"/>
      <c r="D293" s="13"/>
      <c r="E293" s="13"/>
      <c r="F293" s="13"/>
      <c r="G293" s="13"/>
      <c r="H293" s="8"/>
    </row>
    <row r="294" spans="1:8" ht="21" x14ac:dyDescent="0.3">
      <c r="A294" s="12"/>
      <c r="B294" s="13"/>
      <c r="C294" s="13"/>
      <c r="D294" s="13"/>
      <c r="E294" s="13"/>
      <c r="F294" s="13"/>
      <c r="G294" s="13"/>
      <c r="H294" s="8"/>
    </row>
    <row r="295" spans="1:8" ht="21" x14ac:dyDescent="0.3">
      <c r="A295" s="12"/>
      <c r="B295" s="13"/>
      <c r="C295" s="13"/>
      <c r="D295" s="13"/>
      <c r="E295" s="13"/>
      <c r="F295" s="13"/>
      <c r="G295" s="13"/>
      <c r="H295" s="8"/>
    </row>
    <row r="296" spans="1:8" ht="21" x14ac:dyDescent="0.3">
      <c r="A296" s="12"/>
      <c r="B296" s="13"/>
      <c r="C296" s="13"/>
      <c r="D296" s="13"/>
      <c r="E296" s="13"/>
      <c r="F296" s="13"/>
      <c r="G296" s="13"/>
      <c r="H296" s="8"/>
    </row>
    <row r="297" spans="1:8" ht="21" x14ac:dyDescent="0.3">
      <c r="A297" s="12"/>
      <c r="B297" s="13"/>
      <c r="C297" s="13"/>
      <c r="D297" s="13"/>
      <c r="E297" s="13"/>
      <c r="F297" s="13"/>
      <c r="G297" s="13"/>
      <c r="H297" s="8"/>
    </row>
    <row r="298" spans="1:8" ht="21" x14ac:dyDescent="0.3">
      <c r="A298" s="12"/>
      <c r="B298" s="13"/>
      <c r="C298" s="13"/>
      <c r="D298" s="13"/>
      <c r="E298" s="13"/>
      <c r="F298" s="13"/>
      <c r="G298" s="13"/>
      <c r="H298" s="8"/>
    </row>
    <row r="299" spans="1:8" ht="21" x14ac:dyDescent="0.3">
      <c r="A299" s="14"/>
      <c r="B299" s="15"/>
      <c r="C299" s="15"/>
      <c r="D299" s="15"/>
      <c r="E299" s="15"/>
      <c r="F299" s="15"/>
      <c r="G299" s="15"/>
      <c r="H299" s="9"/>
    </row>
    <row r="300" spans="1:8" ht="21" x14ac:dyDescent="0.3">
      <c r="A300" s="122" t="s">
        <v>77</v>
      </c>
      <c r="B300" s="123"/>
      <c r="C300" s="123"/>
      <c r="D300" s="123"/>
      <c r="E300" s="123"/>
      <c r="F300" s="123"/>
      <c r="G300" s="123"/>
      <c r="H300" s="124"/>
    </row>
    <row r="301" spans="1:8" ht="21" x14ac:dyDescent="0.3">
      <c r="A301" s="10"/>
      <c r="B301" s="11"/>
      <c r="C301" s="11"/>
      <c r="D301" s="11"/>
      <c r="E301" s="11"/>
      <c r="F301" s="11"/>
      <c r="G301" s="11"/>
      <c r="H301" s="7"/>
    </row>
    <row r="302" spans="1:8" ht="21" x14ac:dyDescent="0.3">
      <c r="A302" s="12"/>
      <c r="B302" s="13"/>
      <c r="C302" s="13"/>
      <c r="D302" s="13"/>
      <c r="E302" s="13"/>
      <c r="F302" s="13"/>
      <c r="G302" s="13"/>
      <c r="H302" s="8"/>
    </row>
    <row r="303" spans="1:8" ht="21" x14ac:dyDescent="0.3">
      <c r="A303" s="12"/>
      <c r="B303" s="13"/>
      <c r="C303" s="13"/>
      <c r="D303" s="13"/>
      <c r="E303" s="13"/>
      <c r="F303" s="13"/>
      <c r="G303" s="13"/>
      <c r="H303" s="8"/>
    </row>
    <row r="304" spans="1:8" ht="21" x14ac:dyDescent="0.3">
      <c r="A304" s="12"/>
      <c r="B304" s="13"/>
      <c r="C304" s="13"/>
      <c r="D304" s="13"/>
      <c r="E304" s="13"/>
      <c r="F304" s="13"/>
      <c r="G304" s="13"/>
      <c r="H304" s="8"/>
    </row>
    <row r="305" spans="1:8" ht="21" x14ac:dyDescent="0.3">
      <c r="A305" s="12"/>
      <c r="B305" s="13"/>
      <c r="C305" s="13"/>
      <c r="D305" s="13"/>
      <c r="E305" s="13"/>
      <c r="F305" s="13"/>
      <c r="G305" s="13"/>
      <c r="H305" s="8"/>
    </row>
    <row r="306" spans="1:8" ht="21" x14ac:dyDescent="0.3">
      <c r="A306" s="12"/>
      <c r="B306" s="13"/>
      <c r="C306" s="13"/>
      <c r="D306" s="13"/>
      <c r="E306" s="13"/>
      <c r="F306" s="13"/>
      <c r="G306" s="13"/>
      <c r="H306" s="8"/>
    </row>
    <row r="307" spans="1:8" ht="21" x14ac:dyDescent="0.3">
      <c r="A307" s="12"/>
      <c r="B307" s="13"/>
      <c r="C307" s="13"/>
      <c r="D307" s="13"/>
      <c r="E307" s="13"/>
      <c r="F307" s="13"/>
      <c r="G307" s="13"/>
      <c r="H307" s="8"/>
    </row>
    <row r="308" spans="1:8" ht="21" x14ac:dyDescent="0.3">
      <c r="A308" s="12"/>
      <c r="B308" s="13"/>
      <c r="C308" s="13"/>
      <c r="D308" s="13"/>
      <c r="E308" s="13"/>
      <c r="F308" s="13"/>
      <c r="G308" s="13"/>
      <c r="H308" s="8"/>
    </row>
    <row r="309" spans="1:8" ht="21" x14ac:dyDescent="0.3">
      <c r="A309" s="12"/>
      <c r="B309" s="13"/>
      <c r="C309" s="13"/>
      <c r="D309" s="13"/>
      <c r="E309" s="13"/>
      <c r="F309" s="13"/>
      <c r="G309" s="13"/>
      <c r="H309" s="8"/>
    </row>
    <row r="310" spans="1:8" ht="21" x14ac:dyDescent="0.3">
      <c r="A310" s="12"/>
      <c r="B310" s="13"/>
      <c r="C310" s="13"/>
      <c r="D310" s="13"/>
      <c r="E310" s="13"/>
      <c r="F310" s="13"/>
      <c r="G310" s="13"/>
      <c r="H310" s="8"/>
    </row>
    <row r="311" spans="1:8" ht="21" x14ac:dyDescent="0.3">
      <c r="A311" s="12"/>
      <c r="B311" s="13"/>
      <c r="C311" s="13"/>
      <c r="D311" s="13"/>
      <c r="E311" s="13"/>
      <c r="F311" s="13"/>
      <c r="G311" s="13"/>
      <c r="H311" s="8"/>
    </row>
    <row r="312" spans="1:8" ht="21" x14ac:dyDescent="0.3">
      <c r="A312" s="12"/>
      <c r="B312" s="13"/>
      <c r="C312" s="13"/>
      <c r="D312" s="13"/>
      <c r="E312" s="13"/>
      <c r="F312" s="13"/>
      <c r="G312" s="13"/>
      <c r="H312" s="8"/>
    </row>
    <row r="313" spans="1:8" ht="21" x14ac:dyDescent="0.3">
      <c r="A313" s="12"/>
      <c r="B313" s="13"/>
      <c r="C313" s="13"/>
      <c r="D313" s="13"/>
      <c r="E313" s="13"/>
      <c r="F313" s="13"/>
      <c r="G313" s="13"/>
      <c r="H313" s="8"/>
    </row>
    <row r="314" spans="1:8" ht="21" x14ac:dyDescent="0.3">
      <c r="A314" s="12"/>
      <c r="B314" s="13"/>
      <c r="C314" s="13"/>
      <c r="D314" s="13"/>
      <c r="E314" s="13"/>
      <c r="F314" s="13"/>
      <c r="G314" s="13"/>
      <c r="H314" s="8"/>
    </row>
    <row r="315" spans="1:8" ht="21" x14ac:dyDescent="0.3">
      <c r="A315" s="12"/>
      <c r="B315" s="13"/>
      <c r="C315" s="13"/>
      <c r="D315" s="13"/>
      <c r="E315" s="13"/>
      <c r="F315" s="13"/>
      <c r="G315" s="13"/>
      <c r="H315" s="8"/>
    </row>
    <row r="316" spans="1:8" ht="21" x14ac:dyDescent="0.3">
      <c r="A316" s="12"/>
      <c r="B316" s="13"/>
      <c r="C316" s="13"/>
      <c r="D316" s="13"/>
      <c r="E316" s="13"/>
      <c r="F316" s="13"/>
      <c r="G316" s="13"/>
      <c r="H316" s="8"/>
    </row>
    <row r="317" spans="1:8" ht="21" x14ac:dyDescent="0.3">
      <c r="A317" s="12"/>
      <c r="B317" s="13"/>
      <c r="C317" s="13"/>
      <c r="D317" s="13"/>
      <c r="E317" s="13"/>
      <c r="F317" s="13"/>
      <c r="G317" s="13"/>
      <c r="H317" s="8"/>
    </row>
    <row r="318" spans="1:8" ht="21" x14ac:dyDescent="0.3">
      <c r="A318" s="12"/>
      <c r="B318" s="13"/>
      <c r="C318" s="13"/>
      <c r="D318" s="13"/>
      <c r="E318" s="13"/>
      <c r="F318" s="13"/>
      <c r="G318" s="13"/>
      <c r="H318" s="8"/>
    </row>
    <row r="319" spans="1:8" ht="21" x14ac:dyDescent="0.3">
      <c r="A319" s="12"/>
      <c r="B319" s="13"/>
      <c r="C319" s="13"/>
      <c r="D319" s="13"/>
      <c r="E319" s="13"/>
      <c r="F319" s="13"/>
      <c r="G319" s="13"/>
      <c r="H319" s="8"/>
    </row>
    <row r="320" spans="1:8" ht="21" x14ac:dyDescent="0.3">
      <c r="A320" s="12"/>
      <c r="B320" s="13"/>
      <c r="C320" s="13"/>
      <c r="D320" s="13"/>
      <c r="E320" s="13"/>
      <c r="F320" s="13"/>
      <c r="G320" s="13"/>
      <c r="H320" s="8"/>
    </row>
    <row r="321" spans="1:8" ht="21" x14ac:dyDescent="0.3">
      <c r="A321" s="12"/>
      <c r="B321" s="13"/>
      <c r="C321" s="13"/>
      <c r="D321" s="13"/>
      <c r="E321" s="13"/>
      <c r="F321" s="13"/>
      <c r="G321" s="13"/>
      <c r="H321" s="8"/>
    </row>
    <row r="322" spans="1:8" ht="21" x14ac:dyDescent="0.3">
      <c r="A322" s="12"/>
      <c r="B322" s="13"/>
      <c r="C322" s="13"/>
      <c r="D322" s="13"/>
      <c r="E322" s="13"/>
      <c r="F322" s="13"/>
      <c r="G322" s="13"/>
      <c r="H322" s="8"/>
    </row>
    <row r="323" spans="1:8" ht="21" x14ac:dyDescent="0.3">
      <c r="A323" s="12"/>
      <c r="B323" s="13"/>
      <c r="C323" s="13"/>
      <c r="D323" s="13"/>
      <c r="E323" s="13"/>
      <c r="F323" s="13"/>
      <c r="G323" s="13"/>
      <c r="H323" s="8"/>
    </row>
    <row r="324" spans="1:8" ht="21" x14ac:dyDescent="0.3">
      <c r="A324" s="12"/>
      <c r="B324" s="13"/>
      <c r="C324" s="13"/>
      <c r="D324" s="13"/>
      <c r="E324" s="13"/>
      <c r="F324" s="13"/>
      <c r="G324" s="13"/>
      <c r="H324" s="8"/>
    </row>
    <row r="325" spans="1:8" ht="21" x14ac:dyDescent="0.3">
      <c r="A325" s="12"/>
      <c r="B325" s="13"/>
      <c r="C325" s="13"/>
      <c r="D325" s="13"/>
      <c r="E325" s="13"/>
      <c r="F325" s="13"/>
      <c r="G325" s="13"/>
      <c r="H325" s="8"/>
    </row>
    <row r="326" spans="1:8" ht="21" x14ac:dyDescent="0.3">
      <c r="A326" s="12"/>
      <c r="B326" s="13"/>
      <c r="C326" s="13"/>
      <c r="D326" s="13"/>
      <c r="E326" s="13"/>
      <c r="F326" s="13"/>
      <c r="G326" s="13"/>
      <c r="H326" s="8"/>
    </row>
    <row r="327" spans="1:8" ht="21" x14ac:dyDescent="0.3">
      <c r="A327" s="12"/>
      <c r="B327" s="13"/>
      <c r="C327" s="13"/>
      <c r="D327" s="13"/>
      <c r="E327" s="13"/>
      <c r="F327" s="13"/>
      <c r="G327" s="13"/>
      <c r="H327" s="8"/>
    </row>
    <row r="328" spans="1:8" ht="21" x14ac:dyDescent="0.3">
      <c r="A328" s="101" t="s">
        <v>24</v>
      </c>
      <c r="B328" s="101"/>
      <c r="C328" s="101"/>
      <c r="D328" s="101"/>
      <c r="E328" s="101"/>
      <c r="F328" s="101"/>
      <c r="G328" s="101"/>
      <c r="H328" s="101"/>
    </row>
    <row r="329" spans="1:8" ht="21" x14ac:dyDescent="0.3">
      <c r="A329" s="113" t="s">
        <v>78</v>
      </c>
      <c r="B329" s="114"/>
      <c r="C329" s="114"/>
      <c r="D329" s="114"/>
      <c r="E329" s="114"/>
      <c r="F329" s="114"/>
      <c r="G329" s="114"/>
      <c r="H329" s="115"/>
    </row>
    <row r="330" spans="1:8" ht="21" x14ac:dyDescent="0.3">
      <c r="A330" s="116" t="s">
        <v>79</v>
      </c>
      <c r="B330" s="117"/>
      <c r="C330" s="117"/>
      <c r="D330" s="117"/>
      <c r="E330" s="117"/>
      <c r="F330" s="117"/>
      <c r="G330" s="117"/>
      <c r="H330" s="118"/>
    </row>
    <row r="331" spans="1:8" ht="45" customHeight="1" x14ac:dyDescent="0.3">
      <c r="A331" s="116" t="s">
        <v>80</v>
      </c>
      <c r="B331" s="117"/>
      <c r="C331" s="117"/>
      <c r="D331" s="117"/>
      <c r="E331" s="117"/>
      <c r="F331" s="117"/>
      <c r="G331" s="117"/>
      <c r="H331" s="118"/>
    </row>
    <row r="332" spans="1:8" ht="42.75" customHeight="1" x14ac:dyDescent="0.3">
      <c r="A332" s="116" t="s">
        <v>81</v>
      </c>
      <c r="B332" s="117"/>
      <c r="C332" s="117"/>
      <c r="D332" s="117"/>
      <c r="E332" s="117"/>
      <c r="F332" s="117"/>
      <c r="G332" s="117"/>
      <c r="H332" s="118"/>
    </row>
    <row r="333" spans="1:8" ht="21" x14ac:dyDescent="0.3">
      <c r="A333" s="116" t="s">
        <v>82</v>
      </c>
      <c r="B333" s="117"/>
      <c r="C333" s="117"/>
      <c r="D333" s="117"/>
      <c r="E333" s="117"/>
      <c r="F333" s="117"/>
      <c r="G333" s="117"/>
      <c r="H333" s="118"/>
    </row>
    <row r="334" spans="1:8" ht="21" x14ac:dyDescent="0.3">
      <c r="A334" s="116" t="s">
        <v>83</v>
      </c>
      <c r="B334" s="117"/>
      <c r="C334" s="117"/>
      <c r="D334" s="117"/>
      <c r="E334" s="117"/>
      <c r="F334" s="117"/>
      <c r="G334" s="117"/>
      <c r="H334" s="118"/>
    </row>
    <row r="335" spans="1:8" ht="45" customHeight="1" x14ac:dyDescent="0.3">
      <c r="A335" s="116" t="s">
        <v>84</v>
      </c>
      <c r="B335" s="117"/>
      <c r="C335" s="117"/>
      <c r="D335" s="117"/>
      <c r="E335" s="117"/>
      <c r="F335" s="117"/>
      <c r="G335" s="117"/>
      <c r="H335" s="118"/>
    </row>
    <row r="336" spans="1:8" ht="45" customHeight="1" x14ac:dyDescent="0.3">
      <c r="A336" s="116" t="s">
        <v>85</v>
      </c>
      <c r="B336" s="117"/>
      <c r="C336" s="117"/>
      <c r="D336" s="117"/>
      <c r="E336" s="117"/>
      <c r="F336" s="117"/>
      <c r="G336" s="117"/>
      <c r="H336" s="118"/>
    </row>
    <row r="337" spans="1:8" ht="21" x14ac:dyDescent="0.3">
      <c r="A337" s="119" t="s">
        <v>86</v>
      </c>
      <c r="B337" s="120"/>
      <c r="C337" s="120"/>
      <c r="D337" s="120"/>
      <c r="E337" s="120"/>
      <c r="F337" s="120"/>
      <c r="G337" s="120"/>
      <c r="H337" s="121"/>
    </row>
    <row r="338" spans="1:8" ht="57" customHeight="1" x14ac:dyDescent="0.3">
      <c r="A338" s="126" t="s">
        <v>30</v>
      </c>
      <c r="B338" s="127"/>
      <c r="C338" s="105" t="s">
        <v>364</v>
      </c>
      <c r="D338" s="106"/>
      <c r="E338" s="126" t="s">
        <v>9</v>
      </c>
      <c r="F338" s="127"/>
      <c r="G338" s="111"/>
      <c r="H338" s="111"/>
    </row>
  </sheetData>
  <mergeCells count="390">
    <mergeCell ref="A191:B191"/>
    <mergeCell ref="D182:H182"/>
    <mergeCell ref="A192:H192"/>
    <mergeCell ref="A193:B193"/>
    <mergeCell ref="A203:B203"/>
    <mergeCell ref="A204:B204"/>
    <mergeCell ref="D193:H198"/>
    <mergeCell ref="A194:B194"/>
    <mergeCell ref="A195:B195"/>
    <mergeCell ref="A196:B196"/>
    <mergeCell ref="A197:B197"/>
    <mergeCell ref="A198:B198"/>
    <mergeCell ref="A199:B199"/>
    <mergeCell ref="A200:B200"/>
    <mergeCell ref="A201:B201"/>
    <mergeCell ref="A202:B202"/>
    <mergeCell ref="A163:B163"/>
    <mergeCell ref="D156:H156"/>
    <mergeCell ref="A164:H164"/>
    <mergeCell ref="A165:H165"/>
    <mergeCell ref="A175:B175"/>
    <mergeCell ref="A176:B176"/>
    <mergeCell ref="A168:B168"/>
    <mergeCell ref="A169:B169"/>
    <mergeCell ref="A174:B174"/>
    <mergeCell ref="A166:H166"/>
    <mergeCell ref="A167:B167"/>
    <mergeCell ref="A170:B170"/>
    <mergeCell ref="A154:B154"/>
    <mergeCell ref="A155:B155"/>
    <mergeCell ref="A156:B156"/>
    <mergeCell ref="A157:B157"/>
    <mergeCell ref="A158:B158"/>
    <mergeCell ref="A159:B159"/>
    <mergeCell ref="A160:B160"/>
    <mergeCell ref="A161:B161"/>
    <mergeCell ref="A162:B162"/>
    <mergeCell ref="C121:D121"/>
    <mergeCell ref="G120:H120"/>
    <mergeCell ref="G121:H121"/>
    <mergeCell ref="A126:B126"/>
    <mergeCell ref="G126:H126"/>
    <mergeCell ref="A151:B151"/>
    <mergeCell ref="A152:B152"/>
    <mergeCell ref="A153:H153"/>
    <mergeCell ref="A147:B147"/>
    <mergeCell ref="A149:B149"/>
    <mergeCell ref="A150:B150"/>
    <mergeCell ref="A145:B145"/>
    <mergeCell ref="A144:B144"/>
    <mergeCell ref="A142:H142"/>
    <mergeCell ref="A148:B148"/>
    <mergeCell ref="A146:B146"/>
    <mergeCell ref="E126:F126"/>
    <mergeCell ref="A143:B143"/>
    <mergeCell ref="E127:F127"/>
    <mergeCell ref="C126:D126"/>
    <mergeCell ref="A133:B133"/>
    <mergeCell ref="A134:B134"/>
    <mergeCell ref="A135:B135"/>
    <mergeCell ref="E113:F113"/>
    <mergeCell ref="G113:H113"/>
    <mergeCell ref="C123:D123"/>
    <mergeCell ref="A111:H111"/>
    <mergeCell ref="G112:H112"/>
    <mergeCell ref="A97:B97"/>
    <mergeCell ref="E97:F97"/>
    <mergeCell ref="A98:B98"/>
    <mergeCell ref="E98:F109"/>
    <mergeCell ref="G98:H109"/>
    <mergeCell ref="A99:B99"/>
    <mergeCell ref="A100:B100"/>
    <mergeCell ref="A101:B101"/>
    <mergeCell ref="A102:B102"/>
    <mergeCell ref="A108:B108"/>
    <mergeCell ref="A109:B109"/>
    <mergeCell ref="A112:B112"/>
    <mergeCell ref="C112:D112"/>
    <mergeCell ref="A110:F110"/>
    <mergeCell ref="E120:F120"/>
    <mergeCell ref="E121:F121"/>
    <mergeCell ref="A120:B120"/>
    <mergeCell ref="A121:B121"/>
    <mergeCell ref="C120:D120"/>
    <mergeCell ref="A28:B28"/>
    <mergeCell ref="A29:B29"/>
    <mergeCell ref="G123:H123"/>
    <mergeCell ref="A124:B124"/>
    <mergeCell ref="G124:H124"/>
    <mergeCell ref="A125:B125"/>
    <mergeCell ref="G125:H125"/>
    <mergeCell ref="C57:H57"/>
    <mergeCell ref="A54:B55"/>
    <mergeCell ref="C54:F54"/>
    <mergeCell ref="C55:H55"/>
    <mergeCell ref="A82:B82"/>
    <mergeCell ref="A45:B45"/>
    <mergeCell ref="A46:B46"/>
    <mergeCell ref="A47:B47"/>
    <mergeCell ref="D46:F46"/>
    <mergeCell ref="D45:F45"/>
    <mergeCell ref="D47:F47"/>
    <mergeCell ref="A48:B48"/>
    <mergeCell ref="D48:F48"/>
    <mergeCell ref="A60:B60"/>
    <mergeCell ref="A61:B61"/>
    <mergeCell ref="A94:H94"/>
    <mergeCell ref="A95:C96"/>
    <mergeCell ref="C60:F60"/>
    <mergeCell ref="C61:F61"/>
    <mergeCell ref="A62:H62"/>
    <mergeCell ref="A65:B65"/>
    <mergeCell ref="E65:F65"/>
    <mergeCell ref="E63:F63"/>
    <mergeCell ref="E64:F64"/>
    <mergeCell ref="A63:C64"/>
    <mergeCell ref="C30:D30"/>
    <mergeCell ref="C31:D31"/>
    <mergeCell ref="G30:H30"/>
    <mergeCell ref="E30:F30"/>
    <mergeCell ref="A30:B30"/>
    <mergeCell ref="G48:H48"/>
    <mergeCell ref="A49:B49"/>
    <mergeCell ref="D49:F49"/>
    <mergeCell ref="G49:H49"/>
    <mergeCell ref="A51:B51"/>
    <mergeCell ref="A53:B53"/>
    <mergeCell ref="A58:B58"/>
    <mergeCell ref="A59:B59"/>
    <mergeCell ref="A52:B52"/>
    <mergeCell ref="C51:H51"/>
    <mergeCell ref="C52:F52"/>
    <mergeCell ref="A70:B70"/>
    <mergeCell ref="A73:B73"/>
    <mergeCell ref="E66:F77"/>
    <mergeCell ref="A136:B136"/>
    <mergeCell ref="A78:H78"/>
    <mergeCell ref="A79:C80"/>
    <mergeCell ref="E79:F79"/>
    <mergeCell ref="G110:H110"/>
    <mergeCell ref="G66:H77"/>
    <mergeCell ref="A66:B66"/>
    <mergeCell ref="A72:B72"/>
    <mergeCell ref="E95:F95"/>
    <mergeCell ref="E96:F96"/>
    <mergeCell ref="G116:H116"/>
    <mergeCell ref="A131:H131"/>
    <mergeCell ref="A127:B127"/>
    <mergeCell ref="G127:H127"/>
    <mergeCell ref="A122:H122"/>
    <mergeCell ref="A123:B123"/>
    <mergeCell ref="E123:F123"/>
    <mergeCell ref="G114:H114"/>
    <mergeCell ref="G118:H118"/>
    <mergeCell ref="A115:H115"/>
    <mergeCell ref="E112:F112"/>
    <mergeCell ref="A81:B81"/>
    <mergeCell ref="E81:F81"/>
    <mergeCell ref="A137:B137"/>
    <mergeCell ref="A138:B138"/>
    <mergeCell ref="A139:B139"/>
    <mergeCell ref="A132:B132"/>
    <mergeCell ref="C124:D124"/>
    <mergeCell ref="C127:D127"/>
    <mergeCell ref="E124:F124"/>
    <mergeCell ref="E125:F125"/>
    <mergeCell ref="C125:D125"/>
    <mergeCell ref="C113:D113"/>
    <mergeCell ref="C114:D114"/>
    <mergeCell ref="E114:F114"/>
    <mergeCell ref="A116:F116"/>
    <mergeCell ref="A117:F117"/>
    <mergeCell ref="A118:F118"/>
    <mergeCell ref="A113:B113"/>
    <mergeCell ref="A103:B103"/>
    <mergeCell ref="A104:B104"/>
    <mergeCell ref="A105:B105"/>
    <mergeCell ref="A106:B106"/>
    <mergeCell ref="A107:B107"/>
    <mergeCell ref="A114:B114"/>
    <mergeCell ref="A140:B140"/>
    <mergeCell ref="A141:B141"/>
    <mergeCell ref="A128:H128"/>
    <mergeCell ref="A1:H1"/>
    <mergeCell ref="A213:C213"/>
    <mergeCell ref="G27:H27"/>
    <mergeCell ref="G28:H28"/>
    <mergeCell ref="A37:H37"/>
    <mergeCell ref="A44:H44"/>
    <mergeCell ref="A50:H50"/>
    <mergeCell ref="A119:H119"/>
    <mergeCell ref="G117:H117"/>
    <mergeCell ref="G7:H7"/>
    <mergeCell ref="G47:H47"/>
    <mergeCell ref="G45:H45"/>
    <mergeCell ref="A25:H25"/>
    <mergeCell ref="G26:H26"/>
    <mergeCell ref="G20:H20"/>
    <mergeCell ref="G21:H21"/>
    <mergeCell ref="A9:A11"/>
    <mergeCell ref="G6:H6"/>
    <mergeCell ref="A5:H5"/>
    <mergeCell ref="A33:H33"/>
    <mergeCell ref="E80:F80"/>
    <mergeCell ref="A13:H13"/>
    <mergeCell ref="C26:D26"/>
    <mergeCell ref="G338:H338"/>
    <mergeCell ref="A212:H212"/>
    <mergeCell ref="D214:H214"/>
    <mergeCell ref="A329:H329"/>
    <mergeCell ref="A335:H335"/>
    <mergeCell ref="A336:H336"/>
    <mergeCell ref="A337:H337"/>
    <mergeCell ref="A330:H330"/>
    <mergeCell ref="A331:H331"/>
    <mergeCell ref="A332:H332"/>
    <mergeCell ref="A333:H333"/>
    <mergeCell ref="A214:C214"/>
    <mergeCell ref="A328:H328"/>
    <mergeCell ref="A334:H334"/>
    <mergeCell ref="A300:H300"/>
    <mergeCell ref="D213:H213"/>
    <mergeCell ref="A215:C215"/>
    <mergeCell ref="D215:H215"/>
    <mergeCell ref="A255:H255"/>
    <mergeCell ref="E338:F338"/>
    <mergeCell ref="A338:B338"/>
    <mergeCell ref="A130:H130"/>
    <mergeCell ref="C338:D338"/>
    <mergeCell ref="G14:H14"/>
    <mergeCell ref="G16:H16"/>
    <mergeCell ref="G17:H17"/>
    <mergeCell ref="G15:H15"/>
    <mergeCell ref="G18:H18"/>
    <mergeCell ref="G19:H19"/>
    <mergeCell ref="G46:H46"/>
    <mergeCell ref="G31:H31"/>
    <mergeCell ref="G22:H22"/>
    <mergeCell ref="G36:H36"/>
    <mergeCell ref="G35:H35"/>
    <mergeCell ref="C32:H32"/>
    <mergeCell ref="C18:D18"/>
    <mergeCell ref="C19:D19"/>
    <mergeCell ref="C20:D20"/>
    <mergeCell ref="C21:D21"/>
    <mergeCell ref="C22:D22"/>
    <mergeCell ref="C24:H24"/>
    <mergeCell ref="C23:H23"/>
    <mergeCell ref="E26:F26"/>
    <mergeCell ref="E27:F27"/>
    <mergeCell ref="E28:F28"/>
    <mergeCell ref="E29:F29"/>
    <mergeCell ref="B207:H207"/>
    <mergeCell ref="B206:H206"/>
    <mergeCell ref="B210:H210"/>
    <mergeCell ref="B209:H209"/>
    <mergeCell ref="B208:H208"/>
    <mergeCell ref="B211:H211"/>
    <mergeCell ref="A171:B171"/>
    <mergeCell ref="A172:B172"/>
    <mergeCell ref="A173:B173"/>
    <mergeCell ref="A205:H205"/>
    <mergeCell ref="A177:B177"/>
    <mergeCell ref="A178:B178"/>
    <mergeCell ref="A179:H179"/>
    <mergeCell ref="A180:B180"/>
    <mergeCell ref="A181:B181"/>
    <mergeCell ref="A182:B182"/>
    <mergeCell ref="A183:B183"/>
    <mergeCell ref="A184:B184"/>
    <mergeCell ref="A185:B185"/>
    <mergeCell ref="A186:B186"/>
    <mergeCell ref="A187:B187"/>
    <mergeCell ref="A188:B188"/>
    <mergeCell ref="A189:B189"/>
    <mergeCell ref="A190:B190"/>
    <mergeCell ref="E3:F3"/>
    <mergeCell ref="E4:F4"/>
    <mergeCell ref="E82:F93"/>
    <mergeCell ref="G82:H93"/>
    <mergeCell ref="A83:B83"/>
    <mergeCell ref="A84:B84"/>
    <mergeCell ref="A85:B85"/>
    <mergeCell ref="A86:B86"/>
    <mergeCell ref="A87:B87"/>
    <mergeCell ref="A88:B88"/>
    <mergeCell ref="A89:B89"/>
    <mergeCell ref="A90:B90"/>
    <mergeCell ref="A91:B91"/>
    <mergeCell ref="A92:B92"/>
    <mergeCell ref="A93:B93"/>
    <mergeCell ref="A67:B67"/>
    <mergeCell ref="C27:D27"/>
    <mergeCell ref="A74:B74"/>
    <mergeCell ref="A75:B75"/>
    <mergeCell ref="A76:B76"/>
    <mergeCell ref="A77:B77"/>
    <mergeCell ref="A68:B68"/>
    <mergeCell ref="A69:B69"/>
    <mergeCell ref="A71:B71"/>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A26:B26"/>
    <mergeCell ref="A27:B27"/>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31:F31"/>
    <mergeCell ref="C28:D28"/>
    <mergeCell ref="C29:D29"/>
    <mergeCell ref="G29:H29"/>
    <mergeCell ref="C53:F53"/>
    <mergeCell ref="C56:F56"/>
    <mergeCell ref="A56:B57"/>
    <mergeCell ref="C58:F58"/>
    <mergeCell ref="C59:F59"/>
    <mergeCell ref="J38:K38"/>
    <mergeCell ref="M38:N38"/>
    <mergeCell ref="C38:E38"/>
    <mergeCell ref="F38:H38"/>
    <mergeCell ref="C39:E39"/>
    <mergeCell ref="F39:H39"/>
    <mergeCell ref="F40:H40"/>
    <mergeCell ref="C40:E40"/>
    <mergeCell ref="A41:B41"/>
    <mergeCell ref="C41:E41"/>
    <mergeCell ref="F41:H41"/>
    <mergeCell ref="A39:B39"/>
    <mergeCell ref="A40:B40"/>
  </mergeCells>
  <dataValidations count="7">
    <dataValidation type="list" allowBlank="1" showInputMessage="1" showErrorMessage="1" sqref="G6:H6" xr:uid="{00000000-0002-0000-0000-000000000000}">
      <formula1>"Mr. Suraj Khare,Miss Rupali, Miss Vinaya"</formula1>
    </dataValidation>
    <dataValidation type="list" allowBlank="1" showInputMessage="1" showErrorMessage="1" sqref="G26:H26" xr:uid="{00000000-0002-0000-0000-000001000000}">
      <formula1>"Middle,Upper"</formula1>
    </dataValidation>
    <dataValidation type="list" allowBlank="1" showInputMessage="1" showErrorMessage="1" sqref="C114" xr:uid="{00000000-0002-0000-0000-000002000000}">
      <formula1>"300000,350000,400000,500000,600000,700000,800000,900000,1000000,1200000,1400000,1500000,1600000"</formula1>
    </dataValidation>
    <dataValidation type="list" allowBlank="1" showInputMessage="1" showErrorMessage="1" sqref="F129"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1:H51 G35:H35" xr:uid="{00000000-0002-0000-0000-000005000000}">
      <formula1>"Yes,No"</formula1>
    </dataValidation>
    <dataValidation type="list" allowBlank="1" showInputMessage="1" showErrorMessage="1" sqref="C129" xr:uid="{00000000-0002-0000-0000-000006000000}">
      <formula1>"Sale /         Rehab /           PAP,Sale / Mhada,Sale / Landowner"</formula1>
    </dataValidation>
  </dataValidations>
  <hyperlinks>
    <hyperlink ref="C23" r:id="rId1" xr:uid="{7D2F3B45-FCC2-4ABB-B929-FA976E522264}"/>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3" manualBreakCount="3">
    <brk id="211" max="8" man="1"/>
    <brk id="254" max="16383" man="1"/>
    <brk id="29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101" t="s">
        <v>69</v>
      </c>
      <c r="B3" s="101"/>
      <c r="C3" s="101"/>
      <c r="D3" s="101"/>
      <c r="E3" s="101"/>
      <c r="F3" s="101"/>
      <c r="G3" s="101"/>
      <c r="H3" s="101"/>
      <c r="I3" s="101"/>
    </row>
    <row r="4" spans="1:11" s="1" customFormat="1" ht="20.25" customHeight="1" x14ac:dyDescent="0.4">
      <c r="A4" s="172">
        <v>1</v>
      </c>
      <c r="B4" s="172"/>
      <c r="C4" s="172"/>
      <c r="D4" s="173" t="s">
        <v>4</v>
      </c>
      <c r="E4" s="30" t="s">
        <v>117</v>
      </c>
      <c r="F4" s="140" t="s">
        <v>104</v>
      </c>
      <c r="G4" s="140"/>
      <c r="H4" s="30" t="s">
        <v>118</v>
      </c>
      <c r="I4" s="30" t="s">
        <v>119</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1" x14ac:dyDescent="0.4">
      <c r="A5" s="172"/>
      <c r="B5" s="172"/>
      <c r="C5" s="172"/>
      <c r="D5" s="173"/>
      <c r="E5" s="30">
        <v>3</v>
      </c>
      <c r="F5" s="140">
        <v>1</v>
      </c>
      <c r="G5" s="140"/>
      <c r="H5" s="30">
        <v>0</v>
      </c>
      <c r="I5" s="30">
        <f ca="1">--TRIM(RIGHT(SUBSTITUTE(LEFT(A4,_xlfn.AGGREGATE(16,6,FIND({0,1,2,3,4,5,6,7,8,9},A4,ROW(INDIRECT("1:"&amp;LEN(A4)))),1))," ",REPT(" ",LEN(A4))),LEN(A4)))</f>
        <v>1</v>
      </c>
      <c r="J5" s="17" t="s">
        <v>123</v>
      </c>
      <c r="K5" s="18"/>
    </row>
    <row r="6" spans="1:11" s="1" customFormat="1" ht="20.25" customHeight="1" x14ac:dyDescent="0.4">
      <c r="A6" s="141" t="s">
        <v>121</v>
      </c>
      <c r="B6" s="141"/>
      <c r="C6" s="141" t="s">
        <v>131</v>
      </c>
      <c r="D6" s="141"/>
      <c r="E6" s="28" t="s">
        <v>132</v>
      </c>
      <c r="F6" s="141" t="s">
        <v>122</v>
      </c>
      <c r="G6" s="141"/>
      <c r="H6" s="29" t="s">
        <v>120</v>
      </c>
      <c r="I6" s="29"/>
      <c r="J6" s="20" t="s">
        <v>133</v>
      </c>
      <c r="K6" s="19">
        <f ca="1">I5*25%</f>
        <v>0.25</v>
      </c>
    </row>
    <row r="7" spans="1:11" s="1" customFormat="1" ht="20.25" customHeight="1" x14ac:dyDescent="0.4">
      <c r="A7" s="94" t="s">
        <v>134</v>
      </c>
      <c r="B7" s="94"/>
      <c r="C7" s="140">
        <f ca="1">K8</f>
        <v>1</v>
      </c>
      <c r="D7" s="140"/>
      <c r="E7" s="5">
        <f ca="1">((100/I5)*C7)/100</f>
        <v>1</v>
      </c>
      <c r="F7" s="94">
        <f ca="1">(((C7/I5*5)+(C8/I5*20)+(25/(F5+H5+I5)*C9)+(5/(I5)*C10)+(2.5/(I5)*C11)+(2.5/(I5)*C12)+(5/I5*C13)+(10/I5*C14)+(2.5/I5*C15)+(2.5/I5*C16)+(10/I5*C17)+(10/I5*C18))/100)</f>
        <v>0.25</v>
      </c>
      <c r="G7" s="94"/>
      <c r="H7" s="94" t="str">
        <f ca="1">J4</f>
        <v>Excavation work Completed. Plinth work completed</v>
      </c>
      <c r="I7" s="94"/>
      <c r="J7" s="20" t="s">
        <v>124</v>
      </c>
      <c r="K7" s="24">
        <f ca="1">I5*50%</f>
        <v>0.5</v>
      </c>
    </row>
    <row r="8" spans="1:11" s="1" customFormat="1" ht="21" x14ac:dyDescent="0.4">
      <c r="A8" s="94" t="s">
        <v>105</v>
      </c>
      <c r="B8" s="94"/>
      <c r="C8" s="174">
        <f ca="1">K16</f>
        <v>1</v>
      </c>
      <c r="D8" s="140"/>
      <c r="E8" s="5">
        <f ca="1">((100/I5)*C8)/100</f>
        <v>1</v>
      </c>
      <c r="F8" s="94"/>
      <c r="G8" s="94"/>
      <c r="H8" s="94"/>
      <c r="I8" s="94"/>
      <c r="J8" s="20" t="s">
        <v>125</v>
      </c>
      <c r="K8" s="24">
        <f ca="1">I5</f>
        <v>1</v>
      </c>
    </row>
    <row r="9" spans="1:11" s="1" customFormat="1" ht="21" customHeight="1" x14ac:dyDescent="0.4">
      <c r="A9" s="94" t="s">
        <v>135</v>
      </c>
      <c r="B9" s="94"/>
      <c r="C9" s="140">
        <v>0</v>
      </c>
      <c r="D9" s="140"/>
      <c r="E9" s="5">
        <f ca="1">((100/(F5+H5+I5))*C9)/100</f>
        <v>0</v>
      </c>
      <c r="F9" s="94"/>
      <c r="G9" s="94"/>
      <c r="H9" s="94"/>
      <c r="I9" s="94"/>
      <c r="J9" s="20" t="s">
        <v>126</v>
      </c>
      <c r="K9" s="25">
        <f ca="1">(IF(E5&gt;1,(I5/(E5+2)),I5*0.2))</f>
        <v>0.2</v>
      </c>
    </row>
    <row r="10" spans="1:11" s="1" customFormat="1" ht="21" customHeight="1" x14ac:dyDescent="0.4">
      <c r="A10" s="94" t="s">
        <v>136</v>
      </c>
      <c r="B10" s="94"/>
      <c r="C10" s="140">
        <v>0</v>
      </c>
      <c r="D10" s="140"/>
      <c r="E10" s="5">
        <f ca="1">((100/I5)*C10)/100</f>
        <v>0</v>
      </c>
      <c r="F10" s="94"/>
      <c r="G10" s="94"/>
      <c r="H10" s="94"/>
      <c r="I10" s="94"/>
      <c r="J10" s="20" t="s">
        <v>127</v>
      </c>
      <c r="K10" s="25">
        <f ca="1">(IF(E5&gt;1,(I5/(E5+2)+K9),I5*0.2+K9))</f>
        <v>0.4</v>
      </c>
    </row>
    <row r="11" spans="1:11" s="1" customFormat="1" ht="21" customHeight="1" x14ac:dyDescent="0.4">
      <c r="A11" s="95" t="s">
        <v>137</v>
      </c>
      <c r="B11" s="96"/>
      <c r="C11" s="140">
        <v>0</v>
      </c>
      <c r="D11" s="140"/>
      <c r="E11" s="5">
        <f ca="1">((100/I5)*C11)/100</f>
        <v>0</v>
      </c>
      <c r="F11" s="94"/>
      <c r="G11" s="94"/>
      <c r="H11" s="94"/>
      <c r="I11" s="94"/>
      <c r="J11" s="20" t="s">
        <v>138</v>
      </c>
      <c r="K11" s="25">
        <f ca="1">(IF(E5&gt;1,(I5/(E5+2)+K10),0))</f>
        <v>0.60000000000000009</v>
      </c>
    </row>
    <row r="12" spans="1:11" s="1" customFormat="1" ht="21" customHeight="1" x14ac:dyDescent="0.4">
      <c r="A12" s="95" t="s">
        <v>168</v>
      </c>
      <c r="B12" s="96"/>
      <c r="C12" s="140">
        <v>0</v>
      </c>
      <c r="D12" s="140"/>
      <c r="E12" s="5">
        <f ca="1">((100/I5)*C12)/100</f>
        <v>0</v>
      </c>
      <c r="F12" s="94"/>
      <c r="G12" s="94"/>
      <c r="H12" s="94"/>
      <c r="I12" s="94"/>
      <c r="J12" s="20" t="s">
        <v>139</v>
      </c>
      <c r="K12" s="25">
        <f ca="1">(IF(E5&gt;2,(I5/(E5+2)+K11),0))</f>
        <v>0.8</v>
      </c>
    </row>
    <row r="13" spans="1:11" s="1" customFormat="1" ht="57.75" customHeight="1" x14ac:dyDescent="0.4">
      <c r="A13" s="95" t="s">
        <v>165</v>
      </c>
      <c r="B13" s="96"/>
      <c r="C13" s="140">
        <v>0</v>
      </c>
      <c r="D13" s="140"/>
      <c r="E13" s="5">
        <f ca="1">((100/(I5))*C13)/100</f>
        <v>0</v>
      </c>
      <c r="F13" s="94"/>
      <c r="G13" s="94"/>
      <c r="H13" s="94"/>
      <c r="I13" s="94"/>
      <c r="J13" s="20" t="s">
        <v>141</v>
      </c>
      <c r="K13" s="26">
        <f>(IF(E5&gt;3,(I5/(E5+2)+K12),0))</f>
        <v>0</v>
      </c>
    </row>
    <row r="14" spans="1:11" s="1" customFormat="1" ht="21" x14ac:dyDescent="0.4">
      <c r="A14" s="94" t="s">
        <v>140</v>
      </c>
      <c r="B14" s="94"/>
      <c r="C14" s="140">
        <v>0</v>
      </c>
      <c r="D14" s="140"/>
      <c r="E14" s="5">
        <f ca="1">((100/(I5))*C14)/100</f>
        <v>0</v>
      </c>
      <c r="F14" s="94"/>
      <c r="G14" s="94"/>
      <c r="H14" s="94"/>
      <c r="I14" s="94"/>
      <c r="J14" s="20" t="s">
        <v>142</v>
      </c>
      <c r="K14" s="25">
        <f>(IF(E5&gt;4,(I5/(E5+2)+K13),0))</f>
        <v>0</v>
      </c>
    </row>
    <row r="15" spans="1:11" s="1" customFormat="1" ht="21" customHeight="1" x14ac:dyDescent="0.4">
      <c r="A15" s="94" t="s">
        <v>167</v>
      </c>
      <c r="B15" s="94"/>
      <c r="C15" s="140">
        <v>0</v>
      </c>
      <c r="D15" s="140"/>
      <c r="E15" s="5">
        <f ca="1">((100/I5)*C15)/100</f>
        <v>0</v>
      </c>
      <c r="F15" s="94"/>
      <c r="G15" s="94"/>
      <c r="H15" s="94"/>
      <c r="I15" s="94"/>
      <c r="J15" s="20" t="s">
        <v>128</v>
      </c>
      <c r="K15" s="25">
        <f>(IF(E5=1,(I5/(E5+3)+K10),IF(E5=0,(I5*0.3+K10),IF(E5&gt;1,0))))</f>
        <v>0</v>
      </c>
    </row>
    <row r="16" spans="1:11" s="1" customFormat="1" ht="21.6" thickBot="1" x14ac:dyDescent="0.45">
      <c r="A16" s="94" t="s">
        <v>166</v>
      </c>
      <c r="B16" s="94"/>
      <c r="C16" s="140">
        <v>0</v>
      </c>
      <c r="D16" s="140"/>
      <c r="E16" s="5">
        <f ca="1">((100/I5)*C16)/100</f>
        <v>0</v>
      </c>
      <c r="F16" s="94"/>
      <c r="G16" s="94"/>
      <c r="H16" s="94"/>
      <c r="I16" s="94"/>
      <c r="J16" s="22" t="s">
        <v>129</v>
      </c>
      <c r="K16" s="27">
        <f ca="1">(IF(E5&gt;1.5,(I5/(E5+2)+K10+MAX(0,K11-K10)+MAX(0,K12-K11)+MAX(0,K13-K12)+MAX(0,K14-K13)+MAX(0,K15-K14)),IF(E5=1,(I5/(E5+3)+K15),IF(E5=0,I5*0.3+K15))))</f>
        <v>1</v>
      </c>
    </row>
    <row r="17" spans="1:9" s="1" customFormat="1" ht="21" x14ac:dyDescent="0.3">
      <c r="A17" s="94" t="s">
        <v>143</v>
      </c>
      <c r="B17" s="94"/>
      <c r="C17" s="140">
        <v>0</v>
      </c>
      <c r="D17" s="140"/>
      <c r="E17" s="5">
        <f ca="1">((100/(I5))*C17)/100</f>
        <v>0</v>
      </c>
      <c r="F17" s="94"/>
      <c r="G17" s="94"/>
      <c r="H17" s="94"/>
      <c r="I17" s="94"/>
    </row>
    <row r="18" spans="1:9" s="1" customFormat="1" ht="21" x14ac:dyDescent="0.3">
      <c r="A18" s="94" t="s">
        <v>144</v>
      </c>
      <c r="B18" s="94"/>
      <c r="C18" s="140">
        <v>0</v>
      </c>
      <c r="D18" s="140"/>
      <c r="E18" s="5">
        <f ca="1">((100/(I5))*C18)/100</f>
        <v>0</v>
      </c>
      <c r="F18" s="94"/>
      <c r="G18" s="94"/>
      <c r="H18" s="94"/>
      <c r="I18" s="94"/>
    </row>
    <row r="23" spans="1:9" x14ac:dyDescent="0.3">
      <c r="B23" s="175" t="s">
        <v>169</v>
      </c>
      <c r="C23" s="175"/>
      <c r="D23" s="175"/>
      <c r="E23" s="175"/>
      <c r="F23" s="175"/>
      <c r="G23" s="175"/>
    </row>
    <row r="24" spans="1:9" ht="14.4" customHeight="1" x14ac:dyDescent="0.3">
      <c r="B24" s="178" t="s">
        <v>170</v>
      </c>
      <c r="C24" s="178" t="s">
        <v>171</v>
      </c>
      <c r="D24" s="181" t="s">
        <v>172</v>
      </c>
      <c r="E24" s="182" t="s">
        <v>173</v>
      </c>
      <c r="F24" s="179" t="s">
        <v>174</v>
      </c>
      <c r="G24" s="178" t="s">
        <v>175</v>
      </c>
    </row>
    <row r="25" spans="1:9" x14ac:dyDescent="0.3">
      <c r="B25" s="178"/>
      <c r="C25" s="178"/>
      <c r="D25" s="181"/>
      <c r="E25" s="182"/>
      <c r="F25" s="179"/>
      <c r="G25" s="178"/>
    </row>
    <row r="26" spans="1:9" x14ac:dyDescent="0.3">
      <c r="B26" s="38" t="s">
        <v>176</v>
      </c>
      <c r="C26" s="39">
        <v>10</v>
      </c>
      <c r="D26" s="39">
        <v>1</v>
      </c>
      <c r="E26" s="40"/>
      <c r="F26" s="41">
        <f>((E26/D26)*0.05)*100</f>
        <v>0</v>
      </c>
      <c r="G26" s="41">
        <f t="shared" ref="G26:G37" si="0">((E26/D26)*(C26/100))*100</f>
        <v>0</v>
      </c>
    </row>
    <row r="27" spans="1:9" x14ac:dyDescent="0.3">
      <c r="B27" s="38" t="s">
        <v>177</v>
      </c>
      <c r="C27" s="40">
        <v>10</v>
      </c>
      <c r="D27" s="40">
        <v>1</v>
      </c>
      <c r="E27" s="40"/>
      <c r="F27" s="41">
        <f>((E27/D27)*0.05)*100</f>
        <v>0</v>
      </c>
      <c r="G27" s="41">
        <f t="shared" si="0"/>
        <v>0</v>
      </c>
    </row>
    <row r="28" spans="1:9" x14ac:dyDescent="0.3">
      <c r="B28" s="38" t="s">
        <v>178</v>
      </c>
      <c r="C28" s="40">
        <v>15</v>
      </c>
      <c r="D28" s="40">
        <v>1</v>
      </c>
      <c r="E28" s="40"/>
      <c r="F28" s="41">
        <f>((E28/D28)*0.15)*100</f>
        <v>0</v>
      </c>
      <c r="G28" s="41">
        <f t="shared" si="0"/>
        <v>0</v>
      </c>
    </row>
    <row r="29" spans="1:9" x14ac:dyDescent="0.3">
      <c r="B29" s="42" t="s">
        <v>179</v>
      </c>
      <c r="C29" s="40">
        <v>25</v>
      </c>
      <c r="D29" s="40">
        <v>40</v>
      </c>
      <c r="E29" s="40"/>
      <c r="F29" s="41">
        <f>((E29/D29)*0.25)*100</f>
        <v>0</v>
      </c>
      <c r="G29" s="41">
        <f t="shared" si="0"/>
        <v>0</v>
      </c>
    </row>
    <row r="30" spans="1:9" x14ac:dyDescent="0.3">
      <c r="B30" s="42" t="s">
        <v>180</v>
      </c>
      <c r="C30" s="40">
        <v>5</v>
      </c>
      <c r="D30" s="40">
        <v>39</v>
      </c>
      <c r="E30" s="40"/>
      <c r="F30" s="41">
        <f>((E30/D30)*0.05)*100</f>
        <v>0</v>
      </c>
      <c r="G30" s="41">
        <f t="shared" si="0"/>
        <v>0</v>
      </c>
    </row>
    <row r="31" spans="1:9" ht="28.8" x14ac:dyDescent="0.3">
      <c r="B31" s="42" t="s">
        <v>181</v>
      </c>
      <c r="C31" s="40">
        <v>2.5</v>
      </c>
      <c r="D31" s="40">
        <v>39</v>
      </c>
      <c r="E31" s="40"/>
      <c r="F31" s="41">
        <f>((E31/D31)*0.025)*100</f>
        <v>0</v>
      </c>
      <c r="G31" s="41">
        <f t="shared" si="0"/>
        <v>0</v>
      </c>
    </row>
    <row r="32" spans="1:9" ht="28.8" x14ac:dyDescent="0.3">
      <c r="B32" s="42" t="s">
        <v>182</v>
      </c>
      <c r="C32" s="40">
        <v>2.5</v>
      </c>
      <c r="D32" s="40">
        <v>39</v>
      </c>
      <c r="E32" s="40"/>
      <c r="F32" s="41">
        <f>((E32/D32)*0.025)*100</f>
        <v>0</v>
      </c>
      <c r="G32" s="41">
        <f t="shared" si="0"/>
        <v>0</v>
      </c>
    </row>
    <row r="33" spans="1:7" ht="43.2" x14ac:dyDescent="0.3">
      <c r="B33" s="43" t="s">
        <v>183</v>
      </c>
      <c r="C33" s="40">
        <v>5</v>
      </c>
      <c r="D33" s="40">
        <v>39</v>
      </c>
      <c r="E33" s="40"/>
      <c r="F33" s="41">
        <f>((E33/D33)*0.05)*100</f>
        <v>0</v>
      </c>
      <c r="G33" s="41">
        <f t="shared" si="0"/>
        <v>0</v>
      </c>
    </row>
    <row r="34" spans="1:7" ht="28.8" x14ac:dyDescent="0.3">
      <c r="B34" s="43" t="s">
        <v>184</v>
      </c>
      <c r="C34" s="40">
        <v>5</v>
      </c>
      <c r="D34" s="40">
        <v>39</v>
      </c>
      <c r="E34" s="40"/>
      <c r="F34" s="41">
        <f>((E34/D34)*0.1)*100</f>
        <v>0</v>
      </c>
      <c r="G34" s="41">
        <f t="shared" si="0"/>
        <v>0</v>
      </c>
    </row>
    <row r="35" spans="1:7" ht="28.8" x14ac:dyDescent="0.3">
      <c r="B35" s="43" t="s">
        <v>185</v>
      </c>
      <c r="C35" s="40">
        <v>5</v>
      </c>
      <c r="D35" s="40">
        <v>39</v>
      </c>
      <c r="E35" s="40"/>
      <c r="F35" s="41">
        <f>((E35/D35)*0.05)*100</f>
        <v>0</v>
      </c>
      <c r="G35" s="41">
        <f t="shared" si="0"/>
        <v>0</v>
      </c>
    </row>
    <row r="36" spans="1:7" ht="43.2" x14ac:dyDescent="0.3">
      <c r="B36" s="43" t="s">
        <v>186</v>
      </c>
      <c r="C36" s="40">
        <v>10</v>
      </c>
      <c r="D36" s="40">
        <v>39</v>
      </c>
      <c r="E36" s="40"/>
      <c r="F36" s="41">
        <f>((E36/D36)*0.1)*100</f>
        <v>0</v>
      </c>
      <c r="G36" s="41">
        <f t="shared" si="0"/>
        <v>0</v>
      </c>
    </row>
    <row r="37" spans="1:7" ht="43.2" x14ac:dyDescent="0.3">
      <c r="B37" s="43" t="s">
        <v>187</v>
      </c>
      <c r="C37" s="40">
        <v>5</v>
      </c>
      <c r="D37" s="40">
        <v>39</v>
      </c>
      <c r="E37" s="40"/>
      <c r="F37" s="41">
        <f>((E37/D37)*0.1)*100</f>
        <v>0</v>
      </c>
      <c r="G37" s="41">
        <f t="shared" si="0"/>
        <v>0</v>
      </c>
    </row>
    <row r="38" spans="1:7" ht="15.6" x14ac:dyDescent="0.3">
      <c r="B38" s="44" t="s">
        <v>188</v>
      </c>
      <c r="C38" s="45">
        <f>SUM(C26:C37)</f>
        <v>100</v>
      </c>
      <c r="D38" s="44"/>
      <c r="E38" s="44"/>
      <c r="F38" s="45">
        <f>SUM(F26:F37)</f>
        <v>0</v>
      </c>
      <c r="G38" s="45">
        <f>SUM(G26:G37)</f>
        <v>0</v>
      </c>
    </row>
    <row r="39" spans="1:7" x14ac:dyDescent="0.3">
      <c r="B39" s="179" t="s">
        <v>189</v>
      </c>
      <c r="C39" s="179"/>
      <c r="D39" s="179"/>
      <c r="E39" s="179"/>
      <c r="F39" s="179"/>
      <c r="G39" s="179"/>
    </row>
    <row r="40" spans="1:7" x14ac:dyDescent="0.3">
      <c r="B40" s="180" t="s">
        <v>190</v>
      </c>
      <c r="C40" s="180"/>
      <c r="D40" s="180"/>
      <c r="E40" s="180" t="s">
        <v>191</v>
      </c>
      <c r="F40" s="180"/>
      <c r="G40" s="180"/>
    </row>
    <row r="41" spans="1:7" x14ac:dyDescent="0.3">
      <c r="B41" s="176" t="s">
        <v>192</v>
      </c>
      <c r="C41" s="176"/>
      <c r="D41" s="176"/>
      <c r="E41" s="176" t="s">
        <v>193</v>
      </c>
      <c r="F41" s="176"/>
      <c r="G41" s="176"/>
    </row>
    <row r="42" spans="1:7" x14ac:dyDescent="0.3">
      <c r="B42" s="176" t="s">
        <v>194</v>
      </c>
      <c r="C42" s="176"/>
      <c r="D42" s="176"/>
      <c r="E42" s="176" t="s">
        <v>195</v>
      </c>
      <c r="F42" s="176"/>
      <c r="G42" s="176"/>
    </row>
    <row r="43" spans="1:7" x14ac:dyDescent="0.3">
      <c r="B43" s="177" t="s">
        <v>196</v>
      </c>
      <c r="C43" s="177"/>
      <c r="D43" s="177"/>
      <c r="E43" s="177" t="s">
        <v>197</v>
      </c>
      <c r="F43" s="177"/>
      <c r="G43" s="177"/>
    </row>
    <row r="45" spans="1:7" ht="15" thickBot="1" x14ac:dyDescent="0.35"/>
    <row r="46" spans="1:7" ht="16.8" thickTop="1" thickBot="1" x14ac:dyDescent="0.35">
      <c r="A46" s="46" t="s">
        <v>198</v>
      </c>
      <c r="B46" s="46" t="s">
        <v>170</v>
      </c>
      <c r="C46" s="47" t="s">
        <v>199</v>
      </c>
      <c r="D46" s="47" t="s">
        <v>200</v>
      </c>
      <c r="E46" s="47" t="s">
        <v>201</v>
      </c>
    </row>
    <row r="47" spans="1:7" ht="30" thickTop="1" thickBot="1" x14ac:dyDescent="0.35">
      <c r="A47" s="48">
        <v>1</v>
      </c>
      <c r="B47" s="49" t="s">
        <v>202</v>
      </c>
      <c r="C47" s="50">
        <v>0</v>
      </c>
      <c r="D47" s="51">
        <v>0.1</v>
      </c>
      <c r="E47" s="50">
        <v>0.1</v>
      </c>
    </row>
    <row r="48" spans="1:7" ht="15.6" thickTop="1" thickBot="1" x14ac:dyDescent="0.35">
      <c r="A48" s="48">
        <v>2</v>
      </c>
      <c r="B48" s="49" t="s">
        <v>203</v>
      </c>
      <c r="C48" s="50" t="s">
        <v>204</v>
      </c>
      <c r="D48" s="51" t="s">
        <v>205</v>
      </c>
      <c r="E48" s="50">
        <v>0.3</v>
      </c>
    </row>
    <row r="49" spans="1:5" ht="58.8" thickTop="1" thickBot="1" x14ac:dyDescent="0.35">
      <c r="A49" s="48">
        <v>3</v>
      </c>
      <c r="B49" s="49" t="s">
        <v>206</v>
      </c>
      <c r="C49" s="50" t="s">
        <v>207</v>
      </c>
      <c r="D49" s="51" t="s">
        <v>208</v>
      </c>
      <c r="E49" s="50">
        <v>0.45</v>
      </c>
    </row>
    <row r="50" spans="1:5" ht="73.2" thickTop="1" thickBot="1" x14ac:dyDescent="0.35">
      <c r="A50" s="48">
        <v>4</v>
      </c>
      <c r="B50" s="49" t="s">
        <v>209</v>
      </c>
      <c r="C50" s="50" t="s">
        <v>210</v>
      </c>
      <c r="D50" s="51" t="s">
        <v>211</v>
      </c>
      <c r="E50" s="50">
        <v>0.7</v>
      </c>
    </row>
    <row r="51" spans="1:5" ht="58.8" thickTop="1" thickBot="1" x14ac:dyDescent="0.35">
      <c r="A51" s="48">
        <v>5</v>
      </c>
      <c r="B51" s="49" t="s">
        <v>212</v>
      </c>
      <c r="C51" s="50" t="s">
        <v>213</v>
      </c>
      <c r="D51" s="51" t="s">
        <v>214</v>
      </c>
      <c r="E51" s="50">
        <v>0.75</v>
      </c>
    </row>
    <row r="52" spans="1:5" ht="73.2" thickTop="1" thickBot="1" x14ac:dyDescent="0.35">
      <c r="A52" s="48">
        <v>6</v>
      </c>
      <c r="B52" s="49" t="s">
        <v>215</v>
      </c>
      <c r="C52" s="50" t="s">
        <v>216</v>
      </c>
      <c r="D52" s="51" t="s">
        <v>217</v>
      </c>
      <c r="E52" s="50">
        <v>0.8</v>
      </c>
    </row>
    <row r="53" spans="1:5" ht="102" thickTop="1" thickBot="1" x14ac:dyDescent="0.35">
      <c r="A53" s="48">
        <v>7</v>
      </c>
      <c r="B53" s="49" t="s">
        <v>218</v>
      </c>
      <c r="C53" s="50" t="s">
        <v>219</v>
      </c>
      <c r="D53" s="51" t="s">
        <v>220</v>
      </c>
      <c r="E53" s="50">
        <v>0.85</v>
      </c>
    </row>
    <row r="54" spans="1:5" ht="174" thickTop="1" thickBot="1" x14ac:dyDescent="0.35">
      <c r="A54" s="48">
        <v>8</v>
      </c>
      <c r="B54" s="49" t="s">
        <v>221</v>
      </c>
      <c r="C54" s="50" t="s">
        <v>222</v>
      </c>
      <c r="D54" s="51" t="s">
        <v>223</v>
      </c>
      <c r="E54" s="50">
        <v>0.95</v>
      </c>
    </row>
    <row r="55" spans="1:5" ht="87.6" thickTop="1" thickBot="1" x14ac:dyDescent="0.35">
      <c r="A55" s="48">
        <v>9</v>
      </c>
      <c r="B55" s="49" t="s">
        <v>224</v>
      </c>
      <c r="C55" s="50" t="s">
        <v>225</v>
      </c>
      <c r="D55" s="51" t="s">
        <v>226</v>
      </c>
      <c r="E55" s="50">
        <v>1</v>
      </c>
    </row>
    <row r="56" spans="1:5" ht="15" thickTop="1" x14ac:dyDescent="0.3"/>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4.4" x14ac:dyDescent="0.3"/>
  <cols>
    <col min="2" max="2" width="3" bestFit="1" customWidth="1"/>
    <col min="3" max="3" width="155.33203125" customWidth="1"/>
  </cols>
  <sheetData>
    <row r="2" spans="2:3" ht="28.8" x14ac:dyDescent="0.3">
      <c r="B2" s="40">
        <v>1</v>
      </c>
      <c r="C2" s="58" t="s">
        <v>245</v>
      </c>
    </row>
    <row r="3" spans="2:3" x14ac:dyDescent="0.3">
      <c r="B3" s="40">
        <v>2</v>
      </c>
      <c r="C3" s="59" t="s">
        <v>246</v>
      </c>
    </row>
    <row r="4" spans="2:3" x14ac:dyDescent="0.3">
      <c r="B4" s="40">
        <v>3</v>
      </c>
      <c r="C4" s="40" t="s">
        <v>247</v>
      </c>
    </row>
    <row r="5" spans="2:3" x14ac:dyDescent="0.3">
      <c r="B5" s="40">
        <v>4</v>
      </c>
      <c r="C5" s="59" t="s">
        <v>248</v>
      </c>
    </row>
    <row r="6" spans="2:3" x14ac:dyDescent="0.3">
      <c r="B6" s="40">
        <v>5</v>
      </c>
      <c r="C6" s="40" t="s">
        <v>249</v>
      </c>
    </row>
    <row r="7" spans="2:3" x14ac:dyDescent="0.3">
      <c r="B7" s="40">
        <v>6</v>
      </c>
      <c r="C7" s="59" t="s">
        <v>250</v>
      </c>
    </row>
    <row r="8" spans="2:3" ht="72" x14ac:dyDescent="0.3">
      <c r="B8" s="40">
        <v>7</v>
      </c>
      <c r="C8" s="59" t="s">
        <v>251</v>
      </c>
    </row>
    <row r="9" spans="2:3" x14ac:dyDescent="0.3">
      <c r="B9" s="40">
        <v>8</v>
      </c>
      <c r="C9" s="40" t="s">
        <v>252</v>
      </c>
    </row>
    <row r="10" spans="2:3" x14ac:dyDescent="0.3">
      <c r="B10" s="40">
        <v>9</v>
      </c>
      <c r="C10" s="40" t="s">
        <v>253</v>
      </c>
    </row>
    <row r="11" spans="2:3" x14ac:dyDescent="0.3">
      <c r="B11" s="40">
        <v>10</v>
      </c>
      <c r="C11" s="40" t="s">
        <v>254</v>
      </c>
    </row>
    <row r="12" spans="2:3" x14ac:dyDescent="0.3">
      <c r="B12" s="40">
        <v>11</v>
      </c>
      <c r="C12" s="40" t="s">
        <v>255</v>
      </c>
    </row>
    <row r="13" spans="2:3" x14ac:dyDescent="0.3">
      <c r="B13" s="40">
        <v>12</v>
      </c>
      <c r="C13" s="40" t="s">
        <v>256</v>
      </c>
    </row>
    <row r="14" spans="2:3" x14ac:dyDescent="0.3">
      <c r="B14" s="40">
        <v>13</v>
      </c>
      <c r="C14" s="40" t="s">
        <v>257</v>
      </c>
    </row>
    <row r="15" spans="2:3" x14ac:dyDescent="0.3">
      <c r="B15" s="40">
        <v>14</v>
      </c>
      <c r="C15" s="40" t="s">
        <v>247</v>
      </c>
    </row>
    <row r="16" spans="2:3" x14ac:dyDescent="0.3">
      <c r="B16" s="40">
        <v>15</v>
      </c>
      <c r="C16" s="40" t="s">
        <v>241</v>
      </c>
    </row>
    <row r="17" spans="2:3" x14ac:dyDescent="0.3">
      <c r="B17" s="60">
        <v>16</v>
      </c>
      <c r="C17" s="61" t="s">
        <v>258</v>
      </c>
    </row>
    <row r="18" spans="2:3" x14ac:dyDescent="0.3">
      <c r="B18" s="62">
        <v>17</v>
      </c>
      <c r="C18" s="61" t="s">
        <v>259</v>
      </c>
    </row>
    <row r="19" spans="2:3" x14ac:dyDescent="0.3">
      <c r="B19" s="63">
        <v>18</v>
      </c>
      <c r="C19" s="40" t="s">
        <v>260</v>
      </c>
    </row>
    <row r="20" spans="2:3" x14ac:dyDescent="0.3">
      <c r="B20" s="62">
        <v>19</v>
      </c>
      <c r="C20" s="40" t="s">
        <v>261</v>
      </c>
    </row>
    <row r="21" spans="2:3" x14ac:dyDescent="0.3">
      <c r="B21" s="40">
        <v>20</v>
      </c>
      <c r="C21" s="40" t="s">
        <v>262</v>
      </c>
    </row>
    <row r="22" spans="2:3" x14ac:dyDescent="0.3">
      <c r="B22" s="62">
        <v>21</v>
      </c>
      <c r="C22" s="40" t="s">
        <v>260</v>
      </c>
    </row>
    <row r="23" spans="2:3" s="65" customFormat="1" ht="28.8" x14ac:dyDescent="0.3">
      <c r="B23" s="64">
        <v>22</v>
      </c>
      <c r="C23" s="58" t="s">
        <v>263</v>
      </c>
    </row>
    <row r="24" spans="2:3" s="65" customFormat="1" ht="28.8" x14ac:dyDescent="0.3">
      <c r="B24" s="66">
        <v>23</v>
      </c>
      <c r="C24" s="58" t="s">
        <v>264</v>
      </c>
    </row>
    <row r="25" spans="2:3" x14ac:dyDescent="0.3">
      <c r="B25" s="40">
        <v>24</v>
      </c>
      <c r="C25" s="40" t="s">
        <v>265</v>
      </c>
    </row>
    <row r="26" spans="2:3" x14ac:dyDescent="0.3">
      <c r="B26" s="62">
        <v>25</v>
      </c>
      <c r="C26" s="40" t="s">
        <v>266</v>
      </c>
    </row>
    <row r="27" spans="2:3" x14ac:dyDescent="0.3">
      <c r="B27" s="66">
        <v>26</v>
      </c>
      <c r="C27" s="40" t="s">
        <v>267</v>
      </c>
    </row>
    <row r="28" spans="2:3" x14ac:dyDescent="0.3">
      <c r="B28" s="62">
        <v>27</v>
      </c>
      <c r="C28" s="40" t="s">
        <v>268</v>
      </c>
    </row>
    <row r="29" spans="2:3" ht="43.2" x14ac:dyDescent="0.3">
      <c r="B29" s="67">
        <v>28</v>
      </c>
      <c r="C29" s="59" t="s">
        <v>269</v>
      </c>
    </row>
    <row r="30" spans="2:3" x14ac:dyDescent="0.3">
      <c r="B30" s="66">
        <v>29</v>
      </c>
      <c r="C30" s="40" t="s">
        <v>270</v>
      </c>
    </row>
    <row r="31" spans="2:3" ht="28.8" x14ac:dyDescent="0.3">
      <c r="B31" s="66">
        <v>30</v>
      </c>
      <c r="C31" s="59" t="s">
        <v>298</v>
      </c>
    </row>
    <row r="32" spans="2:3" x14ac:dyDescent="0.3">
      <c r="B32" s="66">
        <v>31</v>
      </c>
      <c r="C32" s="40" t="s">
        <v>299</v>
      </c>
    </row>
    <row r="33" spans="2:3" x14ac:dyDescent="0.3">
      <c r="B33" s="66">
        <v>32</v>
      </c>
      <c r="C33" s="40" t="s">
        <v>300</v>
      </c>
    </row>
    <row r="34" spans="2:3" ht="28.8" x14ac:dyDescent="0.3">
      <c r="B34" s="66">
        <v>33</v>
      </c>
      <c r="C34" s="61" t="s">
        <v>301</v>
      </c>
    </row>
    <row r="35" spans="2:3" x14ac:dyDescent="0.3">
      <c r="B35" s="66">
        <v>34</v>
      </c>
      <c r="C35" s="40"/>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8"/>
    <col min="2" max="2" width="12.33203125" style="68" customWidth="1"/>
    <col min="3" max="16384" width="9.109375" style="68"/>
  </cols>
  <sheetData>
    <row r="2" spans="1:12" x14ac:dyDescent="0.3">
      <c r="B2" s="69" t="s">
        <v>271</v>
      </c>
      <c r="C2" s="183"/>
      <c r="D2" s="183"/>
    </row>
    <row r="3" spans="1:12" x14ac:dyDescent="0.3">
      <c r="D3" s="70"/>
      <c r="E3" s="70"/>
      <c r="F3" s="70"/>
      <c r="G3" s="70"/>
      <c r="H3" s="70"/>
      <c r="I3" s="70"/>
    </row>
    <row r="4" spans="1:12" x14ac:dyDescent="0.3">
      <c r="A4" s="69" t="s">
        <v>272</v>
      </c>
      <c r="B4" s="57" t="s">
        <v>273</v>
      </c>
      <c r="C4" s="184" t="s">
        <v>274</v>
      </c>
      <c r="D4" s="184"/>
      <c r="E4" s="184"/>
      <c r="F4" s="57"/>
      <c r="G4" s="185" t="s">
        <v>275</v>
      </c>
      <c r="H4" s="185"/>
      <c r="I4" s="185"/>
      <c r="J4" s="186" t="s">
        <v>276</v>
      </c>
      <c r="K4" s="186"/>
      <c r="L4" s="186"/>
    </row>
    <row r="5" spans="1:12" x14ac:dyDescent="0.3">
      <c r="A5" s="69"/>
      <c r="B5" s="57"/>
      <c r="C5" s="57" t="s">
        <v>277</v>
      </c>
      <c r="D5" s="57" t="s">
        <v>278</v>
      </c>
      <c r="E5" s="57" t="s">
        <v>279</v>
      </c>
      <c r="F5" s="57"/>
      <c r="G5" s="57" t="s">
        <v>277</v>
      </c>
      <c r="H5" s="57" t="s">
        <v>278</v>
      </c>
      <c r="I5" s="57" t="s">
        <v>279</v>
      </c>
      <c r="J5" s="57" t="s">
        <v>277</v>
      </c>
      <c r="K5" s="57" t="s">
        <v>278</v>
      </c>
      <c r="L5" s="57" t="s">
        <v>279</v>
      </c>
    </row>
    <row r="6" spans="1:12" x14ac:dyDescent="0.3">
      <c r="B6" s="56" t="s">
        <v>280</v>
      </c>
      <c r="C6" s="56"/>
      <c r="D6" s="56"/>
      <c r="E6" s="56">
        <f>C6*D6</f>
        <v>0</v>
      </c>
      <c r="F6" s="56" t="s">
        <v>281</v>
      </c>
      <c r="G6" s="56"/>
      <c r="H6" s="56"/>
      <c r="I6" s="56">
        <f>G6*H6</f>
        <v>0</v>
      </c>
      <c r="J6" s="56"/>
      <c r="K6" s="56"/>
      <c r="L6" s="56">
        <f>J6*K6</f>
        <v>0</v>
      </c>
    </row>
    <row r="7" spans="1:12" x14ac:dyDescent="0.3">
      <c r="B7" s="56"/>
      <c r="C7" s="56"/>
      <c r="D7" s="56"/>
      <c r="E7" s="56">
        <f t="shared" ref="E7:E41" si="0">C7*D7</f>
        <v>0</v>
      </c>
      <c r="F7" s="56" t="s">
        <v>281</v>
      </c>
      <c r="G7" s="56"/>
      <c r="H7" s="56"/>
      <c r="I7" s="56">
        <f t="shared" ref="I7:I35" si="1">G7*H7</f>
        <v>0</v>
      </c>
      <c r="J7" s="56"/>
      <c r="K7" s="56"/>
      <c r="L7" s="56">
        <f t="shared" ref="L7:L35" si="2">J7*K7</f>
        <v>0</v>
      </c>
    </row>
    <row r="8" spans="1:12" x14ac:dyDescent="0.3">
      <c r="B8" s="56"/>
      <c r="C8" s="56"/>
      <c r="D8" s="56"/>
      <c r="E8" s="56">
        <f t="shared" si="0"/>
        <v>0</v>
      </c>
      <c r="F8" s="56"/>
      <c r="G8" s="56"/>
      <c r="H8" s="56"/>
      <c r="I8" s="56">
        <f t="shared" si="1"/>
        <v>0</v>
      </c>
      <c r="J8" s="56"/>
      <c r="K8" s="56"/>
      <c r="L8" s="56">
        <f t="shared" si="2"/>
        <v>0</v>
      </c>
    </row>
    <row r="9" spans="1:12" x14ac:dyDescent="0.3">
      <c r="B9" s="56"/>
      <c r="C9" s="56"/>
      <c r="D9" s="56"/>
      <c r="E9" s="56">
        <f t="shared" si="0"/>
        <v>0</v>
      </c>
      <c r="F9" s="56" t="s">
        <v>282</v>
      </c>
      <c r="G9" s="56"/>
      <c r="H9" s="56"/>
      <c r="I9" s="56">
        <f t="shared" si="1"/>
        <v>0</v>
      </c>
      <c r="J9" s="56"/>
      <c r="K9" s="56"/>
      <c r="L9" s="56">
        <f t="shared" si="2"/>
        <v>0</v>
      </c>
    </row>
    <row r="10" spans="1:12" x14ac:dyDescent="0.3">
      <c r="B10" s="56" t="s">
        <v>283</v>
      </c>
      <c r="C10" s="56"/>
      <c r="D10" s="56"/>
      <c r="E10" s="56">
        <f t="shared" si="0"/>
        <v>0</v>
      </c>
      <c r="F10" s="56" t="s">
        <v>282</v>
      </c>
      <c r="G10" s="56"/>
      <c r="H10" s="56"/>
      <c r="I10" s="56">
        <f t="shared" si="1"/>
        <v>0</v>
      </c>
      <c r="J10" s="56"/>
      <c r="K10" s="56"/>
      <c r="L10" s="56">
        <f t="shared" si="2"/>
        <v>0</v>
      </c>
    </row>
    <row r="11" spans="1:12" x14ac:dyDescent="0.3">
      <c r="B11" s="56"/>
      <c r="C11" s="56"/>
      <c r="D11" s="56"/>
      <c r="E11" s="56">
        <f t="shared" si="0"/>
        <v>0</v>
      </c>
      <c r="F11" s="56" t="s">
        <v>284</v>
      </c>
      <c r="G11" s="56"/>
      <c r="H11" s="56"/>
      <c r="I11" s="56">
        <f t="shared" si="1"/>
        <v>0</v>
      </c>
      <c r="J11" s="56"/>
      <c r="K11" s="56"/>
      <c r="L11" s="56">
        <f t="shared" si="2"/>
        <v>0</v>
      </c>
    </row>
    <row r="12" spans="1:12" x14ac:dyDescent="0.3">
      <c r="B12" s="56"/>
      <c r="C12" s="56"/>
      <c r="D12" s="56"/>
      <c r="E12" s="56">
        <f t="shared" si="0"/>
        <v>0</v>
      </c>
      <c r="F12" s="56"/>
      <c r="G12" s="56"/>
      <c r="H12" s="56"/>
      <c r="I12" s="56">
        <f t="shared" si="1"/>
        <v>0</v>
      </c>
      <c r="J12" s="56"/>
      <c r="K12" s="56"/>
      <c r="L12" s="56">
        <f t="shared" si="2"/>
        <v>0</v>
      </c>
    </row>
    <row r="13" spans="1:12" x14ac:dyDescent="0.3">
      <c r="B13" s="56"/>
      <c r="C13" s="56"/>
      <c r="D13" s="56"/>
      <c r="E13" s="56">
        <f t="shared" si="0"/>
        <v>0</v>
      </c>
      <c r="F13" s="56"/>
      <c r="G13" s="56"/>
      <c r="H13" s="56"/>
      <c r="I13" s="56">
        <f t="shared" si="1"/>
        <v>0</v>
      </c>
      <c r="J13" s="56"/>
      <c r="K13" s="56"/>
      <c r="L13" s="56">
        <f t="shared" si="2"/>
        <v>0</v>
      </c>
    </row>
    <row r="14" spans="1:12" x14ac:dyDescent="0.3">
      <c r="B14" s="56" t="s">
        <v>285</v>
      </c>
      <c r="C14" s="56"/>
      <c r="D14" s="56"/>
      <c r="E14" s="56">
        <f t="shared" si="0"/>
        <v>0</v>
      </c>
      <c r="F14" s="56" t="s">
        <v>282</v>
      </c>
      <c r="G14" s="56"/>
      <c r="H14" s="56"/>
      <c r="I14" s="56">
        <f t="shared" si="1"/>
        <v>0</v>
      </c>
      <c r="J14" s="56"/>
      <c r="K14" s="56"/>
      <c r="L14" s="56">
        <f t="shared" si="2"/>
        <v>0</v>
      </c>
    </row>
    <row r="15" spans="1:12" x14ac:dyDescent="0.3">
      <c r="B15" s="56"/>
      <c r="C15" s="56"/>
      <c r="D15" s="56"/>
      <c r="E15" s="56">
        <f t="shared" si="0"/>
        <v>0</v>
      </c>
      <c r="F15" s="56" t="s">
        <v>284</v>
      </c>
      <c r="G15" s="56"/>
      <c r="H15" s="56"/>
      <c r="I15" s="56">
        <f t="shared" si="1"/>
        <v>0</v>
      </c>
      <c r="J15" s="56"/>
      <c r="K15" s="56"/>
      <c r="L15" s="56">
        <f t="shared" si="2"/>
        <v>0</v>
      </c>
    </row>
    <row r="16" spans="1:12" x14ac:dyDescent="0.3">
      <c r="B16" s="56"/>
      <c r="C16" s="56"/>
      <c r="D16" s="56"/>
      <c r="E16" s="56">
        <f t="shared" si="0"/>
        <v>0</v>
      </c>
      <c r="F16" s="56"/>
      <c r="G16" s="56"/>
      <c r="H16" s="56"/>
      <c r="I16" s="56">
        <f t="shared" si="1"/>
        <v>0</v>
      </c>
      <c r="J16" s="56"/>
      <c r="K16" s="56"/>
      <c r="L16" s="56">
        <f t="shared" si="2"/>
        <v>0</v>
      </c>
    </row>
    <row r="17" spans="2:12" x14ac:dyDescent="0.3">
      <c r="B17" s="56"/>
      <c r="C17" s="56"/>
      <c r="D17" s="56"/>
      <c r="E17" s="56">
        <f t="shared" si="0"/>
        <v>0</v>
      </c>
      <c r="F17" s="56"/>
      <c r="G17" s="56"/>
      <c r="H17" s="56"/>
      <c r="I17" s="56">
        <f t="shared" si="1"/>
        <v>0</v>
      </c>
      <c r="J17" s="56"/>
      <c r="K17" s="56"/>
      <c r="L17" s="56">
        <f t="shared" si="2"/>
        <v>0</v>
      </c>
    </row>
    <row r="18" spans="2:12" x14ac:dyDescent="0.3">
      <c r="B18" s="56" t="s">
        <v>286</v>
      </c>
      <c r="C18" s="56"/>
      <c r="D18" s="56"/>
      <c r="E18" s="56">
        <f t="shared" si="0"/>
        <v>0</v>
      </c>
      <c r="F18" s="56" t="s">
        <v>282</v>
      </c>
      <c r="G18" s="56"/>
      <c r="H18" s="56"/>
      <c r="I18" s="56">
        <f t="shared" si="1"/>
        <v>0</v>
      </c>
      <c r="J18" s="56"/>
      <c r="K18" s="56"/>
      <c r="L18" s="56">
        <f t="shared" si="2"/>
        <v>0</v>
      </c>
    </row>
    <row r="19" spans="2:12" x14ac:dyDescent="0.3">
      <c r="B19" s="56"/>
      <c r="C19" s="56"/>
      <c r="D19" s="56"/>
      <c r="E19" s="56">
        <f t="shared" si="0"/>
        <v>0</v>
      </c>
      <c r="F19" s="56" t="s">
        <v>284</v>
      </c>
      <c r="G19" s="56"/>
      <c r="H19" s="56"/>
      <c r="I19" s="56">
        <f t="shared" si="1"/>
        <v>0</v>
      </c>
      <c r="J19" s="56"/>
      <c r="K19" s="56"/>
      <c r="L19" s="56">
        <f t="shared" si="2"/>
        <v>0</v>
      </c>
    </row>
    <row r="20" spans="2:12" x14ac:dyDescent="0.3">
      <c r="B20" s="56"/>
      <c r="C20" s="56"/>
      <c r="D20" s="56"/>
      <c r="E20" s="56">
        <f t="shared" si="0"/>
        <v>0</v>
      </c>
      <c r="F20" s="56"/>
      <c r="G20" s="56"/>
      <c r="H20" s="56"/>
      <c r="I20" s="56">
        <f t="shared" si="1"/>
        <v>0</v>
      </c>
      <c r="J20" s="56"/>
      <c r="K20" s="56"/>
      <c r="L20" s="56">
        <f t="shared" si="2"/>
        <v>0</v>
      </c>
    </row>
    <row r="21" spans="2:12" x14ac:dyDescent="0.3">
      <c r="B21" s="56" t="s">
        <v>287</v>
      </c>
      <c r="C21" s="56"/>
      <c r="D21" s="56"/>
      <c r="E21" s="56">
        <f t="shared" si="0"/>
        <v>0</v>
      </c>
      <c r="F21" s="56" t="s">
        <v>282</v>
      </c>
      <c r="G21" s="56"/>
      <c r="H21" s="56"/>
      <c r="I21" s="56">
        <f t="shared" si="1"/>
        <v>0</v>
      </c>
      <c r="J21" s="56"/>
      <c r="K21" s="56"/>
      <c r="L21" s="56">
        <f t="shared" si="2"/>
        <v>0</v>
      </c>
    </row>
    <row r="22" spans="2:12" x14ac:dyDescent="0.3">
      <c r="B22" s="56"/>
      <c r="C22" s="56"/>
      <c r="D22" s="56"/>
      <c r="E22" s="56">
        <f t="shared" si="0"/>
        <v>0</v>
      </c>
      <c r="F22" s="56" t="s">
        <v>284</v>
      </c>
      <c r="G22" s="56"/>
      <c r="H22" s="56"/>
      <c r="I22" s="56">
        <f t="shared" si="1"/>
        <v>0</v>
      </c>
      <c r="J22" s="56"/>
      <c r="K22" s="56"/>
      <c r="L22" s="56">
        <f t="shared" si="2"/>
        <v>0</v>
      </c>
    </row>
    <row r="23" spans="2:12" x14ac:dyDescent="0.3">
      <c r="B23" s="56"/>
      <c r="C23" s="56"/>
      <c r="D23" s="56"/>
      <c r="E23" s="56">
        <f t="shared" si="0"/>
        <v>0</v>
      </c>
      <c r="F23" s="56"/>
      <c r="G23" s="56"/>
      <c r="H23" s="56"/>
      <c r="I23" s="56">
        <f t="shared" si="1"/>
        <v>0</v>
      </c>
      <c r="J23" s="56"/>
      <c r="K23" s="56"/>
      <c r="L23" s="56">
        <f t="shared" si="2"/>
        <v>0</v>
      </c>
    </row>
    <row r="24" spans="2:12" x14ac:dyDescent="0.3">
      <c r="B24" s="56" t="s">
        <v>288</v>
      </c>
      <c r="C24" s="56"/>
      <c r="D24" s="56"/>
      <c r="E24" s="56">
        <f t="shared" si="0"/>
        <v>0</v>
      </c>
      <c r="F24" s="56" t="s">
        <v>289</v>
      </c>
      <c r="G24" s="56"/>
      <c r="H24" s="56"/>
      <c r="I24" s="56">
        <f t="shared" si="1"/>
        <v>0</v>
      </c>
      <c r="J24" s="56"/>
      <c r="K24" s="56"/>
      <c r="L24" s="56">
        <f t="shared" si="2"/>
        <v>0</v>
      </c>
    </row>
    <row r="25" spans="2:12" x14ac:dyDescent="0.3">
      <c r="B25" s="56"/>
      <c r="C25" s="56"/>
      <c r="D25" s="56"/>
      <c r="E25" s="56">
        <f t="shared" si="0"/>
        <v>0</v>
      </c>
      <c r="F25" s="56" t="s">
        <v>289</v>
      </c>
      <c r="G25" s="56"/>
      <c r="H25" s="56"/>
      <c r="I25" s="56">
        <f t="shared" si="1"/>
        <v>0</v>
      </c>
      <c r="J25" s="56"/>
      <c r="K25" s="56"/>
      <c r="L25" s="56">
        <f t="shared" si="2"/>
        <v>0</v>
      </c>
    </row>
    <row r="26" spans="2:12" x14ac:dyDescent="0.3">
      <c r="B26" s="56"/>
      <c r="C26" s="56"/>
      <c r="D26" s="56"/>
      <c r="E26" s="56">
        <f t="shared" si="0"/>
        <v>0</v>
      </c>
      <c r="F26" s="56" t="s">
        <v>289</v>
      </c>
      <c r="G26" s="56"/>
      <c r="H26" s="56"/>
      <c r="I26" s="56">
        <f t="shared" si="1"/>
        <v>0</v>
      </c>
      <c r="J26" s="56"/>
      <c r="K26" s="56"/>
      <c r="L26" s="56">
        <f t="shared" si="2"/>
        <v>0</v>
      </c>
    </row>
    <row r="27" spans="2:12" x14ac:dyDescent="0.3">
      <c r="B27" s="56"/>
      <c r="C27" s="56"/>
      <c r="D27" s="56"/>
      <c r="E27" s="56">
        <f t="shared" si="0"/>
        <v>0</v>
      </c>
      <c r="F27" s="56" t="s">
        <v>289</v>
      </c>
      <c r="G27" s="56"/>
      <c r="H27" s="56"/>
      <c r="I27" s="56">
        <f t="shared" si="1"/>
        <v>0</v>
      </c>
      <c r="J27" s="56"/>
      <c r="K27" s="56"/>
      <c r="L27" s="56">
        <f t="shared" si="2"/>
        <v>0</v>
      </c>
    </row>
    <row r="28" spans="2:12" x14ac:dyDescent="0.3">
      <c r="B28" s="56" t="s">
        <v>290</v>
      </c>
      <c r="C28" s="56"/>
      <c r="D28" s="56"/>
      <c r="E28" s="56">
        <f t="shared" si="0"/>
        <v>0</v>
      </c>
      <c r="F28" s="56" t="s">
        <v>289</v>
      </c>
      <c r="G28" s="56"/>
      <c r="H28" s="56"/>
      <c r="I28" s="56">
        <f t="shared" si="1"/>
        <v>0</v>
      </c>
      <c r="J28" s="56"/>
      <c r="K28" s="56"/>
      <c r="L28" s="56">
        <f t="shared" si="2"/>
        <v>0</v>
      </c>
    </row>
    <row r="29" spans="2:12" x14ac:dyDescent="0.3">
      <c r="B29" s="56" t="s">
        <v>291</v>
      </c>
      <c r="C29" s="56"/>
      <c r="D29" s="56"/>
      <c r="E29" s="56">
        <f t="shared" si="0"/>
        <v>0</v>
      </c>
      <c r="F29" s="56" t="s">
        <v>289</v>
      </c>
      <c r="G29" s="56"/>
      <c r="H29" s="56"/>
      <c r="I29" s="56">
        <f t="shared" si="1"/>
        <v>0</v>
      </c>
      <c r="J29" s="56"/>
      <c r="K29" s="56"/>
      <c r="L29" s="56">
        <f t="shared" si="2"/>
        <v>0</v>
      </c>
    </row>
    <row r="30" spans="2:12" x14ac:dyDescent="0.3">
      <c r="B30" s="56" t="s">
        <v>292</v>
      </c>
      <c r="C30" s="56"/>
      <c r="D30" s="56"/>
      <c r="E30" s="56">
        <f t="shared" si="0"/>
        <v>0</v>
      </c>
      <c r="F30" s="56"/>
      <c r="G30" s="56"/>
      <c r="H30" s="56"/>
      <c r="I30" s="56">
        <f t="shared" si="1"/>
        <v>0</v>
      </c>
      <c r="J30" s="56"/>
      <c r="K30" s="56"/>
      <c r="L30" s="56">
        <f t="shared" si="2"/>
        <v>0</v>
      </c>
    </row>
    <row r="31" spans="2:12" x14ac:dyDescent="0.3">
      <c r="B31" s="56"/>
      <c r="C31" s="56"/>
      <c r="D31" s="56"/>
      <c r="E31" s="56">
        <f t="shared" si="0"/>
        <v>0</v>
      </c>
      <c r="F31" s="56"/>
      <c r="G31" s="56"/>
      <c r="H31" s="56"/>
      <c r="I31" s="56">
        <f t="shared" si="1"/>
        <v>0</v>
      </c>
      <c r="J31" s="56"/>
      <c r="K31" s="56"/>
      <c r="L31" s="56">
        <f t="shared" si="2"/>
        <v>0</v>
      </c>
    </row>
    <row r="32" spans="2:12" x14ac:dyDescent="0.3">
      <c r="B32" s="56"/>
      <c r="C32" s="56"/>
      <c r="D32" s="56"/>
      <c r="E32" s="56">
        <f t="shared" si="0"/>
        <v>0</v>
      </c>
      <c r="F32" s="56"/>
      <c r="G32" s="56"/>
      <c r="H32" s="56"/>
      <c r="I32" s="56">
        <f t="shared" si="1"/>
        <v>0</v>
      </c>
      <c r="J32" s="56"/>
      <c r="K32" s="56"/>
      <c r="L32" s="56">
        <f t="shared" si="2"/>
        <v>0</v>
      </c>
    </row>
    <row r="33" spans="2:12" x14ac:dyDescent="0.3">
      <c r="B33" s="56" t="s">
        <v>293</v>
      </c>
      <c r="C33" s="56"/>
      <c r="D33" s="56"/>
      <c r="E33" s="56">
        <f t="shared" si="0"/>
        <v>0</v>
      </c>
      <c r="F33" s="56"/>
      <c r="G33" s="56"/>
      <c r="H33" s="56"/>
      <c r="I33" s="56">
        <f t="shared" si="1"/>
        <v>0</v>
      </c>
      <c r="J33" s="56"/>
      <c r="K33" s="56"/>
      <c r="L33" s="56">
        <f t="shared" si="2"/>
        <v>0</v>
      </c>
    </row>
    <row r="34" spans="2:12" x14ac:dyDescent="0.3">
      <c r="B34" s="56" t="s">
        <v>294</v>
      </c>
      <c r="C34" s="56"/>
      <c r="D34" s="56"/>
      <c r="E34" s="56">
        <f t="shared" si="0"/>
        <v>0</v>
      </c>
      <c r="F34" s="56"/>
      <c r="G34" s="56"/>
      <c r="H34" s="56"/>
      <c r="I34" s="56">
        <f t="shared" si="1"/>
        <v>0</v>
      </c>
      <c r="J34" s="56"/>
      <c r="K34" s="56"/>
      <c r="L34" s="56">
        <f t="shared" si="2"/>
        <v>0</v>
      </c>
    </row>
    <row r="35" spans="2:12" x14ac:dyDescent="0.3">
      <c r="B35" s="56" t="s">
        <v>295</v>
      </c>
      <c r="C35" s="56"/>
      <c r="D35" s="56"/>
      <c r="E35" s="56">
        <f t="shared" si="0"/>
        <v>0</v>
      </c>
      <c r="F35" s="56"/>
      <c r="G35" s="56"/>
      <c r="H35" s="56"/>
      <c r="I35" s="56">
        <f t="shared" si="1"/>
        <v>0</v>
      </c>
      <c r="J35" s="56"/>
      <c r="K35" s="56"/>
      <c r="L35" s="56">
        <f t="shared" si="2"/>
        <v>0</v>
      </c>
    </row>
    <row r="36" spans="2:12" x14ac:dyDescent="0.3">
      <c r="B36" s="56" t="s">
        <v>296</v>
      </c>
      <c r="C36" s="56"/>
      <c r="D36" s="56"/>
      <c r="E36" s="56">
        <f t="shared" si="0"/>
        <v>0</v>
      </c>
      <c r="F36" s="56"/>
      <c r="G36" s="56"/>
      <c r="H36" s="56"/>
      <c r="I36" s="56">
        <f>G36*H36</f>
        <v>0</v>
      </c>
      <c r="J36" s="56"/>
      <c r="K36" s="56"/>
      <c r="L36" s="56">
        <f>J36*K36</f>
        <v>0</v>
      </c>
    </row>
    <row r="37" spans="2:12" x14ac:dyDescent="0.3">
      <c r="B37" s="56"/>
      <c r="C37" s="56"/>
      <c r="D37" s="56"/>
      <c r="E37" s="56">
        <f t="shared" si="0"/>
        <v>0</v>
      </c>
      <c r="F37" s="56"/>
      <c r="G37" s="56"/>
      <c r="H37" s="56"/>
      <c r="I37" s="56">
        <f t="shared" ref="I37:I38" si="3">G37*H37</f>
        <v>0</v>
      </c>
      <c r="J37" s="56"/>
      <c r="K37" s="56"/>
      <c r="L37" s="56">
        <f t="shared" ref="L37:L38" si="4">J37*K37</f>
        <v>0</v>
      </c>
    </row>
    <row r="38" spans="2:12" x14ac:dyDescent="0.3">
      <c r="B38" s="56" t="s">
        <v>297</v>
      </c>
      <c r="C38" s="56"/>
      <c r="D38" s="56"/>
      <c r="E38" s="56">
        <f t="shared" si="0"/>
        <v>0</v>
      </c>
      <c r="F38" s="56"/>
      <c r="G38" s="56"/>
      <c r="H38" s="56"/>
      <c r="I38" s="56">
        <f t="shared" si="3"/>
        <v>0</v>
      </c>
      <c r="J38" s="56"/>
      <c r="K38" s="56"/>
      <c r="L38" s="56">
        <f t="shared" si="4"/>
        <v>0</v>
      </c>
    </row>
    <row r="39" spans="2:12" x14ac:dyDescent="0.3">
      <c r="B39" s="56"/>
      <c r="C39" s="56"/>
      <c r="D39" s="56"/>
      <c r="E39" s="56">
        <f t="shared" si="0"/>
        <v>0</v>
      </c>
      <c r="F39" s="56"/>
      <c r="G39" s="56"/>
      <c r="H39" s="56"/>
      <c r="I39" s="56">
        <f>G39*H39</f>
        <v>0</v>
      </c>
      <c r="J39" s="56"/>
      <c r="K39" s="56"/>
      <c r="L39" s="56">
        <f>J39*K39</f>
        <v>0</v>
      </c>
    </row>
    <row r="40" spans="2:12" x14ac:dyDescent="0.3">
      <c r="B40" s="56"/>
      <c r="C40" s="56"/>
      <c r="D40" s="56"/>
      <c r="E40" s="56">
        <f t="shared" si="0"/>
        <v>0</v>
      </c>
      <c r="F40" s="56"/>
      <c r="G40" s="56"/>
      <c r="H40" s="56"/>
      <c r="I40" s="56">
        <f>G40*H40</f>
        <v>0</v>
      </c>
      <c r="J40" s="56"/>
      <c r="K40" s="56"/>
      <c r="L40" s="56">
        <f>J40*K40</f>
        <v>0</v>
      </c>
    </row>
    <row r="41" spans="2:12" x14ac:dyDescent="0.3">
      <c r="B41" s="56"/>
      <c r="C41" s="56"/>
      <c r="D41" s="56"/>
      <c r="E41" s="56">
        <f t="shared" si="0"/>
        <v>0</v>
      </c>
      <c r="F41" s="56"/>
      <c r="G41" s="56"/>
      <c r="H41" s="56"/>
      <c r="I41" s="56">
        <f>G41*H41</f>
        <v>0</v>
      </c>
      <c r="J41" s="56"/>
      <c r="K41" s="56"/>
      <c r="L41" s="56">
        <f>J41*K41</f>
        <v>0</v>
      </c>
    </row>
    <row r="42" spans="2:12" x14ac:dyDescent="0.3">
      <c r="B42" s="56" t="s">
        <v>154</v>
      </c>
      <c r="C42" s="56"/>
      <c r="D42" s="56">
        <f>E42*10.764</f>
        <v>0</v>
      </c>
      <c r="E42" s="71">
        <f>SUM(E6:E41)</f>
        <v>0</v>
      </c>
      <c r="F42" s="56"/>
      <c r="G42" s="56"/>
      <c r="H42" s="56">
        <f>I42*10.764</f>
        <v>0</v>
      </c>
      <c r="I42" s="72">
        <f>SUM(I6:I41)</f>
        <v>0</v>
      </c>
      <c r="J42" s="56"/>
      <c r="K42" s="56">
        <f>L42*10.764</f>
        <v>0</v>
      </c>
      <c r="L42" s="73">
        <f>SUM(L6:L41)</f>
        <v>0</v>
      </c>
    </row>
    <row r="44" spans="2:12" x14ac:dyDescent="0.3">
      <c r="D44" s="68">
        <f>D42+H42</f>
        <v>0</v>
      </c>
      <c r="E44" s="68">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2025-09-11T09:00:19Z</cp:lastPrinted>
  <dcterms:created xsi:type="dcterms:W3CDTF">2010-11-23T11:42:48Z</dcterms:created>
  <dcterms:modified xsi:type="dcterms:W3CDTF">2025-09-11T09:00:19Z</dcterms:modified>
</cp:coreProperties>
</file>