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austubh Kulkarni\Downloads\AS Ornate\"/>
    </mc:Choice>
  </mc:AlternateContent>
  <xr:revisionPtr revIDLastSave="0" documentId="13_ncr:1_{93D635E2-B464-47D6-A333-F869243D8069}"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7" i="1" l="1"/>
  <c r="O80" i="1"/>
  <c r="I136" i="1"/>
  <c r="J174" i="1"/>
  <c r="K174" i="1"/>
  <c r="J167" i="1"/>
  <c r="K167" i="1" s="1"/>
  <c r="K146" i="1"/>
  <c r="J146" i="1"/>
  <c r="J145" i="1"/>
  <c r="K145" i="1" s="1"/>
  <c r="E154" i="1"/>
  <c r="E159" i="1"/>
  <c r="E158" i="1"/>
  <c r="E157" i="1"/>
  <c r="D157" i="1"/>
  <c r="I154" i="1"/>
  <c r="I60" i="1"/>
  <c r="J119" i="1" l="1"/>
  <c r="I175" i="1"/>
  <c r="I179" i="1"/>
  <c r="I163" i="1"/>
  <c r="I161" i="1"/>
  <c r="G195" i="1"/>
  <c r="G194" i="1"/>
  <c r="E185" i="1"/>
  <c r="E187" i="1"/>
  <c r="E195" i="1"/>
  <c r="D195" i="1"/>
  <c r="E194" i="1"/>
  <c r="D194" i="1"/>
  <c r="E191" i="1"/>
  <c r="D191" i="1"/>
  <c r="E190" i="1"/>
  <c r="D190" i="1"/>
  <c r="E186" i="1"/>
  <c r="E184" i="1"/>
  <c r="E183" i="1"/>
  <c r="E182" i="1"/>
  <c r="D187" i="1"/>
  <c r="D186" i="1"/>
  <c r="F186" i="1" s="1"/>
  <c r="H186" i="1" s="1"/>
  <c r="D185" i="1"/>
  <c r="D184" i="1"/>
  <c r="D183" i="1"/>
  <c r="D182" i="1"/>
  <c r="E180" i="1"/>
  <c r="D180" i="1"/>
  <c r="E179" i="1"/>
  <c r="D179" i="1"/>
  <c r="F179" i="1" s="1"/>
  <c r="H179" i="1" s="1"/>
  <c r="J179" i="1" s="1"/>
  <c r="K179" i="1" s="1"/>
  <c r="E178" i="1"/>
  <c r="D178" i="1"/>
  <c r="E177" i="1"/>
  <c r="D177" i="1"/>
  <c r="F177" i="1" s="1"/>
  <c r="H177" i="1" s="1"/>
  <c r="J177" i="1" s="1"/>
  <c r="K177" i="1" s="1"/>
  <c r="E176" i="1"/>
  <c r="D176" i="1"/>
  <c r="F176" i="1" s="1"/>
  <c r="H176" i="1" s="1"/>
  <c r="J176" i="1" s="1"/>
  <c r="K176" i="1" s="1"/>
  <c r="E175" i="1"/>
  <c r="D175" i="1"/>
  <c r="F175" i="1" s="1"/>
  <c r="H175" i="1" s="1"/>
  <c r="A176" i="1"/>
  <c r="A177" i="1" s="1"/>
  <c r="A178" i="1" s="1"/>
  <c r="A179" i="1" s="1"/>
  <c r="A180" i="1" s="1"/>
  <c r="E173" i="1"/>
  <c r="D173" i="1"/>
  <c r="F173" i="1" s="1"/>
  <c r="H173" i="1" s="1"/>
  <c r="J173" i="1" s="1"/>
  <c r="K173" i="1" s="1"/>
  <c r="E172" i="1"/>
  <c r="D172" i="1"/>
  <c r="F172" i="1" s="1"/>
  <c r="H172" i="1" s="1"/>
  <c r="J172" i="1" s="1"/>
  <c r="K172" i="1" s="1"/>
  <c r="E171" i="1"/>
  <c r="D171" i="1"/>
  <c r="F171" i="1" s="1"/>
  <c r="H171" i="1" s="1"/>
  <c r="J171" i="1" s="1"/>
  <c r="K171" i="1" s="1"/>
  <c r="E170" i="1"/>
  <c r="D170" i="1"/>
  <c r="F170" i="1" s="1"/>
  <c r="H170" i="1" s="1"/>
  <c r="J170" i="1" s="1"/>
  <c r="K170" i="1" s="1"/>
  <c r="E169" i="1"/>
  <c r="D169" i="1"/>
  <c r="E168" i="1"/>
  <c r="D168" i="1"/>
  <c r="A169" i="1"/>
  <c r="A170" i="1" s="1"/>
  <c r="A171" i="1" s="1"/>
  <c r="A172" i="1" s="1"/>
  <c r="A173" i="1" s="1"/>
  <c r="E166" i="1"/>
  <c r="E165" i="1"/>
  <c r="E164" i="1"/>
  <c r="E163" i="1"/>
  <c r="E162" i="1"/>
  <c r="E161" i="1"/>
  <c r="D166" i="1"/>
  <c r="D165" i="1"/>
  <c r="D164" i="1"/>
  <c r="D163" i="1"/>
  <c r="D162" i="1"/>
  <c r="D161" i="1"/>
  <c r="A162" i="1"/>
  <c r="A163" i="1" s="1"/>
  <c r="A164" i="1" s="1"/>
  <c r="A165" i="1" s="1"/>
  <c r="A166" i="1" s="1"/>
  <c r="G156" i="1"/>
  <c r="G155" i="1"/>
  <c r="D159" i="1"/>
  <c r="D158" i="1"/>
  <c r="F157" i="1"/>
  <c r="E156" i="1"/>
  <c r="D156" i="1"/>
  <c r="E155" i="1"/>
  <c r="D155" i="1"/>
  <c r="F155" i="1" s="1"/>
  <c r="D154" i="1"/>
  <c r="F154" i="1" s="1"/>
  <c r="A183" i="1"/>
  <c r="A184" i="1" s="1"/>
  <c r="A185" i="1" s="1"/>
  <c r="A186" i="1" s="1"/>
  <c r="A187" i="1" s="1"/>
  <c r="A155" i="1"/>
  <c r="A156" i="1" s="1"/>
  <c r="A157" i="1" s="1"/>
  <c r="A158" i="1" s="1"/>
  <c r="A159" i="1" s="1"/>
  <c r="D149" i="1"/>
  <c r="D148" i="1"/>
  <c r="D147" i="1"/>
  <c r="D146" i="1"/>
  <c r="I146" i="1"/>
  <c r="E43" i="1"/>
  <c r="H157" i="1" l="1"/>
  <c r="L175" i="1"/>
  <c r="J175" i="1"/>
  <c r="K175" i="1" s="1"/>
  <c r="H154" i="1"/>
  <c r="C134" i="1"/>
  <c r="F156" i="1"/>
  <c r="F187" i="1"/>
  <c r="H187" i="1" s="1"/>
  <c r="F194" i="1"/>
  <c r="F195" i="1"/>
  <c r="H195" i="1" s="1"/>
  <c r="C138" i="1"/>
  <c r="C139" i="1" s="1"/>
  <c r="C135" i="1"/>
  <c r="F164" i="1"/>
  <c r="H164" i="1" s="1"/>
  <c r="J164" i="1" s="1"/>
  <c r="K164" i="1" s="1"/>
  <c r="F165" i="1"/>
  <c r="H165" i="1" s="1"/>
  <c r="J165" i="1" s="1"/>
  <c r="K165" i="1" s="1"/>
  <c r="F178" i="1"/>
  <c r="H178" i="1" s="1"/>
  <c r="J178" i="1" s="1"/>
  <c r="K178" i="1" s="1"/>
  <c r="F163" i="1"/>
  <c r="H163" i="1" s="1"/>
  <c r="J163" i="1" s="1"/>
  <c r="K163" i="1" s="1"/>
  <c r="F169" i="1"/>
  <c r="H169" i="1" s="1"/>
  <c r="J169" i="1" s="1"/>
  <c r="K169" i="1" s="1"/>
  <c r="F180" i="1"/>
  <c r="H180" i="1" s="1"/>
  <c r="J180" i="1" s="1"/>
  <c r="F182" i="1"/>
  <c r="H182" i="1" s="1"/>
  <c r="F166" i="1"/>
  <c r="H166" i="1" s="1"/>
  <c r="J166" i="1" s="1"/>
  <c r="K166" i="1" s="1"/>
  <c r="F183" i="1"/>
  <c r="H183" i="1" s="1"/>
  <c r="F184" i="1"/>
  <c r="H184" i="1" s="1"/>
  <c r="F162" i="1"/>
  <c r="H162" i="1" s="1"/>
  <c r="J162" i="1" s="1"/>
  <c r="K162" i="1" s="1"/>
  <c r="F185" i="1"/>
  <c r="H185" i="1" s="1"/>
  <c r="F158" i="1"/>
  <c r="H158" i="1" s="1"/>
  <c r="H155" i="1"/>
  <c r="F161" i="1"/>
  <c r="H161" i="1" s="1"/>
  <c r="J161" i="1" s="1"/>
  <c r="K161" i="1" s="1"/>
  <c r="F159" i="1"/>
  <c r="H159" i="1" s="1"/>
  <c r="F168" i="1"/>
  <c r="H168" i="1" s="1"/>
  <c r="J168" i="1" s="1"/>
  <c r="K168" i="1" s="1"/>
  <c r="H156" i="1"/>
  <c r="H194" i="1"/>
  <c r="C77" i="1"/>
  <c r="J132" i="1" l="1"/>
  <c r="F146" i="1"/>
  <c r="B38" i="6"/>
  <c r="B39" i="6" s="1"/>
  <c r="B40" i="6" s="1"/>
  <c r="B41" i="6" s="1"/>
  <c r="B42" i="6" s="1"/>
  <c r="B43" i="6" s="1"/>
  <c r="B44" i="6" s="1"/>
  <c r="B45" i="6" s="1"/>
  <c r="B46" i="6" s="1"/>
  <c r="B47" i="6" s="1"/>
  <c r="B48" i="6" s="1"/>
  <c r="B49" i="6" s="1"/>
  <c r="B50" i="6" s="1"/>
  <c r="B51" i="6" s="1"/>
  <c r="B52" i="6" s="1"/>
  <c r="B53" i="6" s="1"/>
  <c r="B54" i="6" s="1"/>
  <c r="H146"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9" i="1"/>
  <c r="B223" i="1"/>
  <c r="B222" i="1"/>
  <c r="F219" i="1"/>
  <c r="H219" i="1" s="1"/>
  <c r="F218" i="1"/>
  <c r="H218" i="1" s="1"/>
  <c r="F217" i="1"/>
  <c r="H217" i="1" s="1"/>
  <c r="F216" i="1"/>
  <c r="H216" i="1" s="1"/>
  <c r="F215" i="1"/>
  <c r="H215" i="1" s="1"/>
  <c r="F213" i="1"/>
  <c r="H213" i="1" s="1"/>
  <c r="F212" i="1"/>
  <c r="H212" i="1" s="1"/>
  <c r="F211" i="1"/>
  <c r="H211" i="1" s="1"/>
  <c r="F210" i="1"/>
  <c r="H210" i="1" s="1"/>
  <c r="F209" i="1"/>
  <c r="H209" i="1" s="1"/>
  <c r="F207" i="1"/>
  <c r="H207" i="1" s="1"/>
  <c r="F206" i="1"/>
  <c r="H206" i="1" s="1"/>
  <c r="F205" i="1"/>
  <c r="H205" i="1" s="1"/>
  <c r="F204" i="1"/>
  <c r="H204" i="1" s="1"/>
  <c r="F203" i="1"/>
  <c r="H203" i="1" s="1"/>
  <c r="F201" i="1"/>
  <c r="H201" i="1" s="1"/>
  <c r="F200" i="1"/>
  <c r="H200" i="1" s="1"/>
  <c r="F199" i="1"/>
  <c r="H199" i="1" s="1"/>
  <c r="F198" i="1"/>
  <c r="H198" i="1" s="1"/>
  <c r="F197" i="1"/>
  <c r="H197" i="1" s="1"/>
  <c r="A197" i="1"/>
  <c r="A198" i="1" s="1"/>
  <c r="A199" i="1" s="1"/>
  <c r="A200" i="1" s="1"/>
  <c r="A201" i="1" s="1"/>
  <c r="F191" i="1"/>
  <c r="H191" i="1" s="1"/>
  <c r="F190" i="1"/>
  <c r="E138" i="1" s="1"/>
  <c r="A190" i="1"/>
  <c r="A191" i="1" s="1"/>
  <c r="A192" i="1" s="1"/>
  <c r="A194" i="1" s="1"/>
  <c r="A195" i="1" s="1"/>
  <c r="F149" i="1"/>
  <c r="H149" i="1" s="1"/>
  <c r="F148" i="1"/>
  <c r="H148" i="1" s="1"/>
  <c r="F147" i="1"/>
  <c r="E134" i="1" s="1"/>
  <c r="A147" i="1"/>
  <c r="A148" i="1" s="1"/>
  <c r="A149" i="1" s="1"/>
  <c r="C140" i="1"/>
  <c r="F131" i="1"/>
  <c r="C105" i="1"/>
  <c r="C91" i="1"/>
  <c r="B78" i="1"/>
  <c r="D71" i="1"/>
  <c r="D64" i="1"/>
  <c r="G57" i="1"/>
  <c r="C57" i="1"/>
  <c r="K55" i="1"/>
  <c r="C55" i="1"/>
  <c r="G51" i="1"/>
  <c r="C51" i="1"/>
  <c r="C52" i="1" s="1"/>
  <c r="E44" i="1"/>
  <c r="E45" i="1" s="1"/>
  <c r="S33" i="1"/>
  <c r="E31" i="1"/>
  <c r="E28" i="1"/>
  <c r="E26" i="1"/>
  <c r="C16" i="1"/>
  <c r="I15" i="1"/>
  <c r="Z13" i="1"/>
  <c r="E8" i="1"/>
  <c r="E3" i="1"/>
  <c r="B235" i="1" s="1"/>
  <c r="H92" i="1"/>
  <c r="A203" i="1"/>
  <c r="H106" i="1"/>
  <c r="A215" i="1"/>
  <c r="A209" i="1"/>
  <c r="H190" i="1" l="1"/>
  <c r="E139" i="1"/>
  <c r="H147" i="1"/>
  <c r="E135" i="1"/>
  <c r="E42" i="7"/>
  <c r="D42" i="7" s="1"/>
  <c r="J85" i="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C109" i="1" s="1"/>
  <c r="D109" i="1" s="1"/>
  <c r="D116" i="1"/>
  <c r="L55" i="1"/>
  <c r="B92" i="1"/>
  <c r="J87" i="1"/>
  <c r="J88" i="1"/>
  <c r="I52" i="1"/>
  <c r="A210" i="1"/>
  <c r="A216" i="1"/>
  <c r="H78" i="1"/>
  <c r="A204" i="1"/>
  <c r="G138" i="1" l="1"/>
  <c r="G139" i="1" s="1"/>
  <c r="G134" i="1"/>
  <c r="G135" i="1" s="1"/>
  <c r="G140" i="1" s="1"/>
  <c r="E140" i="1"/>
  <c r="D89" i="1"/>
  <c r="D83" i="1"/>
  <c r="J83" i="1"/>
  <c r="J84" i="1" s="1"/>
  <c r="J89" i="1" s="1"/>
  <c r="J90" i="1" s="1"/>
  <c r="C82" i="1" s="1"/>
  <c r="E81" i="1" s="1"/>
  <c r="J82" i="1"/>
  <c r="C81" i="1" s="1"/>
  <c r="D81" i="1" s="1"/>
  <c r="D88" i="1"/>
  <c r="D87" i="1"/>
  <c r="J77" i="1"/>
  <c r="J79" i="1" s="1"/>
  <c r="D86" i="1"/>
  <c r="D90" i="1"/>
  <c r="D84" i="1"/>
  <c r="J81" i="1"/>
  <c r="J80" i="1"/>
  <c r="D85" i="1"/>
  <c r="J116" i="1"/>
  <c r="J115" i="1"/>
  <c r="D44" i="7"/>
  <c r="E44" i="7"/>
  <c r="J113" i="1"/>
  <c r="J111" i="1"/>
  <c r="J112" i="1" s="1"/>
  <c r="J117" i="1" s="1"/>
  <c r="J118" i="1" s="1"/>
  <c r="C110" i="1" s="1"/>
  <c r="G109" i="1" s="1"/>
  <c r="D95" i="1"/>
  <c r="J100" i="1"/>
  <c r="J97" i="1"/>
  <c r="J98" i="1" s="1"/>
  <c r="J103" i="1" s="1"/>
  <c r="J104" i="1" s="1"/>
  <c r="C96" i="1" s="1"/>
  <c r="J102" i="1"/>
  <c r="J99" i="1"/>
  <c r="J101" i="1"/>
  <c r="A217" i="1"/>
  <c r="A205" i="1"/>
  <c r="A211" i="1"/>
  <c r="G81" i="1" l="1"/>
  <c r="D75" i="1" s="1"/>
  <c r="D76" i="1" s="1"/>
  <c r="D82" i="1"/>
  <c r="I78" i="1" s="1"/>
  <c r="I79" i="1" s="1"/>
  <c r="D110" i="1"/>
  <c r="I106" i="1" s="1"/>
  <c r="I107" i="1" s="1"/>
  <c r="J106" i="1"/>
  <c r="E109" i="1"/>
  <c r="J78" i="1"/>
  <c r="E95" i="1"/>
  <c r="D96" i="1"/>
  <c r="I92" i="1" s="1"/>
  <c r="J92" i="1"/>
  <c r="G95" i="1"/>
  <c r="A206" i="1"/>
  <c r="A218" i="1"/>
  <c r="A212" i="1"/>
  <c r="F76" i="1" l="1"/>
  <c r="I105" i="1"/>
  <c r="C107" i="1" s="1"/>
  <c r="I77" i="1"/>
  <c r="C79" i="1" s="1"/>
  <c r="I93" i="1"/>
  <c r="I91" i="1" s="1"/>
  <c r="C93" i="1" s="1"/>
  <c r="A207" i="1"/>
  <c r="A219" i="1"/>
  <c r="A2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<sst xmlns="http://schemas.openxmlformats.org/spreadsheetml/2006/main" count="752" uniqueCount="442">
  <si>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</si>
  <si>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</si>
  <si>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</si>
  <si>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</si>
  <si>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</si>
  <si>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</si>
  <si>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</si>
  <si>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</si>
  <si>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</si>
  <si>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</si>
  <si>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</si>
  <si>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</si>
  <si>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</si>
  <si>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</si>
  <si>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</si>
  <si>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</si>
  <si>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</si>
  <si>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</si>
  <si>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</si>
  <si>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</si>
  <si>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</si>
  <si>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</si>
  <si>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</si>
  <si>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</si>
  <si>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</si>
  <si>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</si>
  <si>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</si>
  <si>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</si>
  <si>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</si>
  <si>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</si>
  <si>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</si>
  <si>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</si>
  <si>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</si>
  <si>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</si>
  <si>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</si>
  <si>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</si>
  <si>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</si>
  <si>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</si>
  <si>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</si>
  <si>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</si>
  <si>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</si>
  <si>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</si>
  <si>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</si>
  <si>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</si>
  <si>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</si>
  <si>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</si>
  <si>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</si>
  <si>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</si>
  <si>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</si>
  <si>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</si>
  <si>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</si>
  <si>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</si>
  <si>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</si>
  <si>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</si>
  <si>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</si>
  <si>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</si>
  <si>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</si>
  <si>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</si>
  <si>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</si>
  <si>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</si>
  <si>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</si>
  <si>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</si>
  <si>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</si>
  <si>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</si>
  <si>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</si>
  <si>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</si>
  <si>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</si>
  <si>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</si>
  <si>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</si>
  <si>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</si>
  <si>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</si>
  <si>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</si>
  <si>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</si>
  <si>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</si>
  <si>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</si>
  <si>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</si>
  <si>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</si>
  <si>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</si>
  <si>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</si>
  <si>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</si>
  <si>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</si>
  <si>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</si>
  <si>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</si>
  <si>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</si>
  <si>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</si>
  <si>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</si>
  <si>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</si>
  <si>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</si>
  <si>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</si>
  <si>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</si>
  <si>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</si>
  <si>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</si>
  <si>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</si>
  <si>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</si>
  <si>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</si>
  <si>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</si>
  <si>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</si>
  <si>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</si>
  <si>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</si>
  <si>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</si>
  <si>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</si>
  <si>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</si>
  <si>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</si>
  <si>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</si>
  <si>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</si>
  <si>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</si>
  <si>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</si>
  <si>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</si>
  <si>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</si>
  <si>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</si>
  <si>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</si>
  <si>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</si>
  <si>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</si>
  <si>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</si>
  <si>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</si>
  <si>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</si>
  <si>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</si>
  <si>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</si>
  <si>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</si>
  <si>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</si>
  <si>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</si>
  <si>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</si>
  <si>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</si>
  <si>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</si>
  <si>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</si>
  <si>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</si>
  <si>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</si>
  <si>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</si>
  <si>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</si>
  <si>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</si>
  <si>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</si>
  <si>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</si>
  <si>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</si>
  <si>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</si>
  <si>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</si>
  <si>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</si>
  <si>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</si>
  <si>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</si>
  <si>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</si>
  <si>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</si>
  <si>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</si>
  <si>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</si>
  <si>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</si>
  <si>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</si>
  <si>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</si>
  <si>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</si>
  <si>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</si>
  <si>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</si>
  <si>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</si>
  <si>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</si>
  <si>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</si>
  <si>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</si>
  <si>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</si>
  <si>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</si>
  <si>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</si>
  <si>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</si>
  <si>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</si>
  <si>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</si>
  <si>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</si>
  <si>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</si>
  <si>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</si>
  <si>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</si>
  <si>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</si>
  <si>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</si>
  <si>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</si>
  <si>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</si>
  <si>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</si>
  <si>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</si>
  <si>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</si>
  <si>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</si>
  <si>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</si>
  <si>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</si>
  <si>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</si>
  <si>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</si>
  <si>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</si>
  <si>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</si>
  <si>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</si>
  <si>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</si>
  <si>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</si>
  <si>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</si>
  <si>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</si>
  <si>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</si>
  <si>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</si>
  <si>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</si>
  <si>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</si>
  <si>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</si>
  <si>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</si>
  <si>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</si>
  <si>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</si>
  <si>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</si>
  <si>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</si>
  <si>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</si>
  <si>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</si>
  <si>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</si>
  <si>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</si>
  <si>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</si>
  <si>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</si>
  <si>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</si>
  <si>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</si>
  <si>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</si>
  <si>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</si>
  <si>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</si>
  <si>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</si>
  <si>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</si>
  <si>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</si>
  <si>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</si>
  <si>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</si>
  <si>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</si>
  <si>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</si>
  <si>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</si>
  <si>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</si>
  <si>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</si>
  <si>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</si>
  <si>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</si>
  <si>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</si>
  <si>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</si>
  <si>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</si>
  <si>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</si>
  <si>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</si>
  <si>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</si>
  <si>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</si>
  <si>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</si>
  <si>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</si>
  <si>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</si>
  <si>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</si>
  <si>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</si>
  <si>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</si>
  <si>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</si>
  <si>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</si>
  <si>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</si>
  <si>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</si>
  <si>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</si>
  <si>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</si>
  <si>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</si>
  <si>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</si>
  <si>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</si>
  <si>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</si>
  <si>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</si>
  <si>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</si>
  <si>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</si>
  <si>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</si>
  <si>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</si>
  <si>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</si>
  <si>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</si>
  <si>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</si>
  <si>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</si>
  <si>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</si>
  <si>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</si>
  <si>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</si>
  <si>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</si>
  <si>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</si>
  <si>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</si>
  <si>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</si>
  <si>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</si>
  <si>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</si>
  <si>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</si>
  <si>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</si>
  <si>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</si>
  <si>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</si>
  <si>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</si>
  <si>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</si>
  <si>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</si>
  <si>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</si>
  <si>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</si>
  <si>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</si>
  <si>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</si>
  <si>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</si>
  <si>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</si>
  <si>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</si>
  <si>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</si>
  <si>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</si>
  <si>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</si>
  <si>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</si>
  <si>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</si>
  <si>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</si>
  <si>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</si>
  <si>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</si>
  <si>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</si>
  <si>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</si>
  <si>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</si>
  <si>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</si>
  <si>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</si>
  <si>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</si>
  <si>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</si>
  <si>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</si>
  <si>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</si>
  <si>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</si>
  <si>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</si>
  <si>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</si>
  <si>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</si>
  <si>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</si>
  <si>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</si>
  <si>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</si>
  <si>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</si>
  <si>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</si>
  <si>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</si>
  <si>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</si>
  <si>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</si>
  <si>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</si>
  <si>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</si>
  <si>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</si>
  <si>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</si>
  <si>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</si>
  <si>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</si>
  <si>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</si>
  <si>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</si>
  <si>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</si>
  <si>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</si>
  <si>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</si>
  <si>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</si>
  <si>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</si>
  <si>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</si>
  <si>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</si>
  <si>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</si>
  <si>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</si>
  <si>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</si>
  <si>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</si>
  <si>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</si>
  <si>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</si>
  <si>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</si>
  <si>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</si>
  <si>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</si>
  <si>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</si>
  <si>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</si>
  <si>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</si>
  <si>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</si>
  <si>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</si>
  <si>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</si>
  <si>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</si>
  <si>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</si>
  <si>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</si>
  <si>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</si>
  <si>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</si>
  <si>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</si>
  <si>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</si>
  <si>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</si>
  <si>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</si>
  <si>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</si>
  <si>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</si>
  <si>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</si>
  <si>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</si>
  <si>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</si>
  <si>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</si>
  <si>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</si>
  <si>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</si>
  <si>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</si>
  <si>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</si>
  <si>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</si>
  <si>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</si>
  <si>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</si>
  <si>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</si>
  <si>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</si>
  <si>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</si>
  <si>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</si>
  <si>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</si>
  <si>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</si>
  <si>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</si>
  <si>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</si>
  <si>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</si>
  <si>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</si>
  <si>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</si>
  <si>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</si>
  <si>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</si>
  <si>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</si>
  <si>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</si>
  <si>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</si>
  <si>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</si>
  <si>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</si>
  <si>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</si>
  <si>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</si>
  <si>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</si>
  <si>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</si>
  <si>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</si>
  <si>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</si>
  <si>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</si>
  <si>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</si>
  <si>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</si>
  <si>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</si>
  <si>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</si>
  <si>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</si>
  <si>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</si>
  <si>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</si>
  <si>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</si>
  <si>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</si>
  <si>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</si>
  <si>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</si>
  <si>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Trinity Realcon LLP</t>
  </si>
  <si>
    <t>A.S.Ornate</t>
  </si>
  <si>
    <t>Mr. Nasrullah Shipra  9768057106</t>
  </si>
  <si>
    <t>P52000049386</t>
  </si>
  <si>
    <t>Plot No</t>
  </si>
  <si>
    <t>125B, Sector-19</t>
  </si>
  <si>
    <t>Ulwe</t>
  </si>
  <si>
    <t>18.972102,73.029676</t>
  </si>
  <si>
    <t>https://maps.app.goo.gl/dKgtuUqq15ENrsNy7</t>
  </si>
  <si>
    <t>Sukham Ave Road</t>
  </si>
  <si>
    <t>Divine Varsha</t>
  </si>
  <si>
    <t>0.60KM from Bamandongri Railway Station</t>
  </si>
  <si>
    <t>Bamandongri</t>
  </si>
  <si>
    <t>9.00M Wide Road</t>
  </si>
  <si>
    <t>Plot No. 88 / Plot No. 87</t>
  </si>
  <si>
    <t>Open Plot</t>
  </si>
  <si>
    <t>Plot No. 124 / Plot No. 125</t>
  </si>
  <si>
    <t>Roshni Pride</t>
  </si>
  <si>
    <t>Under Construction Bldg</t>
  </si>
  <si>
    <t>CIDCO/BP-18325/TPO(NM &amp; K)/2022/12574</t>
  </si>
  <si>
    <t xml:space="preserve">Commencement-CC No
Valid Up to: </t>
  </si>
  <si>
    <t>G + 1st to 7th Floor
BUA = 1830.83 Sqmt (Residential - 40, Commercial - 4)</t>
  </si>
  <si>
    <t>G + 1st to 7th Floor</t>
  </si>
  <si>
    <t>As per RERA - 31/12/2025</t>
  </si>
  <si>
    <t>Vitrified tiles flooring, Granite Kitchen Platform, Decorative Entrance etc.</t>
  </si>
  <si>
    <r>
      <t xml:space="preserve">Proposed Amenities :                                                                                                                                                                                                                         </t>
    </r>
    <r>
      <rPr>
        <b/>
        <sz val="12"/>
        <color theme="1"/>
        <rFont val="Times New Roman"/>
        <family val="1"/>
      </rPr>
      <t xml:space="preserve">                                               </t>
    </r>
  </si>
  <si>
    <t>Ground Floor For Commercial, Enterance Lobby &amp; Parking</t>
  </si>
  <si>
    <t>Shop</t>
  </si>
  <si>
    <t>RERA Carpet area</t>
  </si>
  <si>
    <t>1st Floor For Residential</t>
  </si>
  <si>
    <t>1BHK</t>
  </si>
  <si>
    <t>2nd &amp; 3rd Floor</t>
  </si>
  <si>
    <t>4th Floor</t>
  </si>
  <si>
    <t>5th Floor</t>
  </si>
  <si>
    <t>6th Floor</t>
  </si>
  <si>
    <t>Society Office</t>
  </si>
  <si>
    <t>Driver Room</t>
  </si>
  <si>
    <t>1RK</t>
  </si>
  <si>
    <t>7th Floor For Society Office &amp; Part Terrace Area</t>
  </si>
  <si>
    <t>-</t>
  </si>
  <si>
    <t>Balcony + Chajja + Enclosed Balcony Area</t>
  </si>
  <si>
    <t>Shops</t>
  </si>
  <si>
    <t>Flats</t>
  </si>
  <si>
    <t>Flats - 40, Shops - 04</t>
  </si>
  <si>
    <t>We considered Gross carpet area = Net carpet + Enclose balcony + Balcony + Chajja Area.</t>
  </si>
  <si>
    <t>We have referred Revised approved CC from RERA site.</t>
  </si>
  <si>
    <t>We have referred Airport Noc from AAI site.</t>
  </si>
  <si>
    <t>NAVI/WEST/B/030320/45119</t>
  </si>
  <si>
    <t>Site Elevation (AMSL) = 6.39m
Permissible Top Elevation (AMSL) = 55.1m</t>
  </si>
  <si>
    <t>Gaurav Panchal</t>
  </si>
  <si>
    <t>https://www.realestateindia.com/projects/a-s-ornate-in-sector-19-ulwe-navi-mumbai-pjid-50563/#:~:text=Overview,Upcoming%20Projects</t>
  </si>
  <si>
    <t>https://www.squareyards.com/navi-mumbai-residential-property/as-ornate/338891/project</t>
  </si>
  <si>
    <t>Construction work is in process at the time of Visit (labour found)</t>
  </si>
  <si>
    <t>Mayur Ranvare</t>
  </si>
  <si>
    <t xml:space="preserve">Airport Noc No
Valid Up for: 
</t>
  </si>
  <si>
    <t>Other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</si>
</sst>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0" fontId="27" fillId="0" borderId="0" xfId="10"/>
    <xf numFmtId="0" fontId="7"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25" xfId="1" applyFont="1" applyBorder="1" applyAlignment="1" applyProtection="1">
      <alignment horizontal="left" vertical="top" wrapText="1"/>
      <protection locked="0"/>
    </xf>
    <xf numFmtId="0" fontId="7" fillId="0" borderId="26"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7" fillId="0" borderId="0" xfId="1" applyFont="1" applyAlignment="1">
      <alignment horizontal="center" vertical="center"/>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4" fontId="6" fillId="0" borderId="19" xfId="1" applyNumberFormat="1" applyFont="1" applyBorder="1" applyAlignment="1" applyProtection="1">
      <alignment horizontal="left" vertical="top" wrapText="1"/>
      <protection locked="0"/>
    </xf>
    <xf numFmtId="14" fontId="6" fillId="0" borderId="20" xfId="1" applyNumberFormat="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0" fontId="13" fillId="0" borderId="16" xfId="1" applyFont="1" applyBorder="1" applyAlignment="1" applyProtection="1">
      <alignment horizontal="center" vertical="top"/>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48</xdr:row>
      <xdr:rowOff>314325</xdr:rowOff>
    </xdr:from>
    <xdr:to>
      <xdr:col>15</xdr:col>
      <xdr:colOff>371031</xdr:colOff>
      <xdr:row>59</xdr:row>
      <xdr:rowOff>361950</xdr:rowOff>
    </xdr:to>
    <xdr:pic>
      <xdr:nvPicPr>
        <xdr:cNvPr id="2" name="Picture 1">
          <a:extLst>
            <a:ext uri="{FF2B5EF4-FFF2-40B4-BE49-F238E27FC236}">
              <a16:creationId xmlns:a16="http://schemas.microsoft.com/office/drawing/2014/main" id="{EF854431-67E8-49BC-B27C-800D96494039}"/>
            </a:ext>
          </a:extLst>
        </xdr:cNvPr>
        <xdr:cNvPicPr>
          <a:picLocks noChangeAspect="1"/>
        </xdr:cNvPicPr>
      </xdr:nvPicPr>
      <xdr:blipFill>
        <a:blip xmlns:r="http://schemas.openxmlformats.org/officeDocument/2006/relationships" r:embed="rId1"/>
        <a:stretch>
          <a:fillRect/>
        </a:stretch>
      </xdr:blipFill>
      <xdr:spPr>
        <a:xfrm>
          <a:off x="7924800" y="10734675"/>
          <a:ext cx="4800156" cy="2362200"/>
        </a:xfrm>
        <a:prstGeom prst="rect">
          <a:avLst/>
        </a:prstGeom>
      </xdr:spPr>
    </xdr:pic>
    <xdr:clientData/>
  </xdr:twoCellAnchor>
  <xdr:twoCellAnchor editAs="oneCell">
    <xdr:from>
      <xdr:col>8</xdr:col>
      <xdr:colOff>247650</xdr:colOff>
      <xdr:row>42</xdr:row>
      <xdr:rowOff>76200</xdr:rowOff>
    </xdr:from>
    <xdr:to>
      <xdr:col>11</xdr:col>
      <xdr:colOff>451125</xdr:colOff>
      <xdr:row>49</xdr:row>
      <xdr:rowOff>83689</xdr:rowOff>
    </xdr:to>
    <xdr:pic>
      <xdr:nvPicPr>
        <xdr:cNvPr id="3" name="Picture 2">
          <a:extLst>
            <a:ext uri="{FF2B5EF4-FFF2-40B4-BE49-F238E27FC236}">
              <a16:creationId xmlns:a16="http://schemas.microsoft.com/office/drawing/2014/main" id="{9C97EA60-D67C-442A-9D40-6476598AD33E}"/>
            </a:ext>
          </a:extLst>
        </xdr:cNvPr>
        <xdr:cNvPicPr>
          <a:picLocks noChangeAspect="1"/>
        </xdr:cNvPicPr>
      </xdr:nvPicPr>
      <xdr:blipFill>
        <a:blip xmlns:r="http://schemas.openxmlformats.org/officeDocument/2006/relationships" r:embed="rId2"/>
        <a:stretch>
          <a:fillRect/>
        </a:stretch>
      </xdr:blipFill>
      <xdr:spPr>
        <a:xfrm>
          <a:off x="6562725" y="9296400"/>
          <a:ext cx="2880000" cy="1607689"/>
        </a:xfrm>
        <a:prstGeom prst="rect">
          <a:avLst/>
        </a:prstGeom>
      </xdr:spPr>
    </xdr:pic>
    <xdr:clientData/>
  </xdr:twoCellAnchor>
  <xdr:twoCellAnchor editAs="oneCell">
    <xdr:from>
      <xdr:col>12</xdr:col>
      <xdr:colOff>640080</xdr:colOff>
      <xdr:row>142</xdr:row>
      <xdr:rowOff>5715</xdr:rowOff>
    </xdr:from>
    <xdr:to>
      <xdr:col>23</xdr:col>
      <xdr:colOff>330595</xdr:colOff>
      <xdr:row>150</xdr:row>
      <xdr:rowOff>326079</xdr:rowOff>
    </xdr:to>
    <xdr:pic>
      <xdr:nvPicPr>
        <xdr:cNvPr id="4" name="Picture 3">
          <a:extLst>
            <a:ext uri="{FF2B5EF4-FFF2-40B4-BE49-F238E27FC236}">
              <a16:creationId xmlns:a16="http://schemas.microsoft.com/office/drawing/2014/main" id="{D94150BC-695A-4626-B4CC-BB51E9A03A4A}"/>
            </a:ext>
          </a:extLst>
        </xdr:cNvPr>
        <xdr:cNvPicPr>
          <a:picLocks noChangeAspect="1"/>
        </xdr:cNvPicPr>
      </xdr:nvPicPr>
      <xdr:blipFill>
        <a:blip xmlns:r="http://schemas.openxmlformats.org/officeDocument/2006/relationships" r:embed="rId3"/>
        <a:stretch>
          <a:fillRect/>
        </a:stretch>
      </xdr:blipFill>
      <xdr:spPr>
        <a:xfrm>
          <a:off x="10835640" y="22957155"/>
          <a:ext cx="7600075" cy="2301564"/>
        </a:xfrm>
        <a:prstGeom prst="rect">
          <a:avLst/>
        </a:prstGeom>
      </xdr:spPr>
    </xdr:pic>
    <xdr:clientData/>
  </xdr:twoCellAnchor>
  <xdr:twoCellAnchor editAs="oneCell">
    <xdr:from>
      <xdr:col>11</xdr:col>
      <xdr:colOff>3810</xdr:colOff>
      <xdr:row>149</xdr:row>
      <xdr:rowOff>87630</xdr:rowOff>
    </xdr:from>
    <xdr:to>
      <xdr:col>20</xdr:col>
      <xdr:colOff>513459</xdr:colOff>
      <xdr:row>152</xdr:row>
      <xdr:rowOff>114473</xdr:rowOff>
    </xdr:to>
    <xdr:pic>
      <xdr:nvPicPr>
        <xdr:cNvPr id="5" name="Picture 4">
          <a:extLst>
            <a:ext uri="{FF2B5EF4-FFF2-40B4-BE49-F238E27FC236}">
              <a16:creationId xmlns:a16="http://schemas.microsoft.com/office/drawing/2014/main" id="{34D359E7-0FD4-4E90-90F5-69C2F18C5487}"/>
            </a:ext>
          </a:extLst>
        </xdr:cNvPr>
        <xdr:cNvPicPr>
          <a:picLocks noChangeAspect="1"/>
        </xdr:cNvPicPr>
      </xdr:nvPicPr>
      <xdr:blipFill>
        <a:blip xmlns:r="http://schemas.openxmlformats.org/officeDocument/2006/relationships" r:embed="rId4"/>
        <a:stretch>
          <a:fillRect/>
        </a:stretch>
      </xdr:blipFill>
      <xdr:spPr>
        <a:xfrm>
          <a:off x="9246870" y="24822150"/>
          <a:ext cx="7497189" cy="1223183"/>
        </a:xfrm>
        <a:prstGeom prst="rect">
          <a:avLst/>
        </a:prstGeom>
      </xdr:spPr>
    </xdr:pic>
    <xdr:clientData/>
  </xdr:twoCellAnchor>
  <xdr:twoCellAnchor editAs="oneCell">
    <xdr:from>
      <xdr:col>10</xdr:col>
      <xdr:colOff>704850</xdr:colOff>
      <xdr:row>152</xdr:row>
      <xdr:rowOff>192405</xdr:rowOff>
    </xdr:from>
    <xdr:to>
      <xdr:col>21</xdr:col>
      <xdr:colOff>69630</xdr:colOff>
      <xdr:row>159</xdr:row>
      <xdr:rowOff>127821</xdr:rowOff>
    </xdr:to>
    <xdr:pic>
      <xdr:nvPicPr>
        <xdr:cNvPr id="6" name="Picture 5">
          <a:extLst>
            <a:ext uri="{FF2B5EF4-FFF2-40B4-BE49-F238E27FC236}">
              <a16:creationId xmlns:a16="http://schemas.microsoft.com/office/drawing/2014/main" id="{9B556DB5-E3BA-4674-97BF-AF915F2AB612}"/>
            </a:ext>
          </a:extLst>
        </xdr:cNvPr>
        <xdr:cNvPicPr>
          <a:picLocks noChangeAspect="1"/>
        </xdr:cNvPicPr>
      </xdr:nvPicPr>
      <xdr:blipFill>
        <a:blip xmlns:r="http://schemas.openxmlformats.org/officeDocument/2006/relationships" r:embed="rId5"/>
        <a:stretch>
          <a:fillRect/>
        </a:stretch>
      </xdr:blipFill>
      <xdr:spPr>
        <a:xfrm>
          <a:off x="9170670" y="26123265"/>
          <a:ext cx="7754400" cy="1322256"/>
        </a:xfrm>
        <a:prstGeom prst="rect">
          <a:avLst/>
        </a:prstGeom>
      </xdr:spPr>
    </xdr:pic>
    <xdr:clientData/>
  </xdr:twoCellAnchor>
  <xdr:twoCellAnchor editAs="oneCell">
    <xdr:from>
      <xdr:col>11</xdr:col>
      <xdr:colOff>405765</xdr:colOff>
      <xdr:row>160</xdr:row>
      <xdr:rowOff>152400</xdr:rowOff>
    </xdr:from>
    <xdr:to>
      <xdr:col>21</xdr:col>
      <xdr:colOff>547785</xdr:colOff>
      <xdr:row>167</xdr:row>
      <xdr:rowOff>87816</xdr:rowOff>
    </xdr:to>
    <xdr:pic>
      <xdr:nvPicPr>
        <xdr:cNvPr id="7" name="Picture 6">
          <a:extLst>
            <a:ext uri="{FF2B5EF4-FFF2-40B4-BE49-F238E27FC236}">
              <a16:creationId xmlns:a16="http://schemas.microsoft.com/office/drawing/2014/main" id="{3EDF6489-995A-4E00-991B-62BF5CD5D618}"/>
            </a:ext>
          </a:extLst>
        </xdr:cNvPr>
        <xdr:cNvPicPr>
          <a:picLocks noChangeAspect="1"/>
        </xdr:cNvPicPr>
      </xdr:nvPicPr>
      <xdr:blipFill>
        <a:blip xmlns:r="http://schemas.openxmlformats.org/officeDocument/2006/relationships" r:embed="rId5"/>
        <a:stretch>
          <a:fillRect/>
        </a:stretch>
      </xdr:blipFill>
      <xdr:spPr>
        <a:xfrm>
          <a:off x="9648825" y="27866340"/>
          <a:ext cx="7754400" cy="1322256"/>
        </a:xfrm>
        <a:prstGeom prst="rect">
          <a:avLst/>
        </a:prstGeom>
      </xdr:spPr>
    </xdr:pic>
    <xdr:clientData/>
  </xdr:twoCellAnchor>
  <xdr:twoCellAnchor editAs="oneCell">
    <xdr:from>
      <xdr:col>11</xdr:col>
      <xdr:colOff>596265</xdr:colOff>
      <xdr:row>167</xdr:row>
      <xdr:rowOff>68580</xdr:rowOff>
    </xdr:from>
    <xdr:to>
      <xdr:col>22</xdr:col>
      <xdr:colOff>94393</xdr:colOff>
      <xdr:row>173</xdr:row>
      <xdr:rowOff>171632</xdr:rowOff>
    </xdr:to>
    <xdr:pic>
      <xdr:nvPicPr>
        <xdr:cNvPr id="8" name="Picture 7">
          <a:extLst>
            <a:ext uri="{FF2B5EF4-FFF2-40B4-BE49-F238E27FC236}">
              <a16:creationId xmlns:a16="http://schemas.microsoft.com/office/drawing/2014/main" id="{77D2EA22-9889-4C67-A9B8-A1B080E250F2}"/>
            </a:ext>
          </a:extLst>
        </xdr:cNvPr>
        <xdr:cNvPicPr>
          <a:picLocks noChangeAspect="1"/>
        </xdr:cNvPicPr>
      </xdr:nvPicPr>
      <xdr:blipFill>
        <a:blip xmlns:r="http://schemas.openxmlformats.org/officeDocument/2006/relationships" r:embed="rId6"/>
        <a:stretch>
          <a:fillRect/>
        </a:stretch>
      </xdr:blipFill>
      <xdr:spPr>
        <a:xfrm>
          <a:off x="9839325" y="29169360"/>
          <a:ext cx="7735348" cy="1291772"/>
        </a:xfrm>
        <a:prstGeom prst="rect">
          <a:avLst/>
        </a:prstGeom>
      </xdr:spPr>
    </xdr:pic>
    <xdr:clientData/>
  </xdr:twoCellAnchor>
  <xdr:twoCellAnchor editAs="oneCell">
    <xdr:from>
      <xdr:col>10</xdr:col>
      <xdr:colOff>41910</xdr:colOff>
      <xdr:row>180</xdr:row>
      <xdr:rowOff>9525</xdr:rowOff>
    </xdr:from>
    <xdr:to>
      <xdr:col>19</xdr:col>
      <xdr:colOff>696366</xdr:colOff>
      <xdr:row>185</xdr:row>
      <xdr:rowOff>76349</xdr:rowOff>
    </xdr:to>
    <xdr:pic>
      <xdr:nvPicPr>
        <xdr:cNvPr id="9" name="Picture 8">
          <a:extLst>
            <a:ext uri="{FF2B5EF4-FFF2-40B4-BE49-F238E27FC236}">
              <a16:creationId xmlns:a16="http://schemas.microsoft.com/office/drawing/2014/main" id="{2CA0AAD6-0384-44C9-BDB7-17715FF97668}"/>
            </a:ext>
          </a:extLst>
        </xdr:cNvPr>
        <xdr:cNvPicPr>
          <a:picLocks noChangeAspect="1"/>
        </xdr:cNvPicPr>
      </xdr:nvPicPr>
      <xdr:blipFill>
        <a:blip xmlns:r="http://schemas.openxmlformats.org/officeDocument/2006/relationships" r:embed="rId7"/>
        <a:stretch>
          <a:fillRect/>
        </a:stretch>
      </xdr:blipFill>
      <xdr:spPr>
        <a:xfrm>
          <a:off x="8507730" y="31487745"/>
          <a:ext cx="7687716" cy="1057424"/>
        </a:xfrm>
        <a:prstGeom prst="rect">
          <a:avLst/>
        </a:prstGeom>
      </xdr:spPr>
    </xdr:pic>
    <xdr:clientData/>
  </xdr:twoCellAnchor>
  <xdr:twoCellAnchor editAs="oneCell">
    <xdr:from>
      <xdr:col>11</xdr:col>
      <xdr:colOff>217170</xdr:colOff>
      <xdr:row>186</xdr:row>
      <xdr:rowOff>80010</xdr:rowOff>
    </xdr:from>
    <xdr:to>
      <xdr:col>21</xdr:col>
      <xdr:colOff>321085</xdr:colOff>
      <xdr:row>192</xdr:row>
      <xdr:rowOff>13493</xdr:rowOff>
    </xdr:to>
    <xdr:pic>
      <xdr:nvPicPr>
        <xdr:cNvPr id="10" name="Picture 9">
          <a:extLst>
            <a:ext uri="{FF2B5EF4-FFF2-40B4-BE49-F238E27FC236}">
              <a16:creationId xmlns:a16="http://schemas.microsoft.com/office/drawing/2014/main" id="{EC52AE8D-0A37-4F5F-8F83-2F0EA9F202ED}"/>
            </a:ext>
          </a:extLst>
        </xdr:cNvPr>
        <xdr:cNvPicPr>
          <a:picLocks noChangeAspect="1"/>
        </xdr:cNvPicPr>
      </xdr:nvPicPr>
      <xdr:blipFill>
        <a:blip xmlns:r="http://schemas.openxmlformats.org/officeDocument/2006/relationships" r:embed="rId8"/>
        <a:stretch>
          <a:fillRect/>
        </a:stretch>
      </xdr:blipFill>
      <xdr:spPr>
        <a:xfrm>
          <a:off x="9460230" y="32746950"/>
          <a:ext cx="7716295" cy="1122203"/>
        </a:xfrm>
        <a:prstGeom prst="rect">
          <a:avLst/>
        </a:prstGeom>
      </xdr:spPr>
    </xdr:pic>
    <xdr:clientData/>
  </xdr:twoCellAnchor>
  <xdr:twoCellAnchor editAs="oneCell">
    <xdr:from>
      <xdr:col>8</xdr:col>
      <xdr:colOff>200025</xdr:colOff>
      <xdr:row>15</xdr:row>
      <xdr:rowOff>342900</xdr:rowOff>
    </xdr:from>
    <xdr:to>
      <xdr:col>15</xdr:col>
      <xdr:colOff>48447</xdr:colOff>
      <xdr:row>17</xdr:row>
      <xdr:rowOff>114356</xdr:rowOff>
    </xdr:to>
    <xdr:pic>
      <xdr:nvPicPr>
        <xdr:cNvPr id="11" name="Picture 10">
          <a:extLst>
            <a:ext uri="{FF2B5EF4-FFF2-40B4-BE49-F238E27FC236}">
              <a16:creationId xmlns:a16="http://schemas.microsoft.com/office/drawing/2014/main" id="{94B2344B-EFDD-45B3-B86A-2AB688168240}"/>
            </a:ext>
          </a:extLst>
        </xdr:cNvPr>
        <xdr:cNvPicPr>
          <a:picLocks noChangeAspect="1"/>
        </xdr:cNvPicPr>
      </xdr:nvPicPr>
      <xdr:blipFill>
        <a:blip xmlns:r="http://schemas.openxmlformats.org/officeDocument/2006/relationships" r:embed="rId9"/>
        <a:stretch>
          <a:fillRect/>
        </a:stretch>
      </xdr:blipFill>
      <xdr:spPr>
        <a:xfrm>
          <a:off x="6515100" y="3724275"/>
          <a:ext cx="5887272" cy="400106"/>
        </a:xfrm>
        <a:prstGeom prst="rect">
          <a:avLst/>
        </a:prstGeom>
      </xdr:spPr>
    </xdr:pic>
    <xdr:clientData/>
  </xdr:twoCellAnchor>
  <xdr:twoCellAnchor editAs="oneCell">
    <xdr:from>
      <xdr:col>8</xdr:col>
      <xdr:colOff>180975</xdr:colOff>
      <xdr:row>60</xdr:row>
      <xdr:rowOff>257175</xdr:rowOff>
    </xdr:from>
    <xdr:to>
      <xdr:col>15</xdr:col>
      <xdr:colOff>658134</xdr:colOff>
      <xdr:row>72</xdr:row>
      <xdr:rowOff>257486</xdr:rowOff>
    </xdr:to>
    <xdr:pic>
      <xdr:nvPicPr>
        <xdr:cNvPr id="12" name="Picture 11">
          <a:extLst>
            <a:ext uri="{FF2B5EF4-FFF2-40B4-BE49-F238E27FC236}">
              <a16:creationId xmlns:a16="http://schemas.microsoft.com/office/drawing/2014/main" id="{74D76208-BE6A-4D51-80A8-1EC372DC0F5A}"/>
            </a:ext>
          </a:extLst>
        </xdr:cNvPr>
        <xdr:cNvPicPr>
          <a:picLocks noChangeAspect="1"/>
        </xdr:cNvPicPr>
      </xdr:nvPicPr>
      <xdr:blipFill>
        <a:blip xmlns:r="http://schemas.openxmlformats.org/officeDocument/2006/relationships" r:embed="rId10"/>
        <a:stretch>
          <a:fillRect/>
        </a:stretch>
      </xdr:blipFill>
      <xdr:spPr>
        <a:xfrm>
          <a:off x="6496050" y="13449300"/>
          <a:ext cx="6516009" cy="2229161"/>
        </a:xfrm>
        <a:prstGeom prst="rect">
          <a:avLst/>
        </a:prstGeom>
      </xdr:spPr>
    </xdr:pic>
    <xdr:clientData/>
  </xdr:twoCellAnchor>
  <xdr:twoCellAnchor>
    <xdr:from>
      <xdr:col>0</xdr:col>
      <xdr:colOff>400050</xdr:colOff>
      <xdr:row>334</xdr:row>
      <xdr:rowOff>95250</xdr:rowOff>
    </xdr:from>
    <xdr:to>
      <xdr:col>6</xdr:col>
      <xdr:colOff>697224</xdr:colOff>
      <xdr:row>366</xdr:row>
      <xdr:rowOff>1496</xdr:rowOff>
    </xdr:to>
    <xdr:grpSp>
      <xdr:nvGrpSpPr>
        <xdr:cNvPr id="16" name="Group 15">
          <a:extLst>
            <a:ext uri="{FF2B5EF4-FFF2-40B4-BE49-F238E27FC236}">
              <a16:creationId xmlns:a16="http://schemas.microsoft.com/office/drawing/2014/main" id="{12B84325-8224-4B17-A9A6-37196FE0A771}"/>
            </a:ext>
          </a:extLst>
        </xdr:cNvPr>
        <xdr:cNvGrpSpPr/>
      </xdr:nvGrpSpPr>
      <xdr:grpSpPr>
        <a:xfrm>
          <a:off x="400050" y="57313830"/>
          <a:ext cx="5273034" cy="6246086"/>
          <a:chOff x="627528" y="735104"/>
          <a:chExt cx="5145399" cy="6307046"/>
        </a:xfrm>
      </xdr:grpSpPr>
      <xdr:pic>
        <xdr:nvPicPr>
          <xdr:cNvPr id="17" name="Picture 16">
            <a:extLst>
              <a:ext uri="{FF2B5EF4-FFF2-40B4-BE49-F238E27FC236}">
                <a16:creationId xmlns:a16="http://schemas.microsoft.com/office/drawing/2014/main" id="{1A4119BB-5D27-4460-A42A-88395085DD1C}"/>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627528" y="735104"/>
            <a:ext cx="5145399" cy="3155577"/>
          </a:xfrm>
          <a:prstGeom prst="rect">
            <a:avLst/>
          </a:prstGeom>
          <a:ln>
            <a:solidFill>
              <a:schemeClr val="tx1"/>
            </a:solidFill>
          </a:ln>
        </xdr:spPr>
      </xdr:pic>
      <xdr:sp macro="" textlink="">
        <xdr:nvSpPr>
          <xdr:cNvPr id="18" name="Rectangle 17">
            <a:extLst>
              <a:ext uri="{FF2B5EF4-FFF2-40B4-BE49-F238E27FC236}">
                <a16:creationId xmlns:a16="http://schemas.microsoft.com/office/drawing/2014/main" id="{19BD59DE-C0CE-49FB-9A3D-AA288AF4D961}"/>
              </a:ext>
            </a:extLst>
          </xdr:cNvPr>
          <xdr:cNvSpPr/>
        </xdr:nvSpPr>
        <xdr:spPr>
          <a:xfrm rot="1664221">
            <a:off x="3186619" y="1928273"/>
            <a:ext cx="472330" cy="90974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7">
            <a:extLst>
              <a:ext uri="{FF2B5EF4-FFF2-40B4-BE49-F238E27FC236}">
                <a16:creationId xmlns:a16="http://schemas.microsoft.com/office/drawing/2014/main" id="{6CB3A7C1-F9DC-4A88-B9B7-88141BDD057D}"/>
              </a:ext>
            </a:extLst>
          </xdr:cNvPr>
          <xdr:cNvSpPr txBox="1"/>
        </xdr:nvSpPr>
        <xdr:spPr>
          <a:xfrm>
            <a:off x="2645850" y="2810190"/>
            <a:ext cx="120404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A S Ornate</a:t>
            </a:r>
          </a:p>
        </xdr:txBody>
      </xdr:sp>
      <xdr:pic>
        <xdr:nvPicPr>
          <xdr:cNvPr id="20" name="Picture 19">
            <a:extLst>
              <a:ext uri="{FF2B5EF4-FFF2-40B4-BE49-F238E27FC236}">
                <a16:creationId xmlns:a16="http://schemas.microsoft.com/office/drawing/2014/main" id="{5B5CD6C1-6170-4703-8903-CB31BFF186F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1221718" y="4061936"/>
            <a:ext cx="3957062" cy="2980214"/>
          </a:xfrm>
          <a:prstGeom prst="rect">
            <a:avLst/>
          </a:prstGeom>
          <a:ln>
            <a:solidFill>
              <a:schemeClr val="tx1"/>
            </a:solidFill>
          </a:ln>
        </xdr:spPr>
      </xdr:pic>
    </xdr:grpSp>
    <xdr:clientData/>
  </xdr:twoCellAnchor>
  <xdr:twoCellAnchor>
    <xdr:from>
      <xdr:col>1</xdr:col>
      <xdr:colOff>611505</xdr:colOff>
      <xdr:row>290</xdr:row>
      <xdr:rowOff>140970</xdr:rowOff>
    </xdr:from>
    <xdr:to>
      <xdr:col>6</xdr:col>
      <xdr:colOff>78105</xdr:colOff>
      <xdr:row>331</xdr:row>
      <xdr:rowOff>45720</xdr:rowOff>
    </xdr:to>
    <xdr:grpSp>
      <xdr:nvGrpSpPr>
        <xdr:cNvPr id="21" name="Group 20">
          <a:extLst>
            <a:ext uri="{FF2B5EF4-FFF2-40B4-BE49-F238E27FC236}">
              <a16:creationId xmlns:a16="http://schemas.microsoft.com/office/drawing/2014/main" id="{8247159E-D588-48A7-9037-1B82005AEC3A}"/>
            </a:ext>
          </a:extLst>
        </xdr:cNvPr>
        <xdr:cNvGrpSpPr/>
      </xdr:nvGrpSpPr>
      <xdr:grpSpPr>
        <a:xfrm>
          <a:off x="1396365" y="48642270"/>
          <a:ext cx="3657600" cy="8027670"/>
          <a:chOff x="1652587" y="476250"/>
          <a:chExt cx="3552825" cy="8191499"/>
        </a:xfrm>
      </xdr:grpSpPr>
      <xdr:grpSp>
        <xdr:nvGrpSpPr>
          <xdr:cNvPr id="22" name="Group 21">
            <a:extLst>
              <a:ext uri="{FF2B5EF4-FFF2-40B4-BE49-F238E27FC236}">
                <a16:creationId xmlns:a16="http://schemas.microsoft.com/office/drawing/2014/main" id="{8ED9E944-47B1-4324-886E-DE1B77BD9CE5}"/>
              </a:ext>
            </a:extLst>
          </xdr:cNvPr>
          <xdr:cNvGrpSpPr/>
        </xdr:nvGrpSpPr>
        <xdr:grpSpPr>
          <a:xfrm>
            <a:off x="1652587" y="476250"/>
            <a:ext cx="3552825" cy="8191499"/>
            <a:chOff x="0" y="0"/>
            <a:chExt cx="3493942" cy="8320306"/>
          </a:xfrm>
        </xdr:grpSpPr>
        <xdr:pic>
          <xdr:nvPicPr>
            <xdr:cNvPr id="27" name="Picture 26">
              <a:extLst>
                <a:ext uri="{FF2B5EF4-FFF2-40B4-BE49-F238E27FC236}">
                  <a16:creationId xmlns:a16="http://schemas.microsoft.com/office/drawing/2014/main" id="{8EC2C919-C67D-43F5-A211-8AF69DABD1E3}"/>
                </a:ext>
              </a:extLst>
            </xdr:cNvPr>
            <xdr:cNvPicPr>
              <a:picLocks noChangeAspect="1"/>
            </xdr:cNvPicPr>
          </xdr:nvPicPr>
          <xdr:blipFill>
            <a:blip xmlns:r="http://schemas.openxmlformats.org/officeDocument/2006/relationships" r:embed="rId13"/>
            <a:stretch>
              <a:fillRect/>
            </a:stretch>
          </xdr:blipFill>
          <xdr:spPr>
            <a:xfrm>
              <a:off x="0" y="0"/>
              <a:ext cx="3493942" cy="5195015"/>
            </a:xfrm>
            <a:prstGeom prst="rect">
              <a:avLst/>
            </a:prstGeom>
            <a:ln>
              <a:solidFill>
                <a:schemeClr val="tx1"/>
              </a:solidFill>
            </a:ln>
          </xdr:spPr>
        </xdr:pic>
        <xdr:pic>
          <xdr:nvPicPr>
            <xdr:cNvPr id="28" name="Picture 27">
              <a:extLst>
                <a:ext uri="{FF2B5EF4-FFF2-40B4-BE49-F238E27FC236}">
                  <a16:creationId xmlns:a16="http://schemas.microsoft.com/office/drawing/2014/main" id="{EC28959A-2C34-457D-BEE3-DCD50BED0F27}"/>
                </a:ext>
              </a:extLst>
            </xdr:cNvPr>
            <xdr:cNvPicPr>
              <a:picLocks noChangeAspect="1"/>
            </xdr:cNvPicPr>
          </xdr:nvPicPr>
          <xdr:blipFill>
            <a:blip xmlns:r="http://schemas.openxmlformats.org/officeDocument/2006/relationships" r:embed="rId14"/>
            <a:stretch>
              <a:fillRect/>
            </a:stretch>
          </xdr:blipFill>
          <xdr:spPr>
            <a:xfrm>
              <a:off x="294206" y="5414776"/>
              <a:ext cx="2905530" cy="2905530"/>
            </a:xfrm>
            <a:prstGeom prst="rect">
              <a:avLst/>
            </a:prstGeom>
            <a:ln>
              <a:solidFill>
                <a:schemeClr val="tx1"/>
              </a:solidFill>
            </a:ln>
          </xdr:spPr>
        </xdr:pic>
      </xdr:grpSp>
      <xdr:sp macro="" textlink="">
        <xdr:nvSpPr>
          <xdr:cNvPr id="23" name="Arrow: Right 22">
            <a:extLst>
              <a:ext uri="{FF2B5EF4-FFF2-40B4-BE49-F238E27FC236}">
                <a16:creationId xmlns:a16="http://schemas.microsoft.com/office/drawing/2014/main" id="{803D6DBC-5F44-4A25-BE1D-3C536D73C791}"/>
              </a:ext>
            </a:extLst>
          </xdr:cNvPr>
          <xdr:cNvSpPr/>
        </xdr:nvSpPr>
        <xdr:spPr>
          <a:xfrm rot="14702225">
            <a:off x="1679391" y="4881762"/>
            <a:ext cx="394447" cy="3227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15">
            <a:extLst>
              <a:ext uri="{FF2B5EF4-FFF2-40B4-BE49-F238E27FC236}">
                <a16:creationId xmlns:a16="http://schemas.microsoft.com/office/drawing/2014/main" id="{D210C0C1-3461-4A1D-A837-71EFEA2FA9ED}"/>
              </a:ext>
            </a:extLst>
          </xdr:cNvPr>
          <xdr:cNvSpPr txBox="1"/>
        </xdr:nvSpPr>
        <xdr:spPr>
          <a:xfrm>
            <a:off x="1784878" y="5254137"/>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N</a:t>
            </a:r>
          </a:p>
        </xdr:txBody>
      </xdr:sp>
      <xdr:sp macro="" textlink="">
        <xdr:nvSpPr>
          <xdr:cNvPr id="25" name="Arrow: Right 24">
            <a:extLst>
              <a:ext uri="{FF2B5EF4-FFF2-40B4-BE49-F238E27FC236}">
                <a16:creationId xmlns:a16="http://schemas.microsoft.com/office/drawing/2014/main" id="{7F170A65-BCFB-47E4-B009-453D37A2F188}"/>
              </a:ext>
            </a:extLst>
          </xdr:cNvPr>
          <xdr:cNvSpPr/>
        </xdr:nvSpPr>
        <xdr:spPr>
          <a:xfrm rot="15080202">
            <a:off x="2127442" y="7418774"/>
            <a:ext cx="394447" cy="3227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TextBox 17">
            <a:extLst>
              <a:ext uri="{FF2B5EF4-FFF2-40B4-BE49-F238E27FC236}">
                <a16:creationId xmlns:a16="http://schemas.microsoft.com/office/drawing/2014/main" id="{3CF42CFE-6646-4299-893E-5A30BB4DBC16}"/>
              </a:ext>
            </a:extLst>
          </xdr:cNvPr>
          <xdr:cNvSpPr txBox="1"/>
        </xdr:nvSpPr>
        <xdr:spPr>
          <a:xfrm>
            <a:off x="2232929" y="7791149"/>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N</a:t>
            </a:r>
          </a:p>
        </xdr:txBody>
      </xdr:sp>
    </xdr:grpSp>
    <xdr:clientData/>
  </xdr:twoCellAnchor>
  <xdr:twoCellAnchor editAs="oneCell">
    <xdr:from>
      <xdr:col>11</xdr:col>
      <xdr:colOff>838200</xdr:colOff>
      <xdr:row>86</xdr:row>
      <xdr:rowOff>28575</xdr:rowOff>
    </xdr:from>
    <xdr:to>
      <xdr:col>17</xdr:col>
      <xdr:colOff>405225</xdr:colOff>
      <xdr:row>133</xdr:row>
      <xdr:rowOff>134230</xdr:rowOff>
    </xdr:to>
    <xdr:pic>
      <xdr:nvPicPr>
        <xdr:cNvPr id="29" name="Picture 28">
          <a:extLst>
            <a:ext uri="{FF2B5EF4-FFF2-40B4-BE49-F238E27FC236}">
              <a16:creationId xmlns:a16="http://schemas.microsoft.com/office/drawing/2014/main" id="{0F1965A8-9A3D-4176-A70F-F13F6C834207}"/>
            </a:ext>
          </a:extLst>
        </xdr:cNvPr>
        <xdr:cNvPicPr>
          <a:picLocks noChangeAspect="1"/>
        </xdr:cNvPicPr>
      </xdr:nvPicPr>
      <xdr:blipFill>
        <a:blip xmlns:r="http://schemas.openxmlformats.org/officeDocument/2006/relationships" r:embed="rId15"/>
        <a:stretch>
          <a:fillRect/>
        </a:stretch>
      </xdr:blipFill>
      <xdr:spPr>
        <a:xfrm>
          <a:off x="9829800" y="19021425"/>
          <a:ext cx="4320000" cy="2915530"/>
        </a:xfrm>
        <a:prstGeom prst="rect">
          <a:avLst/>
        </a:prstGeom>
      </xdr:spPr>
    </xdr:pic>
    <xdr:clientData/>
  </xdr:twoCellAnchor>
  <xdr:twoCellAnchor editAs="oneCell">
    <xdr:from>
      <xdr:col>10</xdr:col>
      <xdr:colOff>209550</xdr:colOff>
      <xdr:row>74</xdr:row>
      <xdr:rowOff>38100</xdr:rowOff>
    </xdr:from>
    <xdr:to>
      <xdr:col>13</xdr:col>
      <xdr:colOff>419474</xdr:colOff>
      <xdr:row>89</xdr:row>
      <xdr:rowOff>179570</xdr:rowOff>
    </xdr:to>
    <xdr:pic>
      <xdr:nvPicPr>
        <xdr:cNvPr id="30" name="Picture 29">
          <a:extLst>
            <a:ext uri="{FF2B5EF4-FFF2-40B4-BE49-F238E27FC236}">
              <a16:creationId xmlns:a16="http://schemas.microsoft.com/office/drawing/2014/main" id="{122FE60F-A427-461A-92F0-BCA825549967}"/>
            </a:ext>
          </a:extLst>
        </xdr:cNvPr>
        <xdr:cNvPicPr>
          <a:picLocks noChangeAspect="1"/>
        </xdr:cNvPicPr>
      </xdr:nvPicPr>
      <xdr:blipFill>
        <a:blip xmlns:r="http://schemas.openxmlformats.org/officeDocument/2006/relationships" r:embed="rId16"/>
        <a:stretch>
          <a:fillRect/>
        </a:stretch>
      </xdr:blipFill>
      <xdr:spPr>
        <a:xfrm>
          <a:off x="8448675" y="16144875"/>
          <a:ext cx="2676899" cy="3581900"/>
        </a:xfrm>
        <a:prstGeom prst="rect">
          <a:avLst/>
        </a:prstGeom>
      </xdr:spPr>
    </xdr:pic>
    <xdr:clientData/>
  </xdr:twoCellAnchor>
  <xdr:twoCellAnchor editAs="oneCell">
    <xdr:from>
      <xdr:col>8</xdr:col>
      <xdr:colOff>558165</xdr:colOff>
      <xdr:row>118</xdr:row>
      <xdr:rowOff>95250</xdr:rowOff>
    </xdr:from>
    <xdr:to>
      <xdr:col>13</xdr:col>
      <xdr:colOff>835041</xdr:colOff>
      <xdr:row>134</xdr:row>
      <xdr:rowOff>59357</xdr:rowOff>
    </xdr:to>
    <xdr:pic>
      <xdr:nvPicPr>
        <xdr:cNvPr id="31" name="Picture 30">
          <a:extLst>
            <a:ext uri="{FF2B5EF4-FFF2-40B4-BE49-F238E27FC236}">
              <a16:creationId xmlns:a16="http://schemas.microsoft.com/office/drawing/2014/main" id="{25274606-BD35-4881-B658-AA212C616E69}"/>
            </a:ext>
          </a:extLst>
        </xdr:cNvPr>
        <xdr:cNvPicPr>
          <a:picLocks noChangeAspect="1"/>
        </xdr:cNvPicPr>
      </xdr:nvPicPr>
      <xdr:blipFill>
        <a:blip xmlns:r="http://schemas.openxmlformats.org/officeDocument/2006/relationships" r:embed="rId17"/>
        <a:stretch>
          <a:fillRect/>
        </a:stretch>
      </xdr:blipFill>
      <xdr:spPr>
        <a:xfrm>
          <a:off x="7042785" y="19663410"/>
          <a:ext cx="4803156" cy="2143427"/>
        </a:xfrm>
        <a:prstGeom prst="rect">
          <a:avLst/>
        </a:prstGeom>
      </xdr:spPr>
    </xdr:pic>
    <xdr:clientData/>
  </xdr:twoCellAnchor>
  <xdr:twoCellAnchor>
    <xdr:from>
      <xdr:col>0</xdr:col>
      <xdr:colOff>161925</xdr:colOff>
      <xdr:row>249</xdr:row>
      <xdr:rowOff>95250</xdr:rowOff>
    </xdr:from>
    <xdr:to>
      <xdr:col>7</xdr:col>
      <xdr:colOff>561975</xdr:colOff>
      <xdr:row>286</xdr:row>
      <xdr:rowOff>28575</xdr:rowOff>
    </xdr:to>
    <xdr:grpSp>
      <xdr:nvGrpSpPr>
        <xdr:cNvPr id="32" name="Group 31">
          <a:extLst>
            <a:ext uri="{FF2B5EF4-FFF2-40B4-BE49-F238E27FC236}">
              <a16:creationId xmlns:a16="http://schemas.microsoft.com/office/drawing/2014/main" id="{B3A4CC10-1BED-4FB4-A875-46B3CA933C8C}"/>
            </a:ext>
          </a:extLst>
        </xdr:cNvPr>
        <xdr:cNvGrpSpPr/>
      </xdr:nvGrpSpPr>
      <xdr:grpSpPr>
        <a:xfrm>
          <a:off x="161925" y="40481250"/>
          <a:ext cx="6130290" cy="7256145"/>
          <a:chOff x="55419" y="252000"/>
          <a:chExt cx="7060932" cy="8352428"/>
        </a:xfrm>
      </xdr:grpSpPr>
      <xdr:pic>
        <xdr:nvPicPr>
          <xdr:cNvPr id="33" name="Picture 32">
            <a:extLst>
              <a:ext uri="{FF2B5EF4-FFF2-40B4-BE49-F238E27FC236}">
                <a16:creationId xmlns:a16="http://schemas.microsoft.com/office/drawing/2014/main" id="{2D2B6932-5A0C-4B1A-BE87-6EEDAF1A23D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711387" y="252000"/>
            <a:ext cx="3105609" cy="3600000"/>
          </a:xfrm>
          <a:prstGeom prst="rect">
            <a:avLst/>
          </a:prstGeom>
          <a:ln>
            <a:solidFill>
              <a:schemeClr val="tx1"/>
            </a:solidFill>
          </a:ln>
        </xdr:spPr>
      </xdr:pic>
      <xdr:pic>
        <xdr:nvPicPr>
          <xdr:cNvPr id="34" name="Picture 33">
            <a:extLst>
              <a:ext uri="{FF2B5EF4-FFF2-40B4-BE49-F238E27FC236}">
                <a16:creationId xmlns:a16="http://schemas.microsoft.com/office/drawing/2014/main" id="{C9301BA8-F9AB-4DED-860B-E4994872C9F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74534" y="252000"/>
            <a:ext cx="3105609" cy="3600000"/>
          </a:xfrm>
          <a:prstGeom prst="rect">
            <a:avLst/>
          </a:prstGeom>
          <a:ln>
            <a:solidFill>
              <a:schemeClr val="tx1"/>
            </a:solidFill>
          </a:ln>
        </xdr:spPr>
      </xdr:pic>
      <xdr:pic>
        <xdr:nvPicPr>
          <xdr:cNvPr id="35" name="Picture 34">
            <a:extLst>
              <a:ext uri="{FF2B5EF4-FFF2-40B4-BE49-F238E27FC236}">
                <a16:creationId xmlns:a16="http://schemas.microsoft.com/office/drawing/2014/main" id="{C65FFF87-91D1-46C4-BB96-7C33E4A6257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5419" y="4043825"/>
            <a:ext cx="1760485" cy="2340000"/>
          </a:xfrm>
          <a:prstGeom prst="rect">
            <a:avLst/>
          </a:prstGeom>
          <a:ln>
            <a:solidFill>
              <a:schemeClr val="tx1"/>
            </a:solidFill>
          </a:ln>
        </xdr:spPr>
      </xdr:pic>
      <xdr:pic>
        <xdr:nvPicPr>
          <xdr:cNvPr id="36" name="Picture 35">
            <a:extLst>
              <a:ext uri="{FF2B5EF4-FFF2-40B4-BE49-F238E27FC236}">
                <a16:creationId xmlns:a16="http://schemas.microsoft.com/office/drawing/2014/main" id="{855A95E6-78E2-4122-A5B6-489BD99613B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033080" y="4050285"/>
            <a:ext cx="3105609" cy="2340000"/>
          </a:xfrm>
          <a:prstGeom prst="rect">
            <a:avLst/>
          </a:prstGeom>
          <a:ln>
            <a:solidFill>
              <a:schemeClr val="tx1"/>
            </a:solidFill>
          </a:ln>
        </xdr:spPr>
      </xdr:pic>
      <xdr:pic>
        <xdr:nvPicPr>
          <xdr:cNvPr id="37" name="Picture 36">
            <a:extLst>
              <a:ext uri="{FF2B5EF4-FFF2-40B4-BE49-F238E27FC236}">
                <a16:creationId xmlns:a16="http://schemas.microsoft.com/office/drawing/2014/main" id="{3954A31F-EB10-48F5-90DA-A31CF7F6718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355866" y="4043825"/>
            <a:ext cx="1760485" cy="2340000"/>
          </a:xfrm>
          <a:prstGeom prst="rect">
            <a:avLst/>
          </a:prstGeom>
          <a:ln>
            <a:solidFill>
              <a:schemeClr val="tx1"/>
            </a:solidFill>
          </a:ln>
        </xdr:spPr>
      </xdr:pic>
      <xdr:pic>
        <xdr:nvPicPr>
          <xdr:cNvPr id="38" name="Picture 37">
            <a:extLst>
              <a:ext uri="{FF2B5EF4-FFF2-40B4-BE49-F238E27FC236}">
                <a16:creationId xmlns:a16="http://schemas.microsoft.com/office/drawing/2014/main" id="{1067D9CD-58C8-44BD-AC97-BCD6BEE7667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996690" y="6624428"/>
            <a:ext cx="1483453" cy="1980000"/>
          </a:xfrm>
          <a:prstGeom prst="rect">
            <a:avLst/>
          </a:prstGeom>
          <a:ln>
            <a:solidFill>
              <a:schemeClr val="tx1"/>
            </a:solidFill>
          </a:ln>
        </xdr:spPr>
      </xdr:pic>
      <xdr:pic>
        <xdr:nvPicPr>
          <xdr:cNvPr id="39" name="Picture 38">
            <a:extLst>
              <a:ext uri="{FF2B5EF4-FFF2-40B4-BE49-F238E27FC236}">
                <a16:creationId xmlns:a16="http://schemas.microsoft.com/office/drawing/2014/main" id="{3D6EFC7F-EE11-415E-A6B8-50886A7149D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711387" y="6624428"/>
            <a:ext cx="1489641"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squareyards.com/navi-mumbai-residential-property/as-ornate/338891/project" TargetMode="External"/><Relationship Id="rId7" Type="http://schemas.openxmlformats.org/officeDocument/2006/relationships/vmlDrawing" Target="../drawings/vmlDrawing2.vml"/><Relationship Id="rId2" Type="http://schemas.openxmlformats.org/officeDocument/2006/relationships/hyperlink" Target="https://www.realestateindia.com/projects/a-s-ornate-in-sector-19-ulwe-navi-mumbai-pjid-50563/" TargetMode="External"/><Relationship Id="rId1" Type="http://schemas.openxmlformats.org/officeDocument/2006/relationships/hyperlink" Target="https://maps.app.goo.gl/dKgtuUqq15ENrsNy7"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33"/>
  <sheetViews>
    <sheetView tabSelected="1" view="pageBreakPreview" topLeftCell="A384" zoomScaleNormal="100" zoomScaleSheetLayoutView="100" zoomScalePageLayoutView="85" workbookViewId="0">
      <selection activeCell="J295" sqref="J295"/>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1.3320312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71" t="s">
        <v>377</v>
      </c>
      <c r="B1" s="171"/>
      <c r="C1" s="171"/>
      <c r="D1" s="171"/>
      <c r="E1" s="171"/>
      <c r="F1" s="171"/>
      <c r="G1" s="171"/>
      <c r="H1" s="171"/>
    </row>
    <row r="2" spans="1:26" ht="16.5" customHeight="1" x14ac:dyDescent="0.3">
      <c r="A2" s="172" t="s">
        <v>0</v>
      </c>
      <c r="B2" s="172"/>
      <c r="C2" s="172"/>
      <c r="D2" s="172"/>
      <c r="E2" s="172"/>
      <c r="F2" s="172"/>
      <c r="G2" s="172"/>
      <c r="H2" s="172"/>
    </row>
    <row r="3" spans="1:26" x14ac:dyDescent="0.3">
      <c r="A3" s="173" t="s">
        <v>1</v>
      </c>
      <c r="B3" s="173"/>
      <c r="C3" s="173"/>
      <c r="D3" s="173"/>
      <c r="E3" s="173" t="str">
        <f ca="1">TEXT(TODAY(),"DD/MM/YYYY")</f>
        <v>12/09/2025</v>
      </c>
      <c r="F3" s="173"/>
      <c r="G3" s="173"/>
      <c r="H3" s="173"/>
      <c r="K3" s="55" t="s">
        <v>235</v>
      </c>
      <c r="L3" s="54" t="s">
        <v>233</v>
      </c>
      <c r="M3" s="54" t="s">
        <v>238</v>
      </c>
      <c r="N3" s="54" t="s">
        <v>236</v>
      </c>
      <c r="O3" s="54" t="s">
        <v>356</v>
      </c>
      <c r="P3" s="54" t="s">
        <v>380</v>
      </c>
    </row>
    <row r="4" spans="1:26" ht="15" customHeight="1" x14ac:dyDescent="0.3">
      <c r="A4" s="173" t="s">
        <v>232</v>
      </c>
      <c r="B4" s="173"/>
      <c r="C4" s="173"/>
      <c r="D4" s="173"/>
      <c r="E4" s="131" t="s">
        <v>233</v>
      </c>
      <c r="F4" s="131"/>
      <c r="G4" s="131"/>
      <c r="H4" s="131"/>
      <c r="K4" s="53" t="s">
        <v>234</v>
      </c>
      <c r="L4" s="54" t="s">
        <v>170</v>
      </c>
      <c r="M4" s="54" t="s">
        <v>243</v>
      </c>
      <c r="N4" s="54" t="s">
        <v>245</v>
      </c>
      <c r="O4" s="54" t="s">
        <v>341</v>
      </c>
      <c r="P4" s="54" t="s">
        <v>381</v>
      </c>
    </row>
    <row r="5" spans="1:26" ht="15" customHeight="1" x14ac:dyDescent="0.3">
      <c r="A5" s="173" t="s">
        <v>2</v>
      </c>
      <c r="B5" s="173"/>
      <c r="C5" s="173"/>
      <c r="D5" s="173"/>
      <c r="E5" s="131" t="s">
        <v>242</v>
      </c>
      <c r="F5" s="131"/>
      <c r="G5" s="131"/>
      <c r="H5" s="131"/>
      <c r="K5" s="53"/>
      <c r="L5" s="54" t="s">
        <v>240</v>
      </c>
      <c r="M5" s="54" t="s">
        <v>244</v>
      </c>
      <c r="N5" s="54" t="s">
        <v>246</v>
      </c>
      <c r="O5" s="54" t="s">
        <v>342</v>
      </c>
      <c r="P5" s="54"/>
    </row>
    <row r="6" spans="1:26" x14ac:dyDescent="0.3">
      <c r="A6" s="173" t="s">
        <v>3</v>
      </c>
      <c r="B6" s="173"/>
      <c r="C6" s="173"/>
      <c r="D6" s="173"/>
      <c r="E6" s="175">
        <v>45910</v>
      </c>
      <c r="F6" s="173"/>
      <c r="G6" s="173"/>
      <c r="H6" s="173"/>
      <c r="K6" s="53"/>
      <c r="L6" s="54" t="s">
        <v>241</v>
      </c>
      <c r="M6" s="54" t="s">
        <v>354</v>
      </c>
      <c r="N6" s="54"/>
      <c r="O6" s="54" t="s">
        <v>343</v>
      </c>
      <c r="P6" s="54"/>
    </row>
    <row r="7" spans="1:26" ht="16.5" customHeight="1" x14ac:dyDescent="0.3">
      <c r="A7" s="173" t="s">
        <v>4</v>
      </c>
      <c r="B7" s="173"/>
      <c r="C7" s="173"/>
      <c r="D7" s="173"/>
      <c r="E7" s="173" t="s">
        <v>386</v>
      </c>
      <c r="F7" s="173"/>
      <c r="G7" s="173"/>
      <c r="H7" s="173"/>
      <c r="K7" s="53"/>
      <c r="L7" s="54" t="s">
        <v>242</v>
      </c>
      <c r="M7" s="54"/>
      <c r="N7" s="54"/>
      <c r="O7" s="54" t="s">
        <v>343</v>
      </c>
      <c r="P7" s="54"/>
    </row>
    <row r="8" spans="1:26" ht="15" customHeight="1" x14ac:dyDescent="0.3">
      <c r="A8" s="173" t="s">
        <v>5</v>
      </c>
      <c r="B8" s="173"/>
      <c r="C8" s="173"/>
      <c r="D8" s="173"/>
      <c r="E8" s="173" t="str">
        <f>E7</f>
        <v>Trinity Realcon LLP</v>
      </c>
      <c r="F8" s="173"/>
      <c r="G8" s="173"/>
      <c r="H8" s="173"/>
      <c r="K8" s="53"/>
      <c r="L8" s="54"/>
      <c r="M8" s="54"/>
      <c r="N8" s="54"/>
      <c r="O8" s="54" t="s">
        <v>344</v>
      </c>
      <c r="P8" s="54"/>
    </row>
    <row r="9" spans="1:26" x14ac:dyDescent="0.3">
      <c r="A9" s="173" t="s">
        <v>6</v>
      </c>
      <c r="B9" s="173"/>
      <c r="C9" s="173"/>
      <c r="D9" s="173"/>
      <c r="E9" s="174" t="s">
        <v>387</v>
      </c>
      <c r="F9" s="174"/>
      <c r="G9" s="174"/>
      <c r="H9" s="174"/>
      <c r="K9" s="53"/>
      <c r="L9" s="54"/>
      <c r="M9" s="54"/>
      <c r="N9" s="54"/>
      <c r="O9" s="54" t="s">
        <v>345</v>
      </c>
      <c r="P9" s="54"/>
    </row>
    <row r="10" spans="1:26" x14ac:dyDescent="0.3">
      <c r="A10" s="173" t="s">
        <v>166</v>
      </c>
      <c r="B10" s="173"/>
      <c r="C10" s="173"/>
      <c r="D10" s="173"/>
      <c r="E10" s="173" t="s">
        <v>388</v>
      </c>
      <c r="F10" s="173"/>
      <c r="G10" s="173"/>
      <c r="H10" s="173"/>
      <c r="K10" s="53"/>
      <c r="L10" s="54"/>
      <c r="M10" s="54"/>
      <c r="N10" s="54"/>
      <c r="O10" s="54" t="s">
        <v>346</v>
      </c>
      <c r="P10" s="54"/>
    </row>
    <row r="11" spans="1:26" x14ac:dyDescent="0.3">
      <c r="A11" s="173" t="s">
        <v>167</v>
      </c>
      <c r="B11" s="173"/>
      <c r="C11" s="173"/>
      <c r="D11" s="173"/>
      <c r="E11" s="131" t="s">
        <v>388</v>
      </c>
      <c r="F11" s="131"/>
      <c r="G11" s="131"/>
      <c r="H11" s="131"/>
      <c r="O11" s="54" t="s">
        <v>347</v>
      </c>
    </row>
    <row r="12" spans="1:26" x14ac:dyDescent="0.3">
      <c r="A12" s="173" t="s">
        <v>7</v>
      </c>
      <c r="B12" s="173"/>
      <c r="C12" s="173"/>
      <c r="D12" s="173"/>
      <c r="E12" s="173" t="s">
        <v>118</v>
      </c>
      <c r="F12" s="173"/>
      <c r="G12" s="173"/>
      <c r="H12" s="173"/>
    </row>
    <row r="13" spans="1:26" x14ac:dyDescent="0.3">
      <c r="A13" s="131" t="s">
        <v>171</v>
      </c>
      <c r="B13" s="131"/>
      <c r="C13" s="131"/>
      <c r="D13" s="131"/>
      <c r="E13" s="173" t="s">
        <v>28</v>
      </c>
      <c r="F13" s="173"/>
      <c r="G13" s="173"/>
      <c r="H13" s="173"/>
      <c r="S13" s="54" t="s">
        <v>180</v>
      </c>
      <c r="T13" s="54" t="s">
        <v>189</v>
      </c>
      <c r="U13" s="54" t="s">
        <v>172</v>
      </c>
      <c r="V13" s="54" t="s">
        <v>194</v>
      </c>
      <c r="W13" s="54" t="s">
        <v>212</v>
      </c>
      <c r="X13"/>
      <c r="Y13" t="s">
        <v>194</v>
      </c>
      <c r="Z13" t="e">
        <f ca="1">OFFSET($S$13,1,MATCH($G20,$S$13:$W$13,0)-1,15,1)</f>
        <v>#VALUE!</v>
      </c>
    </row>
    <row r="14" spans="1:26" x14ac:dyDescent="0.3">
      <c r="A14" s="121" t="s">
        <v>278</v>
      </c>
      <c r="B14" s="121"/>
      <c r="C14" s="121"/>
      <c r="D14" s="121"/>
      <c r="E14" s="176" t="s">
        <v>227</v>
      </c>
      <c r="F14" s="176"/>
      <c r="G14" s="176"/>
      <c r="H14" s="176"/>
      <c r="S14" s="54" t="s">
        <v>180</v>
      </c>
      <c r="T14" s="54" t="s">
        <v>187</v>
      </c>
      <c r="U14" s="54" t="s">
        <v>209</v>
      </c>
      <c r="V14" s="54" t="s">
        <v>195</v>
      </c>
      <c r="W14" s="54" t="s">
        <v>213</v>
      </c>
      <c r="X14"/>
      <c r="Y14"/>
      <c r="Z14"/>
    </row>
    <row r="15" spans="1:26" x14ac:dyDescent="0.3">
      <c r="A15" s="121" t="s">
        <v>8</v>
      </c>
      <c r="B15" s="121"/>
      <c r="C15" s="121"/>
      <c r="D15" s="121"/>
      <c r="E15" s="176" t="s">
        <v>389</v>
      </c>
      <c r="F15" s="131"/>
      <c r="G15" s="131"/>
      <c r="H15" s="131"/>
      <c r="I15" s="122" t="e">
        <f ca="1">OFFSET($D$5,1,MATCH($J13,$D$5:$H$5,0)-1,15,1)</f>
        <v>#N/A</v>
      </c>
      <c r="J15" s="123"/>
      <c r="K15" s="123"/>
      <c r="L15" s="123"/>
      <c r="M15" s="123"/>
      <c r="N15" s="123"/>
      <c r="O15" s="123"/>
      <c r="P15" s="123"/>
      <c r="S15" s="54" t="s">
        <v>181</v>
      </c>
      <c r="T15" s="54" t="s">
        <v>188</v>
      </c>
      <c r="U15" s="54" t="s">
        <v>210</v>
      </c>
      <c r="V15" s="54" t="s">
        <v>196</v>
      </c>
      <c r="W15" s="54" t="s">
        <v>226</v>
      </c>
      <c r="X15"/>
      <c r="Y15"/>
      <c r="Z15"/>
    </row>
    <row r="16" spans="1:26" ht="33.75" customHeight="1" x14ac:dyDescent="0.3">
      <c r="A16" s="106" t="s">
        <v>9</v>
      </c>
      <c r="B16" s="106"/>
      <c r="C16" s="106" t="str">
        <f>CONCATENATE((IF(OR(E9="",E9="NA"),"",E9)),", ",(IF(OR(A17="",A17="NA"),"",A17)),".",(IF(OR(C17="",C17="NA"),"",C17)),", near ",(IF(OR(C22="",C22="NA"),"",C22)),", ",(IF(OR(C19="",C19="NA"),"",C19)),", ",(IF(OR(C18="",C18="NA"),"",C18)),", ",(IF(OR(G19="",G19="NA"),"",G19)),", ",(IF(OR(C20="",C20="NA"),"",C20)),", ",(IF(OR(C21="",C21="NA"),"",C21)),", ",(IF(OR(G20="",G20="NA"),"",G20))," - ",(IF(OR(G21="",G21="NA"),"",G21)),".")</f>
        <v>A.S.Ornate, Plot No.125B, Sector-19, near Divine Varsha, Sukham Ave Road, , Ulwe, Bamandongri, Panvel, Raigad - 410206.</v>
      </c>
      <c r="D16" s="106"/>
      <c r="E16" s="106"/>
      <c r="F16" s="106"/>
      <c r="G16" s="106"/>
      <c r="H16" s="106"/>
      <c r="S16" s="54" t="s">
        <v>182</v>
      </c>
      <c r="T16" s="54" t="s">
        <v>190</v>
      </c>
      <c r="U16" s="54" t="s">
        <v>211</v>
      </c>
      <c r="V16" s="54" t="s">
        <v>197</v>
      </c>
      <c r="W16" s="54" t="s">
        <v>214</v>
      </c>
      <c r="X16"/>
      <c r="Y16"/>
      <c r="Z16"/>
    </row>
    <row r="17" spans="1:26" x14ac:dyDescent="0.3">
      <c r="A17" s="176" t="s">
        <v>390</v>
      </c>
      <c r="B17" s="176"/>
      <c r="C17" s="176" t="s">
        <v>391</v>
      </c>
      <c r="D17" s="176"/>
      <c r="E17" s="176"/>
      <c r="F17" s="176"/>
      <c r="G17" s="176"/>
      <c r="H17" s="176"/>
      <c r="S17" s="54" t="s">
        <v>183</v>
      </c>
      <c r="T17" s="54" t="s">
        <v>191</v>
      </c>
      <c r="U17" s="54" t="s">
        <v>172</v>
      </c>
      <c r="V17" s="54" t="s">
        <v>198</v>
      </c>
      <c r="W17" s="54" t="s">
        <v>215</v>
      </c>
      <c r="X17"/>
      <c r="Y17"/>
      <c r="Z17"/>
    </row>
    <row r="18" spans="1:26" ht="15.75" customHeight="1" x14ac:dyDescent="0.3">
      <c r="A18" s="177" t="s">
        <v>162</v>
      </c>
      <c r="B18" s="177"/>
      <c r="C18" s="177" t="s">
        <v>28</v>
      </c>
      <c r="D18" s="177"/>
      <c r="E18" s="177"/>
      <c r="F18" s="177"/>
      <c r="G18" s="177"/>
      <c r="H18" s="177"/>
      <c r="S18" s="54" t="s">
        <v>184</v>
      </c>
      <c r="T18" s="54" t="s">
        <v>189</v>
      </c>
      <c r="U18" s="54"/>
      <c r="V18" s="54" t="s">
        <v>199</v>
      </c>
      <c r="W18" s="54" t="s">
        <v>216</v>
      </c>
      <c r="X18"/>
      <c r="Y18"/>
      <c r="Z18"/>
    </row>
    <row r="19" spans="1:26" ht="15.75" customHeight="1" x14ac:dyDescent="0.3">
      <c r="A19" s="106" t="s">
        <v>10</v>
      </c>
      <c r="B19" s="106"/>
      <c r="C19" s="173" t="s">
        <v>395</v>
      </c>
      <c r="D19" s="173"/>
      <c r="E19" s="106" t="s">
        <v>69</v>
      </c>
      <c r="F19" s="106"/>
      <c r="G19" s="177" t="s">
        <v>392</v>
      </c>
      <c r="H19" s="177"/>
      <c r="S19" s="54" t="s">
        <v>185</v>
      </c>
      <c r="T19" s="54" t="s">
        <v>192</v>
      </c>
      <c r="U19" s="54"/>
      <c r="V19" s="54" t="s">
        <v>200</v>
      </c>
      <c r="W19" s="54" t="s">
        <v>217</v>
      </c>
      <c r="X19"/>
      <c r="Y19"/>
      <c r="Z19"/>
    </row>
    <row r="20" spans="1:26" x14ac:dyDescent="0.3">
      <c r="A20" s="121" t="s">
        <v>12</v>
      </c>
      <c r="B20" s="121"/>
      <c r="C20" s="177" t="s">
        <v>398</v>
      </c>
      <c r="D20" s="177"/>
      <c r="E20" s="106" t="s">
        <v>11</v>
      </c>
      <c r="F20" s="106"/>
      <c r="G20" s="178" t="s">
        <v>194</v>
      </c>
      <c r="H20" s="178"/>
      <c r="S20" s="54" t="s">
        <v>186</v>
      </c>
      <c r="T20" s="54" t="s">
        <v>193</v>
      </c>
      <c r="U20" s="54"/>
      <c r="V20" s="54" t="s">
        <v>201</v>
      </c>
      <c r="W20" s="54" t="s">
        <v>218</v>
      </c>
      <c r="X20"/>
      <c r="Y20"/>
      <c r="Z20"/>
    </row>
    <row r="21" spans="1:26" x14ac:dyDescent="0.3">
      <c r="A21" s="121" t="s">
        <v>70</v>
      </c>
      <c r="B21" s="121"/>
      <c r="C21" s="176" t="s">
        <v>196</v>
      </c>
      <c r="D21" s="176"/>
      <c r="E21" s="106" t="s">
        <v>13</v>
      </c>
      <c r="F21" s="106"/>
      <c r="G21" s="177">
        <v>410206</v>
      </c>
      <c r="H21" s="177"/>
      <c r="S21" s="54"/>
      <c r="T21" s="54"/>
      <c r="U21" s="54"/>
      <c r="V21" s="54" t="s">
        <v>202</v>
      </c>
      <c r="W21" s="54" t="s">
        <v>219</v>
      </c>
      <c r="X21"/>
      <c r="Y21"/>
      <c r="Z21"/>
    </row>
    <row r="22" spans="1:26" ht="32.25" customHeight="1" x14ac:dyDescent="0.3">
      <c r="A22" s="121" t="s">
        <v>119</v>
      </c>
      <c r="B22" s="121"/>
      <c r="C22" s="177" t="s">
        <v>396</v>
      </c>
      <c r="D22" s="177"/>
      <c r="E22" s="106" t="s">
        <v>14</v>
      </c>
      <c r="F22" s="106"/>
      <c r="G22" s="176" t="s">
        <v>397</v>
      </c>
      <c r="H22" s="176"/>
      <c r="S22" s="54"/>
      <c r="T22" s="54"/>
      <c r="U22" s="54"/>
      <c r="V22" s="54" t="s">
        <v>203</v>
      </c>
      <c r="W22" s="54" t="s">
        <v>220</v>
      </c>
      <c r="X22"/>
      <c r="Y22"/>
      <c r="Z22"/>
    </row>
    <row r="23" spans="1:26" ht="15" customHeight="1" x14ac:dyDescent="0.3">
      <c r="A23" s="106" t="s">
        <v>72</v>
      </c>
      <c r="B23" s="106"/>
      <c r="C23" s="106"/>
      <c r="D23" s="106"/>
      <c r="E23" s="173" t="s">
        <v>15</v>
      </c>
      <c r="F23" s="173"/>
      <c r="G23" s="173"/>
      <c r="H23" s="173"/>
      <c r="S23" s="54"/>
      <c r="T23" s="54"/>
      <c r="U23" s="54"/>
      <c r="V23" s="54" t="s">
        <v>204</v>
      </c>
      <c r="W23" s="54" t="s">
        <v>221</v>
      </c>
      <c r="X23"/>
      <c r="Y23"/>
      <c r="Z23"/>
    </row>
    <row r="24" spans="1:26" ht="18.75" customHeight="1" x14ac:dyDescent="0.3">
      <c r="A24" s="106"/>
      <c r="B24" s="106"/>
      <c r="C24" s="106"/>
      <c r="D24" s="106"/>
      <c r="E24" s="173"/>
      <c r="F24" s="173"/>
      <c r="G24" s="173"/>
      <c r="H24" s="173"/>
      <c r="S24" s="54"/>
      <c r="T24" s="54"/>
      <c r="U24" s="54"/>
      <c r="V24" s="54" t="s">
        <v>205</v>
      </c>
      <c r="W24" s="54" t="s">
        <v>222</v>
      </c>
      <c r="X24"/>
      <c r="Y24"/>
      <c r="Z24"/>
    </row>
    <row r="25" spans="1:26" ht="15" customHeight="1" x14ac:dyDescent="0.3">
      <c r="A25" s="106" t="s">
        <v>16</v>
      </c>
      <c r="B25" s="106"/>
      <c r="C25" s="106"/>
      <c r="D25" s="106"/>
      <c r="E25" s="177" t="s">
        <v>17</v>
      </c>
      <c r="F25" s="177"/>
      <c r="G25" s="177"/>
      <c r="H25" s="177"/>
      <c r="S25" s="54"/>
      <c r="T25" s="54"/>
      <c r="U25" s="54"/>
      <c r="V25" s="54" t="s">
        <v>206</v>
      </c>
      <c r="W25" s="54" t="s">
        <v>223</v>
      </c>
      <c r="X25"/>
      <c r="Y25"/>
      <c r="Z25"/>
    </row>
    <row r="26" spans="1:26" ht="15" customHeight="1" x14ac:dyDescent="0.3">
      <c r="A26" s="121" t="s">
        <v>18</v>
      </c>
      <c r="B26" s="121"/>
      <c r="C26" s="121"/>
      <c r="D26" s="121"/>
      <c r="E26" s="177" t="str">
        <f>IF(AND(G20="Mumbai"),"Upper Class","Middle Class")</f>
        <v>Middle Class</v>
      </c>
      <c r="F26" s="177"/>
      <c r="G26" s="177"/>
      <c r="H26" s="177"/>
      <c r="S26" s="54"/>
      <c r="T26" s="54"/>
      <c r="U26" s="54"/>
      <c r="V26" s="54" t="s">
        <v>207</v>
      </c>
      <c r="W26" s="54" t="s">
        <v>224</v>
      </c>
      <c r="X26"/>
      <c r="Y26"/>
      <c r="Z26"/>
    </row>
    <row r="27" spans="1:26" x14ac:dyDescent="0.3">
      <c r="A27" s="121" t="s">
        <v>19</v>
      </c>
      <c r="B27" s="121"/>
      <c r="C27" s="121"/>
      <c r="D27" s="121"/>
      <c r="E27" s="177" t="s">
        <v>20</v>
      </c>
      <c r="F27" s="177"/>
      <c r="G27" s="177"/>
      <c r="H27" s="177"/>
      <c r="S27" s="54"/>
      <c r="T27" s="54"/>
      <c r="U27" s="54"/>
      <c r="V27" s="54" t="s">
        <v>208</v>
      </c>
      <c r="W27" s="54" t="s">
        <v>225</v>
      </c>
      <c r="X27"/>
      <c r="Y27"/>
      <c r="Z27"/>
    </row>
    <row r="28" spans="1:26" ht="15.75" customHeight="1" x14ac:dyDescent="0.3">
      <c r="A28" s="121" t="s">
        <v>21</v>
      </c>
      <c r="B28" s="121"/>
      <c r="C28" s="121"/>
      <c r="D28" s="121"/>
      <c r="E28" s="177" t="str">
        <f>IF(AND(G20="Mumbai"),"Developed","Developing")</f>
        <v>Developing</v>
      </c>
      <c r="F28" s="177"/>
      <c r="G28" s="177"/>
      <c r="H28" s="177"/>
    </row>
    <row r="29" spans="1:26" x14ac:dyDescent="0.3">
      <c r="A29" s="121" t="s">
        <v>22</v>
      </c>
      <c r="B29" s="121"/>
      <c r="C29" s="121"/>
      <c r="D29" s="121"/>
      <c r="E29" s="177" t="s">
        <v>23</v>
      </c>
      <c r="F29" s="177"/>
      <c r="G29" s="177"/>
      <c r="H29" s="177"/>
    </row>
    <row r="30" spans="1:26" ht="15.75" customHeight="1" x14ac:dyDescent="0.3">
      <c r="A30" s="121" t="s">
        <v>77</v>
      </c>
      <c r="B30" s="121"/>
      <c r="C30" s="121"/>
      <c r="D30" s="121"/>
      <c r="E30" s="177" t="s">
        <v>78</v>
      </c>
      <c r="F30" s="177"/>
      <c r="G30" s="177"/>
      <c r="H30" s="177"/>
    </row>
    <row r="31" spans="1:26" ht="15" customHeight="1" x14ac:dyDescent="0.3">
      <c r="A31" s="121" t="s">
        <v>30</v>
      </c>
      <c r="B31" s="121"/>
      <c r="C31" s="121"/>
      <c r="D31" s="121"/>
      <c r="E31" s="17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77"/>
      <c r="G31" s="177"/>
      <c r="H31" s="177"/>
    </row>
    <row r="32" spans="1:26" ht="15.75" customHeight="1" x14ac:dyDescent="0.3">
      <c r="A32" s="121" t="s">
        <v>89</v>
      </c>
      <c r="B32" s="121"/>
      <c r="C32" s="121"/>
      <c r="D32" s="121"/>
      <c r="E32" s="177" t="s">
        <v>31</v>
      </c>
      <c r="F32" s="177"/>
      <c r="G32" s="177"/>
      <c r="H32" s="177"/>
    </row>
    <row r="33" spans="1:19" s="22" customFormat="1" x14ac:dyDescent="0.3">
      <c r="A33" s="187" t="s">
        <v>90</v>
      </c>
      <c r="B33" s="187"/>
      <c r="C33" s="184" t="s">
        <v>173</v>
      </c>
      <c r="D33" s="185"/>
      <c r="E33" s="186"/>
      <c r="F33" s="184" t="s">
        <v>29</v>
      </c>
      <c r="G33" s="185"/>
      <c r="H33" s="186"/>
      <c r="S33" s="22" t="e">
        <f ca="1">OFFSET($S$13,1,MATCH($G20,$S$13:$W$13,0)-1,15,1)</f>
        <v>#VALUE!</v>
      </c>
    </row>
    <row r="34" spans="1:19" s="22" customFormat="1" x14ac:dyDescent="0.3">
      <c r="A34" s="180" t="s">
        <v>24</v>
      </c>
      <c r="B34" s="180" t="s">
        <v>28</v>
      </c>
      <c r="C34" s="181" t="s">
        <v>401</v>
      </c>
      <c r="D34" s="182"/>
      <c r="E34" s="183"/>
      <c r="F34" s="181" t="s">
        <v>404</v>
      </c>
      <c r="G34" s="182"/>
      <c r="H34" s="183"/>
    </row>
    <row r="35" spans="1:19" x14ac:dyDescent="0.3">
      <c r="A35" s="180" t="s">
        <v>25</v>
      </c>
      <c r="B35" s="180" t="s">
        <v>28</v>
      </c>
      <c r="C35" s="181" t="s">
        <v>402</v>
      </c>
      <c r="D35" s="182"/>
      <c r="E35" s="183"/>
      <c r="F35" s="181" t="s">
        <v>396</v>
      </c>
      <c r="G35" s="182"/>
      <c r="H35" s="183"/>
    </row>
    <row r="36" spans="1:19" s="22" customFormat="1" x14ac:dyDescent="0.3">
      <c r="A36" s="180" t="s">
        <v>27</v>
      </c>
      <c r="B36" s="180" t="s">
        <v>28</v>
      </c>
      <c r="C36" s="181" t="s">
        <v>400</v>
      </c>
      <c r="D36" s="182"/>
      <c r="E36" s="183"/>
      <c r="F36" s="181" t="s">
        <v>403</v>
      </c>
      <c r="G36" s="182"/>
      <c r="H36" s="183"/>
    </row>
    <row r="37" spans="1:19" x14ac:dyDescent="0.3">
      <c r="A37" s="180" t="s">
        <v>26</v>
      </c>
      <c r="B37" s="180" t="s">
        <v>28</v>
      </c>
      <c r="C37" s="181" t="s">
        <v>399</v>
      </c>
      <c r="D37" s="182"/>
      <c r="E37" s="183"/>
      <c r="F37" s="181" t="s">
        <v>395</v>
      </c>
      <c r="G37" s="182"/>
      <c r="H37" s="183"/>
    </row>
    <row r="38" spans="1:19" x14ac:dyDescent="0.3">
      <c r="A38" s="121" t="s">
        <v>279</v>
      </c>
      <c r="B38" s="121"/>
      <c r="C38" s="121"/>
      <c r="D38" s="121"/>
      <c r="E38" s="121"/>
      <c r="F38" s="121"/>
      <c r="G38" s="121"/>
      <c r="H38" s="121"/>
    </row>
    <row r="39" spans="1:19" ht="15.75" customHeight="1" x14ac:dyDescent="0.3">
      <c r="A39" s="121" t="s">
        <v>164</v>
      </c>
      <c r="B39" s="121"/>
      <c r="C39" s="166" t="s">
        <v>393</v>
      </c>
      <c r="D39" s="166"/>
      <c r="E39" s="166"/>
      <c r="F39" s="166"/>
      <c r="G39" s="166"/>
      <c r="H39" s="166"/>
    </row>
    <row r="40" spans="1:19" x14ac:dyDescent="0.3">
      <c r="A40" s="121" t="s">
        <v>161</v>
      </c>
      <c r="B40" s="121"/>
      <c r="C40" s="254" t="s">
        <v>394</v>
      </c>
      <c r="D40" s="177"/>
      <c r="E40" s="177"/>
      <c r="F40" s="177"/>
      <c r="G40" s="177"/>
      <c r="H40" s="177"/>
    </row>
    <row r="41" spans="1:19" x14ac:dyDescent="0.3">
      <c r="A41" s="166" t="s">
        <v>32</v>
      </c>
      <c r="B41" s="166"/>
      <c r="C41" s="166"/>
      <c r="D41" s="166"/>
      <c r="E41" s="166"/>
      <c r="F41" s="166"/>
      <c r="G41" s="166"/>
      <c r="H41" s="166"/>
    </row>
    <row r="42" spans="1:19" x14ac:dyDescent="0.3">
      <c r="A42" s="121" t="s">
        <v>33</v>
      </c>
      <c r="B42" s="121"/>
      <c r="C42" s="121"/>
      <c r="D42" s="121"/>
      <c r="E42" s="236">
        <v>549.80999999999995</v>
      </c>
      <c r="F42" s="236"/>
      <c r="G42" s="236"/>
      <c r="H42" s="236"/>
    </row>
    <row r="43" spans="1:19" x14ac:dyDescent="0.3">
      <c r="A43" s="121" t="s">
        <v>34</v>
      </c>
      <c r="B43" s="121"/>
      <c r="C43" s="121"/>
      <c r="D43" s="121"/>
      <c r="E43" s="179">
        <f>824.715/E42</f>
        <v>1.5000000000000002</v>
      </c>
      <c r="F43" s="179"/>
      <c r="G43" s="179"/>
      <c r="H43" s="179"/>
    </row>
    <row r="44" spans="1:19" x14ac:dyDescent="0.3">
      <c r="A44" s="121" t="s">
        <v>35</v>
      </c>
      <c r="B44" s="121"/>
      <c r="C44" s="121"/>
      <c r="D44" s="121"/>
      <c r="E44" s="179">
        <f>E46/E42-E43</f>
        <v>1.8299321583819863</v>
      </c>
      <c r="F44" s="179"/>
      <c r="G44" s="179"/>
      <c r="H44" s="179"/>
    </row>
    <row r="45" spans="1:19" x14ac:dyDescent="0.3">
      <c r="A45" s="121" t="s">
        <v>36</v>
      </c>
      <c r="B45" s="121"/>
      <c r="C45" s="121"/>
      <c r="D45" s="121"/>
      <c r="E45" s="179">
        <f>E43+E44</f>
        <v>3.3299321583819865</v>
      </c>
      <c r="F45" s="179"/>
      <c r="G45" s="179"/>
      <c r="H45" s="179"/>
    </row>
    <row r="46" spans="1:19" x14ac:dyDescent="0.3">
      <c r="A46" s="121" t="s">
        <v>88</v>
      </c>
      <c r="B46" s="121"/>
      <c r="C46" s="121"/>
      <c r="D46" s="121"/>
      <c r="E46" s="258">
        <v>1830.83</v>
      </c>
      <c r="F46" s="258"/>
      <c r="G46" s="258"/>
      <c r="H46" s="258"/>
    </row>
    <row r="47" spans="1:19" x14ac:dyDescent="0.3">
      <c r="A47" s="173" t="s">
        <v>37</v>
      </c>
      <c r="B47" s="173"/>
      <c r="C47" s="173"/>
      <c r="D47" s="173"/>
      <c r="E47" s="131" t="s">
        <v>118</v>
      </c>
      <c r="F47" s="131"/>
      <c r="G47" s="131"/>
      <c r="H47" s="131"/>
    </row>
    <row r="48" spans="1:19" x14ac:dyDescent="0.3">
      <c r="A48" s="166" t="s">
        <v>38</v>
      </c>
      <c r="B48" s="166"/>
      <c r="C48" s="166"/>
      <c r="D48" s="166"/>
      <c r="E48" s="166"/>
      <c r="F48" s="166"/>
      <c r="G48" s="166"/>
      <c r="H48" s="166"/>
    </row>
    <row r="49" spans="1:24" ht="31.5" customHeight="1" x14ac:dyDescent="0.3">
      <c r="A49" s="191" t="s">
        <v>151</v>
      </c>
      <c r="B49" s="192"/>
      <c r="C49" s="193" t="s">
        <v>267</v>
      </c>
      <c r="D49" s="194"/>
      <c r="E49" s="194"/>
      <c r="F49" s="194"/>
      <c r="G49" s="194"/>
      <c r="H49" s="195"/>
      <c r="R49" t="s">
        <v>252</v>
      </c>
      <c r="S49" s="56" t="s">
        <v>172</v>
      </c>
      <c r="T49" s="56" t="s">
        <v>180</v>
      </c>
      <c r="U49" s="56" t="s">
        <v>194</v>
      </c>
      <c r="V49" s="56" t="s">
        <v>189</v>
      </c>
    </row>
    <row r="50" spans="1:24" ht="32.25" customHeight="1" x14ac:dyDescent="0.3">
      <c r="A50" s="191" t="s">
        <v>39</v>
      </c>
      <c r="B50" s="192"/>
      <c r="C50" s="191" t="s">
        <v>405</v>
      </c>
      <c r="D50" s="219"/>
      <c r="E50" s="192"/>
      <c r="F50" s="18" t="s">
        <v>40</v>
      </c>
      <c r="G50" s="229">
        <v>45464</v>
      </c>
      <c r="H50" s="230"/>
      <c r="R50"/>
      <c r="S50" s="56" t="s">
        <v>253</v>
      </c>
      <c r="T50" s="56" t="s">
        <v>258</v>
      </c>
      <c r="U50" s="56" t="s">
        <v>269</v>
      </c>
      <c r="V50" s="56" t="s">
        <v>274</v>
      </c>
    </row>
    <row r="51" spans="1:24" ht="32.25" customHeight="1" x14ac:dyDescent="0.3">
      <c r="A51" s="191" t="s">
        <v>41</v>
      </c>
      <c r="B51" s="192"/>
      <c r="C51" s="191" t="str">
        <f>C50</f>
        <v>CIDCO/BP-18325/TPO(NM &amp; K)/2022/12574</v>
      </c>
      <c r="D51" s="219"/>
      <c r="E51" s="192"/>
      <c r="F51" s="18" t="s">
        <v>40</v>
      </c>
      <c r="G51" s="229">
        <f>G50</f>
        <v>45464</v>
      </c>
      <c r="H51" s="230"/>
      <c r="R51"/>
      <c r="S51" s="56" t="s">
        <v>254</v>
      </c>
      <c r="T51" s="56" t="s">
        <v>357</v>
      </c>
      <c r="U51" s="56" t="s">
        <v>267</v>
      </c>
      <c r="V51" s="56" t="s">
        <v>275</v>
      </c>
    </row>
    <row r="52" spans="1:24" s="23" customFormat="1" ht="15.75" customHeight="1" x14ac:dyDescent="0.3">
      <c r="A52" s="220" t="s">
        <v>406</v>
      </c>
      <c r="B52" s="222"/>
      <c r="C52" s="220" t="str">
        <f>C51</f>
        <v>CIDCO/BP-18325/TPO(NM &amp; K)/2022/12574</v>
      </c>
      <c r="D52" s="221"/>
      <c r="E52" s="222"/>
      <c r="F52" s="211" t="s">
        <v>40</v>
      </c>
      <c r="G52" s="262">
        <v>45464</v>
      </c>
      <c r="H52" s="263"/>
      <c r="I52" s="22" t="str">
        <f ca="1">IF(G52&gt;EDATE(E3,-48),"NO REMARK","CC REMARK FOR CC")</f>
        <v>NO REMARK</v>
      </c>
      <c r="J52" s="77"/>
      <c r="R52"/>
      <c r="S52" s="56" t="s">
        <v>255</v>
      </c>
      <c r="T52" s="56" t="s">
        <v>260</v>
      </c>
      <c r="U52" s="56" t="s">
        <v>257</v>
      </c>
      <c r="V52" s="56" t="s">
        <v>276</v>
      </c>
    </row>
    <row r="53" spans="1:24" s="23" customFormat="1" ht="21" customHeight="1" x14ac:dyDescent="0.3">
      <c r="A53" s="234"/>
      <c r="B53" s="235"/>
      <c r="C53" s="223"/>
      <c r="D53" s="224"/>
      <c r="E53" s="225"/>
      <c r="F53" s="255"/>
      <c r="G53" s="264"/>
      <c r="H53" s="265"/>
      <c r="R53"/>
      <c r="S53" s="56" t="s">
        <v>256</v>
      </c>
      <c r="T53" s="56" t="s">
        <v>263</v>
      </c>
      <c r="U53" s="56" t="s">
        <v>270</v>
      </c>
      <c r="V53" s="73" t="s">
        <v>350</v>
      </c>
    </row>
    <row r="54" spans="1:24" s="23" customFormat="1" ht="33.75" customHeight="1" x14ac:dyDescent="0.3">
      <c r="A54" s="223"/>
      <c r="B54" s="225"/>
      <c r="C54" s="191" t="s">
        <v>407</v>
      </c>
      <c r="D54" s="219"/>
      <c r="E54" s="219"/>
      <c r="F54" s="219"/>
      <c r="G54" s="219"/>
      <c r="H54" s="192"/>
      <c r="R54"/>
      <c r="S54" s="56"/>
      <c r="T54" s="56"/>
      <c r="U54" s="56"/>
      <c r="V54" s="73"/>
    </row>
    <row r="55" spans="1:24" s="23" customFormat="1" hidden="1" x14ac:dyDescent="0.3">
      <c r="A55" s="134" t="s">
        <v>280</v>
      </c>
      <c r="B55" s="135"/>
      <c r="C55" s="191">
        <f>C53</f>
        <v>0</v>
      </c>
      <c r="D55" s="219"/>
      <c r="E55" s="192"/>
      <c r="F55" s="18" t="s">
        <v>40</v>
      </c>
      <c r="G55" s="229"/>
      <c r="H55" s="230"/>
      <c r="K55" s="78">
        <f>EDATE(G52,-48)</f>
        <v>44003</v>
      </c>
      <c r="L55" s="23" t="str">
        <f ca="1">IF(G52&gt;EDATE(E3,-48),"NO REMARK","CC REMARK FOR CC")</f>
        <v>NO REMARK</v>
      </c>
      <c r="R55"/>
      <c r="S55" s="56" t="s">
        <v>255</v>
      </c>
      <c r="T55" s="56" t="s">
        <v>260</v>
      </c>
      <c r="U55" s="56" t="s">
        <v>257</v>
      </c>
      <c r="V55" s="56" t="s">
        <v>276</v>
      </c>
    </row>
    <row r="56" spans="1:24" s="23" customFormat="1" ht="32.25" hidden="1" customHeight="1" x14ac:dyDescent="0.3">
      <c r="A56" s="136"/>
      <c r="B56" s="137"/>
      <c r="C56" s="231"/>
      <c r="D56" s="232"/>
      <c r="E56" s="232"/>
      <c r="F56" s="232"/>
      <c r="G56" s="232"/>
      <c r="H56" s="233"/>
      <c r="R56"/>
      <c r="S56" s="56" t="s">
        <v>257</v>
      </c>
      <c r="T56" s="56" t="s">
        <v>261</v>
      </c>
      <c r="U56" s="56" t="s">
        <v>271</v>
      </c>
      <c r="V56" s="74"/>
      <c r="W56" s="21"/>
      <c r="X56" s="21"/>
    </row>
    <row r="57" spans="1:24" s="23" customFormat="1" ht="34.5" hidden="1" customHeight="1" x14ac:dyDescent="0.3">
      <c r="A57" s="134" t="s">
        <v>281</v>
      </c>
      <c r="B57" s="135"/>
      <c r="C57" s="191">
        <f>C56</f>
        <v>0</v>
      </c>
      <c r="D57" s="219"/>
      <c r="E57" s="192"/>
      <c r="F57" s="18" t="s">
        <v>40</v>
      </c>
      <c r="G57" s="229">
        <f>G56</f>
        <v>0</v>
      </c>
      <c r="H57" s="230"/>
      <c r="R57"/>
      <c r="S57" s="74"/>
      <c r="T57" s="56" t="s">
        <v>262</v>
      </c>
      <c r="U57" s="56" t="s">
        <v>272</v>
      </c>
      <c r="V57" s="74"/>
      <c r="W57" s="21"/>
      <c r="X57" s="21"/>
    </row>
    <row r="58" spans="1:24" s="23" customFormat="1" ht="41.25" hidden="1" customHeight="1" x14ac:dyDescent="0.3">
      <c r="A58" s="136"/>
      <c r="B58" s="137"/>
      <c r="C58" s="191"/>
      <c r="D58" s="219"/>
      <c r="E58" s="219"/>
      <c r="F58" s="219"/>
      <c r="G58" s="219"/>
      <c r="H58" s="192"/>
      <c r="R58"/>
      <c r="S58" s="74"/>
      <c r="T58" s="56" t="s">
        <v>264</v>
      </c>
      <c r="U58" s="56" t="s">
        <v>273</v>
      </c>
      <c r="V58" s="74"/>
      <c r="W58" s="21"/>
      <c r="X58" s="21"/>
    </row>
    <row r="59" spans="1:24" s="23" customFormat="1" ht="15.75" customHeight="1" x14ac:dyDescent="0.3">
      <c r="A59" s="213" t="s">
        <v>440</v>
      </c>
      <c r="B59" s="214"/>
      <c r="C59" s="220" t="s">
        <v>433</v>
      </c>
      <c r="D59" s="221"/>
      <c r="E59" s="222"/>
      <c r="F59" s="18" t="s">
        <v>40</v>
      </c>
      <c r="G59" s="229">
        <v>43902</v>
      </c>
      <c r="H59" s="230"/>
      <c r="R59"/>
      <c r="S59" s="74"/>
      <c r="T59" s="56" t="s">
        <v>265</v>
      </c>
      <c r="U59" s="74" t="s">
        <v>295</v>
      </c>
      <c r="V59" s="74"/>
      <c r="W59" s="21"/>
      <c r="X59" s="21"/>
    </row>
    <row r="60" spans="1:24" s="23" customFormat="1" ht="33.75" customHeight="1" x14ac:dyDescent="0.3">
      <c r="A60" s="215"/>
      <c r="B60" s="216"/>
      <c r="C60" s="223"/>
      <c r="D60" s="224"/>
      <c r="E60" s="225"/>
      <c r="F60" s="18" t="s">
        <v>353</v>
      </c>
      <c r="G60" s="229">
        <v>46822</v>
      </c>
      <c r="H60" s="230"/>
      <c r="I60" s="23">
        <f>55.1-6.39</f>
        <v>48.71</v>
      </c>
      <c r="R60"/>
      <c r="S60" s="74"/>
      <c r="T60" s="56" t="s">
        <v>266</v>
      </c>
      <c r="U60" s="74"/>
      <c r="V60" s="74"/>
      <c r="W60" s="21"/>
      <c r="X60" s="21"/>
    </row>
    <row r="61" spans="1:24" s="23" customFormat="1" ht="33.75" customHeight="1" x14ac:dyDescent="0.3">
      <c r="A61" s="217"/>
      <c r="B61" s="218"/>
      <c r="C61" s="191" t="s">
        <v>434</v>
      </c>
      <c r="D61" s="219"/>
      <c r="E61" s="219"/>
      <c r="F61" s="219"/>
      <c r="G61" s="219"/>
      <c r="H61" s="192"/>
      <c r="R61"/>
      <c r="S61" s="74"/>
      <c r="T61" s="56"/>
      <c r="U61" s="74"/>
      <c r="V61" s="74"/>
      <c r="W61" s="21"/>
      <c r="X61" s="21"/>
    </row>
    <row r="62" spans="1:24" x14ac:dyDescent="0.3">
      <c r="A62" s="127" t="s">
        <v>42</v>
      </c>
      <c r="B62" s="128"/>
      <c r="C62" s="127" t="s">
        <v>101</v>
      </c>
      <c r="D62" s="129"/>
      <c r="E62" s="128"/>
      <c r="F62" s="45" t="s">
        <v>40</v>
      </c>
      <c r="G62" s="132" t="s">
        <v>28</v>
      </c>
      <c r="H62" s="133"/>
      <c r="R62"/>
      <c r="S62" s="74"/>
      <c r="T62" s="56" t="s">
        <v>268</v>
      </c>
      <c r="U62" s="74"/>
      <c r="V62" s="74"/>
    </row>
    <row r="63" spans="1:24" x14ac:dyDescent="0.3">
      <c r="A63" s="169" t="s">
        <v>44</v>
      </c>
      <c r="B63" s="169"/>
      <c r="C63" s="169"/>
      <c r="D63" s="169"/>
      <c r="E63" s="169"/>
      <c r="F63" s="169"/>
      <c r="G63" s="169"/>
      <c r="H63" s="169"/>
      <c r="S63" s="74"/>
      <c r="T63" s="56" t="s">
        <v>277</v>
      </c>
      <c r="U63" s="74"/>
      <c r="V63" s="74"/>
    </row>
    <row r="64" spans="1:24" x14ac:dyDescent="0.3">
      <c r="A64" s="106" t="s">
        <v>87</v>
      </c>
      <c r="B64" s="106"/>
      <c r="C64" s="106"/>
      <c r="D64" s="121">
        <f>E46</f>
        <v>1830.83</v>
      </c>
      <c r="E64" s="121"/>
      <c r="F64" s="121"/>
      <c r="G64" s="121"/>
      <c r="H64" s="121"/>
      <c r="R64"/>
    </row>
    <row r="65" spans="1:19" x14ac:dyDescent="0.3">
      <c r="A65" s="177" t="s">
        <v>45</v>
      </c>
      <c r="B65" s="173"/>
      <c r="C65" s="173"/>
      <c r="D65" s="131" t="s">
        <v>429</v>
      </c>
      <c r="E65" s="131"/>
      <c r="F65" s="131"/>
      <c r="G65" s="131"/>
      <c r="H65" s="131"/>
      <c r="I65" s="24"/>
      <c r="R65"/>
    </row>
    <row r="66" spans="1:19" x14ac:dyDescent="0.3">
      <c r="A66" s="188" t="s">
        <v>46</v>
      </c>
      <c r="B66" s="189"/>
      <c r="C66" s="190"/>
      <c r="D66" s="268" t="s">
        <v>408</v>
      </c>
      <c r="E66" s="269"/>
      <c r="F66" s="269"/>
      <c r="G66" s="269"/>
      <c r="H66" s="269"/>
      <c r="R66"/>
    </row>
    <row r="67" spans="1:19" ht="15.75" customHeight="1" x14ac:dyDescent="0.3">
      <c r="A67" s="188" t="s">
        <v>85</v>
      </c>
      <c r="B67" s="189"/>
      <c r="C67" s="189"/>
      <c r="D67" s="176" t="s">
        <v>408</v>
      </c>
      <c r="E67" s="131"/>
      <c r="F67" s="131"/>
      <c r="G67" s="131"/>
      <c r="H67" s="131"/>
      <c r="R67"/>
    </row>
    <row r="68" spans="1:19" ht="15.75" hidden="1" customHeight="1" x14ac:dyDescent="0.3">
      <c r="A68" s="196"/>
      <c r="B68" s="197"/>
      <c r="C68" s="197"/>
      <c r="D68" s="200" t="s">
        <v>296</v>
      </c>
      <c r="E68" s="201"/>
      <c r="F68" s="201"/>
      <c r="G68" s="201"/>
      <c r="H68" s="202"/>
      <c r="R68"/>
    </row>
    <row r="69" spans="1:19" ht="15.75" hidden="1" customHeight="1" x14ac:dyDescent="0.3">
      <c r="A69" s="198"/>
      <c r="B69" s="199"/>
      <c r="C69" s="199"/>
      <c r="D69" s="226" t="s">
        <v>168</v>
      </c>
      <c r="E69" s="227"/>
      <c r="F69" s="227"/>
      <c r="G69" s="227"/>
      <c r="H69" s="228"/>
      <c r="S69"/>
    </row>
    <row r="70" spans="1:19" ht="15.75" customHeight="1" x14ac:dyDescent="0.3">
      <c r="A70" s="121" t="s">
        <v>43</v>
      </c>
      <c r="B70" s="121"/>
      <c r="C70" s="121"/>
      <c r="D70" s="256" t="s">
        <v>409</v>
      </c>
      <c r="E70" s="256"/>
      <c r="F70" s="256"/>
      <c r="G70" s="256"/>
      <c r="H70" s="256"/>
      <c r="J70" s="25"/>
      <c r="K70" s="24"/>
      <c r="N70" s="24"/>
      <c r="S70"/>
    </row>
    <row r="71" spans="1:19" ht="15.75" customHeight="1" x14ac:dyDescent="0.3">
      <c r="A71" s="121" t="s">
        <v>83</v>
      </c>
      <c r="B71" s="121"/>
      <c r="C71" s="121"/>
      <c r="D71" s="257" t="str">
        <f>(IF(G62="NA","60 Years After Completion",IF(G62&lt;&gt;"NA",""&amp;60-ROUNDDOWN((E3-G62)/360,0)&amp;" Years"," ")))</f>
        <v>60 Years After Completion</v>
      </c>
      <c r="E71" s="257"/>
      <c r="F71" s="257"/>
      <c r="G71" s="257"/>
      <c r="H71" s="257"/>
      <c r="N71" s="24"/>
      <c r="S71"/>
    </row>
    <row r="72" spans="1:19" ht="15.75" customHeight="1" x14ac:dyDescent="0.3">
      <c r="A72" s="121" t="s">
        <v>84</v>
      </c>
      <c r="B72" s="121"/>
      <c r="C72" s="121"/>
      <c r="D72" s="106" t="s">
        <v>23</v>
      </c>
      <c r="E72" s="106"/>
      <c r="F72" s="106"/>
      <c r="G72" s="106"/>
      <c r="H72" s="106"/>
      <c r="J72" s="26"/>
      <c r="K72" s="26"/>
      <c r="S72"/>
    </row>
    <row r="73" spans="1:19" ht="32.4" customHeight="1" x14ac:dyDescent="0.3">
      <c r="A73" s="131" t="s">
        <v>411</v>
      </c>
      <c r="B73" s="131"/>
      <c r="C73" s="131"/>
      <c r="D73" s="177" t="s">
        <v>410</v>
      </c>
      <c r="E73" s="106"/>
      <c r="F73" s="106"/>
      <c r="G73" s="106"/>
      <c r="H73" s="106"/>
      <c r="S73"/>
    </row>
    <row r="74" spans="1:19" x14ac:dyDescent="0.3">
      <c r="A74" s="106" t="s">
        <v>147</v>
      </c>
      <c r="B74" s="106"/>
      <c r="C74" s="106"/>
      <c r="D74" s="106" t="s">
        <v>28</v>
      </c>
      <c r="E74" s="106"/>
      <c r="F74" s="106"/>
      <c r="G74" s="106"/>
      <c r="H74" s="106"/>
      <c r="I74" s="27"/>
      <c r="J74" s="27"/>
      <c r="K74" s="27"/>
      <c r="L74" s="27"/>
      <c r="M74" s="27"/>
      <c r="N74" s="27"/>
    </row>
    <row r="75" spans="1:19" ht="15.75" customHeight="1" x14ac:dyDescent="0.3">
      <c r="A75" s="212" t="s">
        <v>82</v>
      </c>
      <c r="B75" s="212"/>
      <c r="C75" s="212"/>
      <c r="D75" s="107" t="str">
        <f ca="1">(IF(G81&gt;95%,"Nothing",IF(G81&gt;0%,"Cement, Aggregate, Steel, etc",IF(G81=0%,"Work not yet Started"))))</f>
        <v>Cement, Aggregate, Steel, etc</v>
      </c>
      <c r="E75" s="107"/>
      <c r="F75" s="107"/>
      <c r="G75" s="107"/>
      <c r="H75" s="107"/>
      <c r="J75" s="26"/>
      <c r="S75"/>
    </row>
    <row r="76" spans="1:19" ht="33.75" customHeight="1" thickBot="1" x14ac:dyDescent="0.35">
      <c r="A76" s="211" t="s">
        <v>114</v>
      </c>
      <c r="B76" s="211"/>
      <c r="C76" s="211"/>
      <c r="D76" s="107" t="str">
        <f ca="1">(IF(D75="Nothing","Yes",IF(D75="Cement, Aggregate, Steel, etc","Under Construction",IF(D75="Work not yet Started","Work not yet Started"))))</f>
        <v>Under Construction</v>
      </c>
      <c r="E76" s="107"/>
      <c r="F76" s="107" t="str">
        <f ca="1">(IF(D75="Nothing","Yes",IF(D75="Cement, Aggregate, Steel, etc","Under Construction",IF(D75="Work not yet Started","Work not yet Started"))))</f>
        <v>Under Construction</v>
      </c>
      <c r="G76" s="107"/>
      <c r="H76" s="107"/>
      <c r="S76"/>
    </row>
    <row r="77" spans="1:19" ht="15.75" customHeight="1" x14ac:dyDescent="0.3">
      <c r="A77" s="204" t="s">
        <v>137</v>
      </c>
      <c r="B77" s="205"/>
      <c r="C77" s="206" t="str">
        <f>D67</f>
        <v>G + 1st to 7th Floor</v>
      </c>
      <c r="D77" s="207"/>
      <c r="E77" s="207"/>
      <c r="F77" s="207"/>
      <c r="G77" s="207"/>
      <c r="H77" s="208"/>
      <c r="I77" s="49" t="str">
        <f ca="1">IF(D90=100%,"All work Completed. Possession granted to the Building.",IF(D89=100%,"All work Completed, Waiting for OC",I78&amp;""&amp;I79&amp;""&amp;J78&amp;""&amp;J77&amp;" "&amp;J79))</f>
        <v>Excavation, Plinth, RCC Slab, Brickwork Completed, Internal Plaster upto 6 Floor, External Plaster upto 5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Internal Plaster upto 6 Floor, External Plaster upto 5 Floor</v>
      </c>
      <c r="S77"/>
    </row>
    <row r="78" spans="1:19" x14ac:dyDescent="0.3">
      <c r="A78" s="16" t="s">
        <v>139</v>
      </c>
      <c r="B78" s="47">
        <f>IF(AND(ISNUMBER(SEARCH("1B",C77))),1,IF(AND(ISNUMBER(SEARCH("2B",C77))),2,IF(AND(ISNUMBER(SEARCH("3B",C77))),3,IF(AND(ISNUMBER(SEARCH("4B",C77))),4,IF(ISNUMBER(SEARCH("5B",C77)),5,0)))))</f>
        <v>0</v>
      </c>
      <c r="C78" s="47" t="s">
        <v>68</v>
      </c>
      <c r="D78" s="47">
        <v>1</v>
      </c>
      <c r="E78" s="47" t="s">
        <v>67</v>
      </c>
      <c r="F78" s="99">
        <v>0</v>
      </c>
      <c r="G78" s="48" t="s">
        <v>76</v>
      </c>
      <c r="H78" s="17">
        <f ca="1">--TRIM(RIGHT(SUBSTITUTE(LEFT(C77,_xlfn.AGGREGATE(16,6,FIND({0,1,2,3,4,5,6,7,8,9},C77,ROW(INDIRECT("1:"&amp;LEN(C77)))),1))," ",REPT(" ",LEN(C77))),LEN(C77)))</f>
        <v>7</v>
      </c>
      <c r="I78" s="51" t="str">
        <f ca="1">IF(D81=100%,"Excavation","")&amp;IF(D82=100%,", Plinth","")&amp;IF(D83=100%,", RCC Slab","")&amp;IF(D84=100%,", Brickwork","")&amp;IF(D85=100%,", Internal Plaster","")&amp;IF(D86=100%,", External Plaster","")&amp;IF(D87=100%,", Flooring","")&amp;IF(D88=100%,", Painting","")&amp;IF(D89=100%,", Building common Amenities","")</f>
        <v>Excavation, Plinth, RCC Slab, Brickwork</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3" customHeight="1" x14ac:dyDescent="0.3">
      <c r="A79" s="203" t="s">
        <v>86</v>
      </c>
      <c r="B79" s="174"/>
      <c r="C79" s="209" t="str">
        <f ca="1">I77</f>
        <v>Excavation, Plinth, RCC Slab, Brickwork Completed, Internal Plaster upto 6 Floor, External Plaster upto 5 Floor Completed</v>
      </c>
      <c r="D79" s="209"/>
      <c r="E79" s="209"/>
      <c r="F79" s="209"/>
      <c r="G79" s="209"/>
      <c r="H79" s="210"/>
      <c r="I79" s="51" t="str">
        <f ca="1">IF(I78&lt;&gt;""," Completed","")</f>
        <v xml:space="preserve"> Completed</v>
      </c>
      <c r="J79" s="52" t="str">
        <f ca="1">IF(J77&lt;&gt;"","Completed","")</f>
        <v>Completed</v>
      </c>
      <c r="S79"/>
    </row>
    <row r="80" spans="1:19" ht="15.75" customHeight="1" x14ac:dyDescent="0.3">
      <c r="A80" s="108" t="s">
        <v>47</v>
      </c>
      <c r="B80" s="109"/>
      <c r="C80" s="43" t="s">
        <v>136</v>
      </c>
      <c r="D80" s="43" t="s">
        <v>79</v>
      </c>
      <c r="E80" s="109" t="s">
        <v>81</v>
      </c>
      <c r="F80" s="109"/>
      <c r="G80" s="109" t="s">
        <v>80</v>
      </c>
      <c r="H80" s="110"/>
      <c r="I80" s="13" t="s">
        <v>138</v>
      </c>
      <c r="J80" s="28">
        <f ca="1">H78*25%</f>
        <v>1.75</v>
      </c>
      <c r="O80" s="21">
        <f>4800000/549</f>
        <v>8743.1693989071046</v>
      </c>
      <c r="S80"/>
    </row>
    <row r="81" spans="1:19" x14ac:dyDescent="0.3">
      <c r="A81" s="108" t="s">
        <v>125</v>
      </c>
      <c r="B81" s="109"/>
      <c r="C81" s="43">
        <f ca="1">J82</f>
        <v>7</v>
      </c>
      <c r="D81" s="19">
        <f ca="1">((100/H78)*C81)/100</f>
        <v>1</v>
      </c>
      <c r="E81" s="245">
        <f ca="1">(((C82/H78*10)+(40/(D78+F78+H78)*C83)+(7.5/(H78)*C84)+(7.5/(H78)*C85)+(10/H78*C86)+(10/H78*C87)+(5/H78*C88)+(5/H78*C89)+(5/H78*C90))/100)</f>
        <v>0.71071428571428574</v>
      </c>
      <c r="F81" s="259"/>
      <c r="G81" s="245">
        <f ca="1">((((C81/H78)*20)+((C82/H78)*25)+(30/(H78+F78+D78)*C83)+(5/H78*C84)+(5/H78*C85)+(5/H78*C86)+(5/H78*C87)+(0/H78*C88)+(0/H78*C89)+(5/H78*C90))/100)</f>
        <v>0.87857142857142856</v>
      </c>
      <c r="H81" s="246"/>
      <c r="I81" s="13" t="s">
        <v>96</v>
      </c>
      <c r="J81" s="29">
        <f ca="1">H78*50%</f>
        <v>3.5</v>
      </c>
    </row>
    <row r="82" spans="1:19" x14ac:dyDescent="0.3">
      <c r="A82" s="108" t="s">
        <v>48</v>
      </c>
      <c r="B82" s="109"/>
      <c r="C82" s="43">
        <f ca="1">J90</f>
        <v>7</v>
      </c>
      <c r="D82" s="19">
        <f ca="1">((100/H78)*C82)/100</f>
        <v>1</v>
      </c>
      <c r="E82" s="247"/>
      <c r="F82" s="260"/>
      <c r="G82" s="247"/>
      <c r="H82" s="248"/>
      <c r="I82" s="13" t="s">
        <v>97</v>
      </c>
      <c r="J82" s="29">
        <f ca="1">H78</f>
        <v>7</v>
      </c>
      <c r="L82" s="94"/>
      <c r="S82"/>
    </row>
    <row r="83" spans="1:19" ht="15.75" customHeight="1" x14ac:dyDescent="0.3">
      <c r="A83" s="108" t="s">
        <v>126</v>
      </c>
      <c r="B83" s="109"/>
      <c r="C83" s="43">
        <v>8</v>
      </c>
      <c r="D83" s="19">
        <f ca="1">((100/(D78+F78+H78))*C83)/100</f>
        <v>1</v>
      </c>
      <c r="E83" s="247"/>
      <c r="F83" s="260"/>
      <c r="G83" s="247"/>
      <c r="H83" s="248"/>
      <c r="I83" s="13" t="s">
        <v>98</v>
      </c>
      <c r="J83" s="30">
        <f ca="1">(IF(B78&gt;1,(H78/(B78+2)),H78/4))</f>
        <v>1.75</v>
      </c>
      <c r="S83"/>
    </row>
    <row r="84" spans="1:19" ht="15.75" customHeight="1" x14ac:dyDescent="0.3">
      <c r="A84" s="108" t="s">
        <v>133</v>
      </c>
      <c r="B84" s="109" t="s">
        <v>127</v>
      </c>
      <c r="C84" s="43">
        <v>7</v>
      </c>
      <c r="D84" s="19">
        <f ca="1">((100/H78)*C84)/100</f>
        <v>1</v>
      </c>
      <c r="E84" s="247"/>
      <c r="F84" s="260"/>
      <c r="G84" s="247"/>
      <c r="H84" s="248"/>
      <c r="I84" s="13" t="s">
        <v>99</v>
      </c>
      <c r="J84" s="30">
        <f ca="1">(IF(B78&gt;1,(H78/(B78+2)+J83),H78/4+J83))</f>
        <v>3.5</v>
      </c>
    </row>
    <row r="85" spans="1:19" ht="15.75" customHeight="1" x14ac:dyDescent="0.3">
      <c r="A85" s="108" t="s">
        <v>134</v>
      </c>
      <c r="B85" s="109" t="s">
        <v>127</v>
      </c>
      <c r="C85" s="43">
        <v>6</v>
      </c>
      <c r="D85" s="19">
        <f ca="1">((100/H78)*C85)/100</f>
        <v>0.85714285714285721</v>
      </c>
      <c r="E85" s="247"/>
      <c r="F85" s="260"/>
      <c r="G85" s="247"/>
      <c r="H85" s="248"/>
      <c r="I85" s="13" t="s">
        <v>145</v>
      </c>
      <c r="J85" s="30">
        <f>(IF(B78&gt;1,(H78/(B78+2)+J84),0))</f>
        <v>0</v>
      </c>
    </row>
    <row r="86" spans="1:19" ht="15" customHeight="1" x14ac:dyDescent="0.3">
      <c r="A86" s="108" t="s">
        <v>132</v>
      </c>
      <c r="B86" s="109" t="s">
        <v>129</v>
      </c>
      <c r="C86" s="43">
        <v>5</v>
      </c>
      <c r="D86" s="19">
        <f ca="1">((100/(H78))*C86)/100</f>
        <v>0.7142857142857143</v>
      </c>
      <c r="E86" s="247"/>
      <c r="F86" s="260"/>
      <c r="G86" s="247"/>
      <c r="H86" s="248"/>
      <c r="I86" s="13" t="s">
        <v>140</v>
      </c>
      <c r="J86" s="30">
        <f>(IF(B78&gt;2,(H78/(B78+2)+J85),0))</f>
        <v>0</v>
      </c>
    </row>
    <row r="87" spans="1:19" ht="15.75" customHeight="1" x14ac:dyDescent="0.3">
      <c r="A87" s="108" t="s">
        <v>128</v>
      </c>
      <c r="B87" s="109" t="s">
        <v>128</v>
      </c>
      <c r="C87" s="43">
        <v>0</v>
      </c>
      <c r="D87" s="19">
        <f ca="1">((100/H78)*C87)/100</f>
        <v>0</v>
      </c>
      <c r="E87" s="247"/>
      <c r="F87" s="260"/>
      <c r="G87" s="247"/>
      <c r="H87" s="248"/>
      <c r="I87" s="13" t="s">
        <v>141</v>
      </c>
      <c r="J87" s="31">
        <f>(IF(B78&gt;3,(H78/(B78+2)+J86),0))</f>
        <v>0</v>
      </c>
    </row>
    <row r="88" spans="1:19" ht="15.75" customHeight="1" x14ac:dyDescent="0.3">
      <c r="A88" s="108" t="s">
        <v>135</v>
      </c>
      <c r="B88" s="109"/>
      <c r="C88" s="43">
        <v>0</v>
      </c>
      <c r="D88" s="19">
        <f ca="1">((100/H78)*C88)/100</f>
        <v>0</v>
      </c>
      <c r="E88" s="247"/>
      <c r="F88" s="260"/>
      <c r="G88" s="247"/>
      <c r="H88" s="248"/>
      <c r="I88" s="13" t="s">
        <v>142</v>
      </c>
      <c r="J88" s="30">
        <f>(IF(B78&gt;4,(H78/(B78+2)+J87),0))</f>
        <v>0</v>
      </c>
    </row>
    <row r="89" spans="1:19" ht="15.75" customHeight="1" x14ac:dyDescent="0.3">
      <c r="A89" s="108" t="s">
        <v>130</v>
      </c>
      <c r="B89" s="109" t="s">
        <v>130</v>
      </c>
      <c r="C89" s="43">
        <v>0</v>
      </c>
      <c r="D89" s="19">
        <f ca="1">((100/(H78))*C89)/100</f>
        <v>0</v>
      </c>
      <c r="E89" s="247"/>
      <c r="F89" s="260"/>
      <c r="G89" s="247"/>
      <c r="H89" s="248"/>
      <c r="I89" s="13" t="s">
        <v>146</v>
      </c>
      <c r="J89" s="30">
        <f ca="1">(IF(B78=1,(H78/(B78+3)+J84),IF(B78=0,(H78/4+J84),IF(B78&gt;1,0))))</f>
        <v>5.25</v>
      </c>
    </row>
    <row r="90" spans="1:19" ht="16.2" thickBot="1" x14ac:dyDescent="0.35">
      <c r="A90" s="111" t="s">
        <v>131</v>
      </c>
      <c r="B90" s="112"/>
      <c r="C90" s="44">
        <v>0</v>
      </c>
      <c r="D90" s="20">
        <f ca="1">((100/(H78))*C90)/100</f>
        <v>0</v>
      </c>
      <c r="E90" s="249"/>
      <c r="F90" s="261"/>
      <c r="G90" s="249"/>
      <c r="H90" s="250"/>
      <c r="I90" s="15" t="s">
        <v>100</v>
      </c>
      <c r="J90" s="32">
        <f ca="1">(IF(B78&gt;1.5,(H78/(B78+2)+J84+MAX(0,J85-J84)+MAX(0,J86-J85)+MAX(0,J87-J86)+MAX(0,J88-J87)+MAX(0,J89-J88)),IF(B78=1,(H78/(B78+3)+J89),IF(B78=0,H78/4+J89))))</f>
        <v>7</v>
      </c>
    </row>
    <row r="91" spans="1:19" ht="15.75" hidden="1" customHeight="1" x14ac:dyDescent="0.3">
      <c r="A91" s="238" t="s">
        <v>137</v>
      </c>
      <c r="B91" s="239"/>
      <c r="C91" s="240" t="str">
        <f>D68</f>
        <v>B Wing = 1B + G + 1st to 19th Floor</v>
      </c>
      <c r="D91" s="241"/>
      <c r="E91" s="241"/>
      <c r="F91" s="241"/>
      <c r="G91" s="241"/>
      <c r="H91" s="242"/>
      <c r="I91" s="49" t="str">
        <f ca="1">IF(D104=100%,"All work Completed. Possession granted to the Building.",IF(D103=100%,"All work Completed, Waiting for OC",I92&amp;""&amp;I93&amp;""&amp;J92&amp;""&amp;J91&amp;" "&amp;J93))</f>
        <v xml:space="preserve">Excavation, Plinth Completed </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hidden="1" x14ac:dyDescent="0.3">
      <c r="A92" s="16" t="s">
        <v>139</v>
      </c>
      <c r="B92" s="47">
        <f>IF(AND(ISNUMBER(SEARCH("1B",C91))),1,IF(AND(ISNUMBER(SEARCH("2B",C91))),2,IF(AND(ISNUMBER(SEARCH("3B",C91))),3,IF(AND(ISNUMBER(SEARCH("4B",C91))),4,IF(ISNUMBER(SEARCH("5B",C91)),5,0)))))</f>
        <v>1</v>
      </c>
      <c r="C92" s="47" t="s">
        <v>68</v>
      </c>
      <c r="D92" s="47">
        <v>1</v>
      </c>
      <c r="E92" s="47" t="s">
        <v>67</v>
      </c>
      <c r="F92" s="14">
        <v>0</v>
      </c>
      <c r="G92" s="48" t="s">
        <v>76</v>
      </c>
      <c r="H92" s="17">
        <f ca="1">--TRIM(RIGHT(SUBSTITUTE(LEFT(C91,_xlfn.AGGREGATE(16,6,FIND({0,1,2,3,4,5,6,7,8,9},C91,ROW(INDIRECT("1:"&amp;LEN(C91)))),1))," ",REPT(" ",LEN(C91))),LEN(C91)))</f>
        <v>19</v>
      </c>
      <c r="I92" s="51" t="str">
        <f ca="1">IF(D95=100%,"Excavation","")&amp;IF(D96=100%,", Plinth","")&amp;IF(D97=100%,", RCC Slab","")&amp;IF(D98=100%,", Brickwork","")&amp;IF(D99=100%,", Internal Plaster","")&amp;IF(D100=100%,", External Plaster","")&amp;IF(D101=100%,", Flooring","")&amp;IF(D102=100%,", Painting","")&amp;IF(D103=100%,", Building common Amenities","")</f>
        <v>Excavation, Plinth</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6.75" hidden="1" customHeight="1" x14ac:dyDescent="0.3">
      <c r="A93" s="203" t="s">
        <v>86</v>
      </c>
      <c r="B93" s="174"/>
      <c r="C93" s="209" t="str">
        <f ca="1">I91</f>
        <v xml:space="preserve">Excavation, Plinth Completed </v>
      </c>
      <c r="D93" s="209"/>
      <c r="E93" s="209"/>
      <c r="F93" s="209"/>
      <c r="G93" s="209"/>
      <c r="H93" s="210"/>
      <c r="I93" s="51" t="str">
        <f ca="1">IF(I92&lt;&gt;""," Completed","")</f>
        <v xml:space="preserve"> Completed</v>
      </c>
      <c r="J93" s="52" t="str">
        <f ca="1">IF(J91&lt;&gt;"","Completed","")</f>
        <v/>
      </c>
      <c r="S93"/>
    </row>
    <row r="94" spans="1:19" ht="15.75" hidden="1" customHeight="1" x14ac:dyDescent="0.3">
      <c r="A94" s="108" t="s">
        <v>47</v>
      </c>
      <c r="B94" s="109"/>
      <c r="C94" s="43" t="s">
        <v>136</v>
      </c>
      <c r="D94" s="43" t="s">
        <v>79</v>
      </c>
      <c r="E94" s="109" t="s">
        <v>81</v>
      </c>
      <c r="F94" s="109"/>
      <c r="G94" s="109" t="s">
        <v>80</v>
      </c>
      <c r="H94" s="110"/>
      <c r="I94" s="13" t="s">
        <v>138</v>
      </c>
      <c r="J94" s="28">
        <f ca="1">H92*25%</f>
        <v>4.75</v>
      </c>
      <c r="S94"/>
    </row>
    <row r="95" spans="1:19" hidden="1" x14ac:dyDescent="0.3">
      <c r="A95" s="108" t="s">
        <v>125</v>
      </c>
      <c r="B95" s="109"/>
      <c r="C95" s="59">
        <f ca="1">J96</f>
        <v>19</v>
      </c>
      <c r="D95" s="19">
        <f ca="1">((100/H92)*C95)/100</f>
        <v>1</v>
      </c>
      <c r="E95" s="245">
        <f ca="1">(((C96/H92*10)+(40/(D92+F92+H92)*C97)+(7.5/(H92)*C98)+(7.5/(H92)*C99)+(10/H92*C100)+(10/H92*C101)+(5/H92*C102)+(5/H92*C103)+(5/H92*C104))/100)</f>
        <v>0.1</v>
      </c>
      <c r="F95" s="259"/>
      <c r="G95" s="245">
        <f ca="1">((((C95/H92)*20)+((C96/H92)*25)+(30/(H92+F92+D92)*C97)+(5/H92*C98)+(5/H92*C99)+(5/H92*C100)+(5/H92*C101)+(0/H92*C102)+(0/H92*C103)+(5/H92*C104))/100)</f>
        <v>0.45</v>
      </c>
      <c r="H95" s="246"/>
      <c r="I95" s="13" t="s">
        <v>96</v>
      </c>
      <c r="J95" s="29">
        <f ca="1">H92*50%</f>
        <v>9.5</v>
      </c>
    </row>
    <row r="96" spans="1:19" hidden="1" x14ac:dyDescent="0.3">
      <c r="A96" s="108" t="s">
        <v>48</v>
      </c>
      <c r="B96" s="109"/>
      <c r="C96" s="43">
        <f ca="1">J104</f>
        <v>19</v>
      </c>
      <c r="D96" s="19">
        <f ca="1">((100/H92)*C96)/100</f>
        <v>1</v>
      </c>
      <c r="E96" s="247"/>
      <c r="F96" s="260"/>
      <c r="G96" s="247"/>
      <c r="H96" s="248"/>
      <c r="I96" s="13" t="s">
        <v>97</v>
      </c>
      <c r="J96" s="29">
        <f ca="1">H92</f>
        <v>19</v>
      </c>
      <c r="S96"/>
    </row>
    <row r="97" spans="1:19" ht="15.75" hidden="1" customHeight="1" x14ac:dyDescent="0.3">
      <c r="A97" s="108" t="s">
        <v>126</v>
      </c>
      <c r="B97" s="109"/>
      <c r="C97" s="43">
        <v>0</v>
      </c>
      <c r="D97" s="19">
        <f ca="1">((100/(D92+F92+H92))*C97)/100</f>
        <v>0</v>
      </c>
      <c r="E97" s="247"/>
      <c r="F97" s="260"/>
      <c r="G97" s="247"/>
      <c r="H97" s="248"/>
      <c r="I97" s="13" t="s">
        <v>98</v>
      </c>
      <c r="J97" s="30">
        <f ca="1">(IF(B92&gt;1,(H92/(B92+2)),H92/4))</f>
        <v>4.75</v>
      </c>
      <c r="S97"/>
    </row>
    <row r="98" spans="1:19" ht="15.75" hidden="1" customHeight="1" x14ac:dyDescent="0.3">
      <c r="A98" s="108" t="s">
        <v>133</v>
      </c>
      <c r="B98" s="109" t="s">
        <v>127</v>
      </c>
      <c r="C98" s="43">
        <v>0</v>
      </c>
      <c r="D98" s="19">
        <f ca="1">((100/H92)*C98)/100</f>
        <v>0</v>
      </c>
      <c r="E98" s="247"/>
      <c r="F98" s="260"/>
      <c r="G98" s="247"/>
      <c r="H98" s="248"/>
      <c r="I98" s="13" t="s">
        <v>99</v>
      </c>
      <c r="J98" s="30">
        <f ca="1">(IF(B92&gt;1,(H92/(B92+2)+J97),H92/4+J97))</f>
        <v>9.5</v>
      </c>
    </row>
    <row r="99" spans="1:19" ht="15.75" hidden="1" customHeight="1" x14ac:dyDescent="0.3">
      <c r="A99" s="108" t="s">
        <v>134</v>
      </c>
      <c r="B99" s="109" t="s">
        <v>127</v>
      </c>
      <c r="C99" s="43">
        <v>0</v>
      </c>
      <c r="D99" s="19">
        <f ca="1">((100/H92)*C99)/100</f>
        <v>0</v>
      </c>
      <c r="E99" s="247"/>
      <c r="F99" s="260"/>
      <c r="G99" s="247"/>
      <c r="H99" s="248"/>
      <c r="I99" s="13" t="s">
        <v>145</v>
      </c>
      <c r="J99" s="30">
        <f>(IF(B92&gt;1,(H92/(B92+2)+J98),0))</f>
        <v>0</v>
      </c>
    </row>
    <row r="100" spans="1:19" ht="15" hidden="1" customHeight="1" x14ac:dyDescent="0.3">
      <c r="A100" s="108" t="s">
        <v>132</v>
      </c>
      <c r="B100" s="109" t="s">
        <v>129</v>
      </c>
      <c r="C100" s="43">
        <v>0</v>
      </c>
      <c r="D100" s="19">
        <f ca="1">((100/(H92))*C100)/100</f>
        <v>0</v>
      </c>
      <c r="E100" s="247"/>
      <c r="F100" s="260"/>
      <c r="G100" s="247"/>
      <c r="H100" s="248"/>
      <c r="I100" s="13" t="s">
        <v>140</v>
      </c>
      <c r="J100" s="30">
        <f>(IF(B92&gt;2,(H92/(B92+2)+J99),0))</f>
        <v>0</v>
      </c>
    </row>
    <row r="101" spans="1:19" ht="15.75" hidden="1" customHeight="1" x14ac:dyDescent="0.3">
      <c r="A101" s="108" t="s">
        <v>128</v>
      </c>
      <c r="B101" s="109" t="s">
        <v>128</v>
      </c>
      <c r="C101" s="43">
        <v>0</v>
      </c>
      <c r="D101" s="19">
        <f ca="1">((100/H92)*C101)/100</f>
        <v>0</v>
      </c>
      <c r="E101" s="247"/>
      <c r="F101" s="260"/>
      <c r="G101" s="247"/>
      <c r="H101" s="248"/>
      <c r="I101" s="13" t="s">
        <v>141</v>
      </c>
      <c r="J101" s="31">
        <f>(IF(B92&gt;3,(H92/(B92+2)+J100),0))</f>
        <v>0</v>
      </c>
    </row>
    <row r="102" spans="1:19" ht="15.75" hidden="1" customHeight="1" x14ac:dyDescent="0.3">
      <c r="A102" s="108" t="s">
        <v>135</v>
      </c>
      <c r="B102" s="109"/>
      <c r="C102" s="43">
        <v>0</v>
      </c>
      <c r="D102" s="19">
        <f ca="1">((100/H92)*C102)/100</f>
        <v>0</v>
      </c>
      <c r="E102" s="247"/>
      <c r="F102" s="260"/>
      <c r="G102" s="247"/>
      <c r="H102" s="248"/>
      <c r="I102" s="13" t="s">
        <v>142</v>
      </c>
      <c r="J102" s="30">
        <f>(IF(B92&gt;4,(H92/(B92+2)+J101),0))</f>
        <v>0</v>
      </c>
    </row>
    <row r="103" spans="1:19" ht="15.75" hidden="1" customHeight="1" x14ac:dyDescent="0.3">
      <c r="A103" s="108" t="s">
        <v>130</v>
      </c>
      <c r="B103" s="109" t="s">
        <v>130</v>
      </c>
      <c r="C103" s="43">
        <v>0</v>
      </c>
      <c r="D103" s="19">
        <f ca="1">((100/(H92))*C103)/100</f>
        <v>0</v>
      </c>
      <c r="E103" s="247"/>
      <c r="F103" s="260"/>
      <c r="G103" s="247"/>
      <c r="H103" s="248"/>
      <c r="I103" s="13" t="s">
        <v>146</v>
      </c>
      <c r="J103" s="30">
        <f ca="1">(IF(B92=1,(H92/(B92+3)+J98),IF(B92=0,(H92/4+J98),IF(B92&gt;1,0))))</f>
        <v>14.25</v>
      </c>
    </row>
    <row r="104" spans="1:19" ht="16.2" hidden="1" thickBot="1" x14ac:dyDescent="0.35">
      <c r="A104" s="111" t="s">
        <v>131</v>
      </c>
      <c r="B104" s="112"/>
      <c r="C104" s="44">
        <v>0</v>
      </c>
      <c r="D104" s="20">
        <f ca="1">((100/(H92))*C104)/100</f>
        <v>0</v>
      </c>
      <c r="E104" s="249"/>
      <c r="F104" s="261"/>
      <c r="G104" s="249"/>
      <c r="H104" s="250"/>
      <c r="I104" s="15" t="s">
        <v>100</v>
      </c>
      <c r="J104" s="32">
        <f ca="1">(IF(B92&gt;1.5,(H92/(B92+2)+J98+MAX(0,J99-J98)+MAX(0,J100-J99)+MAX(0,J101-J100)+MAX(0,J102-J101)+MAX(0,J103-J102)),IF(B92=1,(H92/(B92+3)+J103),IF(B92=0,H92/4+J103))))</f>
        <v>19</v>
      </c>
    </row>
    <row r="105" spans="1:19" ht="15.75" hidden="1" customHeight="1" x14ac:dyDescent="0.3">
      <c r="A105" s="238" t="s">
        <v>137</v>
      </c>
      <c r="B105" s="239"/>
      <c r="C105" s="240" t="str">
        <f>D69</f>
        <v>C Wing = 1B + G + 1st to 20th Floor</v>
      </c>
      <c r="D105" s="241"/>
      <c r="E105" s="241"/>
      <c r="F105" s="241"/>
      <c r="G105" s="241"/>
      <c r="H105" s="242"/>
      <c r="I105" s="49" t="str">
        <f ca="1">IF(D118=100%,"All work Completed. Possession granted to the Building.",IF(D117=100%,"All work Completed, Waiting for OC",I106&amp;""&amp;I107&amp;""&amp;J106&amp;""&amp;J105&amp;" "&amp;J107))</f>
        <v xml:space="preserve">Excavation, Plinth Completed </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3">
      <c r="A106" s="16" t="s">
        <v>139</v>
      </c>
      <c r="B106" s="47">
        <f>IF(AND(ISNUMBER(SEARCH("1B",C105))),1,IF(AND(ISNUMBER(SEARCH("2B",C105))),2,IF(AND(ISNUMBER(SEARCH("3B",C105))),3,IF(AND(ISNUMBER(SEARCH("4B",C105))),4,IF(ISNUMBER(SEARCH("5B",C105)),5,0)))))</f>
        <v>1</v>
      </c>
      <c r="C106" s="47" t="s">
        <v>68</v>
      </c>
      <c r="D106" s="47">
        <v>1</v>
      </c>
      <c r="E106" s="47" t="s">
        <v>67</v>
      </c>
      <c r="F106" s="14">
        <v>0</v>
      </c>
      <c r="G106" s="48" t="s">
        <v>76</v>
      </c>
      <c r="H106" s="17">
        <f ca="1">--TRIM(RIGHT(SUBSTITUTE(LEFT(C105,_xlfn.AGGREGATE(16,6,FIND({0,1,2,3,4,5,6,7,8,9},C105,ROW(INDIRECT("1:"&amp;LEN(C105)))),1))," ",REPT(" ",LEN(C105))),LEN(C105)))</f>
        <v>20</v>
      </c>
      <c r="I106" s="51" t="str">
        <f ca="1">IF(D109=100%,"Excavation","")&amp;IF(D110=100%,", Plinth","")&amp;IF(D111=100%,", RCC Slab","")&amp;IF(D112=100%,", Brickwork","")&amp;IF(D113=100%,", Internal Plaster","")&amp;IF(D114=100%,", External Plaster","")&amp;IF(D115=100%,", Flooring","")&amp;IF(D116=100%,", Painting","")&amp;IF(D117=100%,", Building common Amenities","")</f>
        <v>Excavation, Plinth</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3">
      <c r="A107" s="203" t="s">
        <v>86</v>
      </c>
      <c r="B107" s="174"/>
      <c r="C107" s="209" t="str">
        <f ca="1">I105</f>
        <v xml:space="preserve">Excavation, Plinth Completed </v>
      </c>
      <c r="D107" s="209"/>
      <c r="E107" s="209"/>
      <c r="F107" s="209"/>
      <c r="G107" s="209"/>
      <c r="H107" s="210"/>
      <c r="I107" s="51" t="str">
        <f ca="1">IF(I106&lt;&gt;""," Completed","")</f>
        <v xml:space="preserve"> Completed</v>
      </c>
      <c r="J107" s="52" t="str">
        <f ca="1">IF(J105&lt;&gt;"","Completed","")</f>
        <v/>
      </c>
      <c r="S107"/>
    </row>
    <row r="108" spans="1:19" ht="15.75" hidden="1" customHeight="1" x14ac:dyDescent="0.3">
      <c r="A108" s="108" t="s">
        <v>47</v>
      </c>
      <c r="B108" s="109"/>
      <c r="C108" s="43" t="s">
        <v>136</v>
      </c>
      <c r="D108" s="43" t="s">
        <v>79</v>
      </c>
      <c r="E108" s="109" t="s">
        <v>81</v>
      </c>
      <c r="F108" s="109"/>
      <c r="G108" s="109" t="s">
        <v>80</v>
      </c>
      <c r="H108" s="110"/>
      <c r="I108" s="13" t="s">
        <v>138</v>
      </c>
      <c r="J108" s="28">
        <f ca="1">H106*25%</f>
        <v>5</v>
      </c>
      <c r="S108"/>
    </row>
    <row r="109" spans="1:19" hidden="1" x14ac:dyDescent="0.3">
      <c r="A109" s="108" t="s">
        <v>125</v>
      </c>
      <c r="B109" s="109"/>
      <c r="C109" s="59">
        <f ca="1">J110</f>
        <v>20</v>
      </c>
      <c r="D109" s="19">
        <f ca="1">((100/H106)*C109)/100</f>
        <v>1</v>
      </c>
      <c r="E109" s="245">
        <f ca="1">(((C110/H106*10)+(40/(D106+F106+H106)*C111)+(7.5/(H106)*C112)+(7.5/(H106)*C113)+(10/H106*C114)+(10/H106*C115)+(5/H106*C116)+(5/H106*C117)+(5/H106*C118))/100)</f>
        <v>0.1</v>
      </c>
      <c r="F109" s="259"/>
      <c r="G109" s="245">
        <f ca="1">((((C109/H106)*20)+((C110/H106)*25)+(30/(H106+F106+D106)*C111)+(5/H106*C112)+(5/H106*C113)+(5/H106*C114)+(5/H106*C115)+(0/H106*C116)+(0/H106*C117)+(5/H106*C118))/100)</f>
        <v>0.45</v>
      </c>
      <c r="H109" s="246"/>
      <c r="I109" s="13" t="s">
        <v>96</v>
      </c>
      <c r="J109" s="29">
        <f ca="1">H106*50%</f>
        <v>10</v>
      </c>
    </row>
    <row r="110" spans="1:19" hidden="1" x14ac:dyDescent="0.3">
      <c r="A110" s="108" t="s">
        <v>48</v>
      </c>
      <c r="B110" s="109"/>
      <c r="C110" s="43">
        <f ca="1">J118</f>
        <v>20</v>
      </c>
      <c r="D110" s="19">
        <f ca="1">((100/H106)*C110)/100</f>
        <v>1</v>
      </c>
      <c r="E110" s="247"/>
      <c r="F110" s="260"/>
      <c r="G110" s="247"/>
      <c r="H110" s="248"/>
      <c r="I110" s="13" t="s">
        <v>97</v>
      </c>
      <c r="J110" s="29">
        <f ca="1">H106</f>
        <v>20</v>
      </c>
      <c r="S110"/>
    </row>
    <row r="111" spans="1:19" ht="15.75" hidden="1" customHeight="1" x14ac:dyDescent="0.3">
      <c r="A111" s="108" t="s">
        <v>126</v>
      </c>
      <c r="B111" s="109"/>
      <c r="C111" s="43">
        <v>0</v>
      </c>
      <c r="D111" s="19">
        <f ca="1">((100/(D106+F106+H106))*C111)/100</f>
        <v>0</v>
      </c>
      <c r="E111" s="247"/>
      <c r="F111" s="260"/>
      <c r="G111" s="247"/>
      <c r="H111" s="248"/>
      <c r="I111" s="13" t="s">
        <v>98</v>
      </c>
      <c r="J111" s="30">
        <f ca="1">(IF(B106&gt;1,(H106/(B106+2)),H106/4))</f>
        <v>5</v>
      </c>
      <c r="S111"/>
    </row>
    <row r="112" spans="1:19" ht="15.75" hidden="1" customHeight="1" x14ac:dyDescent="0.3">
      <c r="A112" s="108" t="s">
        <v>133</v>
      </c>
      <c r="B112" s="109" t="s">
        <v>127</v>
      </c>
      <c r="C112" s="43">
        <v>0</v>
      </c>
      <c r="D112" s="19">
        <f ca="1">((100/H106)*C112)/100</f>
        <v>0</v>
      </c>
      <c r="E112" s="247"/>
      <c r="F112" s="260"/>
      <c r="G112" s="247"/>
      <c r="H112" s="248"/>
      <c r="I112" s="13" t="s">
        <v>99</v>
      </c>
      <c r="J112" s="30">
        <f ca="1">(IF(B106&gt;1,(H106/(B106+2)+J111),H106/4+J111))</f>
        <v>10</v>
      </c>
    </row>
    <row r="113" spans="1:22" ht="15.75" hidden="1" customHeight="1" x14ac:dyDescent="0.3">
      <c r="A113" s="108" t="s">
        <v>134</v>
      </c>
      <c r="B113" s="109" t="s">
        <v>127</v>
      </c>
      <c r="C113" s="43">
        <v>0</v>
      </c>
      <c r="D113" s="19">
        <f ca="1">((100/H106)*C113)/100</f>
        <v>0</v>
      </c>
      <c r="E113" s="247"/>
      <c r="F113" s="260"/>
      <c r="G113" s="247"/>
      <c r="H113" s="248"/>
      <c r="I113" s="13" t="s">
        <v>145</v>
      </c>
      <c r="J113" s="30">
        <f>(IF(B106&gt;1,(H106/(B106+2)+J112),0))</f>
        <v>0</v>
      </c>
    </row>
    <row r="114" spans="1:22" ht="15" hidden="1" customHeight="1" x14ac:dyDescent="0.3">
      <c r="A114" s="108" t="s">
        <v>132</v>
      </c>
      <c r="B114" s="109" t="s">
        <v>129</v>
      </c>
      <c r="C114" s="43">
        <v>0</v>
      </c>
      <c r="D114" s="19">
        <f ca="1">((100/(H106))*C114)/100</f>
        <v>0</v>
      </c>
      <c r="E114" s="247"/>
      <c r="F114" s="260"/>
      <c r="G114" s="247"/>
      <c r="H114" s="248"/>
      <c r="I114" s="13" t="s">
        <v>140</v>
      </c>
      <c r="J114" s="30">
        <f>(IF(B106&gt;2,(H106/(B106+2)+J113),0))</f>
        <v>0</v>
      </c>
    </row>
    <row r="115" spans="1:22" ht="15.75" hidden="1" customHeight="1" x14ac:dyDescent="0.3">
      <c r="A115" s="108" t="s">
        <v>128</v>
      </c>
      <c r="B115" s="109" t="s">
        <v>128</v>
      </c>
      <c r="C115" s="43">
        <v>0</v>
      </c>
      <c r="D115" s="19">
        <f ca="1">((100/H106)*C115)/100</f>
        <v>0</v>
      </c>
      <c r="E115" s="247"/>
      <c r="F115" s="260"/>
      <c r="G115" s="247"/>
      <c r="H115" s="248"/>
      <c r="I115" s="13" t="s">
        <v>141</v>
      </c>
      <c r="J115" s="31">
        <f>(IF(B106&gt;3,(H106/(B106+2)+J114),0))</f>
        <v>0</v>
      </c>
    </row>
    <row r="116" spans="1:22" ht="15.75" hidden="1" customHeight="1" x14ac:dyDescent="0.3">
      <c r="A116" s="108" t="s">
        <v>135</v>
      </c>
      <c r="B116" s="109"/>
      <c r="C116" s="43">
        <v>0</v>
      </c>
      <c r="D116" s="19">
        <f ca="1">((100/H106)*C116)/100</f>
        <v>0</v>
      </c>
      <c r="E116" s="247"/>
      <c r="F116" s="260"/>
      <c r="G116" s="247"/>
      <c r="H116" s="248"/>
      <c r="I116" s="13" t="s">
        <v>142</v>
      </c>
      <c r="J116" s="30">
        <f>(IF(B106&gt;4,(H106/(B106+2)+J115),0))</f>
        <v>0</v>
      </c>
    </row>
    <row r="117" spans="1:22" ht="15.75" hidden="1" customHeight="1" x14ac:dyDescent="0.3">
      <c r="A117" s="108" t="s">
        <v>130</v>
      </c>
      <c r="B117" s="109" t="s">
        <v>130</v>
      </c>
      <c r="C117" s="43">
        <v>0</v>
      </c>
      <c r="D117" s="19">
        <f ca="1">((100/(H106))*C117)/100</f>
        <v>0</v>
      </c>
      <c r="E117" s="247"/>
      <c r="F117" s="260"/>
      <c r="G117" s="247"/>
      <c r="H117" s="248"/>
      <c r="I117" s="13" t="s">
        <v>146</v>
      </c>
      <c r="J117" s="30">
        <f ca="1">(IF(B106=1,(H106/(B106+3)+J112),IF(B106=0,(H106/4+J112),IF(B106&gt;1,0))))</f>
        <v>15</v>
      </c>
    </row>
    <row r="118" spans="1:22" ht="16.2" hidden="1" thickBot="1" x14ac:dyDescent="0.35">
      <c r="A118" s="111" t="s">
        <v>131</v>
      </c>
      <c r="B118" s="112"/>
      <c r="C118" s="44">
        <v>0</v>
      </c>
      <c r="D118" s="20">
        <f ca="1">((100/(H106))*C118)/100</f>
        <v>0</v>
      </c>
      <c r="E118" s="249"/>
      <c r="F118" s="261"/>
      <c r="G118" s="249"/>
      <c r="H118" s="250"/>
      <c r="I118" s="15" t="s">
        <v>100</v>
      </c>
      <c r="J118" s="32">
        <f ca="1">(IF(B106&gt;1.5,(H106/(B106+2)+J112+MAX(0,J113-J112)+MAX(0,J114-J113)+MAX(0,J115-J114)+MAX(0,J116-J115)+MAX(0,J117-J116)),IF(B106=1,(H106/(B106+3)+J117),IF(B106=0,H106/4+J117))))</f>
        <v>20</v>
      </c>
    </row>
    <row r="119" spans="1:22" x14ac:dyDescent="0.3">
      <c r="A119" s="153" t="s">
        <v>156</v>
      </c>
      <c r="B119" s="153"/>
      <c r="C119" s="153"/>
      <c r="D119" s="153"/>
      <c r="E119" s="153"/>
      <c r="F119" s="281" t="s">
        <v>160</v>
      </c>
      <c r="G119" s="281"/>
      <c r="H119" s="281"/>
      <c r="J119" s="21">
        <f>4800000/549</f>
        <v>8743.1693989071046</v>
      </c>
      <c r="K119" s="98" t="s">
        <v>436</v>
      </c>
      <c r="R119" t="s">
        <v>252</v>
      </c>
      <c r="S119" t="s">
        <v>172</v>
      </c>
      <c r="T119" t="s">
        <v>180</v>
      </c>
      <c r="U119" t="s">
        <v>194</v>
      </c>
      <c r="V119" t="s">
        <v>189</v>
      </c>
    </row>
    <row r="120" spans="1:22" x14ac:dyDescent="0.3">
      <c r="A120" s="121" t="s">
        <v>158</v>
      </c>
      <c r="B120" s="121"/>
      <c r="C120" s="121"/>
      <c r="D120" s="121"/>
      <c r="E120" s="121"/>
      <c r="F120" s="124">
        <v>8700</v>
      </c>
      <c r="G120" s="124"/>
      <c r="H120" s="124"/>
      <c r="R120"/>
      <c r="S120">
        <v>800000</v>
      </c>
      <c r="T120">
        <v>150000</v>
      </c>
      <c r="U120">
        <v>100000</v>
      </c>
      <c r="V120">
        <v>100000</v>
      </c>
    </row>
    <row r="121" spans="1:22" x14ac:dyDescent="0.3">
      <c r="A121" s="121" t="s">
        <v>157</v>
      </c>
      <c r="B121" s="121"/>
      <c r="C121" s="121"/>
      <c r="D121" s="121"/>
      <c r="E121" s="121"/>
      <c r="F121" s="124">
        <v>14000</v>
      </c>
      <c r="G121" s="124"/>
      <c r="H121" s="124"/>
      <c r="R121"/>
      <c r="S121">
        <v>900000</v>
      </c>
      <c r="T121">
        <v>200000</v>
      </c>
      <c r="U121">
        <v>150000</v>
      </c>
      <c r="V121">
        <v>150000</v>
      </c>
    </row>
    <row r="122" spans="1:22" hidden="1" x14ac:dyDescent="0.3">
      <c r="A122" s="121" t="s">
        <v>159</v>
      </c>
      <c r="B122" s="121"/>
      <c r="C122" s="121"/>
      <c r="D122" s="121"/>
      <c r="E122" s="121"/>
      <c r="F122" s="124"/>
      <c r="G122" s="124"/>
      <c r="H122" s="124"/>
      <c r="R122"/>
      <c r="S122">
        <v>1000000</v>
      </c>
      <c r="T122">
        <v>250000</v>
      </c>
      <c r="U122">
        <v>200000</v>
      </c>
      <c r="V122">
        <v>200000</v>
      </c>
    </row>
    <row r="123" spans="1:22" s="33" customFormat="1" hidden="1" x14ac:dyDescent="0.3">
      <c r="A123" s="121" t="s">
        <v>175</v>
      </c>
      <c r="B123" s="121"/>
      <c r="C123" s="121"/>
      <c r="D123" s="121"/>
      <c r="E123" s="121"/>
      <c r="F123" s="124"/>
      <c r="G123" s="124"/>
      <c r="H123" s="124"/>
      <c r="R123"/>
      <c r="S123">
        <v>1100000</v>
      </c>
      <c r="T123">
        <v>300000</v>
      </c>
      <c r="U123">
        <v>250000</v>
      </c>
      <c r="V123" s="23">
        <v>250000</v>
      </c>
    </row>
    <row r="124" spans="1:22" s="33" customFormat="1" x14ac:dyDescent="0.3">
      <c r="A124" s="121" t="s">
        <v>91</v>
      </c>
      <c r="B124" s="121"/>
      <c r="C124" s="121"/>
      <c r="D124" s="121"/>
      <c r="E124" s="121"/>
      <c r="F124" s="124">
        <v>150000</v>
      </c>
      <c r="G124" s="124"/>
      <c r="H124" s="124"/>
      <c r="R124"/>
      <c r="S124">
        <v>1200000</v>
      </c>
      <c r="T124">
        <v>350000</v>
      </c>
      <c r="U124">
        <v>300000</v>
      </c>
      <c r="V124">
        <v>300000</v>
      </c>
    </row>
    <row r="125" spans="1:22" s="33" customFormat="1" hidden="1" x14ac:dyDescent="0.3">
      <c r="A125" s="121" t="s">
        <v>92</v>
      </c>
      <c r="B125" s="121"/>
      <c r="C125" s="121"/>
      <c r="D125" s="121"/>
      <c r="E125" s="121"/>
      <c r="F125" s="124"/>
      <c r="G125" s="124"/>
      <c r="H125" s="124"/>
      <c r="R125"/>
      <c r="S125">
        <v>1300000</v>
      </c>
      <c r="T125">
        <v>400000</v>
      </c>
      <c r="U125">
        <v>350000</v>
      </c>
      <c r="V125" s="23">
        <v>400000</v>
      </c>
    </row>
    <row r="126" spans="1:22" s="33" customFormat="1" hidden="1" x14ac:dyDescent="0.3">
      <c r="A126" s="121" t="s">
        <v>93</v>
      </c>
      <c r="B126" s="121"/>
      <c r="C126" s="121"/>
      <c r="D126" s="121"/>
      <c r="E126" s="121"/>
      <c r="F126" s="124"/>
      <c r="G126" s="124"/>
      <c r="H126" s="124"/>
      <c r="R126"/>
      <c r="S126">
        <v>1400000</v>
      </c>
      <c r="T126">
        <v>500000</v>
      </c>
      <c r="U126">
        <v>400000</v>
      </c>
      <c r="V126"/>
    </row>
    <row r="127" spans="1:22" s="33" customFormat="1" hidden="1" x14ac:dyDescent="0.3">
      <c r="A127" s="121" t="s">
        <v>94</v>
      </c>
      <c r="B127" s="121"/>
      <c r="C127" s="121"/>
      <c r="D127" s="121"/>
      <c r="E127" s="121"/>
      <c r="F127" s="124"/>
      <c r="G127" s="124"/>
      <c r="H127" s="124"/>
      <c r="R127"/>
      <c r="S127">
        <v>1500000</v>
      </c>
      <c r="T127">
        <v>600000</v>
      </c>
      <c r="U127">
        <v>500000</v>
      </c>
      <c r="V127" s="23"/>
    </row>
    <row r="128" spans="1:22" s="33" customFormat="1" x14ac:dyDescent="0.3">
      <c r="A128" s="121" t="s">
        <v>95</v>
      </c>
      <c r="B128" s="121"/>
      <c r="C128" s="121"/>
      <c r="D128" s="121"/>
      <c r="E128" s="121"/>
      <c r="F128" s="124">
        <v>50000</v>
      </c>
      <c r="G128" s="124"/>
      <c r="H128" s="124"/>
      <c r="R128"/>
      <c r="S128">
        <v>1600000</v>
      </c>
      <c r="T128">
        <v>700000</v>
      </c>
      <c r="U128">
        <v>600000</v>
      </c>
      <c r="V128"/>
    </row>
    <row r="129" spans="1:22" s="33" customFormat="1" x14ac:dyDescent="0.3">
      <c r="A129" s="121" t="s">
        <v>441</v>
      </c>
      <c r="B129" s="121"/>
      <c r="C129" s="121"/>
      <c r="D129" s="121"/>
      <c r="E129" s="121"/>
      <c r="F129" s="124">
        <v>10000</v>
      </c>
      <c r="G129" s="124"/>
      <c r="H129" s="124"/>
      <c r="R129"/>
      <c r="S129">
        <v>1700000</v>
      </c>
      <c r="T129">
        <v>800000</v>
      </c>
      <c r="U129"/>
      <c r="V129" s="23"/>
    </row>
    <row r="130" spans="1:22" x14ac:dyDescent="0.3">
      <c r="A130" s="121" t="s">
        <v>49</v>
      </c>
      <c r="B130" s="121"/>
      <c r="C130" s="121"/>
      <c r="D130" s="121"/>
      <c r="E130" s="121"/>
      <c r="F130" s="124">
        <v>400000</v>
      </c>
      <c r="G130" s="124"/>
      <c r="H130" s="124"/>
      <c r="R130"/>
      <c r="S130">
        <v>1800000</v>
      </c>
      <c r="T130">
        <v>900000</v>
      </c>
      <c r="U130"/>
    </row>
    <row r="131" spans="1:22" s="34" customFormat="1" x14ac:dyDescent="0.3">
      <c r="A131" s="166" t="s">
        <v>50</v>
      </c>
      <c r="B131" s="166"/>
      <c r="C131" s="166"/>
      <c r="D131" s="166"/>
      <c r="E131" s="166"/>
      <c r="F131" s="124">
        <f>F120*0.8</f>
        <v>6960</v>
      </c>
      <c r="G131" s="124"/>
      <c r="H131" s="124"/>
      <c r="R131" s="21"/>
      <c r="S131" s="21"/>
      <c r="T131">
        <v>1000000</v>
      </c>
      <c r="U131"/>
      <c r="V131" s="21"/>
    </row>
    <row r="132" spans="1:22" s="35" customFormat="1" ht="15.75" customHeight="1" x14ac:dyDescent="0.3">
      <c r="A132" s="165" t="s">
        <v>71</v>
      </c>
      <c r="B132" s="165"/>
      <c r="C132" s="165"/>
      <c r="D132" s="165"/>
      <c r="E132" s="165"/>
      <c r="F132" s="165"/>
      <c r="G132" s="165"/>
      <c r="H132" s="165"/>
      <c r="J132" s="35">
        <f>4000000/H157</f>
        <v>6860.534194040586</v>
      </c>
      <c r="K132" s="98" t="s">
        <v>437</v>
      </c>
      <c r="R132"/>
      <c r="S132" s="21"/>
      <c r="T132"/>
      <c r="U132"/>
      <c r="V132" s="21"/>
    </row>
    <row r="133" spans="1:22" s="35" customFormat="1" ht="15.75" customHeight="1" x14ac:dyDescent="0.3">
      <c r="A133" s="126" t="s">
        <v>51</v>
      </c>
      <c r="B133" s="126"/>
      <c r="C133" s="130" t="s">
        <v>74</v>
      </c>
      <c r="D133" s="130"/>
      <c r="E133" s="113" t="s">
        <v>52</v>
      </c>
      <c r="F133" s="113"/>
      <c r="G133" s="126" t="s">
        <v>53</v>
      </c>
      <c r="H133" s="126"/>
      <c r="R133"/>
      <c r="S133" s="21"/>
      <c r="T133"/>
      <c r="U133" s="21"/>
      <c r="V133" s="21"/>
    </row>
    <row r="134" spans="1:22" s="35" customFormat="1" x14ac:dyDescent="0.3">
      <c r="A134" s="168" t="s">
        <v>427</v>
      </c>
      <c r="B134" s="168"/>
      <c r="C134" s="141">
        <f>COUNT(D146:D149)</f>
        <v>4</v>
      </c>
      <c r="D134" s="142"/>
      <c r="E134" s="141">
        <f>SUM(F146:F149)</f>
        <v>764.80372799999998</v>
      </c>
      <c r="F134" s="142"/>
      <c r="G134" s="141">
        <f>SUM(H146:H149)</f>
        <v>1147.205592</v>
      </c>
      <c r="H134" s="142"/>
      <c r="R134"/>
      <c r="S134" s="21"/>
      <c r="T134"/>
      <c r="U134" s="21"/>
      <c r="V134" s="21"/>
    </row>
    <row r="135" spans="1:22" s="35" customFormat="1" x14ac:dyDescent="0.3">
      <c r="A135" s="165" t="s">
        <v>150</v>
      </c>
      <c r="B135" s="165"/>
      <c r="C135" s="267">
        <f>C134</f>
        <v>4</v>
      </c>
      <c r="D135" s="130"/>
      <c r="E135" s="267">
        <f t="shared" ref="E135" si="0">E134</f>
        <v>764.80372799999998</v>
      </c>
      <c r="F135" s="130"/>
      <c r="G135" s="267">
        <f t="shared" ref="G135" si="1">G134</f>
        <v>1147.205592</v>
      </c>
      <c r="H135" s="130"/>
      <c r="R135"/>
      <c r="S135" s="21"/>
      <c r="T135"/>
      <c r="U135" s="21"/>
      <c r="V135" s="21"/>
    </row>
    <row r="136" spans="1:22" s="35" customFormat="1" x14ac:dyDescent="0.3">
      <c r="A136" s="165" t="s">
        <v>66</v>
      </c>
      <c r="B136" s="165"/>
      <c r="C136" s="165"/>
      <c r="D136" s="165"/>
      <c r="E136" s="165"/>
      <c r="F136" s="165"/>
      <c r="G136" s="165"/>
      <c r="H136" s="165"/>
      <c r="I136" s="35">
        <f>1150*8300</f>
        <v>9545000</v>
      </c>
      <c r="T136"/>
    </row>
    <row r="137" spans="1:22" s="35" customFormat="1" ht="15.75" customHeight="1" x14ac:dyDescent="0.3">
      <c r="A137" s="126" t="s">
        <v>51</v>
      </c>
      <c r="B137" s="126"/>
      <c r="C137" s="130" t="s">
        <v>74</v>
      </c>
      <c r="D137" s="130"/>
      <c r="E137" s="113" t="s">
        <v>52</v>
      </c>
      <c r="F137" s="113"/>
      <c r="G137" s="126" t="s">
        <v>53</v>
      </c>
      <c r="H137" s="126"/>
      <c r="K137" s="35">
        <f>8700*2</f>
        <v>17400</v>
      </c>
      <c r="T137"/>
    </row>
    <row r="138" spans="1:22" s="35" customFormat="1" x14ac:dyDescent="0.3">
      <c r="A138" s="168" t="s">
        <v>428</v>
      </c>
      <c r="B138" s="168"/>
      <c r="C138" s="141">
        <f>COUNT(D154:D159)+COUNT(D161:D166)*2+COUNT(D168:D173)+COUNT(D175:D180)+COUNT(D182:D187)+COUNT(D190:D191,D194:D195)</f>
        <v>40</v>
      </c>
      <c r="D138" s="141"/>
      <c r="E138" s="141">
        <f>SUM(F154:F159)+SUM(F161:F166)*2+SUM(F168:F173)+SUM(F175:F180)+SUM(F182:F187)+SUM(F190:F191,F194:F195)</f>
        <v>15041.732004</v>
      </c>
      <c r="F138" s="141"/>
      <c r="G138" s="141">
        <f>SUM(H154:H159)+SUM(H161:H166)*2+SUM(H168:H173)+SUM(H175:H180)+SUM(H182:H187)+SUM(H190:H191,H194:H195)</f>
        <v>22016.6420058</v>
      </c>
      <c r="H138" s="141"/>
      <c r="T138"/>
    </row>
    <row r="139" spans="1:22" s="35" customFormat="1" ht="16.2" thickBot="1" x14ac:dyDescent="0.35">
      <c r="A139" s="266" t="s">
        <v>150</v>
      </c>
      <c r="B139" s="266"/>
      <c r="C139" s="143">
        <f>C138</f>
        <v>40</v>
      </c>
      <c r="D139" s="144"/>
      <c r="E139" s="143">
        <f t="shared" ref="E139" si="2">E138</f>
        <v>15041.732004</v>
      </c>
      <c r="F139" s="144"/>
      <c r="G139" s="143">
        <f t="shared" ref="G139" si="3">G138</f>
        <v>22016.6420058</v>
      </c>
      <c r="H139" s="144"/>
      <c r="T139"/>
    </row>
    <row r="140" spans="1:22" s="35" customFormat="1" ht="16.2" thickBot="1" x14ac:dyDescent="0.35">
      <c r="A140" s="151" t="s">
        <v>165</v>
      </c>
      <c r="B140" s="152"/>
      <c r="C140" s="170">
        <f>C135+C139</f>
        <v>44</v>
      </c>
      <c r="D140" s="170"/>
      <c r="E140" s="251">
        <f>E135+E139</f>
        <v>15806.535732</v>
      </c>
      <c r="F140" s="251"/>
      <c r="G140" s="252">
        <f>G135+G139</f>
        <v>23163.847597799999</v>
      </c>
      <c r="H140" s="253"/>
      <c r="T140"/>
    </row>
    <row r="141" spans="1:22" s="34" customFormat="1" x14ac:dyDescent="0.3">
      <c r="A141" s="114" t="s">
        <v>355</v>
      </c>
      <c r="B141" s="114"/>
      <c r="C141" s="114"/>
      <c r="D141" s="114"/>
      <c r="E141" s="114"/>
      <c r="F141" s="114"/>
      <c r="G141" s="114"/>
      <c r="H141" s="114"/>
      <c r="T141" s="35"/>
    </row>
    <row r="142" spans="1:22" x14ac:dyDescent="0.3">
      <c r="A142" s="125" t="s">
        <v>174</v>
      </c>
      <c r="B142" s="125"/>
      <c r="C142" s="125"/>
      <c r="D142" s="125"/>
      <c r="E142" s="125"/>
      <c r="F142" s="125"/>
      <c r="G142" s="125"/>
      <c r="H142" s="125"/>
      <c r="T142" s="35"/>
    </row>
    <row r="143" spans="1:22" ht="47.25" customHeight="1" x14ac:dyDescent="0.3">
      <c r="A143" s="117" t="s">
        <v>116</v>
      </c>
      <c r="B143" s="119" t="s">
        <v>176</v>
      </c>
      <c r="C143" s="117" t="s">
        <v>54</v>
      </c>
      <c r="D143" s="119" t="s">
        <v>414</v>
      </c>
      <c r="E143" s="243" t="s">
        <v>155</v>
      </c>
      <c r="F143" s="117" t="s">
        <v>55</v>
      </c>
      <c r="G143" s="154" t="s">
        <v>56</v>
      </c>
      <c r="H143" s="96" t="s">
        <v>148</v>
      </c>
      <c r="I143" s="42">
        <v>10.763999999999999</v>
      </c>
      <c r="T143" s="35"/>
    </row>
    <row r="144" spans="1:22" s="37" customFormat="1" x14ac:dyDescent="0.3">
      <c r="A144" s="118"/>
      <c r="B144" s="120"/>
      <c r="C144" s="118"/>
      <c r="D144" s="120"/>
      <c r="E144" s="244"/>
      <c r="F144" s="118"/>
      <c r="G144" s="155"/>
      <c r="H144" s="97">
        <v>0.5</v>
      </c>
      <c r="T144" s="35"/>
    </row>
    <row r="145" spans="1:20" s="37" customFormat="1" x14ac:dyDescent="0.3">
      <c r="A145" s="103" t="s">
        <v>412</v>
      </c>
      <c r="B145" s="104"/>
      <c r="C145" s="104"/>
      <c r="D145" s="104"/>
      <c r="E145" s="104"/>
      <c r="F145" s="104"/>
      <c r="G145" s="104"/>
      <c r="H145" s="105"/>
      <c r="J145" s="36">
        <f>4000000/319</f>
        <v>12539.184952978056</v>
      </c>
      <c r="K145" s="37">
        <f>J145/1.45</f>
        <v>8647.7137606745218</v>
      </c>
      <c r="T145" s="35"/>
    </row>
    <row r="146" spans="1:20" s="37" customFormat="1" ht="15.75" customHeight="1" x14ac:dyDescent="0.3">
      <c r="A146" s="101">
        <v>1</v>
      </c>
      <c r="B146" s="102"/>
      <c r="C146" s="42" t="s">
        <v>413</v>
      </c>
      <c r="D146" s="42">
        <f>(17.763)*10.764</f>
        <v>191.20093199999999</v>
      </c>
      <c r="E146" s="42">
        <v>0</v>
      </c>
      <c r="F146" s="42">
        <f>D146+(IF(E146&lt;201,E146,IF(E146&lt;301,E146/2,E146/3)))</f>
        <v>191.20093199999999</v>
      </c>
      <c r="G146" s="42">
        <v>0</v>
      </c>
      <c r="H146" s="42">
        <f>(F146+(IF(G146&lt;101,G146,IF(G146&lt;201,G146/2,IF(G146&lt;=301,G146/3,G146/4)))))*(($H$144)+1)</f>
        <v>286.80139800000001</v>
      </c>
      <c r="I146" s="36">
        <f>2.45*7.25</f>
        <v>17.762500000000003</v>
      </c>
      <c r="J146" s="37">
        <f>3849000/307</f>
        <v>12537.459283387621</v>
      </c>
      <c r="K146" s="37">
        <f>J146/1.45</f>
        <v>8646.5236437156018</v>
      </c>
      <c r="L146" s="237"/>
      <c r="M146" s="237"/>
      <c r="N146" s="36"/>
      <c r="T146" s="35"/>
    </row>
    <row r="147" spans="1:20" s="37" customFormat="1" ht="15.75" customHeight="1" x14ac:dyDescent="0.3">
      <c r="A147" s="101">
        <f>A146+1</f>
        <v>2</v>
      </c>
      <c r="B147" s="102"/>
      <c r="C147" s="42" t="s">
        <v>413</v>
      </c>
      <c r="D147" s="42">
        <f>(17.763)*10.764</f>
        <v>191.20093199999999</v>
      </c>
      <c r="E147" s="42">
        <v>0</v>
      </c>
      <c r="F147" s="42">
        <f>D147+(IF(E147&lt;201,E147,IF(E147&lt;301,E147/2,E147/3)))</f>
        <v>191.20093199999999</v>
      </c>
      <c r="G147" s="42">
        <v>0</v>
      </c>
      <c r="H147" s="42">
        <f>(F147+(IF(G147&lt;101,G147,IF(G147&lt;201,G147/2,IF(G147&lt;=301,G147/3,G147/4)))))*(($H$144)+1)</f>
        <v>286.80139800000001</v>
      </c>
      <c r="I147" s="36"/>
      <c r="L147" s="237"/>
      <c r="M147" s="237"/>
      <c r="N147" s="36"/>
      <c r="T147" s="34"/>
    </row>
    <row r="148" spans="1:20" s="37" customFormat="1" ht="15.75" customHeight="1" x14ac:dyDescent="0.3">
      <c r="A148" s="101">
        <f>A147+1</f>
        <v>3</v>
      </c>
      <c r="B148" s="102"/>
      <c r="C148" s="42" t="s">
        <v>413</v>
      </c>
      <c r="D148" s="42">
        <f>(17.763)*10.764</f>
        <v>191.20093199999999</v>
      </c>
      <c r="E148" s="42">
        <v>0</v>
      </c>
      <c r="F148" s="42">
        <f>D148+(IF(E148&lt;201,E148,IF(E148&lt;301,E148/2,E148/3)))</f>
        <v>191.20093199999999</v>
      </c>
      <c r="G148" s="42">
        <v>0</v>
      </c>
      <c r="H148" s="42">
        <f>(F148+(IF(G148&lt;101,G148,IF(G148&lt;201,G148/2,IF(G148&lt;=301,G148/3,G148/4)))))*(($H$144)+1)</f>
        <v>286.80139800000001</v>
      </c>
      <c r="I148" s="36"/>
      <c r="L148" s="237"/>
      <c r="M148" s="237"/>
      <c r="N148" s="36"/>
      <c r="T148" s="21"/>
    </row>
    <row r="149" spans="1:20" s="37" customFormat="1" ht="15.75" customHeight="1" x14ac:dyDescent="0.3">
      <c r="A149" s="101">
        <f>A148+1</f>
        <v>4</v>
      </c>
      <c r="B149" s="102"/>
      <c r="C149" s="42" t="s">
        <v>413</v>
      </c>
      <c r="D149" s="42">
        <f>(17.763)*10.764</f>
        <v>191.20093199999999</v>
      </c>
      <c r="E149" s="42">
        <v>0</v>
      </c>
      <c r="F149" s="42">
        <f>D149+(IF(E149&lt;201,E149,IF(E149&lt;301,E149/2,E149/3)))</f>
        <v>191.20093199999999</v>
      </c>
      <c r="G149" s="42">
        <v>0</v>
      </c>
      <c r="H149" s="42">
        <f>(F149+(IF(G149&lt;101,G149,IF(G149&lt;201,G149/2,IF(G149&lt;=301,G149/3,G149/4)))))*(($H$144)+1)</f>
        <v>286.80139800000001</v>
      </c>
      <c r="I149" s="36"/>
      <c r="L149" s="237"/>
      <c r="M149" s="237"/>
      <c r="N149" s="36"/>
      <c r="T149" s="21"/>
    </row>
    <row r="150" spans="1:20" s="37" customFormat="1" x14ac:dyDescent="0.3">
      <c r="A150" s="101"/>
      <c r="B150" s="138"/>
      <c r="C150" s="138"/>
      <c r="D150" s="138"/>
      <c r="E150" s="138"/>
      <c r="F150" s="138"/>
      <c r="G150" s="138"/>
      <c r="H150" s="102"/>
      <c r="I150" s="36"/>
      <c r="N150" s="36"/>
    </row>
    <row r="151" spans="1:20" ht="47.25" customHeight="1" x14ac:dyDescent="0.3">
      <c r="A151" s="115" t="s">
        <v>117</v>
      </c>
      <c r="B151" s="119" t="s">
        <v>177</v>
      </c>
      <c r="C151" s="117" t="s">
        <v>54</v>
      </c>
      <c r="D151" s="119" t="s">
        <v>414</v>
      </c>
      <c r="E151" s="119" t="s">
        <v>426</v>
      </c>
      <c r="F151" s="117" t="s">
        <v>55</v>
      </c>
      <c r="G151" s="154" t="s">
        <v>56</v>
      </c>
      <c r="H151" s="63" t="s">
        <v>148</v>
      </c>
      <c r="I151" s="42">
        <v>10.763999999999999</v>
      </c>
      <c r="T151" s="37"/>
    </row>
    <row r="152" spans="1:20" s="37" customFormat="1" ht="32.25" customHeight="1" x14ac:dyDescent="0.3">
      <c r="A152" s="116"/>
      <c r="B152" s="120"/>
      <c r="C152" s="118"/>
      <c r="D152" s="120"/>
      <c r="E152" s="120"/>
      <c r="F152" s="118"/>
      <c r="G152" s="155"/>
      <c r="H152" s="97">
        <v>0.45</v>
      </c>
      <c r="I152" s="36"/>
    </row>
    <row r="153" spans="1:20" s="37" customFormat="1" x14ac:dyDescent="0.3">
      <c r="A153" s="103" t="s">
        <v>415</v>
      </c>
      <c r="B153" s="104"/>
      <c r="C153" s="104"/>
      <c r="D153" s="104"/>
      <c r="E153" s="104"/>
      <c r="F153" s="104"/>
      <c r="G153" s="104"/>
      <c r="H153" s="105"/>
      <c r="J153" s="36"/>
    </row>
    <row r="154" spans="1:20" s="37" customFormat="1" ht="15.75" customHeight="1" x14ac:dyDescent="0.3">
      <c r="A154" s="101">
        <v>1</v>
      </c>
      <c r="B154" s="102"/>
      <c r="C154" s="42" t="s">
        <v>416</v>
      </c>
      <c r="D154" s="42">
        <f>(29.94)*10.764</f>
        <v>322.27415999999999</v>
      </c>
      <c r="E154" s="277">
        <f>(2.95+0.75*(2.1+2.75))*10.764</f>
        <v>70.907849999999996</v>
      </c>
      <c r="F154" s="42">
        <f>D154+E154</f>
        <v>393.18200999999999</v>
      </c>
      <c r="G154" s="42">
        <v>0</v>
      </c>
      <c r="H154" s="42">
        <f>F154*(($H$152)+1)+(IF(G154&lt;101,G154,IF(G154&lt;201,G154/2,IF(G154&lt;=301,G154/3,G154/4))))</f>
        <v>570.11391449999996</v>
      </c>
      <c r="I154" s="36">
        <f>3.95*2.7+3*2.14+3*2.75+1.2*0.9+2.1*1.2</f>
        <v>28.934999999999999</v>
      </c>
      <c r="L154" s="237"/>
      <c r="M154" s="237"/>
      <c r="N154" s="36"/>
    </row>
    <row r="155" spans="1:20" s="37" customFormat="1" ht="15.75" customHeight="1" x14ac:dyDescent="0.3">
      <c r="A155" s="101">
        <f>A154+1</f>
        <v>2</v>
      </c>
      <c r="B155" s="102"/>
      <c r="C155" s="42" t="s">
        <v>416</v>
      </c>
      <c r="D155" s="42">
        <f>(29.415)*10.764</f>
        <v>316.62305999999995</v>
      </c>
      <c r="E155" s="277">
        <f>(5.15)*10.764</f>
        <v>55.434600000000003</v>
      </c>
      <c r="F155" s="42">
        <f>D155+E155</f>
        <v>372.05765999999994</v>
      </c>
      <c r="G155" s="42">
        <f>(0.8*3+0.55*1.2)*10.764</f>
        <v>32.937840000000001</v>
      </c>
      <c r="H155" s="42">
        <f>F155*(($H$152)+1)+(IF(G155&lt;101,G155,IF(G155&lt;201,G155/2,IF(G155&lt;=301,G155/3,G155/4))))</f>
        <v>572.42144699999994</v>
      </c>
      <c r="I155" s="36"/>
      <c r="L155" s="237"/>
      <c r="M155" s="237"/>
      <c r="N155" s="36"/>
    </row>
    <row r="156" spans="1:20" s="37" customFormat="1" ht="15.75" customHeight="1" x14ac:dyDescent="0.3">
      <c r="A156" s="101">
        <f>A155+1</f>
        <v>3</v>
      </c>
      <c r="B156" s="102"/>
      <c r="C156" s="42" t="s">
        <v>416</v>
      </c>
      <c r="D156" s="42">
        <f>(29.415)*10.764</f>
        <v>316.62305999999995</v>
      </c>
      <c r="E156" s="277">
        <f>(5.15)*10.764</f>
        <v>55.434600000000003</v>
      </c>
      <c r="F156" s="42">
        <f>D156+E156</f>
        <v>372.05765999999994</v>
      </c>
      <c r="G156" s="42">
        <f>(0.8*3+0.55*1.2)*10.764</f>
        <v>32.937840000000001</v>
      </c>
      <c r="H156" s="42">
        <f>F156*(($H$152)+1)+(IF(G156&lt;101,G156,IF(G156&lt;201,G156/2,IF(G156&lt;=301,G156/3,G156/4))))</f>
        <v>572.42144699999994</v>
      </c>
      <c r="I156" s="36"/>
      <c r="L156" s="237"/>
      <c r="M156" s="237"/>
      <c r="N156" s="36"/>
    </row>
    <row r="157" spans="1:20" s="37" customFormat="1" ht="15.75" customHeight="1" x14ac:dyDescent="0.3">
      <c r="A157" s="101">
        <f>A156+1</f>
        <v>4</v>
      </c>
      <c r="B157" s="102"/>
      <c r="C157" s="42" t="s">
        <v>416</v>
      </c>
      <c r="D157" s="42">
        <f>(29.706)*10.764</f>
        <v>319.75538399999999</v>
      </c>
      <c r="E157" s="277">
        <f>(3.825+0.75*(2.4+2.7))*10.764</f>
        <v>82.3446</v>
      </c>
      <c r="F157" s="42">
        <f>D157+E157</f>
        <v>402.09998400000001</v>
      </c>
      <c r="G157" s="42">
        <v>0</v>
      </c>
      <c r="H157" s="42">
        <f>F157*(($H$152)+1)+(IF(G157&lt;101,G157,IF(G157&lt;201,G157/2,IF(G157&lt;=301,G157/3,G157/4))))</f>
        <v>583.04497679999997</v>
      </c>
      <c r="I157" s="36"/>
      <c r="L157" s="237"/>
      <c r="M157" s="237"/>
      <c r="N157" s="36"/>
      <c r="T157" s="21"/>
    </row>
    <row r="158" spans="1:20" s="37" customFormat="1" ht="15.75" customHeight="1" x14ac:dyDescent="0.3">
      <c r="A158" s="101">
        <f t="shared" ref="A158:A159" si="4">A157+1</f>
        <v>5</v>
      </c>
      <c r="B158" s="102"/>
      <c r="C158" s="42" t="s">
        <v>416</v>
      </c>
      <c r="D158" s="42">
        <f>(29.456)*10.764</f>
        <v>317.06438399999996</v>
      </c>
      <c r="E158" s="277">
        <f>(2.973+0.75*(2.7+1.2))*10.764</f>
        <v>63.486071999999993</v>
      </c>
      <c r="F158" s="42">
        <f t="shared" ref="F158:F159" si="5">D158+E158</f>
        <v>380.55045599999994</v>
      </c>
      <c r="G158" s="42">
        <v>0</v>
      </c>
      <c r="H158" s="42">
        <f t="shared" ref="H158:H159" si="6">F158*(($H$152)+1)+(IF(G158&lt;101,G158,IF(G158&lt;201,G158/2,IF(G158&lt;=301,G158/3,G158/4))))</f>
        <v>551.79816119999987</v>
      </c>
      <c r="I158" s="36"/>
      <c r="L158" s="237"/>
      <c r="M158" s="237"/>
      <c r="N158" s="36"/>
      <c r="T158" s="21"/>
    </row>
    <row r="159" spans="1:20" s="37" customFormat="1" ht="15.75" customHeight="1" x14ac:dyDescent="0.3">
      <c r="A159" s="101">
        <f t="shared" si="4"/>
        <v>6</v>
      </c>
      <c r="B159" s="102"/>
      <c r="C159" s="42" t="s">
        <v>416</v>
      </c>
      <c r="D159" s="42">
        <f>(29.524)*10.764</f>
        <v>317.796336</v>
      </c>
      <c r="E159" s="277">
        <f>(2.835+0.75*(2.7+1.83))*10.764</f>
        <v>67.08663</v>
      </c>
      <c r="F159" s="42">
        <f t="shared" si="5"/>
        <v>384.88296600000001</v>
      </c>
      <c r="G159" s="42">
        <v>0</v>
      </c>
      <c r="H159" s="42">
        <f t="shared" si="6"/>
        <v>558.08030069999995</v>
      </c>
      <c r="I159" s="36"/>
      <c r="L159" s="237"/>
      <c r="M159" s="237"/>
      <c r="N159" s="36"/>
      <c r="T159" s="21"/>
    </row>
    <row r="160" spans="1:20" s="37" customFormat="1" x14ac:dyDescent="0.3">
      <c r="A160" s="278" t="s">
        <v>417</v>
      </c>
      <c r="B160" s="279"/>
      <c r="C160" s="279"/>
      <c r="D160" s="279"/>
      <c r="E160" s="279"/>
      <c r="F160" s="279"/>
      <c r="G160" s="279"/>
      <c r="H160" s="280"/>
      <c r="J160" s="36">
        <v>8700</v>
      </c>
    </row>
    <row r="161" spans="1:20" s="37" customFormat="1" ht="15.75" customHeight="1" x14ac:dyDescent="0.3">
      <c r="A161" s="101">
        <v>1</v>
      </c>
      <c r="B161" s="102"/>
      <c r="C161" s="42" t="s">
        <v>416</v>
      </c>
      <c r="D161" s="42">
        <f>(29.94)*10.764</f>
        <v>322.27415999999999</v>
      </c>
      <c r="E161" s="42">
        <f>(2.95+0.75*(2.14+2.75))*10.764</f>
        <v>71.230770000000007</v>
      </c>
      <c r="F161" s="42">
        <f>D161+E161</f>
        <v>393.50493</v>
      </c>
      <c r="G161" s="42">
        <v>0</v>
      </c>
      <c r="H161" s="42">
        <f>F161*(($H$152)+1)+(IF(G161&lt;101,G161,IF(G161&lt;201,G161/2,IF(G161&lt;=301,G161/3,G161/4))))</f>
        <v>570.58214850000002</v>
      </c>
      <c r="I161" s="36">
        <f>3.95*2.7+3*2.14+3*2.75+1.2*0.9+2.1*1.2</f>
        <v>28.934999999999999</v>
      </c>
      <c r="J161" s="36">
        <f>J$160*H161</f>
        <v>4964064.6919499999</v>
      </c>
      <c r="K161" s="36">
        <f>J161+210000</f>
        <v>5174064.6919499999</v>
      </c>
      <c r="L161" s="237"/>
      <c r="M161" s="237"/>
      <c r="N161" s="36"/>
    </row>
    <row r="162" spans="1:20" s="37" customFormat="1" ht="15.75" customHeight="1" x14ac:dyDescent="0.3">
      <c r="A162" s="101">
        <f>A161+1</f>
        <v>2</v>
      </c>
      <c r="B162" s="102"/>
      <c r="C162" s="42" t="s">
        <v>416</v>
      </c>
      <c r="D162" s="42">
        <f>(29.415)*10.764</f>
        <v>316.62305999999995</v>
      </c>
      <c r="E162" s="42">
        <f>(5.15+0.75*2.7)*10.764</f>
        <v>77.231700000000004</v>
      </c>
      <c r="F162" s="42">
        <f>D162+E162</f>
        <v>393.85475999999994</v>
      </c>
      <c r="G162" s="42">
        <v>0</v>
      </c>
      <c r="H162" s="42">
        <f>F162*(($H$152)+1)+(IF(G162&lt;101,G162,IF(G162&lt;201,G162/2,IF(G162&lt;=301,G162/3,G162/4))))</f>
        <v>571.08940199999995</v>
      </c>
      <c r="I162" s="36"/>
      <c r="J162" s="36">
        <f t="shared" ref="J162:J180" si="7">J$160*H162</f>
        <v>4968477.7973999996</v>
      </c>
      <c r="K162" s="36">
        <f t="shared" ref="K162:K179" si="8">J162+210000</f>
        <v>5178477.7973999996</v>
      </c>
      <c r="L162" s="237"/>
      <c r="M162" s="237"/>
      <c r="N162" s="36"/>
    </row>
    <row r="163" spans="1:20" s="37" customFormat="1" ht="15.75" customHeight="1" x14ac:dyDescent="0.3">
      <c r="A163" s="101">
        <f>A162+1</f>
        <v>3</v>
      </c>
      <c r="B163" s="102"/>
      <c r="C163" s="42" t="s">
        <v>416</v>
      </c>
      <c r="D163" s="42">
        <f>(29.415)*10.764</f>
        <v>316.62305999999995</v>
      </c>
      <c r="E163" s="42">
        <f>(5.15+0.75*2.7)*10.764</f>
        <v>77.231700000000004</v>
      </c>
      <c r="F163" s="42">
        <f>D163+E163</f>
        <v>393.85475999999994</v>
      </c>
      <c r="G163" s="42">
        <v>0</v>
      </c>
      <c r="H163" s="42">
        <f>F163*(($H$152)+1)+(IF(G163&lt;101,G163,IF(G163&lt;201,G163/2,IF(G163&lt;=301,G163/3,G163/4))))</f>
        <v>571.08940199999995</v>
      </c>
      <c r="I163" s="36">
        <f>2.7*4.3+2.2*2+3*2.7+1.2*(1.75+0.9)+1.2*1.1</f>
        <v>28.61</v>
      </c>
      <c r="J163" s="36">
        <f t="shared" si="7"/>
        <v>4968477.7973999996</v>
      </c>
      <c r="K163" s="36">
        <f t="shared" si="8"/>
        <v>5178477.7973999996</v>
      </c>
      <c r="L163" s="237"/>
      <c r="M163" s="237"/>
      <c r="N163" s="36"/>
    </row>
    <row r="164" spans="1:20" s="37" customFormat="1" ht="15.75" customHeight="1" x14ac:dyDescent="0.3">
      <c r="A164" s="101">
        <f>A163+1</f>
        <v>4</v>
      </c>
      <c r="B164" s="102"/>
      <c r="C164" s="42" t="s">
        <v>416</v>
      </c>
      <c r="D164" s="42">
        <f>(29.706)*10.764</f>
        <v>319.75538399999999</v>
      </c>
      <c r="E164" s="42">
        <f>(3.825+0.75*(2.7+2.4))*10.764</f>
        <v>82.3446</v>
      </c>
      <c r="F164" s="42">
        <f>D164+E164</f>
        <v>402.09998400000001</v>
      </c>
      <c r="G164" s="42">
        <v>0</v>
      </c>
      <c r="H164" s="42">
        <f>F164*(($H$152)+1)+(IF(G164&lt;101,G164,IF(G164&lt;201,G164/2,IF(G164&lt;=301,G164/3,G164/4))))</f>
        <v>583.04497679999997</v>
      </c>
      <c r="I164" s="36"/>
      <c r="J164" s="36">
        <f t="shared" si="7"/>
        <v>5072491.2981599998</v>
      </c>
      <c r="K164" s="36">
        <f t="shared" si="8"/>
        <v>5282491.2981599998</v>
      </c>
      <c r="L164" s="237"/>
      <c r="M164" s="237"/>
      <c r="N164" s="36"/>
      <c r="T164" s="21"/>
    </row>
    <row r="165" spans="1:20" s="37" customFormat="1" ht="15.75" customHeight="1" x14ac:dyDescent="0.3">
      <c r="A165" s="101">
        <f t="shared" ref="A165:A166" si="9">A164+1</f>
        <v>5</v>
      </c>
      <c r="B165" s="102"/>
      <c r="C165" s="42" t="s">
        <v>416</v>
      </c>
      <c r="D165" s="42">
        <f>(29.456)*10.764</f>
        <v>317.06438399999996</v>
      </c>
      <c r="E165" s="42">
        <f>(2.973+0.75*(1.2+2.7))*10.764</f>
        <v>63.486071999999993</v>
      </c>
      <c r="F165" s="42">
        <f t="shared" ref="F165:F166" si="10">D165+E165</f>
        <v>380.55045599999994</v>
      </c>
      <c r="G165" s="42">
        <v>0</v>
      </c>
      <c r="H165" s="42">
        <f t="shared" ref="H165:H166" si="11">F165*(($H$152)+1)+(IF(G165&lt;101,G165,IF(G165&lt;201,G165/2,IF(G165&lt;=301,G165/3,G165/4))))</f>
        <v>551.79816119999987</v>
      </c>
      <c r="I165" s="36"/>
      <c r="J165" s="36">
        <f t="shared" si="7"/>
        <v>4800644.002439999</v>
      </c>
      <c r="K165" s="36">
        <f t="shared" si="8"/>
        <v>5010644.002439999</v>
      </c>
      <c r="L165" s="237"/>
      <c r="M165" s="237"/>
      <c r="N165" s="36"/>
      <c r="T165" s="21"/>
    </row>
    <row r="166" spans="1:20" s="37" customFormat="1" ht="15.75" customHeight="1" x14ac:dyDescent="0.3">
      <c r="A166" s="101">
        <f t="shared" si="9"/>
        <v>6</v>
      </c>
      <c r="B166" s="102"/>
      <c r="C166" s="42" t="s">
        <v>416</v>
      </c>
      <c r="D166" s="42">
        <f>(29.524)*10.764</f>
        <v>317.796336</v>
      </c>
      <c r="E166" s="42">
        <f>(2.835+0.75*(1.83+2.7))*10.764</f>
        <v>67.08663</v>
      </c>
      <c r="F166" s="42">
        <f t="shared" si="10"/>
        <v>384.88296600000001</v>
      </c>
      <c r="G166" s="42">
        <v>0</v>
      </c>
      <c r="H166" s="42">
        <f t="shared" si="11"/>
        <v>558.08030069999995</v>
      </c>
      <c r="I166" s="36"/>
      <c r="J166" s="36">
        <f t="shared" si="7"/>
        <v>4855298.6160899997</v>
      </c>
      <c r="K166" s="36">
        <f t="shared" si="8"/>
        <v>5065298.6160899997</v>
      </c>
      <c r="L166" s="237"/>
      <c r="M166" s="237"/>
      <c r="N166" s="36"/>
      <c r="T166" s="21"/>
    </row>
    <row r="167" spans="1:20" s="37" customFormat="1" x14ac:dyDescent="0.3">
      <c r="A167" s="103" t="s">
        <v>418</v>
      </c>
      <c r="B167" s="104"/>
      <c r="C167" s="104"/>
      <c r="D167" s="104"/>
      <c r="E167" s="104"/>
      <c r="F167" s="104"/>
      <c r="G167" s="104"/>
      <c r="H167" s="105"/>
      <c r="J167" s="36">
        <f t="shared" si="7"/>
        <v>0</v>
      </c>
      <c r="K167" s="36">
        <f t="shared" si="8"/>
        <v>210000</v>
      </c>
    </row>
    <row r="168" spans="1:20" s="37" customFormat="1" ht="15.75" customHeight="1" x14ac:dyDescent="0.3">
      <c r="A168" s="101">
        <v>1</v>
      </c>
      <c r="B168" s="102"/>
      <c r="C168" s="42" t="s">
        <v>416</v>
      </c>
      <c r="D168" s="42">
        <f>(29.94)*10.764</f>
        <v>322.27415999999999</v>
      </c>
      <c r="E168" s="42">
        <f>(2.95+0.75*(2.14+2.75))*10.764</f>
        <v>71.230770000000007</v>
      </c>
      <c r="F168" s="42">
        <f>D168+E168</f>
        <v>393.50493</v>
      </c>
      <c r="G168" s="42">
        <v>0</v>
      </c>
      <c r="H168" s="42">
        <f>F168*(($H$152)+1)+(IF(G168&lt;101,G168,IF(G168&lt;201,G168/2,IF(G168&lt;=301,G168/3,G168/4))))</f>
        <v>570.58214850000002</v>
      </c>
      <c r="I168" s="36"/>
      <c r="J168" s="36">
        <f t="shared" si="7"/>
        <v>4964064.6919499999</v>
      </c>
      <c r="K168" s="36">
        <f t="shared" si="8"/>
        <v>5174064.6919499999</v>
      </c>
      <c r="L168" s="237"/>
      <c r="M168" s="237"/>
      <c r="N168" s="36"/>
    </row>
    <row r="169" spans="1:20" s="37" customFormat="1" ht="15.75" customHeight="1" x14ac:dyDescent="0.3">
      <c r="A169" s="101">
        <f>A168+1</f>
        <v>2</v>
      </c>
      <c r="B169" s="102"/>
      <c r="C169" s="42" t="s">
        <v>416</v>
      </c>
      <c r="D169" s="42">
        <f>(29.415)*10.764</f>
        <v>316.62305999999995</v>
      </c>
      <c r="E169" s="42">
        <f>(5.15+0.75*2.7)*10.764</f>
        <v>77.231700000000004</v>
      </c>
      <c r="F169" s="42">
        <f>D169+E169</f>
        <v>393.85475999999994</v>
      </c>
      <c r="G169" s="42">
        <v>0</v>
      </c>
      <c r="H169" s="42">
        <f>F169*(($H$152)+1)+(IF(G169&lt;101,G169,IF(G169&lt;201,G169/2,IF(G169&lt;=301,G169/3,G169/4))))</f>
        <v>571.08940199999995</v>
      </c>
      <c r="I169" s="36"/>
      <c r="J169" s="36">
        <f t="shared" si="7"/>
        <v>4968477.7973999996</v>
      </c>
      <c r="K169" s="36">
        <f t="shared" si="8"/>
        <v>5178477.7973999996</v>
      </c>
      <c r="L169" s="237"/>
      <c r="M169" s="237"/>
      <c r="N169" s="36"/>
    </row>
    <row r="170" spans="1:20" s="37" customFormat="1" ht="15.75" customHeight="1" x14ac:dyDescent="0.3">
      <c r="A170" s="101">
        <f>A169+1</f>
        <v>3</v>
      </c>
      <c r="B170" s="102"/>
      <c r="C170" s="42" t="s">
        <v>416</v>
      </c>
      <c r="D170" s="42">
        <f>(29.415)*10.764</f>
        <v>316.62305999999995</v>
      </c>
      <c r="E170" s="42">
        <f>(5.15+0.75*2.7)*10.764</f>
        <v>77.231700000000004</v>
      </c>
      <c r="F170" s="42">
        <f>D170+E170</f>
        <v>393.85475999999994</v>
      </c>
      <c r="G170" s="42">
        <v>0</v>
      </c>
      <c r="H170" s="42">
        <f>F170*(($H$152)+1)+(IF(G170&lt;101,G170,IF(G170&lt;201,G170/2,IF(G170&lt;=301,G170/3,G170/4))))</f>
        <v>571.08940199999995</v>
      </c>
      <c r="I170" s="36"/>
      <c r="J170" s="36">
        <f t="shared" si="7"/>
        <v>4968477.7973999996</v>
      </c>
      <c r="K170" s="36">
        <f t="shared" si="8"/>
        <v>5178477.7973999996</v>
      </c>
      <c r="L170" s="237"/>
      <c r="M170" s="237"/>
      <c r="N170" s="36"/>
    </row>
    <row r="171" spans="1:20" s="37" customFormat="1" ht="15.75" customHeight="1" x14ac:dyDescent="0.3">
      <c r="A171" s="101">
        <f>A170+1</f>
        <v>4</v>
      </c>
      <c r="B171" s="102"/>
      <c r="C171" s="42" t="s">
        <v>416</v>
      </c>
      <c r="D171" s="42">
        <f>(29.706)*10.764</f>
        <v>319.75538399999999</v>
      </c>
      <c r="E171" s="42">
        <f>(3.825+0.75*(2.7+2.4))*10.764</f>
        <v>82.3446</v>
      </c>
      <c r="F171" s="42">
        <f>D171+E171</f>
        <v>402.09998400000001</v>
      </c>
      <c r="G171" s="42">
        <v>0</v>
      </c>
      <c r="H171" s="42">
        <f>F171*(($H$152)+1)+(IF(G171&lt;101,G171,IF(G171&lt;201,G171/2,IF(G171&lt;=301,G171/3,G171/4))))</f>
        <v>583.04497679999997</v>
      </c>
      <c r="I171" s="36"/>
      <c r="J171" s="36">
        <f t="shared" si="7"/>
        <v>5072491.2981599998</v>
      </c>
      <c r="K171" s="36">
        <f t="shared" si="8"/>
        <v>5282491.2981599998</v>
      </c>
      <c r="L171" s="237"/>
      <c r="M171" s="237"/>
      <c r="N171" s="36"/>
      <c r="T171" s="21"/>
    </row>
    <row r="172" spans="1:20" s="37" customFormat="1" ht="15.75" customHeight="1" x14ac:dyDescent="0.3">
      <c r="A172" s="101">
        <f t="shared" ref="A172:A173" si="12">A171+1</f>
        <v>5</v>
      </c>
      <c r="B172" s="102"/>
      <c r="C172" s="42" t="s">
        <v>416</v>
      </c>
      <c r="D172" s="42">
        <f>(29.456)*10.764</f>
        <v>317.06438399999996</v>
      </c>
      <c r="E172" s="42">
        <f>(2.973+0.75*(1.2+2.7))*10.764</f>
        <v>63.486071999999993</v>
      </c>
      <c r="F172" s="42">
        <f t="shared" ref="F172:F173" si="13">D172+E172</f>
        <v>380.55045599999994</v>
      </c>
      <c r="G172" s="42">
        <v>0</v>
      </c>
      <c r="H172" s="42">
        <f t="shared" ref="H172:H173" si="14">F172*(($H$152)+1)+(IF(G172&lt;101,G172,IF(G172&lt;201,G172/2,IF(G172&lt;=301,G172/3,G172/4))))</f>
        <v>551.79816119999987</v>
      </c>
      <c r="I172" s="36"/>
      <c r="J172" s="36">
        <f t="shared" si="7"/>
        <v>4800644.002439999</v>
      </c>
      <c r="K172" s="36">
        <f t="shared" si="8"/>
        <v>5010644.002439999</v>
      </c>
      <c r="L172" s="237"/>
      <c r="M172" s="237"/>
      <c r="N172" s="36"/>
      <c r="T172" s="21"/>
    </row>
    <row r="173" spans="1:20" s="37" customFormat="1" ht="15.75" customHeight="1" x14ac:dyDescent="0.3">
      <c r="A173" s="101">
        <f t="shared" si="12"/>
        <v>6</v>
      </c>
      <c r="B173" s="102"/>
      <c r="C173" s="42" t="s">
        <v>416</v>
      </c>
      <c r="D173" s="42">
        <f>(29.524)*10.764</f>
        <v>317.796336</v>
      </c>
      <c r="E173" s="42">
        <f>(2.835+0.75*(1.83+2.7))*10.764</f>
        <v>67.08663</v>
      </c>
      <c r="F173" s="42">
        <f t="shared" si="13"/>
        <v>384.88296600000001</v>
      </c>
      <c r="G173" s="42">
        <v>0</v>
      </c>
      <c r="H173" s="42">
        <f t="shared" si="14"/>
        <v>558.08030069999995</v>
      </c>
      <c r="I173" s="36"/>
      <c r="J173" s="36">
        <f t="shared" si="7"/>
        <v>4855298.6160899997</v>
      </c>
      <c r="K173" s="36">
        <f t="shared" si="8"/>
        <v>5065298.6160899997</v>
      </c>
      <c r="L173" s="237"/>
      <c r="M173" s="237"/>
      <c r="N173" s="36"/>
      <c r="T173" s="21"/>
    </row>
    <row r="174" spans="1:20" s="37" customFormat="1" x14ac:dyDescent="0.3">
      <c r="A174" s="103" t="s">
        <v>419</v>
      </c>
      <c r="B174" s="104"/>
      <c r="C174" s="104"/>
      <c r="D174" s="104"/>
      <c r="E174" s="104"/>
      <c r="F174" s="104"/>
      <c r="G174" s="104"/>
      <c r="H174" s="105"/>
      <c r="J174" s="36">
        <f t="shared" si="7"/>
        <v>0</v>
      </c>
      <c r="K174" s="36">
        <f>J174+210000</f>
        <v>210000</v>
      </c>
    </row>
    <row r="175" spans="1:20" s="37" customFormat="1" ht="15.75" customHeight="1" x14ac:dyDescent="0.3">
      <c r="A175" s="101">
        <v>1</v>
      </c>
      <c r="B175" s="102"/>
      <c r="C175" s="42" t="s">
        <v>416</v>
      </c>
      <c r="D175" s="42">
        <f>(23.318)*10.764</f>
        <v>250.99495200000001</v>
      </c>
      <c r="E175" s="42">
        <f>(2.95+6.622)*10.764</f>
        <v>103.03300799999998</v>
      </c>
      <c r="F175" s="42">
        <f>D175+E175</f>
        <v>354.02796000000001</v>
      </c>
      <c r="G175" s="42">
        <v>0</v>
      </c>
      <c r="H175" s="42">
        <f>F175*(($H$152)+1)+(IF(G175&lt;101,G175,IF(G175&lt;201,G175/2,IF(G175&lt;=301,G175/3,G175/4))))</f>
        <v>513.34054200000003</v>
      </c>
      <c r="I175" s="36">
        <f>3.1*2.7+2.15*2.14+2.15*2.75+1.2*(2.1+0.9)</f>
        <v>22.483499999999999</v>
      </c>
      <c r="J175" s="36">
        <f t="shared" si="7"/>
        <v>4466062.7154000001</v>
      </c>
      <c r="K175" s="36">
        <f t="shared" si="8"/>
        <v>4676062.7154000001</v>
      </c>
      <c r="L175" s="237">
        <f>9000*H175</f>
        <v>4620064.8780000005</v>
      </c>
      <c r="M175" s="237"/>
      <c r="N175" s="36"/>
    </row>
    <row r="176" spans="1:20" s="37" customFormat="1" ht="15.75" customHeight="1" x14ac:dyDescent="0.3">
      <c r="A176" s="101">
        <f>A175+1</f>
        <v>2</v>
      </c>
      <c r="B176" s="102"/>
      <c r="C176" s="42" t="s">
        <v>416</v>
      </c>
      <c r="D176" s="42">
        <f>(29.415)*10.764</f>
        <v>316.62305999999995</v>
      </c>
      <c r="E176" s="42">
        <f>(5.15+0.75*2.7)*10.764</f>
        <v>77.231700000000004</v>
      </c>
      <c r="F176" s="42">
        <f>D176+E176</f>
        <v>393.85475999999994</v>
      </c>
      <c r="G176" s="42">
        <v>0</v>
      </c>
      <c r="H176" s="42">
        <f>F176*(($H$152)+1)+(IF(G176&lt;101,G176,IF(G176&lt;201,G176/2,IF(G176&lt;=301,G176/3,G176/4))))</f>
        <v>571.08940199999995</v>
      </c>
      <c r="I176" s="36"/>
      <c r="J176" s="36">
        <f t="shared" si="7"/>
        <v>4968477.7973999996</v>
      </c>
      <c r="K176" s="36">
        <f t="shared" si="8"/>
        <v>5178477.7973999996</v>
      </c>
      <c r="L176" s="237"/>
      <c r="M176" s="237"/>
      <c r="N176" s="36"/>
    </row>
    <row r="177" spans="1:20" s="37" customFormat="1" ht="15.75" customHeight="1" x14ac:dyDescent="0.3">
      <c r="A177" s="101">
        <f>A176+1</f>
        <v>3</v>
      </c>
      <c r="B177" s="102"/>
      <c r="C177" s="42" t="s">
        <v>416</v>
      </c>
      <c r="D177" s="42">
        <f>(29.415)*10.764</f>
        <v>316.62305999999995</v>
      </c>
      <c r="E177" s="42">
        <f>(5.15+0.75*2.7)*10.764</f>
        <v>77.231700000000004</v>
      </c>
      <c r="F177" s="42">
        <f>D177+E177</f>
        <v>393.85475999999994</v>
      </c>
      <c r="G177" s="42">
        <v>0</v>
      </c>
      <c r="H177" s="42">
        <f>F177*(($H$152)+1)+(IF(G177&lt;101,G177,IF(G177&lt;201,G177/2,IF(G177&lt;=301,G177/3,G177/4))))</f>
        <v>571.08940199999995</v>
      </c>
      <c r="I177" s="36"/>
      <c r="J177" s="36">
        <f t="shared" si="7"/>
        <v>4968477.7973999996</v>
      </c>
      <c r="K177" s="36">
        <f t="shared" si="8"/>
        <v>5178477.7973999996</v>
      </c>
      <c r="L177" s="237"/>
      <c r="M177" s="237"/>
      <c r="N177" s="36"/>
    </row>
    <row r="178" spans="1:20" s="37" customFormat="1" ht="15.75" customHeight="1" x14ac:dyDescent="0.3">
      <c r="A178" s="101">
        <f>A177+1</f>
        <v>4</v>
      </c>
      <c r="B178" s="102"/>
      <c r="C178" s="42" t="s">
        <v>416</v>
      </c>
      <c r="D178" s="42">
        <f>(29.706)*10.764</f>
        <v>319.75538399999999</v>
      </c>
      <c r="E178" s="42">
        <f>(3.825+0.75*(2.4+2.7))*10.764</f>
        <v>82.3446</v>
      </c>
      <c r="F178" s="42">
        <f>D178+E178</f>
        <v>402.09998400000001</v>
      </c>
      <c r="G178" s="42">
        <v>0</v>
      </c>
      <c r="H178" s="42">
        <f>F178*(($H$152)+1)+(IF(G178&lt;101,G178,IF(G178&lt;201,G178/2,IF(G178&lt;=301,G178/3,G178/4))))</f>
        <v>583.04497679999997</v>
      </c>
      <c r="I178" s="36"/>
      <c r="J178" s="36">
        <f t="shared" si="7"/>
        <v>5072491.2981599998</v>
      </c>
      <c r="K178" s="36">
        <f t="shared" si="8"/>
        <v>5282491.2981599998</v>
      </c>
      <c r="L178" s="237"/>
      <c r="M178" s="237"/>
      <c r="N178" s="36"/>
      <c r="T178" s="21"/>
    </row>
    <row r="179" spans="1:20" s="37" customFormat="1" ht="15.75" customHeight="1" x14ac:dyDescent="0.3">
      <c r="A179" s="101">
        <f t="shared" ref="A179:A180" si="15">A178+1</f>
        <v>5</v>
      </c>
      <c r="B179" s="102"/>
      <c r="C179" s="42" t="s">
        <v>416</v>
      </c>
      <c r="D179" s="42">
        <f>(27.161)*10.764</f>
        <v>292.36100399999998</v>
      </c>
      <c r="E179" s="42">
        <f>(2.973+2.295+0.75*1.2)*10.764</f>
        <v>66.392351999999988</v>
      </c>
      <c r="F179" s="42">
        <f t="shared" ref="F179:F180" si="16">D179+E179</f>
        <v>358.75335599999994</v>
      </c>
      <c r="G179" s="42">
        <v>0</v>
      </c>
      <c r="H179" s="42">
        <f t="shared" ref="H179:H180" si="17">F179*(($H$152)+1)+(IF(G179&lt;101,G179,IF(G179&lt;201,G179/2,IF(G179&lt;=301,G179/3,G179/4))))</f>
        <v>520.19236619999992</v>
      </c>
      <c r="I179" s="36">
        <f>2.7*3.95+1.95*2.14+2.7*2.15+1.2*1.8+1.49*0.9+1.5*0.95</f>
        <v>25.569000000000003</v>
      </c>
      <c r="J179" s="36">
        <f t="shared" si="7"/>
        <v>4525673.5859399997</v>
      </c>
      <c r="K179" s="36">
        <f t="shared" si="8"/>
        <v>4735673.5859399997</v>
      </c>
      <c r="L179" s="237"/>
      <c r="M179" s="237"/>
      <c r="N179" s="36"/>
      <c r="T179" s="21"/>
    </row>
    <row r="180" spans="1:20" s="37" customFormat="1" ht="15.75" customHeight="1" x14ac:dyDescent="0.3">
      <c r="A180" s="101">
        <f t="shared" si="15"/>
        <v>6</v>
      </c>
      <c r="B180" s="102"/>
      <c r="C180" s="42" t="s">
        <v>416</v>
      </c>
      <c r="D180" s="42">
        <f>(29.524)*10.764</f>
        <v>317.796336</v>
      </c>
      <c r="E180" s="42">
        <f>(2.835+0.75*(1.83+2.7))*10.764</f>
        <v>67.08663</v>
      </c>
      <c r="F180" s="42">
        <f t="shared" si="16"/>
        <v>384.88296600000001</v>
      </c>
      <c r="G180" s="42">
        <v>0</v>
      </c>
      <c r="H180" s="42">
        <f t="shared" si="17"/>
        <v>558.08030069999995</v>
      </c>
      <c r="I180" s="36"/>
      <c r="J180" s="36">
        <f t="shared" si="7"/>
        <v>4855298.6160899997</v>
      </c>
      <c r="L180" s="237"/>
      <c r="M180" s="237"/>
      <c r="N180" s="36"/>
      <c r="T180" s="21"/>
    </row>
    <row r="181" spans="1:20" s="37" customFormat="1" x14ac:dyDescent="0.3">
      <c r="A181" s="103" t="s">
        <v>420</v>
      </c>
      <c r="B181" s="104"/>
      <c r="C181" s="104"/>
      <c r="D181" s="104"/>
      <c r="E181" s="104"/>
      <c r="F181" s="104"/>
      <c r="G181" s="104"/>
      <c r="H181" s="105"/>
      <c r="J181" s="36"/>
    </row>
    <row r="182" spans="1:20" s="37" customFormat="1" ht="15.75" customHeight="1" x14ac:dyDescent="0.3">
      <c r="A182" s="101">
        <v>1</v>
      </c>
      <c r="B182" s="102"/>
      <c r="C182" s="42" t="s">
        <v>416</v>
      </c>
      <c r="D182" s="42">
        <f>(23.318)*10.764</f>
        <v>250.99495200000001</v>
      </c>
      <c r="E182" s="42">
        <f>(2.95+6.622)*10.764</f>
        <v>103.03300799999998</v>
      </c>
      <c r="F182" s="42">
        <f>D182+E182</f>
        <v>354.02796000000001</v>
      </c>
      <c r="G182" s="42">
        <v>0</v>
      </c>
      <c r="H182" s="42">
        <f>F182*(($H$152)+1)+(IF(G182&lt;101,G182,IF(G182&lt;201,G182/2,IF(G182&lt;=301,G182/3,G182/4))))</f>
        <v>513.34054200000003</v>
      </c>
      <c r="I182" s="36"/>
      <c r="L182" s="237"/>
      <c r="M182" s="237"/>
      <c r="N182" s="36"/>
    </row>
    <row r="183" spans="1:20" s="37" customFormat="1" ht="15.75" customHeight="1" x14ac:dyDescent="0.3">
      <c r="A183" s="101">
        <f>A182+1</f>
        <v>2</v>
      </c>
      <c r="B183" s="102"/>
      <c r="C183" s="42" t="s">
        <v>416</v>
      </c>
      <c r="D183" s="42">
        <f>(27.162)*10.764</f>
        <v>292.37176799999997</v>
      </c>
      <c r="E183" s="42">
        <f>(5.15+2.253)*10.764</f>
        <v>79.685891999999996</v>
      </c>
      <c r="F183" s="42">
        <f>D183+E183</f>
        <v>372.05765999999994</v>
      </c>
      <c r="G183" s="42">
        <v>0</v>
      </c>
      <c r="H183" s="42">
        <f>F183*(($H$152)+1)+(IF(G183&lt;101,G183,IF(G183&lt;201,G183/2,IF(G183&lt;=301,G183/3,G183/4))))</f>
        <v>539.48360699999989</v>
      </c>
      <c r="I183" s="36"/>
      <c r="L183" s="237"/>
      <c r="M183" s="237"/>
      <c r="N183" s="36"/>
    </row>
    <row r="184" spans="1:20" s="37" customFormat="1" ht="15.75" customHeight="1" x14ac:dyDescent="0.3">
      <c r="A184" s="101">
        <f>A183+1</f>
        <v>3</v>
      </c>
      <c r="B184" s="102"/>
      <c r="C184" s="42" t="s">
        <v>416</v>
      </c>
      <c r="D184" s="42">
        <f>(27.162)*10.764</f>
        <v>292.37176799999997</v>
      </c>
      <c r="E184" s="42">
        <f>(5.15+2.253)*10.764</f>
        <v>79.685891999999996</v>
      </c>
      <c r="F184" s="42">
        <f>D184+E184</f>
        <v>372.05765999999994</v>
      </c>
      <c r="G184" s="42">
        <v>0</v>
      </c>
      <c r="H184" s="42">
        <f>F184*(($H$152)+1)+(IF(G184&lt;101,G184,IF(G184&lt;201,G184/2,IF(G184&lt;=301,G184/3,G184/4))))</f>
        <v>539.48360699999989</v>
      </c>
      <c r="I184" s="36"/>
      <c r="L184" s="237"/>
      <c r="M184" s="237"/>
      <c r="N184" s="36"/>
    </row>
    <row r="185" spans="1:20" s="37" customFormat="1" ht="15.75" customHeight="1" x14ac:dyDescent="0.3">
      <c r="A185" s="101">
        <f>A184+1</f>
        <v>4</v>
      </c>
      <c r="B185" s="102"/>
      <c r="C185" s="42" t="s">
        <v>416</v>
      </c>
      <c r="D185" s="42">
        <f>(26.595)*10.764</f>
        <v>286.26857999999999</v>
      </c>
      <c r="E185" s="42">
        <f>(3.825+0.75*(2.4+2.7)+3.111)*10.764</f>
        <v>115.83140400000001</v>
      </c>
      <c r="F185" s="42">
        <f>D185+E185</f>
        <v>402.09998400000001</v>
      </c>
      <c r="G185" s="42">
        <v>0</v>
      </c>
      <c r="H185" s="42">
        <f>F185*(($H$152)+1)+(IF(G185&lt;101,G185,IF(G185&lt;201,G185/2,IF(G185&lt;=301,G185/3,G185/4))))</f>
        <v>583.04497679999997</v>
      </c>
      <c r="I185" s="36"/>
      <c r="L185" s="237"/>
      <c r="M185" s="237"/>
      <c r="N185" s="36"/>
      <c r="T185" s="21"/>
    </row>
    <row r="186" spans="1:20" s="37" customFormat="1" ht="15.75" customHeight="1" x14ac:dyDescent="0.3">
      <c r="A186" s="101">
        <f t="shared" ref="A186:A187" si="18">A185+1</f>
        <v>5</v>
      </c>
      <c r="B186" s="102"/>
      <c r="C186" s="42" t="s">
        <v>416</v>
      </c>
      <c r="D186" s="42">
        <f>(25.289)*10.764</f>
        <v>272.21079600000002</v>
      </c>
      <c r="E186" s="42">
        <f>(4.547+0.75*1.2)*10.764</f>
        <v>58.63150799999999</v>
      </c>
      <c r="F186" s="42">
        <f t="shared" ref="F186:F187" si="19">D186+E186</f>
        <v>330.84230400000001</v>
      </c>
      <c r="G186" s="42">
        <v>0</v>
      </c>
      <c r="H186" s="42">
        <f t="shared" ref="H186:H187" si="20">F186*(($H$152)+1)+(IF(G186&lt;101,G186,IF(G186&lt;201,G186/2,IF(G186&lt;=301,G186/3,G186/4))))</f>
        <v>479.72134080000001</v>
      </c>
      <c r="I186" s="36"/>
      <c r="L186" s="237"/>
      <c r="M186" s="237"/>
      <c r="N186" s="36"/>
      <c r="T186" s="21"/>
    </row>
    <row r="187" spans="1:20" s="37" customFormat="1" ht="15.75" customHeight="1" x14ac:dyDescent="0.3">
      <c r="A187" s="101">
        <f t="shared" si="18"/>
        <v>6</v>
      </c>
      <c r="B187" s="102"/>
      <c r="C187" s="42" t="s">
        <v>416</v>
      </c>
      <c r="D187" s="42">
        <f>(27.229)*10.764</f>
        <v>293.09295599999996</v>
      </c>
      <c r="E187" s="42">
        <f>(2.942+0.75*1.83+2.295)*10.764</f>
        <v>71.144658000000007</v>
      </c>
      <c r="F187" s="42">
        <f t="shared" si="19"/>
        <v>364.23761399999995</v>
      </c>
      <c r="G187" s="42">
        <v>0</v>
      </c>
      <c r="H187" s="42">
        <f t="shared" si="20"/>
        <v>528.1445402999999</v>
      </c>
      <c r="I187" s="36"/>
      <c r="L187" s="237"/>
      <c r="M187" s="237"/>
      <c r="N187" s="36"/>
      <c r="T187" s="21"/>
    </row>
    <row r="188" spans="1:20" s="37" customFormat="1" x14ac:dyDescent="0.3">
      <c r="A188" s="103" t="s">
        <v>424</v>
      </c>
      <c r="B188" s="104"/>
      <c r="C188" s="104"/>
      <c r="D188" s="104"/>
      <c r="E188" s="104"/>
      <c r="F188" s="104"/>
      <c r="G188" s="104"/>
      <c r="H188" s="105"/>
      <c r="J188" s="36"/>
    </row>
    <row r="189" spans="1:20" s="37" customFormat="1" ht="15.75" customHeight="1" x14ac:dyDescent="0.3">
      <c r="A189" s="101">
        <v>1</v>
      </c>
      <c r="B189" s="102"/>
      <c r="C189" s="101" t="s">
        <v>421</v>
      </c>
      <c r="D189" s="138"/>
      <c r="E189" s="138"/>
      <c r="F189" s="138"/>
      <c r="G189" s="138"/>
      <c r="H189" s="102"/>
      <c r="I189" s="36"/>
      <c r="L189" s="237"/>
      <c r="M189" s="237"/>
      <c r="N189" s="36"/>
    </row>
    <row r="190" spans="1:20" s="37" customFormat="1" ht="15.75" customHeight="1" x14ac:dyDescent="0.3">
      <c r="A190" s="101">
        <f>A189+1</f>
        <v>2</v>
      </c>
      <c r="B190" s="102"/>
      <c r="C190" s="42" t="s">
        <v>416</v>
      </c>
      <c r="D190" s="42">
        <f>(27.162)*10.764</f>
        <v>292.37176799999997</v>
      </c>
      <c r="E190" s="42">
        <f>(5.15+2.253)*10.764</f>
        <v>79.685891999999996</v>
      </c>
      <c r="F190" s="42">
        <f>D190+E190</f>
        <v>372.05765999999994</v>
      </c>
      <c r="G190" s="42">
        <v>0</v>
      </c>
      <c r="H190" s="42">
        <f>F190*(($H$152)+1)+(IF(G190&lt;101,G190,IF(G190&lt;201,G190/2,IF(G190&lt;=301,G190/3,G190/4))))</f>
        <v>539.48360699999989</v>
      </c>
      <c r="I190" s="36"/>
      <c r="L190" s="237"/>
      <c r="M190" s="237"/>
      <c r="N190" s="36"/>
    </row>
    <row r="191" spans="1:20" s="37" customFormat="1" ht="15.75" customHeight="1" x14ac:dyDescent="0.3">
      <c r="A191" s="101">
        <f>A190+1</f>
        <v>3</v>
      </c>
      <c r="B191" s="102"/>
      <c r="C191" s="42" t="s">
        <v>416</v>
      </c>
      <c r="D191" s="42">
        <f>(27.162)*10.764</f>
        <v>292.37176799999997</v>
      </c>
      <c r="E191" s="42">
        <f>(5.15+2.253)*10.764</f>
        <v>79.685891999999996</v>
      </c>
      <c r="F191" s="42">
        <f>D191+E191</f>
        <v>372.05765999999994</v>
      </c>
      <c r="G191" s="42">
        <v>0</v>
      </c>
      <c r="H191" s="42">
        <f>F191*(($H$152)+1)+(IF(G191&lt;101,G191,IF(G191&lt;201,G191/2,IF(G191&lt;=301,G191/3,G191/4))))</f>
        <v>539.48360699999989</v>
      </c>
      <c r="I191" s="36"/>
      <c r="L191" s="237"/>
      <c r="M191" s="237"/>
      <c r="N191" s="36"/>
    </row>
    <row r="192" spans="1:20" s="37" customFormat="1" ht="15.75" customHeight="1" x14ac:dyDescent="0.3">
      <c r="A192" s="101">
        <f>A191+1</f>
        <v>4</v>
      </c>
      <c r="B192" s="102"/>
      <c r="C192" s="101" t="s">
        <v>306</v>
      </c>
      <c r="D192" s="138"/>
      <c r="E192" s="138"/>
      <c r="F192" s="138"/>
      <c r="G192" s="138"/>
      <c r="H192" s="102"/>
      <c r="I192" s="36"/>
      <c r="L192" s="237"/>
      <c r="M192" s="237"/>
      <c r="N192" s="36"/>
      <c r="T192" s="21"/>
    </row>
    <row r="193" spans="1:20" s="37" customFormat="1" ht="15.75" customHeight="1" x14ac:dyDescent="0.3">
      <c r="A193" s="101" t="s">
        <v>425</v>
      </c>
      <c r="B193" s="102"/>
      <c r="C193" s="101" t="s">
        <v>422</v>
      </c>
      <c r="D193" s="138"/>
      <c r="E193" s="138"/>
      <c r="F193" s="138"/>
      <c r="G193" s="138"/>
      <c r="H193" s="102"/>
      <c r="I193" s="36"/>
      <c r="N193" s="36"/>
      <c r="T193" s="21"/>
    </row>
    <row r="194" spans="1:20" s="37" customFormat="1" ht="15.75" customHeight="1" x14ac:dyDescent="0.3">
      <c r="A194" s="101">
        <f>A192+1</f>
        <v>5</v>
      </c>
      <c r="B194" s="102"/>
      <c r="C194" s="42" t="s">
        <v>423</v>
      </c>
      <c r="D194" s="42">
        <f>(16.938)*10.764</f>
        <v>182.32063199999999</v>
      </c>
      <c r="E194" s="42">
        <f>(2.252)*10.764</f>
        <v>24.240527999999998</v>
      </c>
      <c r="F194" s="42">
        <f t="shared" ref="F194:F195" si="21">D194+E194</f>
        <v>206.56115999999997</v>
      </c>
      <c r="G194" s="42">
        <f>(2.7*3+1.6*1.1)*10.764</f>
        <v>106.13304000000001</v>
      </c>
      <c r="H194" s="42">
        <f t="shared" ref="H194:H195" si="22">F194*(($H$152)+1)+(IF(G194&lt;101,G194,IF(G194&lt;201,G194/2,IF(G194&lt;=301,G194/3,G194/4))))</f>
        <v>352.58020199999999</v>
      </c>
      <c r="I194" s="36"/>
      <c r="L194" s="237"/>
      <c r="M194" s="237"/>
      <c r="N194" s="36"/>
      <c r="T194" s="21"/>
    </row>
    <row r="195" spans="1:20" s="37" customFormat="1" ht="15.75" customHeight="1" x14ac:dyDescent="0.3">
      <c r="A195" s="101">
        <f t="shared" ref="A195" si="23">A194+1</f>
        <v>6</v>
      </c>
      <c r="B195" s="102"/>
      <c r="C195" s="42" t="s">
        <v>423</v>
      </c>
      <c r="D195" s="42">
        <f>(17.143)*10.764</f>
        <v>184.527252</v>
      </c>
      <c r="E195" s="42">
        <f>(2.942+3.808)*10.764</f>
        <v>72.656999999999996</v>
      </c>
      <c r="F195" s="42">
        <f t="shared" si="21"/>
        <v>257.18425200000001</v>
      </c>
      <c r="G195" s="42">
        <f>(2.7*3)*10.764</f>
        <v>87.188400000000016</v>
      </c>
      <c r="H195" s="42">
        <f t="shared" si="22"/>
        <v>460.10556539999999</v>
      </c>
      <c r="I195" s="36"/>
      <c r="L195" s="237"/>
      <c r="M195" s="237"/>
      <c r="N195" s="36"/>
      <c r="T195" s="21"/>
    </row>
    <row r="196" spans="1:20" s="37" customFormat="1" hidden="1" x14ac:dyDescent="0.3">
      <c r="A196" s="167" t="s">
        <v>115</v>
      </c>
      <c r="B196" s="167"/>
      <c r="C196" s="167"/>
      <c r="D196" s="167"/>
      <c r="E196" s="167"/>
      <c r="F196" s="167"/>
      <c r="G196" s="167"/>
      <c r="H196" s="167"/>
      <c r="I196" s="36"/>
      <c r="L196" s="237"/>
      <c r="M196" s="237"/>
    </row>
    <row r="197" spans="1:20" s="37" customFormat="1" hidden="1" x14ac:dyDescent="0.3">
      <c r="A197" s="140">
        <f>LEFT(A196,SUM(LEN(A196)-LEN(SUBSTITUTE(A196,{"0","1","2","3","4","5","6","7","8","9"},""))))*100+1</f>
        <v>201</v>
      </c>
      <c r="B197" s="140"/>
      <c r="C197" s="42"/>
      <c r="D197" s="42"/>
      <c r="E197" s="42">
        <v>0</v>
      </c>
      <c r="F197" s="42">
        <f>D197+E197</f>
        <v>0</v>
      </c>
      <c r="G197" s="42">
        <v>0</v>
      </c>
      <c r="H197" s="42">
        <f>F197*(($H$152)+1)+(IF(G197&lt;101,G197,IF(G197&lt;201,G197/2,IF(G197&lt;=301,G197/3,G197/4))))</f>
        <v>0</v>
      </c>
      <c r="I197" s="36"/>
      <c r="N197" s="36"/>
    </row>
    <row r="198" spans="1:20" s="37" customFormat="1" hidden="1" x14ac:dyDescent="0.3">
      <c r="A198" s="140">
        <f>A197+1</f>
        <v>202</v>
      </c>
      <c r="B198" s="140"/>
      <c r="C198" s="42"/>
      <c r="D198" s="42"/>
      <c r="E198" s="42">
        <v>0</v>
      </c>
      <c r="F198" s="42">
        <f>D198+E198</f>
        <v>0</v>
      </c>
      <c r="G198" s="42">
        <v>0</v>
      </c>
      <c r="H198" s="42">
        <f>F198*(($H$152)+1)+(IF(G198&lt;101,G198,IF(G198&lt;201,G198/2,IF(G198&lt;=301,G198/3,G198/4))))</f>
        <v>0</v>
      </c>
      <c r="I198" s="36"/>
      <c r="N198" s="36"/>
    </row>
    <row r="199" spans="1:20" s="37" customFormat="1" hidden="1" x14ac:dyDescent="0.3">
      <c r="A199" s="140">
        <f>A198+1</f>
        <v>203</v>
      </c>
      <c r="B199" s="140"/>
      <c r="C199" s="42"/>
      <c r="D199" s="42"/>
      <c r="E199" s="42">
        <v>0</v>
      </c>
      <c r="F199" s="42">
        <f>D199+E199</f>
        <v>0</v>
      </c>
      <c r="G199" s="42">
        <v>0</v>
      </c>
      <c r="H199" s="42">
        <f>F199*(($H$152)+1)+(IF(G199&lt;101,G199,IF(G199&lt;201,G199/2,IF(G199&lt;=301,G199/3,G199/4))))</f>
        <v>0</v>
      </c>
      <c r="I199" s="36"/>
      <c r="N199" s="36"/>
    </row>
    <row r="200" spans="1:20" s="37" customFormat="1" hidden="1" x14ac:dyDescent="0.3">
      <c r="A200" s="140">
        <f>A199+1</f>
        <v>204</v>
      </c>
      <c r="B200" s="140"/>
      <c r="C200" s="42"/>
      <c r="D200" s="42"/>
      <c r="E200" s="42">
        <v>0</v>
      </c>
      <c r="F200" s="42">
        <f>D200+E200</f>
        <v>0</v>
      </c>
      <c r="G200" s="42">
        <v>0</v>
      </c>
      <c r="H200" s="42">
        <f>F200*(($H$152)+1)+(IF(G200&lt;101,G200,IF(G200&lt;201,G200/2,IF(G200&lt;=301,G200/3,G200/4))))</f>
        <v>0</v>
      </c>
      <c r="I200" s="36"/>
      <c r="N200" s="36"/>
    </row>
    <row r="201" spans="1:20" s="37" customFormat="1" hidden="1" x14ac:dyDescent="0.3">
      <c r="A201" s="140">
        <f>A200+1</f>
        <v>205</v>
      </c>
      <c r="B201" s="140"/>
      <c r="C201" s="42"/>
      <c r="D201" s="42"/>
      <c r="E201" s="42">
        <v>0</v>
      </c>
      <c r="F201" s="42">
        <f>D201+E201</f>
        <v>0</v>
      </c>
      <c r="G201" s="42">
        <v>0</v>
      </c>
      <c r="H201" s="42">
        <f>F201*(($H$152)+1)+(IF(G201&lt;101,G201,IF(G201&lt;201,G201/2,IF(G201&lt;=301,G201/3,G201/4))))</f>
        <v>0</v>
      </c>
      <c r="I201" s="36"/>
      <c r="N201" s="36"/>
    </row>
    <row r="202" spans="1:20" s="37" customFormat="1" ht="15.75" hidden="1" customHeight="1" x14ac:dyDescent="0.3">
      <c r="A202" s="103" t="s">
        <v>149</v>
      </c>
      <c r="B202" s="104"/>
      <c r="C202" s="104"/>
      <c r="D202" s="104"/>
      <c r="E202" s="104"/>
      <c r="F202" s="104"/>
      <c r="G202" s="104"/>
      <c r="H202" s="105"/>
      <c r="I202" s="36"/>
    </row>
    <row r="203" spans="1:20" s="37" customFormat="1" ht="15.75" hidden="1" customHeight="1" x14ac:dyDescent="0.3">
      <c r="A203" s="101"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301 ,.., 1501</v>
      </c>
      <c r="B203" s="102"/>
      <c r="C203" s="42"/>
      <c r="D203" s="42"/>
      <c r="E203" s="42">
        <v>0</v>
      </c>
      <c r="F203" s="42">
        <f>D203+E203</f>
        <v>0</v>
      </c>
      <c r="G203" s="42">
        <v>0</v>
      </c>
      <c r="H203" s="42">
        <f>F203*(($H$152)+1)+(IF(G203&lt;101,G203,IF(G203&lt;201,G203/2,IF(G203&lt;=301,G203/3,G203/4))))</f>
        <v>0</v>
      </c>
      <c r="I203" s="36"/>
    </row>
    <row r="204" spans="1:20" s="37" customFormat="1" ht="15.75" hidden="1" customHeight="1" x14ac:dyDescent="0.3">
      <c r="A204" s="101"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302 ,.., 1502</v>
      </c>
      <c r="B204" s="102"/>
      <c r="C204" s="42"/>
      <c r="D204" s="42"/>
      <c r="E204" s="42">
        <v>0</v>
      </c>
      <c r="F204" s="42">
        <f>D204+E204</f>
        <v>0</v>
      </c>
      <c r="G204" s="42">
        <v>0</v>
      </c>
      <c r="H204" s="42">
        <f>F204*(($H$152)+1)+(IF(G204&lt;101,G204,IF(G204&lt;201,G204/2,IF(G204&lt;=301,G204/3,G204/4))))</f>
        <v>0</v>
      </c>
      <c r="I204" s="36"/>
    </row>
    <row r="205" spans="1:20" s="37" customFormat="1" ht="15.75" hidden="1" customHeight="1" x14ac:dyDescent="0.3">
      <c r="A205" s="101"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303 ,.., 1503</v>
      </c>
      <c r="B205" s="102"/>
      <c r="C205" s="42"/>
      <c r="D205" s="42"/>
      <c r="E205" s="42">
        <v>0</v>
      </c>
      <c r="F205" s="42">
        <f>D205+E205</f>
        <v>0</v>
      </c>
      <c r="G205" s="42">
        <v>0</v>
      </c>
      <c r="H205" s="42">
        <f>F205*(($H$152)+1)+(IF(G205&lt;101,G205,IF(G205&lt;201,G205/2,IF(G205&lt;=301,G205/3,G205/4))))</f>
        <v>0</v>
      </c>
      <c r="I205" s="36"/>
    </row>
    <row r="206" spans="1:20" s="37" customFormat="1" ht="15.75" hidden="1" customHeight="1" x14ac:dyDescent="0.3">
      <c r="A206" s="101"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304 ,.., 1504</v>
      </c>
      <c r="B206" s="102"/>
      <c r="C206" s="42"/>
      <c r="D206" s="42"/>
      <c r="E206" s="42">
        <v>0</v>
      </c>
      <c r="F206" s="42">
        <f>D206+E206</f>
        <v>0</v>
      </c>
      <c r="G206" s="42">
        <v>0</v>
      </c>
      <c r="H206" s="42">
        <f>F206*(($H$152)+1)+(IF(G206&lt;101,G206,IF(G206&lt;201,G206/2,IF(G206&lt;=301,G206/3,G206/4))))</f>
        <v>0</v>
      </c>
      <c r="I206" s="36"/>
    </row>
    <row r="207" spans="1:20" s="37" customFormat="1" ht="15.75" hidden="1" customHeight="1" x14ac:dyDescent="0.3">
      <c r="A207" s="101"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305 ,.., 1505</v>
      </c>
      <c r="B207" s="102"/>
      <c r="C207" s="42"/>
      <c r="D207" s="42"/>
      <c r="E207" s="42">
        <v>0</v>
      </c>
      <c r="F207" s="42">
        <f>D207+E207</f>
        <v>0</v>
      </c>
      <c r="G207" s="42">
        <v>0</v>
      </c>
      <c r="H207" s="42">
        <f>F207*(($H$152)+1)+(IF(G207&lt;101,G207,IF(G207&lt;201,G207/2,IF(G207&lt;=301,G207/3,G207/4))))</f>
        <v>0</v>
      </c>
      <c r="I207" s="36"/>
    </row>
    <row r="208" spans="1:20" s="37" customFormat="1" hidden="1" x14ac:dyDescent="0.3">
      <c r="A208" s="103" t="s">
        <v>143</v>
      </c>
      <c r="B208" s="104"/>
      <c r="C208" s="104"/>
      <c r="D208" s="104"/>
      <c r="E208" s="104"/>
      <c r="F208" s="104"/>
      <c r="G208" s="104"/>
      <c r="H208" s="105"/>
      <c r="I208" s="36"/>
    </row>
    <row r="209" spans="1:20" s="37" customFormat="1" ht="15.75" hidden="1" customHeight="1" x14ac:dyDescent="0.3">
      <c r="A209" s="101"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10^ROW(INDIRECT("1:"&amp;LEN((LEFT(A208,SUM(LEN(A208)-LEN(SUBSTITUTE(A208,{"0","1","2"},""))))))))/10))*100+1&amp;""&amp;"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",LEN(A208))),LEN(A208)))))))/10))*100+1</f>
        <v>201 to 501</v>
      </c>
      <c r="B209" s="102"/>
      <c r="C209" s="42"/>
      <c r="D209" s="42"/>
      <c r="E209" s="42">
        <v>0</v>
      </c>
      <c r="F209" s="42">
        <f>D209+E209</f>
        <v>0</v>
      </c>
      <c r="G209" s="42">
        <v>0</v>
      </c>
      <c r="H209" s="42">
        <f>F209*(($H$152)+1)+(IF(G209&lt;101,G209,IF(G209&lt;201,G209/2,IF(G209&lt;=301,G209/3,G209/4))))</f>
        <v>0</v>
      </c>
      <c r="I209" s="36"/>
    </row>
    <row r="210" spans="1:20" s="37" customFormat="1" ht="15.75" hidden="1" customHeight="1" x14ac:dyDescent="0.3">
      <c r="A210" s="101"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202 to 502</v>
      </c>
      <c r="B210" s="102"/>
      <c r="C210" s="42"/>
      <c r="D210" s="42"/>
      <c r="E210" s="42">
        <v>0</v>
      </c>
      <c r="F210" s="42">
        <f>D210+E210</f>
        <v>0</v>
      </c>
      <c r="G210" s="42">
        <v>0</v>
      </c>
      <c r="H210" s="42">
        <f>F210*(($H$152)+1)+(IF(G210&lt;101,G210,IF(G210&lt;201,G210/2,IF(G210&lt;=301,G210/3,G210/4))))</f>
        <v>0</v>
      </c>
      <c r="I210" s="36"/>
    </row>
    <row r="211" spans="1:20" s="37" customFormat="1" ht="15.75" hidden="1" customHeight="1" x14ac:dyDescent="0.3">
      <c r="A211" s="101"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203 to 503</v>
      </c>
      <c r="B211" s="102"/>
      <c r="C211" s="42"/>
      <c r="D211" s="42"/>
      <c r="E211" s="42">
        <v>0</v>
      </c>
      <c r="F211" s="42">
        <f>D211+E211</f>
        <v>0</v>
      </c>
      <c r="G211" s="42">
        <v>0</v>
      </c>
      <c r="H211" s="42">
        <f>F211*(($H$152)+1)+(IF(G211&lt;101,G211,IF(G211&lt;201,G211/2,IF(G211&lt;=301,G211/3,G211/4))))</f>
        <v>0</v>
      </c>
      <c r="I211" s="36"/>
    </row>
    <row r="212" spans="1:20" s="37" customFormat="1" ht="15.75" hidden="1" customHeight="1" x14ac:dyDescent="0.3">
      <c r="A212" s="101"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to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204 to 504</v>
      </c>
      <c r="B212" s="102"/>
      <c r="C212" s="42"/>
      <c r="D212" s="42"/>
      <c r="E212" s="42">
        <v>0</v>
      </c>
      <c r="F212" s="42">
        <f>D212+E212</f>
        <v>0</v>
      </c>
      <c r="G212" s="42">
        <v>0</v>
      </c>
      <c r="H212" s="42">
        <f>F212*(($H$152)+1)+(IF(G212&lt;101,G212,IF(G212&lt;201,G212/2,IF(G212&lt;=301,G212/3,G212/4))))</f>
        <v>0</v>
      </c>
      <c r="I212" s="36"/>
    </row>
    <row r="213" spans="1:20" s="37" customFormat="1" ht="15.75" hidden="1" customHeight="1" x14ac:dyDescent="0.3">
      <c r="A213" s="101"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to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205 to 505</v>
      </c>
      <c r="B213" s="102"/>
      <c r="C213" s="42"/>
      <c r="D213" s="42"/>
      <c r="E213" s="42">
        <v>0</v>
      </c>
      <c r="F213" s="42">
        <f>D213+E213</f>
        <v>0</v>
      </c>
      <c r="G213" s="42">
        <v>0</v>
      </c>
      <c r="H213" s="42">
        <f>F213*(($H$152)+1)+(IF(G213&lt;101,G213,IF(G213&lt;201,G213/2,IF(G213&lt;=301,G213/3,G213/4))))</f>
        <v>0</v>
      </c>
      <c r="I213" s="36"/>
    </row>
    <row r="214" spans="1:20" s="37" customFormat="1" hidden="1" x14ac:dyDescent="0.3">
      <c r="A214" s="103" t="s">
        <v>144</v>
      </c>
      <c r="B214" s="104"/>
      <c r="C214" s="104"/>
      <c r="D214" s="104"/>
      <c r="E214" s="104"/>
      <c r="F214" s="104"/>
      <c r="G214" s="104"/>
      <c r="H214" s="105"/>
      <c r="I214" s="36"/>
    </row>
    <row r="215" spans="1:20" s="37" customFormat="1" ht="15.75" hidden="1" customHeight="1" x14ac:dyDescent="0.3">
      <c r="A215" s="101"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10^ROW(INDIRECT("1:"&amp;LEN((LEFT(A214,SUM(LEN(A214)-LEN(SUBSTITUTE(A214,{"0","1","2"},""))))))))/10))*100+1&amp;""&amp;"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",LEN(A214))),LEN(A214)))))))/10))*100+1</f>
        <v>201 &amp; 501</v>
      </c>
      <c r="B215" s="102"/>
      <c r="C215" s="42"/>
      <c r="D215" s="42"/>
      <c r="E215" s="42">
        <v>0</v>
      </c>
      <c r="F215" s="42">
        <f>D215+E215</f>
        <v>0</v>
      </c>
      <c r="G215" s="42">
        <v>0</v>
      </c>
      <c r="H215" s="42">
        <f>F215*(($H$152)+1)+(IF(G215&lt;101,G215,IF(G215&lt;201,G215/2,IF(G215&lt;=301,G215/3,G215/4))))</f>
        <v>0</v>
      </c>
      <c r="I215" s="36"/>
    </row>
    <row r="216" spans="1:20" s="37" customFormat="1" ht="15.75" hidden="1" customHeight="1" x14ac:dyDescent="0.3">
      <c r="A216" s="101"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202 &amp; 502</v>
      </c>
      <c r="B216" s="102"/>
      <c r="C216" s="42"/>
      <c r="D216" s="42"/>
      <c r="E216" s="42">
        <v>0</v>
      </c>
      <c r="F216" s="42">
        <f>D216+E216</f>
        <v>0</v>
      </c>
      <c r="G216" s="42">
        <v>0</v>
      </c>
      <c r="H216" s="42">
        <f>F216*(($H$152)+1)+(IF(G216&lt;101,G216,IF(G216&lt;201,G216/2,IF(G216&lt;=301,G216/3,G216/4))))</f>
        <v>0</v>
      </c>
      <c r="I216" s="36"/>
    </row>
    <row r="217" spans="1:20" s="37" customFormat="1" ht="15.75" hidden="1" customHeight="1" x14ac:dyDescent="0.3">
      <c r="A217" s="101"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203 &amp; 503</v>
      </c>
      <c r="B217" s="102"/>
      <c r="C217" s="42"/>
      <c r="D217" s="42"/>
      <c r="E217" s="42">
        <v>0</v>
      </c>
      <c r="F217" s="42">
        <f>D217+E217</f>
        <v>0</v>
      </c>
      <c r="G217" s="42">
        <v>0</v>
      </c>
      <c r="H217" s="42">
        <f>F217*(($H$152)+1)+(IF(G217&lt;101,G217,IF(G217&lt;201,G217/2,IF(G217&lt;=301,G217/3,G217/4))))</f>
        <v>0</v>
      </c>
      <c r="I217" s="36"/>
    </row>
    <row r="218" spans="1:20" s="37" customFormat="1" ht="15.75" hidden="1" customHeight="1" x14ac:dyDescent="0.3">
      <c r="A218" s="101"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&amp;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204 &amp; 504</v>
      </c>
      <c r="B218" s="102"/>
      <c r="C218" s="42"/>
      <c r="D218" s="42"/>
      <c r="E218" s="42">
        <v>0</v>
      </c>
      <c r="F218" s="42">
        <f>D218+E218</f>
        <v>0</v>
      </c>
      <c r="G218" s="42">
        <v>0</v>
      </c>
      <c r="H218" s="42">
        <f>F218*(($H$152)+1)+(IF(G218&lt;101,G218,IF(G218&lt;201,G218/2,IF(G218&lt;=301,G218/3,G218/4))))</f>
        <v>0</v>
      </c>
      <c r="I218" s="36"/>
    </row>
    <row r="219" spans="1:20" s="37" customFormat="1" ht="15.75" hidden="1" customHeight="1" x14ac:dyDescent="0.3">
      <c r="A219" s="101"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&amp;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205 &amp; 505</v>
      </c>
      <c r="B219" s="102"/>
      <c r="C219" s="42"/>
      <c r="D219" s="42"/>
      <c r="E219" s="42">
        <v>0</v>
      </c>
      <c r="F219" s="42">
        <f>D219+E219</f>
        <v>0</v>
      </c>
      <c r="G219" s="42">
        <v>0</v>
      </c>
      <c r="H219" s="42">
        <f>F219*(($H$152)+1)+(IF(G219&lt;101,G219,IF(G219&lt;201,G219/2,IF(G219&lt;=301,G219/3,G219/4))))</f>
        <v>0</v>
      </c>
      <c r="I219" s="36"/>
    </row>
    <row r="220" spans="1:20" s="35" customFormat="1" x14ac:dyDescent="0.3">
      <c r="A220" s="100" t="s">
        <v>64</v>
      </c>
      <c r="B220" s="100"/>
      <c r="C220" s="100"/>
      <c r="D220" s="100"/>
      <c r="E220" s="100"/>
      <c r="F220" s="100"/>
      <c r="G220" s="100"/>
      <c r="H220" s="100"/>
      <c r="T220" s="37"/>
    </row>
    <row r="221" spans="1:20" s="35" customFormat="1" x14ac:dyDescent="0.3">
      <c r="A221" s="46" t="s">
        <v>153</v>
      </c>
      <c r="B221" s="145" t="s">
        <v>438</v>
      </c>
      <c r="C221" s="146"/>
      <c r="D221" s="146"/>
      <c r="E221" s="146"/>
      <c r="F221" s="146"/>
      <c r="G221" s="146"/>
      <c r="H221" s="147"/>
      <c r="T221" s="37"/>
    </row>
    <row r="222" spans="1:20" s="35" customFormat="1" x14ac:dyDescent="0.3">
      <c r="A222" s="46" t="s">
        <v>153</v>
      </c>
      <c r="B222" s="156" t="str">
        <f>(IF(H151="Saleable area Loading :","We have considered Saleable area of Flats as per our Calculation.","We considered Saleable area of Flat as per Builder area Sheet."))</f>
        <v>We have considered Saleable area of Flats as per our Calculation.</v>
      </c>
      <c r="C222" s="157"/>
      <c r="D222" s="157"/>
      <c r="E222" s="157"/>
      <c r="F222" s="157"/>
      <c r="G222" s="157"/>
      <c r="H222" s="158"/>
      <c r="T222" s="37"/>
    </row>
    <row r="223" spans="1:20" s="35" customFormat="1" x14ac:dyDescent="0.3">
      <c r="A223" s="46" t="s">
        <v>153</v>
      </c>
      <c r="B223" s="145" t="str">
        <f>(IF(H143="Saleable area Loading :","We have considered Saleable area of Commercial as per our Calculation.","We considered Saleable area of Commercial as per Builder area Sheet."))</f>
        <v>We have considered Saleable area of Commercial as per our Calculation.</v>
      </c>
      <c r="C223" s="146"/>
      <c r="D223" s="146"/>
      <c r="E223" s="146"/>
      <c r="F223" s="146"/>
      <c r="G223" s="146"/>
      <c r="H223" s="147"/>
      <c r="T223" s="37"/>
    </row>
    <row r="224" spans="1:20" s="35" customFormat="1" x14ac:dyDescent="0.3">
      <c r="A224" s="46" t="s">
        <v>153</v>
      </c>
      <c r="B224" s="159" t="s">
        <v>120</v>
      </c>
      <c r="C224" s="160"/>
      <c r="D224" s="160"/>
      <c r="E224" s="160"/>
      <c r="F224" s="160"/>
      <c r="G224" s="160"/>
      <c r="H224" s="161"/>
      <c r="T224" s="37"/>
    </row>
    <row r="225" spans="1:20" s="35" customFormat="1" x14ac:dyDescent="0.3">
      <c r="A225" s="46" t="s">
        <v>153</v>
      </c>
      <c r="B225" s="145" t="s">
        <v>430</v>
      </c>
      <c r="C225" s="146"/>
      <c r="D225" s="146"/>
      <c r="E225" s="146"/>
      <c r="F225" s="146"/>
      <c r="G225" s="146"/>
      <c r="H225" s="147"/>
      <c r="T225" s="37"/>
    </row>
    <row r="226" spans="1:20" s="35" customFormat="1" x14ac:dyDescent="0.3">
      <c r="A226" s="46" t="s">
        <v>153</v>
      </c>
      <c r="B226" s="159" t="s">
        <v>152</v>
      </c>
      <c r="C226" s="160"/>
      <c r="D226" s="160"/>
      <c r="E226" s="160"/>
      <c r="F226" s="160"/>
      <c r="G226" s="160"/>
      <c r="H226" s="161"/>
    </row>
    <row r="227" spans="1:20" s="35" customFormat="1" x14ac:dyDescent="0.3">
      <c r="A227" s="46" t="s">
        <v>153</v>
      </c>
      <c r="B227" s="159" t="s">
        <v>121</v>
      </c>
      <c r="C227" s="160"/>
      <c r="D227" s="160"/>
      <c r="E227" s="160"/>
      <c r="F227" s="160"/>
      <c r="G227" s="160"/>
      <c r="H227" s="161"/>
    </row>
    <row r="228" spans="1:20" s="35" customFormat="1" ht="34.5" customHeight="1" x14ac:dyDescent="0.3">
      <c r="A228" s="46" t="s">
        <v>153</v>
      </c>
      <c r="B228" s="145" t="s">
        <v>154</v>
      </c>
      <c r="C228" s="146"/>
      <c r="D228" s="146"/>
      <c r="E228" s="146"/>
      <c r="F228" s="146"/>
      <c r="G228" s="146"/>
      <c r="H228" s="147"/>
    </row>
    <row r="229" spans="1:20" s="35" customFormat="1" x14ac:dyDescent="0.3">
      <c r="A229" s="46" t="s">
        <v>153</v>
      </c>
      <c r="B229" s="159" t="s">
        <v>122</v>
      </c>
      <c r="C229" s="160"/>
      <c r="D229" s="160"/>
      <c r="E229" s="160"/>
      <c r="F229" s="160"/>
      <c r="G229" s="160"/>
      <c r="H229" s="161"/>
    </row>
    <row r="230" spans="1:20" s="35" customFormat="1" ht="32.25" hidden="1" customHeight="1" x14ac:dyDescent="0.3">
      <c r="A230" s="46" t="s">
        <v>153</v>
      </c>
      <c r="B230" s="148" t="s">
        <v>178</v>
      </c>
      <c r="C230" s="149"/>
      <c r="D230" s="149"/>
      <c r="E230" s="149"/>
      <c r="F230" s="149"/>
      <c r="G230" s="149"/>
      <c r="H230" s="150"/>
    </row>
    <row r="231" spans="1:20" s="35" customFormat="1" ht="38.25" hidden="1" customHeight="1" x14ac:dyDescent="0.3">
      <c r="A231" s="46" t="s">
        <v>153</v>
      </c>
      <c r="B231" s="148" t="s">
        <v>349</v>
      </c>
      <c r="C231" s="149"/>
      <c r="D231" s="149"/>
      <c r="E231" s="149"/>
      <c r="F231" s="149"/>
      <c r="G231" s="149"/>
      <c r="H231" s="150"/>
    </row>
    <row r="232" spans="1:20" s="35" customFormat="1" x14ac:dyDescent="0.3">
      <c r="A232" s="46" t="s">
        <v>153</v>
      </c>
      <c r="B232" s="145" t="s">
        <v>351</v>
      </c>
      <c r="C232" s="146"/>
      <c r="D232" s="146"/>
      <c r="E232" s="146"/>
      <c r="F232" s="146"/>
      <c r="G232" s="146"/>
      <c r="H232" s="147"/>
    </row>
    <row r="233" spans="1:20" s="35" customFormat="1" x14ac:dyDescent="0.3">
      <c r="A233" s="46" t="s">
        <v>153</v>
      </c>
      <c r="B233" s="156" t="s">
        <v>431</v>
      </c>
      <c r="C233" s="157"/>
      <c r="D233" s="157"/>
      <c r="E233" s="157"/>
      <c r="F233" s="157"/>
      <c r="G233" s="157"/>
      <c r="H233" s="158"/>
    </row>
    <row r="234" spans="1:20" s="35" customFormat="1" x14ac:dyDescent="0.3">
      <c r="A234" s="46" t="s">
        <v>153</v>
      </c>
      <c r="B234" s="156" t="s">
        <v>432</v>
      </c>
      <c r="C234" s="157"/>
      <c r="D234" s="157"/>
      <c r="E234" s="157"/>
      <c r="F234" s="157"/>
      <c r="G234" s="157"/>
      <c r="H234" s="158"/>
    </row>
    <row r="235" spans="1:20" s="35" customFormat="1" hidden="1" x14ac:dyDescent="0.3">
      <c r="A235" s="46" t="s">
        <v>153</v>
      </c>
      <c r="B235" s="148" t="str">
        <f ca="1">IF(G52&gt;EDATE(E3,-48),"NO REMARK FOR CC","REMARK FOR CC")</f>
        <v>NO REMARK FOR CC</v>
      </c>
      <c r="C235" s="149"/>
      <c r="D235" s="149"/>
      <c r="E235" s="149"/>
      <c r="F235" s="149"/>
      <c r="G235" s="149"/>
      <c r="H235" s="150"/>
    </row>
    <row r="236" spans="1:20" s="35" customFormat="1" ht="81.75" hidden="1" customHeight="1" x14ac:dyDescent="0.3">
      <c r="A236" s="46" t="s">
        <v>153</v>
      </c>
      <c r="B236" s="148" t="s">
        <v>352</v>
      </c>
      <c r="C236" s="149"/>
      <c r="D236" s="149"/>
      <c r="E236" s="149"/>
      <c r="F236" s="149"/>
      <c r="G236" s="149"/>
      <c r="H236" s="150"/>
    </row>
    <row r="237" spans="1:20" x14ac:dyDescent="0.3">
      <c r="A237" s="169" t="s">
        <v>57</v>
      </c>
      <c r="B237" s="169"/>
      <c r="C237" s="169"/>
      <c r="D237" s="169"/>
      <c r="E237" s="169"/>
      <c r="F237" s="169"/>
      <c r="G237" s="169"/>
      <c r="H237" s="169"/>
      <c r="T237" s="35"/>
    </row>
    <row r="238" spans="1:20" x14ac:dyDescent="0.3">
      <c r="A238" s="121" t="s">
        <v>58</v>
      </c>
      <c r="B238" s="121"/>
      <c r="C238" s="121"/>
      <c r="D238" s="121"/>
      <c r="E238" s="121"/>
      <c r="F238" s="121"/>
      <c r="G238" s="121"/>
      <c r="H238" s="121"/>
      <c r="T238" s="35"/>
    </row>
    <row r="239" spans="1:20" ht="15.75" customHeight="1" x14ac:dyDescent="0.3">
      <c r="A239" s="139" t="s">
        <v>59</v>
      </c>
      <c r="B239" s="139"/>
      <c r="C239" s="139"/>
      <c r="D239" s="139"/>
      <c r="E239" s="139"/>
      <c r="F239" s="139"/>
      <c r="G239" s="139"/>
      <c r="H239" s="139"/>
      <c r="T239" s="35"/>
    </row>
    <row r="240" spans="1:20" x14ac:dyDescent="0.3">
      <c r="A240" s="121" t="s">
        <v>60</v>
      </c>
      <c r="B240" s="121"/>
      <c r="C240" s="121"/>
      <c r="D240" s="121"/>
      <c r="E240" s="121"/>
      <c r="F240" s="121"/>
      <c r="G240" s="121"/>
      <c r="H240" s="121"/>
      <c r="T240" s="35"/>
    </row>
    <row r="241" spans="1:20" x14ac:dyDescent="0.3">
      <c r="A241" s="121" t="s">
        <v>61</v>
      </c>
      <c r="B241" s="121"/>
      <c r="C241" s="121"/>
      <c r="D241" s="121"/>
      <c r="E241" s="121"/>
      <c r="F241" s="121"/>
      <c r="G241" s="121"/>
      <c r="H241" s="121"/>
      <c r="T241" s="35"/>
    </row>
    <row r="242" spans="1:20" x14ac:dyDescent="0.3">
      <c r="A242" s="121" t="s">
        <v>123</v>
      </c>
      <c r="B242" s="121"/>
      <c r="C242" s="121"/>
      <c r="D242" s="121"/>
      <c r="E242" s="121"/>
      <c r="F242" s="121"/>
      <c r="G242" s="121"/>
      <c r="H242" s="121"/>
      <c r="T242" s="35"/>
    </row>
    <row r="243" spans="1:20" ht="33.9" customHeight="1" x14ac:dyDescent="0.3">
      <c r="A243" s="106" t="s">
        <v>124</v>
      </c>
      <c r="B243" s="106"/>
      <c r="C243" s="106"/>
      <c r="D243" s="106"/>
      <c r="E243" s="106"/>
      <c r="F243" s="106"/>
      <c r="G243" s="106"/>
      <c r="H243" s="106"/>
    </row>
    <row r="244" spans="1:20" x14ac:dyDescent="0.3">
      <c r="A244" s="163" t="s">
        <v>73</v>
      </c>
      <c r="B244" s="163"/>
      <c r="C244" s="163" t="s">
        <v>439</v>
      </c>
      <c r="D244" s="163"/>
      <c r="E244" s="163" t="s">
        <v>102</v>
      </c>
      <c r="F244" s="163"/>
      <c r="G244" s="164" t="s">
        <v>435</v>
      </c>
      <c r="H244" s="164"/>
    </row>
    <row r="245" spans="1:20" x14ac:dyDescent="0.3">
      <c r="A245" s="162" t="s">
        <v>75</v>
      </c>
      <c r="B245" s="162"/>
      <c r="C245" s="162"/>
      <c r="D245" s="162"/>
      <c r="E245" s="162"/>
      <c r="F245" s="162"/>
      <c r="G245" s="162"/>
      <c r="H245" s="162"/>
    </row>
    <row r="246" spans="1:20" x14ac:dyDescent="0.3">
      <c r="A246" s="162"/>
      <c r="B246" s="162"/>
      <c r="C246" s="162"/>
      <c r="D246" s="162"/>
      <c r="E246" s="162"/>
      <c r="F246" s="162"/>
      <c r="G246" s="162"/>
      <c r="H246" s="162"/>
    </row>
    <row r="247" spans="1:20" x14ac:dyDescent="0.3">
      <c r="A247" s="162"/>
      <c r="B247" s="162"/>
      <c r="C247" s="162"/>
      <c r="D247" s="162"/>
      <c r="E247" s="162"/>
      <c r="F247" s="162"/>
      <c r="G247" s="162"/>
      <c r="H247" s="162"/>
    </row>
    <row r="248" spans="1:20" x14ac:dyDescent="0.3">
      <c r="A248" s="162"/>
      <c r="B248" s="162"/>
      <c r="C248" s="162"/>
      <c r="D248" s="162"/>
      <c r="E248" s="162"/>
      <c r="F248" s="162"/>
      <c r="G248" s="162"/>
      <c r="H248" s="162"/>
    </row>
    <row r="249" spans="1:20" x14ac:dyDescent="0.3">
      <c r="A249" s="38" t="s">
        <v>62</v>
      </c>
      <c r="B249" s="39"/>
      <c r="C249" s="39"/>
      <c r="D249" s="38" t="str">
        <f>E9</f>
        <v>A.S.Ornate</v>
      </c>
      <c r="F249" s="39"/>
      <c r="G249" s="39"/>
      <c r="H249" s="39"/>
    </row>
    <row r="250" spans="1:20" x14ac:dyDescent="0.3">
      <c r="A250" s="39"/>
      <c r="B250" s="39"/>
      <c r="C250" s="39"/>
      <c r="D250" s="39"/>
      <c r="E250" s="39"/>
      <c r="F250" s="39"/>
      <c r="G250" s="39"/>
      <c r="H250" s="39"/>
    </row>
    <row r="251" spans="1:20" x14ac:dyDescent="0.3">
      <c r="A251" s="39"/>
      <c r="B251" s="39"/>
      <c r="C251" s="39"/>
      <c r="D251" s="39"/>
      <c r="E251" s="39"/>
      <c r="F251" s="39"/>
      <c r="G251" s="39"/>
      <c r="H251" s="39"/>
    </row>
    <row r="252" spans="1:20" ht="15" customHeight="1" x14ac:dyDescent="0.3"/>
    <row r="291" spans="1:1" x14ac:dyDescent="0.3">
      <c r="A291" s="41" t="s">
        <v>163</v>
      </c>
    </row>
    <row r="333" spans="1:1" x14ac:dyDescent="0.3">
      <c r="A333" s="41" t="s">
        <v>63</v>
      </c>
    </row>
  </sheetData>
  <mergeCells count="432">
    <mergeCell ref="C189:H189"/>
    <mergeCell ref="C192:H192"/>
    <mergeCell ref="A193:B193"/>
    <mergeCell ref="C193:H193"/>
    <mergeCell ref="B232:H232"/>
    <mergeCell ref="B233:H233"/>
    <mergeCell ref="A176:B176"/>
    <mergeCell ref="L176:M176"/>
    <mergeCell ref="A177:B177"/>
    <mergeCell ref="L177:M177"/>
    <mergeCell ref="A178:B178"/>
    <mergeCell ref="L178:M178"/>
    <mergeCell ref="A179:B179"/>
    <mergeCell ref="L179:M179"/>
    <mergeCell ref="A180:B180"/>
    <mergeCell ref="L180:M180"/>
    <mergeCell ref="A203:B203"/>
    <mergeCell ref="B231:H231"/>
    <mergeCell ref="B229:H229"/>
    <mergeCell ref="B227:H227"/>
    <mergeCell ref="L196:M196"/>
    <mergeCell ref="A201:B201"/>
    <mergeCell ref="A198:B198"/>
    <mergeCell ref="A199:B199"/>
    <mergeCell ref="A171:B171"/>
    <mergeCell ref="L171:M171"/>
    <mergeCell ref="A172:B172"/>
    <mergeCell ref="L172:M172"/>
    <mergeCell ref="A173:B173"/>
    <mergeCell ref="L173:M173"/>
    <mergeCell ref="A174:H174"/>
    <mergeCell ref="A175:B175"/>
    <mergeCell ref="L175:M175"/>
    <mergeCell ref="A166:B166"/>
    <mergeCell ref="L166:M166"/>
    <mergeCell ref="A167:H167"/>
    <mergeCell ref="A168:B168"/>
    <mergeCell ref="L168:M168"/>
    <mergeCell ref="A169:B169"/>
    <mergeCell ref="L169:M169"/>
    <mergeCell ref="A170:B170"/>
    <mergeCell ref="L170:M170"/>
    <mergeCell ref="A161:B161"/>
    <mergeCell ref="L161:M161"/>
    <mergeCell ref="A162:B162"/>
    <mergeCell ref="L162:M162"/>
    <mergeCell ref="A163:B163"/>
    <mergeCell ref="L163:M163"/>
    <mergeCell ref="A164:B164"/>
    <mergeCell ref="L164:M164"/>
    <mergeCell ref="A165:B165"/>
    <mergeCell ref="L165:M165"/>
    <mergeCell ref="A157:B157"/>
    <mergeCell ref="L157:M157"/>
    <mergeCell ref="A158:B158"/>
    <mergeCell ref="L158:M158"/>
    <mergeCell ref="A159:B159"/>
    <mergeCell ref="L159:M159"/>
    <mergeCell ref="A194:B194"/>
    <mergeCell ref="L194:M194"/>
    <mergeCell ref="A195:B195"/>
    <mergeCell ref="L195:M195"/>
    <mergeCell ref="A181:H181"/>
    <mergeCell ref="A182:B182"/>
    <mergeCell ref="L182:M182"/>
    <mergeCell ref="A183:B183"/>
    <mergeCell ref="L183:M183"/>
    <mergeCell ref="A184:B184"/>
    <mergeCell ref="L184:M184"/>
    <mergeCell ref="A185:B185"/>
    <mergeCell ref="L185:M185"/>
    <mergeCell ref="A186:B186"/>
    <mergeCell ref="L186:M186"/>
    <mergeCell ref="A187:B187"/>
    <mergeCell ref="L187:M187"/>
    <mergeCell ref="A160:H160"/>
    <mergeCell ref="L156:M156"/>
    <mergeCell ref="A102:B102"/>
    <mergeCell ref="A83:B83"/>
    <mergeCell ref="E81:F90"/>
    <mergeCell ref="G81:H90"/>
    <mergeCell ref="A124:E124"/>
    <mergeCell ref="A139:B139"/>
    <mergeCell ref="E139:F139"/>
    <mergeCell ref="A129:E129"/>
    <mergeCell ref="G139:H139"/>
    <mergeCell ref="E135:F135"/>
    <mergeCell ref="G135:H135"/>
    <mergeCell ref="A135:B135"/>
    <mergeCell ref="C135:D135"/>
    <mergeCell ref="A100:B100"/>
    <mergeCell ref="G94:H94"/>
    <mergeCell ref="E46:H46"/>
    <mergeCell ref="E47:H47"/>
    <mergeCell ref="C58:H58"/>
    <mergeCell ref="A48:H48"/>
    <mergeCell ref="B236:H236"/>
    <mergeCell ref="A118:B118"/>
    <mergeCell ref="C143:C144"/>
    <mergeCell ref="B151:B152"/>
    <mergeCell ref="B223:H223"/>
    <mergeCell ref="A94:B94"/>
    <mergeCell ref="E94:F94"/>
    <mergeCell ref="E95:F104"/>
    <mergeCell ref="A105:B105"/>
    <mergeCell ref="C105:H105"/>
    <mergeCell ref="A107:B107"/>
    <mergeCell ref="C107:H107"/>
    <mergeCell ref="A108:B108"/>
    <mergeCell ref="E108:F108"/>
    <mergeCell ref="G108:H108"/>
    <mergeCell ref="A109:B109"/>
    <mergeCell ref="E109:F118"/>
    <mergeCell ref="G109:H118"/>
    <mergeCell ref="A110:B110"/>
    <mergeCell ref="A111:B111"/>
    <mergeCell ref="F52:F53"/>
    <mergeCell ref="C54:H54"/>
    <mergeCell ref="A64:C64"/>
    <mergeCell ref="A70:C70"/>
    <mergeCell ref="A71:C71"/>
    <mergeCell ref="D70:H70"/>
    <mergeCell ref="A65:C65"/>
    <mergeCell ref="G60:H60"/>
    <mergeCell ref="A80:B80"/>
    <mergeCell ref="D71:H71"/>
    <mergeCell ref="G52:H53"/>
    <mergeCell ref="D66:H66"/>
    <mergeCell ref="L192:M192"/>
    <mergeCell ref="L189:M189"/>
    <mergeCell ref="A190:B190"/>
    <mergeCell ref="G140:H140"/>
    <mergeCell ref="L190:M190"/>
    <mergeCell ref="A191:B191"/>
    <mergeCell ref="L191:M191"/>
    <mergeCell ref="A113:B113"/>
    <mergeCell ref="A116:B116"/>
    <mergeCell ref="F143:F144"/>
    <mergeCell ref="C134:D134"/>
    <mergeCell ref="E134:F134"/>
    <mergeCell ref="B143:B144"/>
    <mergeCell ref="A143:A144"/>
    <mergeCell ref="C151:C152"/>
    <mergeCell ref="G151:G152"/>
    <mergeCell ref="A114:B114"/>
    <mergeCell ref="A115:B115"/>
    <mergeCell ref="A117:B117"/>
    <mergeCell ref="A153:H153"/>
    <mergeCell ref="A154:B154"/>
    <mergeCell ref="L154:M154"/>
    <mergeCell ref="A155:B155"/>
    <mergeCell ref="L155:M155"/>
    <mergeCell ref="L149:M149"/>
    <mergeCell ref="L148:M148"/>
    <mergeCell ref="L147:M147"/>
    <mergeCell ref="L146:M146"/>
    <mergeCell ref="A88:B88"/>
    <mergeCell ref="C138:D138"/>
    <mergeCell ref="E138:F138"/>
    <mergeCell ref="G138:H138"/>
    <mergeCell ref="A120:E120"/>
    <mergeCell ref="A91:B91"/>
    <mergeCell ref="C91:H91"/>
    <mergeCell ref="A145:H145"/>
    <mergeCell ref="E143:E144"/>
    <mergeCell ref="A95:B95"/>
    <mergeCell ref="C93:H93"/>
    <mergeCell ref="A96:B96"/>
    <mergeCell ref="A97:B97"/>
    <mergeCell ref="G95:H104"/>
    <mergeCell ref="A98:B98"/>
    <mergeCell ref="F121:H121"/>
    <mergeCell ref="A121:E121"/>
    <mergeCell ref="E140:F140"/>
    <mergeCell ref="A93:B93"/>
    <mergeCell ref="A112:B112"/>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E42:H42"/>
    <mergeCell ref="A41:H41"/>
    <mergeCell ref="A46:D46"/>
    <mergeCell ref="A47:D47"/>
    <mergeCell ref="A44:D44"/>
    <mergeCell ref="E44:H44"/>
    <mergeCell ref="E45:H45"/>
    <mergeCell ref="A40:B40"/>
    <mergeCell ref="A66:C66"/>
    <mergeCell ref="A45:D45"/>
    <mergeCell ref="A49:B49"/>
    <mergeCell ref="C49:H49"/>
    <mergeCell ref="A67:C69"/>
    <mergeCell ref="D67:H67"/>
    <mergeCell ref="D68:H68"/>
    <mergeCell ref="A63:H63"/>
    <mergeCell ref="A79:B79"/>
    <mergeCell ref="A77:B77"/>
    <mergeCell ref="C77:H77"/>
    <mergeCell ref="A72:C72"/>
    <mergeCell ref="D72:H72"/>
    <mergeCell ref="C79:H79"/>
    <mergeCell ref="A73:C73"/>
    <mergeCell ref="D73:H73"/>
    <mergeCell ref="A76:C76"/>
    <mergeCell ref="D76:H76"/>
    <mergeCell ref="A75:C75"/>
    <mergeCell ref="A59:B61"/>
    <mergeCell ref="C61:H61"/>
    <mergeCell ref="C59:E60"/>
    <mergeCell ref="A50:B50"/>
    <mergeCell ref="D69:H6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F37:H37"/>
    <mergeCell ref="A38:H38"/>
    <mergeCell ref="C40:H40"/>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45:H248"/>
    <mergeCell ref="A244:B244"/>
    <mergeCell ref="E244:F244"/>
    <mergeCell ref="C244:D244"/>
    <mergeCell ref="G244:H244"/>
    <mergeCell ref="A132:H132"/>
    <mergeCell ref="A130:E130"/>
    <mergeCell ref="F130:H130"/>
    <mergeCell ref="A131:E131"/>
    <mergeCell ref="F131:H131"/>
    <mergeCell ref="A196:H196"/>
    <mergeCell ref="A138:B138"/>
    <mergeCell ref="A205:B205"/>
    <mergeCell ref="A134:B134"/>
    <mergeCell ref="A240:H240"/>
    <mergeCell ref="A136:H136"/>
    <mergeCell ref="A243:H243"/>
    <mergeCell ref="A241:H241"/>
    <mergeCell ref="A237:H237"/>
    <mergeCell ref="G137:H137"/>
    <mergeCell ref="B226:H226"/>
    <mergeCell ref="A211:B211"/>
    <mergeCell ref="A200:B200"/>
    <mergeCell ref="C140:D140"/>
    <mergeCell ref="B230:H230"/>
    <mergeCell ref="A140:B140"/>
    <mergeCell ref="A103:B103"/>
    <mergeCell ref="A122:E122"/>
    <mergeCell ref="A119:E119"/>
    <mergeCell ref="F123:H123"/>
    <mergeCell ref="A207:B207"/>
    <mergeCell ref="A123:E123"/>
    <mergeCell ref="A192:B192"/>
    <mergeCell ref="B228:H228"/>
    <mergeCell ref="G143:G144"/>
    <mergeCell ref="A210:B210"/>
    <mergeCell ref="A218:B218"/>
    <mergeCell ref="B221:H221"/>
    <mergeCell ref="B222:H222"/>
    <mergeCell ref="B224:H224"/>
    <mergeCell ref="F119:H119"/>
    <mergeCell ref="F124:H124"/>
    <mergeCell ref="A189:B189"/>
    <mergeCell ref="A149:B149"/>
    <mergeCell ref="A148:B148"/>
    <mergeCell ref="F125:H125"/>
    <mergeCell ref="A127:E127"/>
    <mergeCell ref="A146:B146"/>
    <mergeCell ref="A242:H242"/>
    <mergeCell ref="A239:H239"/>
    <mergeCell ref="A197:B197"/>
    <mergeCell ref="A137:B137"/>
    <mergeCell ref="D151:D152"/>
    <mergeCell ref="E151:E152"/>
    <mergeCell ref="A99:B99"/>
    <mergeCell ref="A101:B101"/>
    <mergeCell ref="F120:H120"/>
    <mergeCell ref="G134:H134"/>
    <mergeCell ref="A104:B104"/>
    <mergeCell ref="F126:H126"/>
    <mergeCell ref="C133:D133"/>
    <mergeCell ref="C139:D139"/>
    <mergeCell ref="A188:H188"/>
    <mergeCell ref="A206:B206"/>
    <mergeCell ref="B225:H225"/>
    <mergeCell ref="A215:B215"/>
    <mergeCell ref="A216:B216"/>
    <mergeCell ref="A219:B219"/>
    <mergeCell ref="B235:H235"/>
    <mergeCell ref="B234:H234"/>
    <mergeCell ref="F122:H122"/>
    <mergeCell ref="A126:E126"/>
    <mergeCell ref="A238:H238"/>
    <mergeCell ref="A125:E125"/>
    <mergeCell ref="A87:B87"/>
    <mergeCell ref="I15:P15"/>
    <mergeCell ref="F129:H129"/>
    <mergeCell ref="F127:H127"/>
    <mergeCell ref="A204:B204"/>
    <mergeCell ref="A142:H142"/>
    <mergeCell ref="G133:H133"/>
    <mergeCell ref="A128:E128"/>
    <mergeCell ref="A147:B147"/>
    <mergeCell ref="A62:B62"/>
    <mergeCell ref="C62:E62"/>
    <mergeCell ref="D64:H64"/>
    <mergeCell ref="F128:H128"/>
    <mergeCell ref="E133:F133"/>
    <mergeCell ref="A133:B133"/>
    <mergeCell ref="C137:D137"/>
    <mergeCell ref="D74:H74"/>
    <mergeCell ref="D65:H65"/>
    <mergeCell ref="G62:H62"/>
    <mergeCell ref="A55:B56"/>
    <mergeCell ref="A150:H150"/>
    <mergeCell ref="A86:B86"/>
    <mergeCell ref="A220:H220"/>
    <mergeCell ref="A212:B212"/>
    <mergeCell ref="A213:B213"/>
    <mergeCell ref="A208:H208"/>
    <mergeCell ref="A202:H202"/>
    <mergeCell ref="A217:B217"/>
    <mergeCell ref="A214:H214"/>
    <mergeCell ref="A74:C74"/>
    <mergeCell ref="D75:H75"/>
    <mergeCell ref="A81:B81"/>
    <mergeCell ref="G80:H80"/>
    <mergeCell ref="A89:B89"/>
    <mergeCell ref="A90:B90"/>
    <mergeCell ref="A85:B85"/>
    <mergeCell ref="A84:B84"/>
    <mergeCell ref="E80:F80"/>
    <mergeCell ref="A82:B82"/>
    <mergeCell ref="E137:F137"/>
    <mergeCell ref="A141:H141"/>
    <mergeCell ref="A151:A152"/>
    <mergeCell ref="F151:F152"/>
    <mergeCell ref="D143:D144"/>
    <mergeCell ref="A209:B209"/>
    <mergeCell ref="A156:B15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244:H244" xr:uid="{00000000-0002-0000-0000-000004000000}">
      <formula1>"Kunal Kadam,Pranita Mhatre,Shruti Fule,Pooja Kawale,Gaurav Panchal,Shruti Tathare, Dipti Gothawade,Saurav Panse,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B143:B144" xr:uid="{00000000-0002-0000-0000-000006000000}">
      <formula1>"Shop No. (Sale Plan),Sale / Rehab,Sale / Mhada"</formula1>
    </dataValidation>
    <dataValidation type="list" allowBlank="1" showInputMessage="1" showErrorMessage="1" sqref="B151:B152"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1:E152" xr:uid="{00000000-0002-0000-0000-00000A000000}">
      <formula1>"Fungible area,Balcony + Chajja + Enclosed Balcony Area,Cornice Area,AP Area,WS Area"</formula1>
    </dataValidation>
    <dataValidation type="list" allowBlank="1" showInputMessage="1" showErrorMessage="1" sqref="H144 H152"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H143 H151" xr:uid="{00000000-0002-0000-0000-00000E000000}">
      <formula1>"Saleable area Loading :,Builder Saleable Area"</formula1>
    </dataValidation>
    <dataValidation type="list" allowBlank="1" showInputMessage="1" showErrorMessage="1" sqref="D143:D144" xr:uid="{00000000-0002-0000-0000-00000F000000}">
      <formula1>"Carpet area,RERA Carpet area"</formula1>
    </dataValidation>
    <dataValidation type="list" allowBlank="1" showInputMessage="1" showErrorMessage="1" sqref="D151:D152" xr:uid="{00000000-0002-0000-0000-000010000000}">
      <formula1>"Carpet Area,Carpet + Encl Balcony Area,RERA Carpet area"</formula1>
    </dataValidation>
    <dataValidation type="list" allowBlank="1" showInputMessage="1" showErrorMessage="1" sqref="F130:H130" xr:uid="{00000000-0002-0000-0000-000011000000}">
      <formula1>OFFSET($S$119,1,MATCH($G20,$S$119:$W$119,0)-1,15,1)</formula1>
    </dataValidation>
  </dataValidations>
  <hyperlinks>
    <hyperlink ref="C40" r:id="rId1" xr:uid="{00000000-0004-0000-0000-000000000000}"/>
    <hyperlink ref="K119" r:id="rId2" location=":~:text=Overview,Upcoming%20Projects" xr:uid="{00000000-0004-0000-0000-000001000000}"/>
    <hyperlink ref="K132" r:id="rId3" xr:uid="{00000000-0004-0000-0000-000002000000}"/>
  </hyperlinks>
  <printOptions horizontalCentered="1"/>
  <pageMargins left="0.39370078740157483" right="0.39370078740157483" top="0.82677165354330717" bottom="0.78740157480314965" header="0.15748031496062992" footer="0.19685039370078741"/>
  <pageSetup paperSize="2" fitToHeight="0" orientation="portrait" r:id="rId4"/>
  <headerFooter>
    <oddHeader>&amp;C&amp;G</oddHeader>
    <oddFooter>&amp;L&amp;"Times New Roman,Bold"&amp;12Ref No: &amp;F&amp;C&amp;G&amp;R&amp;"Times New Roman,Bold"&amp;12&amp;P</oddFooter>
  </headerFooter>
  <rowBreaks count="4" manualBreakCount="4">
    <brk id="76" max="16383" man="1"/>
    <brk id="248" max="16383" man="1"/>
    <brk id="290" max="16383" man="1"/>
    <brk id="332" max="16383"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70" t="s">
        <v>103</v>
      </c>
      <c r="C3" s="270"/>
      <c r="D3" s="270"/>
      <c r="E3" s="270"/>
      <c r="F3" s="270"/>
      <c r="G3" s="270"/>
      <c r="H3" s="270"/>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3"/>
      <c r="C4" s="53" t="s">
        <v>11</v>
      </c>
      <c r="D4" s="54" t="s">
        <v>179</v>
      </c>
      <c r="E4" s="54" t="s">
        <v>189</v>
      </c>
      <c r="F4" s="54" t="s">
        <v>172</v>
      </c>
      <c r="G4" s="54" t="s">
        <v>194</v>
      </c>
      <c r="H4" s="54" t="s">
        <v>212</v>
      </c>
      <c r="J4" t="s">
        <v>194</v>
      </c>
      <c r="K4" t="s">
        <v>210</v>
      </c>
    </row>
    <row r="5" spans="2:11" x14ac:dyDescent="0.3">
      <c r="B5" s="53"/>
      <c r="C5" s="53"/>
      <c r="D5" s="54" t="s">
        <v>180</v>
      </c>
      <c r="E5" s="54" t="s">
        <v>187</v>
      </c>
      <c r="F5" s="54" t="s">
        <v>209</v>
      </c>
      <c r="G5" s="54" t="s">
        <v>195</v>
      </c>
      <c r="H5" s="54" t="s">
        <v>213</v>
      </c>
    </row>
    <row r="6" spans="2:11" x14ac:dyDescent="0.3">
      <c r="B6" s="53"/>
      <c r="C6" s="53"/>
      <c r="D6" s="54" t="s">
        <v>181</v>
      </c>
      <c r="E6" s="54" t="s">
        <v>188</v>
      </c>
      <c r="F6" s="54" t="s">
        <v>210</v>
      </c>
      <c r="G6" s="54" t="s">
        <v>196</v>
      </c>
      <c r="H6" s="54" t="s">
        <v>226</v>
      </c>
    </row>
    <row r="7" spans="2:11" x14ac:dyDescent="0.3">
      <c r="B7" s="53"/>
      <c r="C7" s="53"/>
      <c r="D7" s="54" t="s">
        <v>182</v>
      </c>
      <c r="E7" s="54" t="s">
        <v>190</v>
      </c>
      <c r="F7" s="54" t="s">
        <v>211</v>
      </c>
      <c r="G7" s="54" t="s">
        <v>197</v>
      </c>
      <c r="H7" s="54" t="s">
        <v>214</v>
      </c>
    </row>
    <row r="8" spans="2:11" x14ac:dyDescent="0.3">
      <c r="B8" s="53"/>
      <c r="C8" s="53"/>
      <c r="D8" s="54" t="s">
        <v>183</v>
      </c>
      <c r="E8" s="54" t="s">
        <v>191</v>
      </c>
      <c r="F8" s="54"/>
      <c r="G8" s="54" t="s">
        <v>198</v>
      </c>
      <c r="H8" s="54" t="s">
        <v>215</v>
      </c>
    </row>
    <row r="9" spans="2:11" x14ac:dyDescent="0.3">
      <c r="B9" s="53"/>
      <c r="C9" s="53"/>
      <c r="D9" s="54" t="s">
        <v>184</v>
      </c>
      <c r="E9" s="54" t="s">
        <v>189</v>
      </c>
      <c r="F9" s="54"/>
      <c r="G9" s="54" t="s">
        <v>199</v>
      </c>
      <c r="H9" s="54" t="s">
        <v>216</v>
      </c>
    </row>
    <row r="10" spans="2:11" x14ac:dyDescent="0.3">
      <c r="B10" s="53"/>
      <c r="C10" s="53"/>
      <c r="D10" s="54" t="s">
        <v>185</v>
      </c>
      <c r="E10" s="54" t="s">
        <v>192</v>
      </c>
      <c r="F10" s="54"/>
      <c r="G10" s="54" t="s">
        <v>200</v>
      </c>
      <c r="H10" s="54" t="s">
        <v>217</v>
      </c>
    </row>
    <row r="11" spans="2:11" x14ac:dyDescent="0.3">
      <c r="B11" s="53"/>
      <c r="C11" s="53"/>
      <c r="D11" s="54" t="s">
        <v>186</v>
      </c>
      <c r="E11" s="54" t="s">
        <v>193</v>
      </c>
      <c r="F11" s="54"/>
      <c r="G11" s="54" t="s">
        <v>201</v>
      </c>
      <c r="H11" s="54" t="s">
        <v>218</v>
      </c>
    </row>
    <row r="12" spans="2:11" x14ac:dyDescent="0.3">
      <c r="B12" s="53"/>
      <c r="C12" s="53"/>
      <c r="D12" s="54"/>
      <c r="E12" s="54"/>
      <c r="F12" s="54"/>
      <c r="G12" s="54" t="s">
        <v>202</v>
      </c>
      <c r="H12" s="54" t="s">
        <v>219</v>
      </c>
    </row>
    <row r="13" spans="2:11" x14ac:dyDescent="0.3">
      <c r="B13" s="53"/>
      <c r="C13" s="53"/>
      <c r="D13" s="54"/>
      <c r="E13" s="54"/>
      <c r="F13" s="54"/>
      <c r="G13" s="54" t="s">
        <v>203</v>
      </c>
      <c r="H13" s="54" t="s">
        <v>220</v>
      </c>
    </row>
    <row r="14" spans="2:11" x14ac:dyDescent="0.3">
      <c r="B14" s="53"/>
      <c r="C14" s="53"/>
      <c r="D14" s="54"/>
      <c r="E14" s="54"/>
      <c r="F14" s="54"/>
      <c r="G14" s="54" t="s">
        <v>204</v>
      </c>
      <c r="H14" s="54" t="s">
        <v>221</v>
      </c>
    </row>
    <row r="15" spans="2:11" x14ac:dyDescent="0.3">
      <c r="B15" s="53"/>
      <c r="C15" s="53"/>
      <c r="D15" s="54"/>
      <c r="E15" s="54"/>
      <c r="F15" s="54"/>
      <c r="G15" s="54" t="s">
        <v>205</v>
      </c>
      <c r="H15" s="54" t="s">
        <v>222</v>
      </c>
    </row>
    <row r="16" spans="2:11" x14ac:dyDescent="0.3">
      <c r="B16" s="53"/>
      <c r="C16" s="53"/>
      <c r="D16" s="54"/>
      <c r="E16" s="54"/>
      <c r="F16" s="54"/>
      <c r="G16" s="54" t="s">
        <v>206</v>
      </c>
      <c r="H16" s="54" t="s">
        <v>223</v>
      </c>
    </row>
    <row r="17" spans="2:8" x14ac:dyDescent="0.3">
      <c r="B17" s="53"/>
      <c r="C17" s="53"/>
      <c r="D17" s="54"/>
      <c r="E17" s="54"/>
      <c r="F17" s="54"/>
      <c r="G17" s="54" t="s">
        <v>207</v>
      </c>
      <c r="H17" s="54" t="s">
        <v>224</v>
      </c>
    </row>
    <row r="18" spans="2:8" x14ac:dyDescent="0.3">
      <c r="B18" s="53"/>
      <c r="C18" s="53"/>
      <c r="D18" s="54"/>
      <c r="E18" s="54"/>
      <c r="F18" s="54"/>
      <c r="G18" s="54" t="s">
        <v>208</v>
      </c>
      <c r="H18" s="54" t="s">
        <v>225</v>
      </c>
    </row>
    <row r="24" spans="2:8" x14ac:dyDescent="0.3">
      <c r="C24" t="s">
        <v>169</v>
      </c>
    </row>
    <row r="25" spans="2:8" x14ac:dyDescent="0.3">
      <c r="C25" t="s">
        <v>227</v>
      </c>
    </row>
    <row r="26" spans="2:8" x14ac:dyDescent="0.3">
      <c r="C26" t="s">
        <v>228</v>
      </c>
    </row>
    <row r="27" spans="2:8" x14ac:dyDescent="0.3">
      <c r="C27" t="s">
        <v>229</v>
      </c>
    </row>
    <row r="28" spans="2:8" x14ac:dyDescent="0.3">
      <c r="C28" t="s">
        <v>230</v>
      </c>
    </row>
    <row r="29" spans="2:8" x14ac:dyDescent="0.3">
      <c r="C29" t="s">
        <v>231</v>
      </c>
    </row>
    <row r="30" spans="2:8" x14ac:dyDescent="0.3">
      <c r="C30" t="s">
        <v>169</v>
      </c>
    </row>
    <row r="33" spans="3:11" x14ac:dyDescent="0.3">
      <c r="J33">
        <v>1</v>
      </c>
      <c r="K33">
        <v>2</v>
      </c>
    </row>
    <row r="34" spans="3:11" x14ac:dyDescent="0.3">
      <c r="C34" s="55" t="s">
        <v>235</v>
      </c>
      <c r="D34" s="54" t="s">
        <v>233</v>
      </c>
      <c r="E34" s="54" t="s">
        <v>238</v>
      </c>
      <c r="F34" s="54" t="s">
        <v>236</v>
      </c>
      <c r="G34" s="54" t="s">
        <v>237</v>
      </c>
      <c r="H34" s="54" t="s">
        <v>239</v>
      </c>
      <c r="J34" t="s">
        <v>194</v>
      </c>
      <c r="K34" t="s">
        <v>210</v>
      </c>
    </row>
    <row r="35" spans="3:11" x14ac:dyDescent="0.3">
      <c r="C35" s="53" t="s">
        <v>234</v>
      </c>
      <c r="D35" s="54" t="s">
        <v>170</v>
      </c>
      <c r="E35" s="54" t="s">
        <v>243</v>
      </c>
      <c r="F35" s="54" t="s">
        <v>245</v>
      </c>
      <c r="G35" s="54" t="s">
        <v>247</v>
      </c>
      <c r="H35" s="54"/>
    </row>
    <row r="36" spans="3:11" x14ac:dyDescent="0.3">
      <c r="C36" s="53"/>
      <c r="D36" s="54" t="s">
        <v>240</v>
      </c>
      <c r="E36" s="54" t="s">
        <v>244</v>
      </c>
      <c r="F36" s="54" t="s">
        <v>246</v>
      </c>
      <c r="G36" s="54" t="s">
        <v>248</v>
      </c>
      <c r="H36" s="54"/>
    </row>
    <row r="37" spans="3:11" x14ac:dyDescent="0.3">
      <c r="C37" s="53"/>
      <c r="D37" s="54" t="s">
        <v>241</v>
      </c>
      <c r="E37" s="54"/>
      <c r="F37" s="54"/>
      <c r="G37" s="54" t="s">
        <v>249</v>
      </c>
      <c r="H37" s="54"/>
    </row>
    <row r="38" spans="3:11" x14ac:dyDescent="0.3">
      <c r="C38" s="53"/>
      <c r="D38" s="54" t="s">
        <v>242</v>
      </c>
      <c r="E38" s="54"/>
      <c r="F38" s="54"/>
      <c r="G38" s="54" t="s">
        <v>249</v>
      </c>
      <c r="H38" s="54"/>
    </row>
    <row r="39" spans="3:11" x14ac:dyDescent="0.3">
      <c r="C39" s="53"/>
      <c r="D39" s="54"/>
      <c r="E39" s="54"/>
      <c r="F39" s="54"/>
      <c r="G39" s="54" t="s">
        <v>250</v>
      </c>
      <c r="H39" s="54"/>
    </row>
    <row r="40" spans="3:11" x14ac:dyDescent="0.3">
      <c r="C40" s="53"/>
      <c r="D40" s="54"/>
      <c r="E40" s="54"/>
      <c r="F40" s="54"/>
      <c r="G40" s="54" t="s">
        <v>251</v>
      </c>
      <c r="H40" s="54"/>
    </row>
    <row r="41" spans="3:11" x14ac:dyDescent="0.3">
      <c r="C41" s="53"/>
      <c r="D41" s="54"/>
      <c r="E41" s="54"/>
      <c r="F41" s="54"/>
      <c r="G41" s="54"/>
      <c r="H41" s="54"/>
    </row>
    <row r="43" spans="3:11" x14ac:dyDescent="0.3">
      <c r="C43" t="s">
        <v>252</v>
      </c>
    </row>
    <row r="44" spans="3:11" x14ac:dyDescent="0.3">
      <c r="C44" t="s">
        <v>172</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179</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194</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189</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4.4" x14ac:dyDescent="0.3"/>
  <cols>
    <col min="2" max="2" width="3" bestFit="1" customWidth="1"/>
    <col min="3" max="3" width="155.33203125" customWidth="1"/>
  </cols>
  <sheetData>
    <row r="2" spans="2:3" ht="15" customHeight="1" x14ac:dyDescent="0.3">
      <c r="B2" s="56">
        <v>1</v>
      </c>
      <c r="C2" s="58" t="s">
        <v>282</v>
      </c>
    </row>
    <row r="3" spans="2:3" x14ac:dyDescent="0.3">
      <c r="B3" s="56">
        <v>2</v>
      </c>
      <c r="C3" s="57" t="s">
        <v>283</v>
      </c>
    </row>
    <row r="4" spans="2:3" x14ac:dyDescent="0.3">
      <c r="B4" s="56">
        <v>3</v>
      </c>
      <c r="C4" s="56" t="s">
        <v>284</v>
      </c>
    </row>
    <row r="5" spans="2:3" x14ac:dyDescent="0.3">
      <c r="B5" s="56">
        <v>4</v>
      </c>
      <c r="C5" s="57" t="s">
        <v>285</v>
      </c>
    </row>
    <row r="6" spans="2:3" x14ac:dyDescent="0.3">
      <c r="B6" s="56">
        <v>5</v>
      </c>
      <c r="C6" s="56" t="s">
        <v>286</v>
      </c>
    </row>
    <row r="7" spans="2:3" x14ac:dyDescent="0.3">
      <c r="B7" s="56">
        <v>6</v>
      </c>
      <c r="C7" s="57" t="s">
        <v>287</v>
      </c>
    </row>
    <row r="8" spans="2:3" ht="72" x14ac:dyDescent="0.3">
      <c r="B8" s="56">
        <v>7</v>
      </c>
      <c r="C8" s="57" t="s">
        <v>288</v>
      </c>
    </row>
    <row r="9" spans="2:3" x14ac:dyDescent="0.3">
      <c r="B9" s="56">
        <v>8</v>
      </c>
      <c r="C9" s="56" t="s">
        <v>289</v>
      </c>
    </row>
    <row r="10" spans="2:3" x14ac:dyDescent="0.3">
      <c r="B10" s="56">
        <v>9</v>
      </c>
      <c r="C10" s="56" t="s">
        <v>290</v>
      </c>
    </row>
    <row r="11" spans="2:3" x14ac:dyDescent="0.3">
      <c r="B11" s="56">
        <v>10</v>
      </c>
      <c r="C11" s="56" t="s">
        <v>291</v>
      </c>
    </row>
    <row r="12" spans="2:3" x14ac:dyDescent="0.3">
      <c r="B12" s="56">
        <v>11</v>
      </c>
      <c r="C12" s="56" t="s">
        <v>292</v>
      </c>
    </row>
    <row r="13" spans="2:3" x14ac:dyDescent="0.3">
      <c r="B13" s="56">
        <v>12</v>
      </c>
      <c r="C13" s="56" t="s">
        <v>293</v>
      </c>
    </row>
    <row r="14" spans="2:3" x14ac:dyDescent="0.3">
      <c r="B14" s="56">
        <v>13</v>
      </c>
      <c r="C14" s="56" t="s">
        <v>294</v>
      </c>
    </row>
    <row r="15" spans="2:3" x14ac:dyDescent="0.3">
      <c r="B15" s="56">
        <v>14</v>
      </c>
      <c r="C15" s="56" t="s">
        <v>284</v>
      </c>
    </row>
    <row r="16" spans="2:3" x14ac:dyDescent="0.3">
      <c r="B16" s="56">
        <v>15</v>
      </c>
      <c r="C16" s="56" t="s">
        <v>297</v>
      </c>
    </row>
    <row r="17" spans="2:3" x14ac:dyDescent="0.3">
      <c r="B17" s="76">
        <v>16</v>
      </c>
      <c r="C17" s="62" t="s">
        <v>298</v>
      </c>
    </row>
    <row r="18" spans="2:3" x14ac:dyDescent="0.3">
      <c r="B18" s="61">
        <v>17</v>
      </c>
      <c r="C18" s="62" t="s">
        <v>299</v>
      </c>
    </row>
    <row r="19" spans="2:3" x14ac:dyDescent="0.3">
      <c r="B19" s="60">
        <v>18</v>
      </c>
      <c r="C19" s="56" t="s">
        <v>300</v>
      </c>
    </row>
    <row r="20" spans="2:3" x14ac:dyDescent="0.3">
      <c r="B20" s="61">
        <v>19</v>
      </c>
      <c r="C20" s="56" t="s">
        <v>336</v>
      </c>
    </row>
    <row r="21" spans="2:3" x14ac:dyDescent="0.3">
      <c r="B21" s="56">
        <v>20</v>
      </c>
      <c r="C21" s="56" t="s">
        <v>301</v>
      </c>
    </row>
    <row r="22" spans="2:3" x14ac:dyDescent="0.3">
      <c r="B22" s="61">
        <v>21</v>
      </c>
      <c r="C22" s="56" t="s">
        <v>300</v>
      </c>
    </row>
    <row r="23" spans="2:3" s="71" customFormat="1" ht="29.25" customHeight="1" x14ac:dyDescent="0.3">
      <c r="B23" s="70">
        <v>22</v>
      </c>
      <c r="C23" s="58" t="s">
        <v>328</v>
      </c>
    </row>
    <row r="24" spans="2:3" s="71" customFormat="1" ht="30.75" customHeight="1" x14ac:dyDescent="0.3">
      <c r="B24" s="72">
        <v>23</v>
      </c>
      <c r="C24" s="58" t="s">
        <v>329</v>
      </c>
    </row>
    <row r="25" spans="2:3" x14ac:dyDescent="0.3">
      <c r="B25" s="56">
        <v>24</v>
      </c>
      <c r="C25" s="56" t="s">
        <v>332</v>
      </c>
    </row>
    <row r="26" spans="2:3" x14ac:dyDescent="0.3">
      <c r="B26" s="61">
        <v>25</v>
      </c>
      <c r="C26" s="56" t="s">
        <v>330</v>
      </c>
    </row>
    <row r="27" spans="2:3" x14ac:dyDescent="0.3">
      <c r="B27" s="72">
        <v>26</v>
      </c>
      <c r="C27" s="56" t="s">
        <v>331</v>
      </c>
    </row>
    <row r="28" spans="2:3" x14ac:dyDescent="0.3">
      <c r="B28" s="61">
        <v>27</v>
      </c>
      <c r="C28" s="56" t="s">
        <v>333</v>
      </c>
    </row>
    <row r="29" spans="2:3" ht="43.2" x14ac:dyDescent="0.3">
      <c r="B29" s="75">
        <v>28</v>
      </c>
      <c r="C29" s="57" t="s">
        <v>334</v>
      </c>
    </row>
    <row r="30" spans="2:3" x14ac:dyDescent="0.3">
      <c r="B30" s="72">
        <v>29</v>
      </c>
      <c r="C30" s="56" t="s">
        <v>335</v>
      </c>
    </row>
    <row r="31" spans="2:3" ht="28.8" x14ac:dyDescent="0.3">
      <c r="B31" s="72">
        <v>30</v>
      </c>
      <c r="C31" s="57" t="s">
        <v>337</v>
      </c>
    </row>
    <row r="32" spans="2:3" x14ac:dyDescent="0.3">
      <c r="B32" s="72">
        <v>31</v>
      </c>
      <c r="C32" s="56" t="s">
        <v>338</v>
      </c>
    </row>
    <row r="33" spans="2:4" x14ac:dyDescent="0.3">
      <c r="B33" s="72">
        <v>32</v>
      </c>
      <c r="C33" s="56" t="s">
        <v>339</v>
      </c>
    </row>
    <row r="34" spans="2:4" ht="36.75" customHeight="1" x14ac:dyDescent="0.3">
      <c r="B34" s="72">
        <v>33</v>
      </c>
      <c r="C34" s="62" t="s">
        <v>340</v>
      </c>
    </row>
    <row r="35" spans="2:4" x14ac:dyDescent="0.3">
      <c r="B35" s="70">
        <v>34</v>
      </c>
      <c r="C35" s="56" t="s">
        <v>348</v>
      </c>
    </row>
    <row r="36" spans="2:4" ht="57.6" x14ac:dyDescent="0.3">
      <c r="B36" s="70">
        <v>35</v>
      </c>
      <c r="C36" s="57" t="s">
        <v>352</v>
      </c>
    </row>
    <row r="37" spans="2:4" x14ac:dyDescent="0.3">
      <c r="B37" s="56">
        <v>36</v>
      </c>
      <c r="C37" s="57" t="s">
        <v>362</v>
      </c>
    </row>
    <row r="38" spans="2:4" x14ac:dyDescent="0.3">
      <c r="B38" s="56">
        <f t="shared" ref="B38:B44" si="0">B37+1</f>
        <v>37</v>
      </c>
      <c r="C38" s="56" t="s">
        <v>358</v>
      </c>
    </row>
    <row r="39" spans="2:4" x14ac:dyDescent="0.3">
      <c r="B39" s="56">
        <f t="shared" si="0"/>
        <v>38</v>
      </c>
      <c r="C39" s="56" t="s">
        <v>359</v>
      </c>
    </row>
    <row r="40" spans="2:4" x14ac:dyDescent="0.3">
      <c r="B40" s="56">
        <f t="shared" si="0"/>
        <v>39</v>
      </c>
      <c r="C40" s="56" t="s">
        <v>360</v>
      </c>
    </row>
    <row r="41" spans="2:4" x14ac:dyDescent="0.3">
      <c r="B41" s="56">
        <f t="shared" si="0"/>
        <v>40</v>
      </c>
      <c r="C41" s="56" t="s">
        <v>361</v>
      </c>
    </row>
    <row r="42" spans="2:4" ht="29.4" thickBot="1" x14ac:dyDescent="0.35">
      <c r="B42" s="79">
        <f t="shared" si="0"/>
        <v>41</v>
      </c>
      <c r="C42" s="80" t="s">
        <v>363</v>
      </c>
    </row>
    <row r="43" spans="2:4" ht="28.8" x14ac:dyDescent="0.3">
      <c r="B43" s="83">
        <f t="shared" si="0"/>
        <v>42</v>
      </c>
      <c r="C43" s="88" t="s">
        <v>368</v>
      </c>
      <c r="D43" t="s">
        <v>369</v>
      </c>
    </row>
    <row r="44" spans="2:4" ht="15" thickBot="1" x14ac:dyDescent="0.35">
      <c r="B44" s="85">
        <f t="shared" si="0"/>
        <v>43</v>
      </c>
      <c r="C44" s="87" t="s">
        <v>364</v>
      </c>
    </row>
    <row r="45" spans="2:4" ht="15" thickBot="1" x14ac:dyDescent="0.35">
      <c r="B45" s="81">
        <f t="shared" ref="B45:B54" si="1">B44+1</f>
        <v>44</v>
      </c>
      <c r="C45" s="82" t="s">
        <v>365</v>
      </c>
    </row>
    <row r="46" spans="2:4" ht="28.8" x14ac:dyDescent="0.3">
      <c r="B46" s="83">
        <f t="shared" si="1"/>
        <v>45</v>
      </c>
      <c r="C46" s="84" t="s">
        <v>366</v>
      </c>
    </row>
    <row r="47" spans="2:4" ht="15" thickBot="1" x14ac:dyDescent="0.35">
      <c r="B47" s="85">
        <f t="shared" si="1"/>
        <v>46</v>
      </c>
      <c r="C47" s="86" t="s">
        <v>367</v>
      </c>
    </row>
    <row r="48" spans="2:4" x14ac:dyDescent="0.3">
      <c r="B48" s="89">
        <f t="shared" si="1"/>
        <v>47</v>
      </c>
      <c r="C48" s="90" t="s">
        <v>370</v>
      </c>
    </row>
    <row r="49" spans="2:6" x14ac:dyDescent="0.3">
      <c r="B49" s="89">
        <f t="shared" si="1"/>
        <v>48</v>
      </c>
      <c r="C49" s="90" t="s">
        <v>371</v>
      </c>
    </row>
    <row r="50" spans="2:6" x14ac:dyDescent="0.3">
      <c r="B50" s="89">
        <f t="shared" si="1"/>
        <v>49</v>
      </c>
      <c r="C50" s="90" t="s">
        <v>373</v>
      </c>
      <c r="D50" t="s">
        <v>372</v>
      </c>
    </row>
    <row r="51" spans="2:6" ht="28.8" x14ac:dyDescent="0.3">
      <c r="B51" s="91">
        <f t="shared" si="1"/>
        <v>50</v>
      </c>
      <c r="C51" s="92" t="s">
        <v>374</v>
      </c>
    </row>
    <row r="52" spans="2:6" x14ac:dyDescent="0.3">
      <c r="B52" s="91">
        <f t="shared" si="1"/>
        <v>51</v>
      </c>
      <c r="C52" s="93" t="s">
        <v>375</v>
      </c>
      <c r="D52" t="s">
        <v>376</v>
      </c>
    </row>
    <row r="53" spans="2:6" x14ac:dyDescent="0.3">
      <c r="B53" s="91">
        <f t="shared" si="1"/>
        <v>52</v>
      </c>
      <c r="C53" s="93" t="s">
        <v>378</v>
      </c>
      <c r="D53" t="s">
        <v>379</v>
      </c>
    </row>
    <row r="54" spans="2:6" ht="28.8" x14ac:dyDescent="0.3">
      <c r="B54" s="91">
        <f t="shared" si="1"/>
        <v>53</v>
      </c>
      <c r="C54" s="62" t="s">
        <v>383</v>
      </c>
      <c r="D54" t="s">
        <v>382</v>
      </c>
    </row>
    <row r="55" spans="2:6" ht="28.8" x14ac:dyDescent="0.3">
      <c r="B55">
        <v>54</v>
      </c>
      <c r="C55" s="95" t="s">
        <v>384</v>
      </c>
      <c r="D55" s="271" t="s">
        <v>385</v>
      </c>
      <c r="E55" s="272"/>
      <c r="F55" s="272"/>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3"/>
    <col min="2" max="2" width="12.33203125" style="53" customWidth="1"/>
    <col min="3" max="16384" width="9.109375" style="53"/>
  </cols>
  <sheetData>
    <row r="2" spans="1:12" x14ac:dyDescent="0.3">
      <c r="B2" s="64" t="s">
        <v>302</v>
      </c>
      <c r="C2" s="273"/>
      <c r="D2" s="273"/>
    </row>
    <row r="3" spans="1:12" x14ac:dyDescent="0.3">
      <c r="D3" s="65"/>
      <c r="E3" s="65"/>
      <c r="F3" s="65"/>
      <c r="G3" s="65"/>
      <c r="H3" s="65"/>
      <c r="I3" s="65"/>
    </row>
    <row r="4" spans="1:12" x14ac:dyDescent="0.3">
      <c r="A4" s="64" t="s">
        <v>65</v>
      </c>
      <c r="B4" s="66" t="s">
        <v>303</v>
      </c>
      <c r="C4" s="274" t="s">
        <v>304</v>
      </c>
      <c r="D4" s="274"/>
      <c r="E4" s="274"/>
      <c r="F4" s="66"/>
      <c r="G4" s="275" t="s">
        <v>305</v>
      </c>
      <c r="H4" s="275"/>
      <c r="I4" s="275"/>
      <c r="J4" s="276" t="s">
        <v>306</v>
      </c>
      <c r="K4" s="276"/>
      <c r="L4" s="276"/>
    </row>
    <row r="5" spans="1:12" x14ac:dyDescent="0.3">
      <c r="A5" s="64"/>
      <c r="B5" s="66"/>
      <c r="C5" s="66" t="s">
        <v>307</v>
      </c>
      <c r="D5" s="66" t="s">
        <v>308</v>
      </c>
      <c r="E5" s="66" t="s">
        <v>309</v>
      </c>
      <c r="F5" s="66"/>
      <c r="G5" s="66" t="s">
        <v>307</v>
      </c>
      <c r="H5" s="66" t="s">
        <v>308</v>
      </c>
      <c r="I5" s="66" t="s">
        <v>309</v>
      </c>
      <c r="J5" s="66" t="s">
        <v>307</v>
      </c>
      <c r="K5" s="66" t="s">
        <v>308</v>
      </c>
      <c r="L5" s="66" t="s">
        <v>309</v>
      </c>
    </row>
    <row r="6" spans="1:12" x14ac:dyDescent="0.3">
      <c r="B6" s="54" t="s">
        <v>310</v>
      </c>
      <c r="C6" s="54"/>
      <c r="D6" s="54"/>
      <c r="E6" s="54">
        <f>C6*D6</f>
        <v>0</v>
      </c>
      <c r="F6" s="54" t="s">
        <v>327</v>
      </c>
      <c r="G6" s="54"/>
      <c r="H6" s="54"/>
      <c r="I6" s="54">
        <f>G6*H6</f>
        <v>0</v>
      </c>
      <c r="J6" s="54"/>
      <c r="K6" s="54"/>
      <c r="L6" s="54">
        <f>J6*K6</f>
        <v>0</v>
      </c>
    </row>
    <row r="7" spans="1:12" x14ac:dyDescent="0.3">
      <c r="B7" s="54"/>
      <c r="C7" s="54"/>
      <c r="D7" s="54"/>
      <c r="E7" s="54">
        <f t="shared" ref="E7:E41" si="0">C7*D7</f>
        <v>0</v>
      </c>
      <c r="F7" s="54" t="s">
        <v>327</v>
      </c>
      <c r="G7" s="54"/>
      <c r="H7" s="54"/>
      <c r="I7" s="54">
        <f t="shared" ref="I7:I35" si="1">G7*H7</f>
        <v>0</v>
      </c>
      <c r="J7" s="54"/>
      <c r="K7" s="54"/>
      <c r="L7" s="54">
        <f t="shared" ref="L7:L35" si="2">J7*K7</f>
        <v>0</v>
      </c>
    </row>
    <row r="8" spans="1:12" x14ac:dyDescent="0.3">
      <c r="B8" s="54"/>
      <c r="C8" s="54"/>
      <c r="D8" s="54"/>
      <c r="E8" s="54">
        <f t="shared" si="0"/>
        <v>0</v>
      </c>
      <c r="F8" s="54"/>
      <c r="G8" s="54"/>
      <c r="H8" s="54"/>
      <c r="I8" s="54">
        <f t="shared" si="1"/>
        <v>0</v>
      </c>
      <c r="J8" s="54"/>
      <c r="K8" s="54"/>
      <c r="L8" s="54">
        <f t="shared" si="2"/>
        <v>0</v>
      </c>
    </row>
    <row r="9" spans="1:12" x14ac:dyDescent="0.3">
      <c r="B9" s="54"/>
      <c r="C9" s="54"/>
      <c r="D9" s="54"/>
      <c r="E9" s="54">
        <f t="shared" si="0"/>
        <v>0</v>
      </c>
      <c r="F9" s="54" t="s">
        <v>311</v>
      </c>
      <c r="G9" s="54"/>
      <c r="H9" s="54"/>
      <c r="I9" s="54">
        <f t="shared" si="1"/>
        <v>0</v>
      </c>
      <c r="J9" s="54"/>
      <c r="K9" s="54"/>
      <c r="L9" s="54">
        <f t="shared" si="2"/>
        <v>0</v>
      </c>
    </row>
    <row r="10" spans="1:12" x14ac:dyDescent="0.3">
      <c r="B10" s="54" t="s">
        <v>312</v>
      </c>
      <c r="C10" s="54"/>
      <c r="D10" s="54"/>
      <c r="E10" s="54">
        <f t="shared" si="0"/>
        <v>0</v>
      </c>
      <c r="F10" s="54" t="s">
        <v>311</v>
      </c>
      <c r="G10" s="54"/>
      <c r="H10" s="54"/>
      <c r="I10" s="54">
        <f t="shared" si="1"/>
        <v>0</v>
      </c>
      <c r="J10" s="54"/>
      <c r="K10" s="54"/>
      <c r="L10" s="54">
        <f t="shared" si="2"/>
        <v>0</v>
      </c>
    </row>
    <row r="11" spans="1:12" x14ac:dyDescent="0.3">
      <c r="B11" s="54"/>
      <c r="C11" s="54"/>
      <c r="D11" s="54"/>
      <c r="E11" s="54">
        <f t="shared" si="0"/>
        <v>0</v>
      </c>
      <c r="F11" s="54" t="s">
        <v>313</v>
      </c>
      <c r="G11" s="54"/>
      <c r="H11" s="54"/>
      <c r="I11" s="54">
        <f t="shared" si="1"/>
        <v>0</v>
      </c>
      <c r="J11" s="54"/>
      <c r="K11" s="54"/>
      <c r="L11" s="54">
        <f t="shared" si="2"/>
        <v>0</v>
      </c>
    </row>
    <row r="12" spans="1:12" x14ac:dyDescent="0.3">
      <c r="B12" s="54"/>
      <c r="C12" s="54"/>
      <c r="D12" s="54"/>
      <c r="E12" s="54">
        <f t="shared" si="0"/>
        <v>0</v>
      </c>
      <c r="F12" s="54"/>
      <c r="G12" s="54"/>
      <c r="H12" s="54"/>
      <c r="I12" s="54">
        <f t="shared" si="1"/>
        <v>0</v>
      </c>
      <c r="J12" s="54"/>
      <c r="K12" s="54"/>
      <c r="L12" s="54">
        <f t="shared" si="2"/>
        <v>0</v>
      </c>
    </row>
    <row r="13" spans="1:12" x14ac:dyDescent="0.3">
      <c r="B13" s="54"/>
      <c r="C13" s="54"/>
      <c r="D13" s="54"/>
      <c r="E13" s="54">
        <f t="shared" si="0"/>
        <v>0</v>
      </c>
      <c r="F13" s="54"/>
      <c r="G13" s="54"/>
      <c r="H13" s="54"/>
      <c r="I13" s="54">
        <f t="shared" si="1"/>
        <v>0</v>
      </c>
      <c r="J13" s="54"/>
      <c r="K13" s="54"/>
      <c r="L13" s="54">
        <f t="shared" si="2"/>
        <v>0</v>
      </c>
    </row>
    <row r="14" spans="1:12" x14ac:dyDescent="0.3">
      <c r="B14" s="54" t="s">
        <v>314</v>
      </c>
      <c r="C14" s="54"/>
      <c r="D14" s="54"/>
      <c r="E14" s="54">
        <f t="shared" si="0"/>
        <v>0</v>
      </c>
      <c r="F14" s="54" t="s">
        <v>311</v>
      </c>
      <c r="G14" s="54"/>
      <c r="H14" s="54"/>
      <c r="I14" s="54">
        <f t="shared" si="1"/>
        <v>0</v>
      </c>
      <c r="J14" s="54"/>
      <c r="K14" s="54"/>
      <c r="L14" s="54">
        <f t="shared" si="2"/>
        <v>0</v>
      </c>
    </row>
    <row r="15" spans="1:12" x14ac:dyDescent="0.3">
      <c r="B15" s="54"/>
      <c r="C15" s="54"/>
      <c r="D15" s="54"/>
      <c r="E15" s="54">
        <f t="shared" si="0"/>
        <v>0</v>
      </c>
      <c r="F15" s="54" t="s">
        <v>313</v>
      </c>
      <c r="G15" s="54"/>
      <c r="H15" s="54"/>
      <c r="I15" s="54">
        <f t="shared" si="1"/>
        <v>0</v>
      </c>
      <c r="J15" s="54"/>
      <c r="K15" s="54"/>
      <c r="L15" s="54">
        <f t="shared" si="2"/>
        <v>0</v>
      </c>
    </row>
    <row r="16" spans="1:12" x14ac:dyDescent="0.3">
      <c r="B16" s="54"/>
      <c r="C16" s="54"/>
      <c r="D16" s="54"/>
      <c r="E16" s="54">
        <f t="shared" si="0"/>
        <v>0</v>
      </c>
      <c r="F16" s="54"/>
      <c r="G16" s="54"/>
      <c r="H16" s="54"/>
      <c r="I16" s="54">
        <f t="shared" si="1"/>
        <v>0</v>
      </c>
      <c r="J16" s="54"/>
      <c r="K16" s="54"/>
      <c r="L16" s="54">
        <f t="shared" si="2"/>
        <v>0</v>
      </c>
    </row>
    <row r="17" spans="2:12" x14ac:dyDescent="0.3">
      <c r="B17" s="54"/>
      <c r="C17" s="54"/>
      <c r="D17" s="54"/>
      <c r="E17" s="54">
        <f t="shared" si="0"/>
        <v>0</v>
      </c>
      <c r="F17" s="54"/>
      <c r="G17" s="54"/>
      <c r="H17" s="54"/>
      <c r="I17" s="54">
        <f t="shared" si="1"/>
        <v>0</v>
      </c>
      <c r="J17" s="54"/>
      <c r="K17" s="54"/>
      <c r="L17" s="54">
        <f t="shared" si="2"/>
        <v>0</v>
      </c>
    </row>
    <row r="18" spans="2:12" x14ac:dyDescent="0.3">
      <c r="B18" s="54" t="s">
        <v>315</v>
      </c>
      <c r="C18" s="54"/>
      <c r="D18" s="54"/>
      <c r="E18" s="54">
        <f t="shared" si="0"/>
        <v>0</v>
      </c>
      <c r="F18" s="54" t="s">
        <v>311</v>
      </c>
      <c r="G18" s="54"/>
      <c r="H18" s="54"/>
      <c r="I18" s="54">
        <f t="shared" si="1"/>
        <v>0</v>
      </c>
      <c r="J18" s="54"/>
      <c r="K18" s="54"/>
      <c r="L18" s="54">
        <f t="shared" si="2"/>
        <v>0</v>
      </c>
    </row>
    <row r="19" spans="2:12" x14ac:dyDescent="0.3">
      <c r="B19" s="54"/>
      <c r="C19" s="54"/>
      <c r="D19" s="54"/>
      <c r="E19" s="54">
        <f t="shared" si="0"/>
        <v>0</v>
      </c>
      <c r="F19" s="54" t="s">
        <v>313</v>
      </c>
      <c r="G19" s="54"/>
      <c r="H19" s="54"/>
      <c r="I19" s="54">
        <f t="shared" si="1"/>
        <v>0</v>
      </c>
      <c r="J19" s="54"/>
      <c r="K19" s="54"/>
      <c r="L19" s="54">
        <f t="shared" si="2"/>
        <v>0</v>
      </c>
    </row>
    <row r="20" spans="2:12" x14ac:dyDescent="0.3">
      <c r="B20" s="54"/>
      <c r="C20" s="54"/>
      <c r="D20" s="54"/>
      <c r="E20" s="54">
        <f t="shared" si="0"/>
        <v>0</v>
      </c>
      <c r="F20" s="54"/>
      <c r="G20" s="54"/>
      <c r="H20" s="54"/>
      <c r="I20" s="54">
        <f t="shared" si="1"/>
        <v>0</v>
      </c>
      <c r="J20" s="54"/>
      <c r="K20" s="54"/>
      <c r="L20" s="54">
        <f t="shared" si="2"/>
        <v>0</v>
      </c>
    </row>
    <row r="21" spans="2:12" x14ac:dyDescent="0.3">
      <c r="B21" s="54" t="s">
        <v>316</v>
      </c>
      <c r="C21" s="54"/>
      <c r="D21" s="54"/>
      <c r="E21" s="54">
        <f t="shared" si="0"/>
        <v>0</v>
      </c>
      <c r="F21" s="54" t="s">
        <v>311</v>
      </c>
      <c r="G21" s="54"/>
      <c r="H21" s="54"/>
      <c r="I21" s="54">
        <f t="shared" si="1"/>
        <v>0</v>
      </c>
      <c r="J21" s="54"/>
      <c r="K21" s="54"/>
      <c r="L21" s="54">
        <f t="shared" si="2"/>
        <v>0</v>
      </c>
    </row>
    <row r="22" spans="2:12" x14ac:dyDescent="0.3">
      <c r="B22" s="54"/>
      <c r="C22" s="54"/>
      <c r="D22" s="54"/>
      <c r="E22" s="54">
        <f t="shared" si="0"/>
        <v>0</v>
      </c>
      <c r="F22" s="54" t="s">
        <v>313</v>
      </c>
      <c r="G22" s="54"/>
      <c r="H22" s="54"/>
      <c r="I22" s="54">
        <f t="shared" si="1"/>
        <v>0</v>
      </c>
      <c r="J22" s="54"/>
      <c r="K22" s="54"/>
      <c r="L22" s="54">
        <f t="shared" si="2"/>
        <v>0</v>
      </c>
    </row>
    <row r="23" spans="2:12" x14ac:dyDescent="0.3">
      <c r="B23" s="54"/>
      <c r="C23" s="54"/>
      <c r="D23" s="54"/>
      <c r="E23" s="54">
        <f t="shared" si="0"/>
        <v>0</v>
      </c>
      <c r="F23" s="54"/>
      <c r="G23" s="54"/>
      <c r="H23" s="54"/>
      <c r="I23" s="54">
        <f t="shared" si="1"/>
        <v>0</v>
      </c>
      <c r="J23" s="54"/>
      <c r="K23" s="54"/>
      <c r="L23" s="54">
        <f t="shared" si="2"/>
        <v>0</v>
      </c>
    </row>
    <row r="24" spans="2:12" x14ac:dyDescent="0.3">
      <c r="B24" s="54" t="s">
        <v>317</v>
      </c>
      <c r="C24" s="54"/>
      <c r="D24" s="54"/>
      <c r="E24" s="54">
        <f t="shared" si="0"/>
        <v>0</v>
      </c>
      <c r="F24" s="54" t="s">
        <v>318</v>
      </c>
      <c r="G24" s="54"/>
      <c r="H24" s="54"/>
      <c r="I24" s="54">
        <f t="shared" si="1"/>
        <v>0</v>
      </c>
      <c r="J24" s="54"/>
      <c r="K24" s="54"/>
      <c r="L24" s="54">
        <f t="shared" si="2"/>
        <v>0</v>
      </c>
    </row>
    <row r="25" spans="2:12" x14ac:dyDescent="0.3">
      <c r="B25" s="54"/>
      <c r="C25" s="54"/>
      <c r="D25" s="54"/>
      <c r="E25" s="54">
        <f>C25*D25</f>
        <v>0</v>
      </c>
      <c r="F25" s="54" t="s">
        <v>318</v>
      </c>
      <c r="G25" s="54"/>
      <c r="H25" s="54"/>
      <c r="I25" s="54">
        <f>G25*H25</f>
        <v>0</v>
      </c>
      <c r="J25" s="54"/>
      <c r="K25" s="54"/>
      <c r="L25" s="54">
        <f>J25*K25</f>
        <v>0</v>
      </c>
    </row>
    <row r="26" spans="2:12" x14ac:dyDescent="0.3">
      <c r="B26" s="54"/>
      <c r="C26" s="54"/>
      <c r="D26" s="54"/>
      <c r="E26" s="54">
        <f>C26*D26</f>
        <v>0</v>
      </c>
      <c r="F26" s="54" t="s">
        <v>318</v>
      </c>
      <c r="G26" s="54"/>
      <c r="H26" s="54"/>
      <c r="I26" s="54">
        <f>G26*H26</f>
        <v>0</v>
      </c>
      <c r="J26" s="54"/>
      <c r="K26" s="54"/>
      <c r="L26" s="54">
        <f>J26*K26</f>
        <v>0</v>
      </c>
    </row>
    <row r="27" spans="2:12" x14ac:dyDescent="0.3">
      <c r="B27" s="54"/>
      <c r="C27" s="54"/>
      <c r="D27" s="54"/>
      <c r="E27" s="54">
        <f>C27*D27</f>
        <v>0</v>
      </c>
      <c r="F27" s="54" t="s">
        <v>318</v>
      </c>
      <c r="G27" s="54"/>
      <c r="H27" s="54"/>
      <c r="I27" s="54">
        <f>G27*H27</f>
        <v>0</v>
      </c>
      <c r="J27" s="54"/>
      <c r="K27" s="54"/>
      <c r="L27" s="54">
        <f>J27*K27</f>
        <v>0</v>
      </c>
    </row>
    <row r="28" spans="2:12" x14ac:dyDescent="0.3">
      <c r="B28" s="54" t="s">
        <v>319</v>
      </c>
      <c r="C28" s="54"/>
      <c r="D28" s="54"/>
      <c r="E28" s="54">
        <f t="shared" si="0"/>
        <v>0</v>
      </c>
      <c r="F28" s="54" t="s">
        <v>318</v>
      </c>
      <c r="G28" s="54"/>
      <c r="H28" s="54"/>
      <c r="I28" s="54">
        <f t="shared" si="1"/>
        <v>0</v>
      </c>
      <c r="J28" s="54"/>
      <c r="K28" s="54"/>
      <c r="L28" s="54">
        <f t="shared" si="2"/>
        <v>0</v>
      </c>
    </row>
    <row r="29" spans="2:12" x14ac:dyDescent="0.3">
      <c r="B29" s="54" t="s">
        <v>320</v>
      </c>
      <c r="C29" s="54"/>
      <c r="D29" s="54"/>
      <c r="E29" s="54">
        <f t="shared" si="0"/>
        <v>0</v>
      </c>
      <c r="F29" s="54" t="s">
        <v>318</v>
      </c>
      <c r="G29" s="54"/>
      <c r="H29" s="54"/>
      <c r="I29" s="54">
        <f t="shared" si="1"/>
        <v>0</v>
      </c>
      <c r="J29" s="54"/>
      <c r="K29" s="54"/>
      <c r="L29" s="54">
        <f t="shared" si="2"/>
        <v>0</v>
      </c>
    </row>
    <row r="30" spans="2:12" x14ac:dyDescent="0.3">
      <c r="B30" s="54" t="s">
        <v>324</v>
      </c>
      <c r="C30" s="54"/>
      <c r="D30" s="54"/>
      <c r="E30" s="54">
        <f t="shared" si="0"/>
        <v>0</v>
      </c>
      <c r="F30" s="54"/>
      <c r="G30" s="54"/>
      <c r="H30" s="54"/>
      <c r="I30" s="54">
        <f t="shared" si="1"/>
        <v>0</v>
      </c>
      <c r="J30" s="54"/>
      <c r="K30" s="54"/>
      <c r="L30" s="54">
        <f t="shared" si="2"/>
        <v>0</v>
      </c>
    </row>
    <row r="31" spans="2:12" x14ac:dyDescent="0.3">
      <c r="B31" s="54"/>
      <c r="C31" s="54"/>
      <c r="D31" s="54"/>
      <c r="E31" s="54">
        <f>C31*D31</f>
        <v>0</v>
      </c>
      <c r="F31" s="54"/>
      <c r="G31" s="54"/>
      <c r="H31" s="54"/>
      <c r="I31" s="54">
        <f>G31*H31</f>
        <v>0</v>
      </c>
      <c r="J31" s="54"/>
      <c r="K31" s="54"/>
      <c r="L31" s="54">
        <f>J31*K31</f>
        <v>0</v>
      </c>
    </row>
    <row r="32" spans="2:12" x14ac:dyDescent="0.3">
      <c r="B32" s="54"/>
      <c r="C32" s="54"/>
      <c r="D32" s="54"/>
      <c r="E32" s="54">
        <f>C32*D32</f>
        <v>0</v>
      </c>
      <c r="F32" s="54"/>
      <c r="G32" s="54"/>
      <c r="H32" s="54"/>
      <c r="I32" s="54">
        <f>G32*H32</f>
        <v>0</v>
      </c>
      <c r="J32" s="54"/>
      <c r="K32" s="54"/>
      <c r="L32" s="54">
        <f>J32*K32</f>
        <v>0</v>
      </c>
    </row>
    <row r="33" spans="2:12" x14ac:dyDescent="0.3">
      <c r="B33" s="54" t="s">
        <v>321</v>
      </c>
      <c r="C33" s="54"/>
      <c r="D33" s="54"/>
      <c r="E33" s="54">
        <f t="shared" si="0"/>
        <v>0</v>
      </c>
      <c r="F33" s="54"/>
      <c r="G33" s="54"/>
      <c r="H33" s="54"/>
      <c r="I33" s="54">
        <f t="shared" si="1"/>
        <v>0</v>
      </c>
      <c r="J33" s="54"/>
      <c r="K33" s="54"/>
      <c r="L33" s="54">
        <f t="shared" si="2"/>
        <v>0</v>
      </c>
    </row>
    <row r="34" spans="2:12" x14ac:dyDescent="0.3">
      <c r="B34" s="54" t="s">
        <v>325</v>
      </c>
      <c r="C34" s="54"/>
      <c r="D34" s="54"/>
      <c r="E34" s="54">
        <f t="shared" si="0"/>
        <v>0</v>
      </c>
      <c r="F34" s="54"/>
      <c r="G34" s="54"/>
      <c r="H34" s="54"/>
      <c r="I34" s="54">
        <f t="shared" si="1"/>
        <v>0</v>
      </c>
      <c r="J34" s="54"/>
      <c r="K34" s="54"/>
      <c r="L34" s="54">
        <f t="shared" si="2"/>
        <v>0</v>
      </c>
    </row>
    <row r="35" spans="2:12" x14ac:dyDescent="0.3">
      <c r="B35" s="54" t="s">
        <v>322</v>
      </c>
      <c r="C35" s="54"/>
      <c r="D35" s="54"/>
      <c r="E35" s="54">
        <f t="shared" si="0"/>
        <v>0</v>
      </c>
      <c r="F35" s="54"/>
      <c r="G35" s="54"/>
      <c r="H35" s="54"/>
      <c r="I35" s="54">
        <f t="shared" si="1"/>
        <v>0</v>
      </c>
      <c r="J35" s="54"/>
      <c r="K35" s="54"/>
      <c r="L35" s="54">
        <f t="shared" si="2"/>
        <v>0</v>
      </c>
    </row>
    <row r="36" spans="2:12" x14ac:dyDescent="0.3">
      <c r="B36" s="54" t="s">
        <v>323</v>
      </c>
      <c r="C36" s="54"/>
      <c r="D36" s="54"/>
      <c r="E36" s="54">
        <f t="shared" si="0"/>
        <v>0</v>
      </c>
      <c r="F36" s="54"/>
      <c r="G36" s="54"/>
      <c r="H36" s="54"/>
      <c r="I36" s="54">
        <f t="shared" ref="I36:I41" si="3">G36*H36</f>
        <v>0</v>
      </c>
      <c r="J36" s="54"/>
      <c r="K36" s="54"/>
      <c r="L36" s="54">
        <f t="shared" ref="L36:L41" si="4">J36*K36</f>
        <v>0</v>
      </c>
    </row>
    <row r="37" spans="2:12" x14ac:dyDescent="0.3">
      <c r="B37" s="54"/>
      <c r="C37" s="54"/>
      <c r="D37" s="54"/>
      <c r="E37" s="54">
        <f>C37*D37</f>
        <v>0</v>
      </c>
      <c r="F37" s="54"/>
      <c r="G37" s="54"/>
      <c r="H37" s="54"/>
      <c r="I37" s="54">
        <f t="shared" si="3"/>
        <v>0</v>
      </c>
      <c r="J37" s="54"/>
      <c r="K37" s="54"/>
      <c r="L37" s="54">
        <f t="shared" si="4"/>
        <v>0</v>
      </c>
    </row>
    <row r="38" spans="2:12" x14ac:dyDescent="0.3">
      <c r="B38" s="54" t="s">
        <v>326</v>
      </c>
      <c r="C38" s="54"/>
      <c r="D38" s="54"/>
      <c r="E38" s="54">
        <f>C38*D38</f>
        <v>0</v>
      </c>
      <c r="F38" s="54"/>
      <c r="G38" s="54"/>
      <c r="H38" s="54"/>
      <c r="I38" s="54">
        <f t="shared" si="3"/>
        <v>0</v>
      </c>
      <c r="J38" s="54"/>
      <c r="K38" s="54"/>
      <c r="L38" s="54">
        <f t="shared" si="4"/>
        <v>0</v>
      </c>
    </row>
    <row r="39" spans="2:12" x14ac:dyDescent="0.3">
      <c r="B39" s="54"/>
      <c r="C39" s="54"/>
      <c r="D39" s="54"/>
      <c r="E39" s="54">
        <f t="shared" si="0"/>
        <v>0</v>
      </c>
      <c r="F39" s="54"/>
      <c r="G39" s="54"/>
      <c r="H39" s="54"/>
      <c r="I39" s="54">
        <f t="shared" si="3"/>
        <v>0</v>
      </c>
      <c r="J39" s="54"/>
      <c r="K39" s="54"/>
      <c r="L39" s="54">
        <f t="shared" si="4"/>
        <v>0</v>
      </c>
    </row>
    <row r="40" spans="2:12" x14ac:dyDescent="0.3">
      <c r="B40" s="54"/>
      <c r="C40" s="54"/>
      <c r="D40" s="54"/>
      <c r="E40" s="54">
        <f t="shared" si="0"/>
        <v>0</v>
      </c>
      <c r="F40" s="54"/>
      <c r="G40" s="54"/>
      <c r="H40" s="54"/>
      <c r="I40" s="54">
        <f t="shared" si="3"/>
        <v>0</v>
      </c>
      <c r="J40" s="54"/>
      <c r="K40" s="54"/>
      <c r="L40" s="54">
        <f t="shared" si="4"/>
        <v>0</v>
      </c>
    </row>
    <row r="41" spans="2:12" x14ac:dyDescent="0.3">
      <c r="B41" s="54"/>
      <c r="C41" s="54"/>
      <c r="D41" s="54"/>
      <c r="E41" s="54">
        <f t="shared" si="0"/>
        <v>0</v>
      </c>
      <c r="F41" s="54"/>
      <c r="G41" s="54"/>
      <c r="H41" s="54"/>
      <c r="I41" s="54">
        <f t="shared" si="3"/>
        <v>0</v>
      </c>
      <c r="J41" s="54"/>
      <c r="K41" s="54"/>
      <c r="L41" s="54">
        <f t="shared" si="4"/>
        <v>0</v>
      </c>
    </row>
    <row r="42" spans="2:12" x14ac:dyDescent="0.3">
      <c r="B42" s="54" t="s">
        <v>150</v>
      </c>
      <c r="C42" s="54"/>
      <c r="D42" s="54">
        <f>E42*10.764</f>
        <v>0</v>
      </c>
      <c r="E42" s="69">
        <f>SUM(E6:E41)</f>
        <v>0</v>
      </c>
      <c r="F42" s="54"/>
      <c r="G42" s="54"/>
      <c r="H42" s="54">
        <f>I42*10.764</f>
        <v>0</v>
      </c>
      <c r="I42" s="68">
        <f>SUM(I6:I41)</f>
        <v>0</v>
      </c>
      <c r="J42" s="54"/>
      <c r="K42" s="54">
        <f>L42*10.764</f>
        <v>0</v>
      </c>
      <c r="L42" s="67">
        <f>SUM(L6:L41)</f>
        <v>0</v>
      </c>
    </row>
    <row r="44" spans="2:12" x14ac:dyDescent="0.3">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Kaustubh Kulkarni</cp:lastModifiedBy>
  <cp:lastPrinted>2025-09-11T20:17:59Z</cp:lastPrinted>
  <dcterms:created xsi:type="dcterms:W3CDTF">2019-07-16T09:29:46Z</dcterms:created>
  <dcterms:modified xsi:type="dcterms:W3CDTF">2025-09-11T20:19:44Z</dcterms:modified>
</cp:coreProperties>
</file>