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10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" i="1" l="1"/>
  <c r="G116" i="1"/>
  <c r="E146" i="1"/>
  <c r="G117" i="1" l="1"/>
  <c r="E156" i="1"/>
  <c r="D158" i="1"/>
  <c r="D157" i="1"/>
  <c r="D156" i="1"/>
  <c r="A156" i="1"/>
  <c r="A157" i="1" s="1"/>
  <c r="A158" i="1" s="1"/>
  <c r="G155" i="1"/>
  <c r="E155" i="1"/>
  <c r="D155" i="1"/>
  <c r="G144" i="1"/>
  <c r="L147" i="1"/>
  <c r="K147" i="1"/>
  <c r="I147" i="1"/>
  <c r="E147" i="1"/>
  <c r="D147" i="1"/>
  <c r="L146" i="1"/>
  <c r="K146" i="1"/>
  <c r="I146" i="1"/>
  <c r="D146" i="1"/>
  <c r="K145" i="1"/>
  <c r="J145" i="1"/>
  <c r="I145" i="1"/>
  <c r="D145" i="1"/>
  <c r="A145" i="1"/>
  <c r="A146" i="1" s="1"/>
  <c r="A147" i="1" s="1"/>
  <c r="N144" i="1"/>
  <c r="K144" i="1"/>
  <c r="J144" i="1"/>
  <c r="I144" i="1"/>
  <c r="D144" i="1"/>
  <c r="M144" i="1" l="1"/>
  <c r="M146" i="1"/>
  <c r="D163" i="1"/>
  <c r="D162" i="1"/>
  <c r="D161" i="1"/>
  <c r="D160" i="1"/>
  <c r="D152" i="1"/>
  <c r="I152" i="1" s="1"/>
  <c r="D151" i="1"/>
  <c r="I151" i="1" s="1"/>
  <c r="D150" i="1"/>
  <c r="I150" i="1" s="1"/>
  <c r="D149" i="1"/>
  <c r="I149" i="1" s="1"/>
  <c r="K152" i="1"/>
  <c r="K151" i="1"/>
  <c r="K150" i="1"/>
  <c r="D138" i="1"/>
  <c r="D137" i="1"/>
  <c r="D136" i="1"/>
  <c r="F136" i="1" s="1"/>
  <c r="D135" i="1"/>
  <c r="F135" i="1" s="1"/>
  <c r="D134" i="1"/>
  <c r="F134" i="1" s="1"/>
  <c r="D133" i="1"/>
  <c r="F133" i="1" s="1"/>
  <c r="D132" i="1"/>
  <c r="F132" i="1" s="1"/>
  <c r="D131" i="1"/>
  <c r="F131" i="1" s="1"/>
  <c r="D130" i="1"/>
  <c r="F130" i="1" s="1"/>
  <c r="D129" i="1"/>
  <c r="F129" i="1" s="1"/>
  <c r="D128" i="1"/>
  <c r="F128" i="1" s="1"/>
  <c r="D127" i="1"/>
  <c r="F127" i="1" s="1"/>
  <c r="D126" i="1"/>
  <c r="F126" i="1" s="1"/>
  <c r="D125" i="1"/>
  <c r="G160" i="1"/>
  <c r="A161" i="1"/>
  <c r="A162" i="1" s="1"/>
  <c r="A163" i="1" s="1"/>
  <c r="A150" i="1"/>
  <c r="A151" i="1" s="1"/>
  <c r="A152" i="1" s="1"/>
  <c r="I134" i="1"/>
  <c r="I129" i="1"/>
  <c r="I137" i="1"/>
  <c r="I132" i="1"/>
  <c r="I126" i="1"/>
  <c r="I125" i="1"/>
  <c r="G125" i="1"/>
  <c r="A130" i="1"/>
  <c r="A131" i="1" s="1"/>
  <c r="A132" i="1" s="1"/>
  <c r="A126" i="1"/>
  <c r="A127" i="1" s="1"/>
  <c r="A128" i="1" s="1"/>
  <c r="A134" i="1"/>
  <c r="A135" i="1" s="1"/>
  <c r="A136" i="1" s="1"/>
  <c r="I52" i="1"/>
  <c r="G50" i="1"/>
  <c r="G51" i="1" s="1"/>
  <c r="E42" i="1"/>
  <c r="C116" i="1" l="1"/>
  <c r="E116" i="1"/>
  <c r="C115" i="1"/>
  <c r="E115" i="1"/>
  <c r="F125" i="1"/>
  <c r="C111" i="1"/>
  <c r="C112" i="1" s="1"/>
  <c r="E111" i="1"/>
  <c r="E112" i="1" s="1"/>
  <c r="K149" i="1"/>
  <c r="G149" i="1"/>
  <c r="Z12" i="1"/>
  <c r="I14" i="1"/>
  <c r="C117" i="1" l="1"/>
  <c r="E117" i="1"/>
  <c r="F137" i="1"/>
  <c r="E118" i="1" l="1"/>
  <c r="C118" i="1"/>
  <c r="E43" i="1" l="1"/>
  <c r="E44" i="1" s="1"/>
  <c r="C15" i="1" l="1"/>
  <c r="E30" i="1" l="1"/>
  <c r="F108" i="1" l="1"/>
  <c r="F138" i="1" l="1"/>
  <c r="G111" i="1" l="1"/>
  <c r="G112" i="1" s="1"/>
  <c r="G118" i="1" s="1"/>
  <c r="B166" i="1"/>
  <c r="B167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2" i="1"/>
  <c r="A138" i="1"/>
  <c r="C81" i="1"/>
  <c r="B82" i="1" s="1"/>
  <c r="C67" i="1"/>
  <c r="B68" i="1" s="1"/>
  <c r="D55" i="1"/>
  <c r="C50" i="1"/>
  <c r="E27" i="1"/>
  <c r="E25" i="1"/>
  <c r="E7" i="1"/>
  <c r="E3" i="1"/>
  <c r="D61" i="1" s="1"/>
  <c r="H82" i="1"/>
  <c r="H68" i="1"/>
  <c r="J86" i="1" l="1"/>
  <c r="J84" i="1"/>
  <c r="J87" i="1"/>
  <c r="J88" i="1" s="1"/>
  <c r="J93" i="1" s="1"/>
  <c r="J81" i="1"/>
  <c r="J83" i="1" s="1"/>
  <c r="D89" i="1"/>
  <c r="D91" i="1"/>
  <c r="D94" i="1"/>
  <c r="D88" i="1"/>
  <c r="D92" i="1"/>
  <c r="D93" i="1"/>
  <c r="D90" i="1"/>
  <c r="J85" i="1"/>
  <c r="D80" i="1"/>
  <c r="D78" i="1"/>
  <c r="D77" i="1"/>
  <c r="D74" i="1"/>
  <c r="D76" i="1"/>
  <c r="J73" i="1"/>
  <c r="J74" i="1" s="1"/>
  <c r="J79" i="1" s="1"/>
  <c r="D79" i="1"/>
  <c r="J67" i="1"/>
  <c r="J69" i="1" s="1"/>
  <c r="D75" i="1"/>
  <c r="J71" i="1"/>
  <c r="J72" i="1"/>
  <c r="C71" i="1" s="1"/>
  <c r="D71" i="1" s="1"/>
  <c r="J70" i="1"/>
  <c r="J89" i="1"/>
  <c r="J90" i="1" s="1"/>
  <c r="J91" i="1" s="1"/>
  <c r="J92" i="1" s="1"/>
  <c r="J75" i="1"/>
  <c r="J76" i="1" s="1"/>
  <c r="J77" i="1" s="1"/>
  <c r="J78" i="1" s="1"/>
  <c r="D87" i="1"/>
  <c r="D73" i="1"/>
  <c r="C85" i="1" l="1"/>
  <c r="D85" i="1" s="1"/>
  <c r="J80" i="1"/>
  <c r="C72" i="1" s="1"/>
  <c r="G71" i="1" s="1"/>
  <c r="D65" i="1" s="1"/>
  <c r="D66" i="1" s="1"/>
  <c r="J94" i="1"/>
  <c r="C86" i="1" l="1"/>
  <c r="G85" i="1" s="1"/>
  <c r="J68" i="1"/>
  <c r="D72" i="1"/>
  <c r="I68" i="1" s="1"/>
  <c r="I69" i="1" s="1"/>
  <c r="E71" i="1"/>
  <c r="F66" i="1"/>
  <c r="E85" i="1" l="1"/>
  <c r="D86" i="1"/>
  <c r="I82" i="1" s="1"/>
  <c r="I83" i="1" s="1"/>
  <c r="J82" i="1"/>
  <c r="I67" i="1"/>
  <c r="C69" i="1" s="1"/>
  <c r="I81" i="1" l="1"/>
  <c r="C83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<sst xmlns="http://schemas.openxmlformats.org/spreadsheetml/2006/main" count="461" uniqueCount="295">
  <si>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</si>
  <si>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</si>
  <si>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</si>
  <si>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</si>
  <si>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</si>
  <si>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</si>
  <si>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</si>
  <si>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</si>
  <si>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</si>
  <si>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</si>
  <si>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</si>
  <si>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</si>
  <si>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</si>
  <si>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</si>
  <si>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</si>
  <si>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</si>
  <si>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</si>
  <si>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</si>
  <si>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</si>
  <si>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</si>
  <si>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</si>
  <si>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</si>
  <si>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</si>
  <si>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</si>
  <si>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</si>
  <si>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</si>
  <si>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</si>
  <si>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</si>
  <si>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</si>
  <si>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</si>
  <si>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</si>
  <si>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</si>
  <si>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</si>
  <si>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</si>
  <si>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</si>
  <si>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</si>
  <si>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</si>
  <si>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</si>
  <si>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</si>
  <si>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</si>
  <si>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</si>
  <si>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</si>
  <si>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</si>
  <si>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</si>
  <si>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</si>
  <si>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</si>
  <si>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</si>
  <si>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</si>
  <si>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</si>
  <si>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</si>
  <si>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</si>
  <si>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</si>
  <si>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</si>
  <si>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</si>
  <si>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</si>
  <si>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</si>
  <si>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</si>
  <si>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</si>
  <si>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</si>
  <si>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</si>
  <si>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</si>
  <si>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</si>
  <si>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</si>
  <si>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</si>
  <si>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</si>
  <si>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</si>
  <si>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</si>
  <si>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</si>
  <si>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</si>
  <si>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</si>
  <si>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</si>
  <si>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</si>
  <si>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</si>
  <si>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</si>
  <si>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</si>
  <si>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</si>
  <si>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</si>
  <si>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</si>
  <si>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</si>
  <si>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</si>
  <si>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</si>
  <si>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</si>
  <si>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</si>
  <si>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</si>
  <si>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</si>
  <si>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</si>
  <si>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</si>
  <si>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</si>
  <si>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</si>
  <si>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</si>
  <si>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</si>
  <si>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</si>
  <si>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</si>
  <si>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</si>
  <si>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</si>
  <si>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</si>
  <si>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</si>
  <si>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</si>
  <si>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</si>
  <si>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</si>
  <si>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</si>
  <si>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</si>
  <si>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</si>
  <si>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</si>
  <si>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</si>
  <si>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</si>
  <si>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</si>
  <si>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</si>
  <si>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</si>
  <si>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</si>
  <si>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</si>
  <si>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</si>
  <si>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</si>
  <si>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</si>
  <si>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</si>
  <si>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</si>
  <si>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</si>
  <si>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</si>
  <si>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</si>
  <si>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</si>
  <si>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</si>
  <si>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</si>
  <si>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</si>
  <si>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</si>
  <si>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</si>
  <si>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</si>
  <si>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</si>
  <si>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</si>
  <si>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</si>
  <si>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</si>
  <si>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</si>
  <si>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</si>
  <si>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</si>
  <si>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</si>
  <si>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</si>
  <si>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</si>
  <si>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</si>
  <si>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</si>
  <si>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</si>
  <si>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</si>
  <si>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</si>
  <si>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</si>
  <si>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</si>
  <si>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</si>
  <si>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</si>
  <si>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</si>
  <si>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</si>
  <si>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</si>
  <si>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</si>
  <si>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</si>
  <si>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</si>
  <si>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</si>
  <si>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</si>
  <si>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</si>
  <si>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</si>
  <si>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</si>
  <si>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</si>
  <si>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</si>
  <si>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</si>
  <si>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</si>
  <si>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</si>
  <si>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</si>
  <si>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</si>
  <si>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</si>
  <si>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</si>
  <si>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</si>
  <si>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</si>
  <si>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</si>
  <si>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</si>
  <si>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</si>
  <si>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</si>
  <si>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</si>
  <si>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</si>
  <si>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</si>
  <si>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</si>
  <si>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</si>
  <si>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</si>
  <si>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</si>
  <si>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</si>
  <si>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</si>
  <si>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</si>
  <si>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</si>
  <si>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</si>
  <si>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</si>
  <si>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</si>
  <si>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</si>
  <si>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</si>
  <si>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</si>
  <si>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</si>
  <si>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</si>
  <si>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</si>
  <si>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</si>
  <si>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</si>
  <si>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</si>
  <si>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</si>
  <si>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</si>
  <si>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</si>
  <si>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</si>
  <si>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</si>
  <si>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</si>
  <si>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</si>
  <si>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</si>
  <si>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</si>
  <si>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</si>
  <si>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</si>
  <si>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</si>
  <si>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</si>
  <si>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</si>
  <si>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</si>
  <si>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</si>
  <si>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</si>
  <si>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</si>
  <si>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</si>
  <si>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</si>
  <si>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</si>
  <si>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</si>
  <si>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</si>
  <si>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</si>
  <si>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</si>
  <si>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</si>
  <si>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</si>
  <si>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</si>
  <si>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</si>
  <si>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</si>
  <si>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</si>
  <si>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</si>
  <si>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</si>
  <si>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</si>
  <si>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Axis Sanpada</t>
  </si>
  <si>
    <t>M/s.Tisai Builders &amp; Developers</t>
  </si>
  <si>
    <t>Approved Plans, CC, Builder Saleable Area, Cost Sheet</t>
  </si>
  <si>
    <t>P52000028268</t>
  </si>
  <si>
    <t>Sai Dham</t>
  </si>
  <si>
    <t>Mr. Ravi &amp; 9921578958</t>
  </si>
  <si>
    <t>A &amp; B Wing</t>
  </si>
  <si>
    <t>19.027894,73.326451</t>
  </si>
  <si>
    <t>https://maps.app.goo.gl/uMxYxjG1pBr8yguR8</t>
  </si>
  <si>
    <t>1.2 KM from Neral Railway Station</t>
  </si>
  <si>
    <t>Neral East</t>
  </si>
  <si>
    <t>Survey No</t>
  </si>
  <si>
    <t>22/15/B, Plot No.1, S. No. 27/4/A, Plot No. 6</t>
  </si>
  <si>
    <t>Bopele</t>
  </si>
  <si>
    <t>Hajare Nagar, Bopele</t>
  </si>
  <si>
    <t>Internal Road</t>
  </si>
  <si>
    <t>Internal Road/Omkar Residency</t>
  </si>
  <si>
    <t>Internal Road/Square Planet</t>
  </si>
  <si>
    <t>Adj. Plot No.5</t>
  </si>
  <si>
    <t>Road 12.00 M</t>
  </si>
  <si>
    <t>Road 6.00 M</t>
  </si>
  <si>
    <t>Other Plot</t>
  </si>
  <si>
    <t>02 Wings</t>
  </si>
  <si>
    <t>Raigad Jilha Parishad, Alibag</t>
  </si>
  <si>
    <t>RJP BD/NSVP/112 2022</t>
  </si>
  <si>
    <t>RJP/BDKM/NSVP/112/2022</t>
  </si>
  <si>
    <t xml:space="preserve">B Wing = Gr + 1st to 4th Floor
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</si>
  <si>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</si>
  <si>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Ground Floor For Commercial,  Entrance Lobby &amp; Parking</t>
  </si>
  <si>
    <t>Wing A</t>
  </si>
  <si>
    <t>Wing B</t>
  </si>
  <si>
    <t>Shop</t>
  </si>
  <si>
    <t>cb</t>
  </si>
  <si>
    <t>bl</t>
  </si>
  <si>
    <t>t</t>
  </si>
  <si>
    <t>1BHK</t>
  </si>
  <si>
    <t>2nd &amp; 4th Floor</t>
  </si>
  <si>
    <t>Floor Rise Rate from Floor</t>
  </si>
  <si>
    <t>We considered Gross carpet area = Net carpet + Balcony + Enclose Balcony + CUB Area + W.S Area</t>
  </si>
  <si>
    <t>Builder Saleable area</t>
  </si>
  <si>
    <t>Flats - 32, Shops -14</t>
  </si>
  <si>
    <t>Development, Water, MSEB Charges</t>
  </si>
  <si>
    <t xml:space="preserve"> </t>
  </si>
  <si>
    <t>As per approved floor plan wing A flat No. 103, wing B flat No. 102 is not consists attached terrace with Hall, but actual site we see attched terrace</t>
  </si>
  <si>
    <t>Entrance Lobby, Compound Wall, Parking, Lift etc.</t>
  </si>
  <si>
    <t>Gr + 1st to 4th Floor</t>
  </si>
  <si>
    <t>Square Planet</t>
  </si>
  <si>
    <t>Building</t>
  </si>
  <si>
    <t>Open Plot</t>
  </si>
  <si>
    <t>Wing A + B</t>
  </si>
  <si>
    <t>1st &amp; 3rd Floor For Residential</t>
  </si>
  <si>
    <t>1st &amp; 3rd Floor</t>
  </si>
  <si>
    <t>1RK</t>
  </si>
  <si>
    <t xml:space="preserve">A &amp; B Wing = Gr + 1st to 4th Floor
</t>
  </si>
  <si>
    <t>A &amp; B Wing = Gr + 1st to 4th Floor</t>
  </si>
  <si>
    <t>Advance Maintenance &amp; Other Charges</t>
  </si>
  <si>
    <t>We have taken CC from RERA site on 23/10/2023.</t>
  </si>
  <si>
    <t xml:space="preserve">As per RERA, completion period of project Sai Dham is expired on 10/07/2024 but still project is under construction
</t>
  </si>
  <si>
    <t>Completed</t>
  </si>
  <si>
    <t>Naynesh Sunil Lovanshi</t>
  </si>
  <si>
    <t>O. Certificate No.: 
Approved upto :</t>
  </si>
  <si>
    <t>JK467
Wing A &amp; B = Gr + 1st to 4th Floor</t>
  </si>
  <si>
    <t>All work Completed. OC Received.</t>
  </si>
  <si>
    <t>We have updated approved OC on 15/01/2025.</t>
  </si>
  <si>
    <t>Pooja Kawale</t>
  </si>
  <si>
    <t>7000 to 7200 on 21/08/2025 by Bharagv Verbal</t>
  </si>
  <si>
    <t>Recommended Rates/Other Charges of the Property have been revised on 21/08/2025.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</si>
</sst>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0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9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1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8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7" xfId="1" applyFont="1" applyBorder="1"/>
    <xf numFmtId="0" fontId="18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6" fillId="0" borderId="20" xfId="0" applyFont="1" applyBorder="1"/>
    <xf numFmtId="0" fontId="26" fillId="0" borderId="4" xfId="0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/>
    </xf>
    <xf numFmtId="2" fontId="7" fillId="0" borderId="0" xfId="1" applyNumberFormat="1" applyFont="1" applyAlignment="1">
      <alignment horizontal="center" vertical="center"/>
    </xf>
    <xf numFmtId="168" fontId="7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6" xfId="0" applyFont="1" applyBorder="1"/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6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17" fillId="0" borderId="5" xfId="0" applyNumberFormat="1" applyFont="1" applyBorder="1" applyAlignment="1" applyProtection="1">
      <alignment vertical="top" wrapText="1"/>
      <protection locked="0"/>
    </xf>
    <xf numFmtId="1" fontId="17" fillId="0" borderId="16" xfId="0" applyNumberFormat="1" applyFont="1" applyBorder="1" applyAlignment="1" applyProtection="1">
      <alignment vertical="top" wrapText="1"/>
      <protection locked="0"/>
    </xf>
    <xf numFmtId="1" fontId="17" fillId="0" borderId="6" xfId="0" applyNumberFormat="1" applyFont="1" applyBorder="1" applyAlignment="1" applyProtection="1">
      <alignment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>
      <alignment horizontal="center"/>
    </xf>
    <xf numFmtId="0" fontId="7" fillId="0" borderId="0" xfId="1" applyFont="1" applyAlignment="1">
      <alignment horizontal="center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 applyProtection="1">
      <alignment horizontal="left" vertical="top"/>
      <protection locked="0"/>
    </xf>
    <xf numFmtId="0" fontId="7" fillId="0" borderId="19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top"/>
      <protection locked="0"/>
    </xf>
    <xf numFmtId="1" fontId="8" fillId="0" borderId="21" xfId="0" applyNumberFormat="1" applyFont="1" applyBorder="1" applyAlignment="1" applyProtection="1">
      <alignment horizontal="center" vertical="center" wrapText="1"/>
      <protection locked="0"/>
    </xf>
    <xf numFmtId="1" fontId="8" fillId="0" borderId="22" xfId="0" applyNumberFormat="1" applyFont="1" applyBorder="1" applyAlignment="1" applyProtection="1">
      <alignment horizontal="center" vertical="center" wrapText="1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22" xfId="0" applyNumberFormat="1" applyFont="1" applyBorder="1" applyAlignment="1" applyProtection="1">
      <alignment horizontal="center" vertical="top" wrapText="1"/>
      <protection locked="0"/>
    </xf>
    <xf numFmtId="1" fontId="8" fillId="0" borderId="23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4" fontId="8" fillId="0" borderId="5" xfId="1" applyNumberFormat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14" fontId="7" fillId="0" borderId="5" xfId="1" applyNumberFormat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/>
      <protection locked="0"/>
    </xf>
    <xf numFmtId="0" fontId="7" fillId="0" borderId="17" xfId="1" applyFont="1" applyBorder="1" applyAlignment="1" applyProtection="1">
      <alignment horizontal="left" vertical="top"/>
      <protection locked="0"/>
    </xf>
    <xf numFmtId="0" fontId="7" fillId="0" borderId="13" xfId="1" applyFont="1" applyBorder="1" applyAlignment="1" applyProtection="1">
      <alignment horizontal="left" vertical="top"/>
      <protection locked="0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6" xfId="1" applyNumberFormat="1" applyFont="1" applyBorder="1" applyAlignment="1" applyProtection="1">
      <alignment horizontal="center"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13" fillId="0" borderId="16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1" fontId="10" fillId="0" borderId="5" xfId="0" applyNumberFormat="1" applyFont="1" applyBorder="1" applyAlignment="1" applyProtection="1">
      <alignment vertical="top" wrapText="1"/>
      <protection locked="0"/>
    </xf>
    <xf numFmtId="1" fontId="10" fillId="0" borderId="16" xfId="0" applyNumberFormat="1" applyFont="1" applyBorder="1" applyAlignment="1" applyProtection="1">
      <alignment vertical="top" wrapText="1"/>
      <protection locked="0"/>
    </xf>
    <xf numFmtId="1" fontId="10" fillId="0" borderId="6" xfId="0" applyNumberFormat="1" applyFont="1" applyBorder="1" applyAlignment="1" applyProtection="1">
      <alignment vertical="top" wrapText="1"/>
      <protection locked="0"/>
    </xf>
    <xf numFmtId="0" fontId="10" fillId="0" borderId="5" xfId="1" applyFont="1" applyBorder="1" applyAlignment="1" applyProtection="1">
      <alignment horizontal="left" vertical="top"/>
      <protection locked="0"/>
    </xf>
    <xf numFmtId="0" fontId="10" fillId="0" borderId="16" xfId="1" applyFont="1" applyBorder="1" applyAlignment="1" applyProtection="1">
      <alignment horizontal="left" vertical="top"/>
      <protection locked="0"/>
    </xf>
    <xf numFmtId="0" fontId="10" fillId="0" borderId="6" xfId="1" applyFont="1" applyBorder="1" applyAlignment="1" applyProtection="1">
      <alignment horizontal="left" vertical="top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1" fontId="10" fillId="0" borderId="22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25" fillId="2" borderId="10" xfId="0" applyFont="1" applyFill="1" applyBorder="1"/>
    <xf numFmtId="0" fontId="8" fillId="0" borderId="1" xfId="1" applyFont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png"/><Relationship Id="rId18" Type="http://schemas.openxmlformats.org/officeDocument/2006/relationships/image" Target="../media/image16.png"/><Relationship Id="rId3" Type="http://schemas.openxmlformats.org/officeDocument/2006/relationships/image" Target="../media/image2.pn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17" Type="http://schemas.openxmlformats.org/officeDocument/2006/relationships/image" Target="../media/image15.png"/><Relationship Id="rId2" Type="http://schemas.microsoft.com/office/2007/relationships/hdphoto" Target="../media/hdphoto1.wdp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19" Type="http://schemas.openxmlformats.org/officeDocument/2006/relationships/image" Target="../media/image17.png"/><Relationship Id="rId4" Type="http://schemas.microsoft.com/office/2007/relationships/hdphoto" Target="../media/hdphoto2.wdp"/><Relationship Id="rId9" Type="http://schemas.openxmlformats.org/officeDocument/2006/relationships/image" Target="../media/image7.png"/><Relationship Id="rId14" Type="http://schemas.openxmlformats.org/officeDocument/2006/relationships/image" Target="../media/image1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451225</xdr:colOff>
      <xdr:row>249</xdr:row>
      <xdr:rowOff>39742</xdr:rowOff>
    </xdr:from>
    <xdr:to>
      <xdr:col>3</xdr:col>
      <xdr:colOff>446742</xdr:colOff>
      <xdr:row>251</xdr:row>
      <xdr:rowOff>5662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32107" y="57301801"/>
          <a:ext cx="914400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/>
        </a:p>
      </xdr:txBody>
    </xdr:sp>
    <xdr:clientData/>
  </xdr:twoCellAnchor>
  <xdr:twoCellAnchor editAs="oneCell">
    <xdr:from>
      <xdr:col>1</xdr:col>
      <xdr:colOff>22406</xdr:colOff>
      <xdr:row>235</xdr:row>
      <xdr:rowOff>75837</xdr:rowOff>
    </xdr:from>
    <xdr:to>
      <xdr:col>7</xdr:col>
      <xdr:colOff>133229</xdr:colOff>
      <xdr:row>254</xdr:row>
      <xdr:rowOff>126329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40000"/>
                  </a14:imgEffect>
                </a14:imgLayer>
              </a14:imgProps>
            </a:ext>
          </a:extLst>
        </a:blip>
        <a:srcRect l="8694" t="13488" r="3767" b="2585"/>
        <a:stretch/>
      </xdr:blipFill>
      <xdr:spPr>
        <a:xfrm>
          <a:off x="840435" y="54514013"/>
          <a:ext cx="5400000" cy="3882904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313762</xdr:colOff>
      <xdr:row>255</xdr:row>
      <xdr:rowOff>78442</xdr:rowOff>
    </xdr:from>
    <xdr:to>
      <xdr:col>6</xdr:col>
      <xdr:colOff>522615</xdr:colOff>
      <xdr:row>269</xdr:row>
      <xdr:rowOff>126883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20000" contrast="40000"/>
                  </a14:imgEffect>
                </a14:imgLayer>
              </a14:imgProps>
            </a:ext>
          </a:extLst>
        </a:blip>
        <a:srcRect l="5868" t="21435" r="4809" b="5515"/>
        <a:stretch/>
      </xdr:blipFill>
      <xdr:spPr>
        <a:xfrm>
          <a:off x="1131791" y="58550736"/>
          <a:ext cx="4680000" cy="2872324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134471</xdr:colOff>
      <xdr:row>294</xdr:row>
      <xdr:rowOff>142441</xdr:rowOff>
    </xdr:from>
    <xdr:to>
      <xdr:col>7</xdr:col>
      <xdr:colOff>245294</xdr:colOff>
      <xdr:row>314</xdr:row>
      <xdr:rowOff>68325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4426" t="18651" r="20355" b="9325"/>
        <a:stretch/>
      </xdr:blipFill>
      <xdr:spPr>
        <a:xfrm>
          <a:off x="952500" y="66682970"/>
          <a:ext cx="5400000" cy="3960001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484422</xdr:colOff>
      <xdr:row>278</xdr:row>
      <xdr:rowOff>22412</xdr:rowOff>
    </xdr:from>
    <xdr:to>
      <xdr:col>6</xdr:col>
      <xdr:colOff>693275</xdr:colOff>
      <xdr:row>293</xdr:row>
      <xdr:rowOff>140028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0227" t="32404" r="24483" b="13492"/>
        <a:stretch/>
      </xdr:blipFill>
      <xdr:spPr>
        <a:xfrm>
          <a:off x="1302451" y="63335647"/>
          <a:ext cx="4680000" cy="3143204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3</xdr:col>
      <xdr:colOff>479985</xdr:colOff>
      <xdr:row>303</xdr:row>
      <xdr:rowOff>136222</xdr:rowOff>
    </xdr:from>
    <xdr:to>
      <xdr:col>3</xdr:col>
      <xdr:colOff>905435</xdr:colOff>
      <xdr:row>307</xdr:row>
      <xdr:rowOff>154898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20301234">
          <a:off x="3079750" y="68492104"/>
          <a:ext cx="425450" cy="825500"/>
        </a:xfrm>
        <a:prstGeom prst="rect">
          <a:avLst/>
        </a:pr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4</xdr:col>
      <xdr:colOff>190500</xdr:colOff>
      <xdr:row>243</xdr:row>
      <xdr:rowOff>173182</xdr:rowOff>
    </xdr:from>
    <xdr:to>
      <xdr:col>4</xdr:col>
      <xdr:colOff>819293</xdr:colOff>
      <xdr:row>250</xdr:row>
      <xdr:rowOff>145349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3521053">
          <a:off x="3393632" y="54397141"/>
          <a:ext cx="1426894" cy="628793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387350</xdr:colOff>
      <xdr:row>192</xdr:row>
      <xdr:rowOff>25400</xdr:rowOff>
    </xdr:from>
    <xdr:to>
      <xdr:col>16</xdr:col>
      <xdr:colOff>144329</xdr:colOff>
      <xdr:row>223</xdr:row>
      <xdr:rowOff>188586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EA839D0B-28AF-F705-3CA3-B1AEA4E5C2E6}"/>
            </a:ext>
          </a:extLst>
        </xdr:cNvPr>
        <xdr:cNvGrpSpPr/>
      </xdr:nvGrpSpPr>
      <xdr:grpSpPr>
        <a:xfrm>
          <a:off x="7150100" y="36106100"/>
          <a:ext cx="6456229" cy="6259186"/>
          <a:chOff x="139700" y="36248975"/>
          <a:chExt cx="6157779" cy="6354436"/>
        </a:xfrm>
      </xdr:grpSpPr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55366" y="40408486"/>
            <a:ext cx="1542113" cy="219492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9700" y="40408486"/>
            <a:ext cx="2759858" cy="219492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0693" y="36248975"/>
            <a:ext cx="2849432" cy="402032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26536" y="36248975"/>
            <a:ext cx="2804982" cy="402032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61168" y="40408486"/>
            <a:ext cx="1532588" cy="2194925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oneCellAnchor>
    <xdr:from>
      <xdr:col>9</xdr:col>
      <xdr:colOff>488950</xdr:colOff>
      <xdr:row>189</xdr:row>
      <xdr:rowOff>114300</xdr:rowOff>
    </xdr:from>
    <xdr:ext cx="596574" cy="264560"/>
    <xdr:sp macro="" textlink="">
      <xdr:nvSpPr>
        <xdr:cNvPr id="10" name="TextBox 9"/>
        <xdr:cNvSpPr txBox="1"/>
      </xdr:nvSpPr>
      <xdr:spPr>
        <a:xfrm>
          <a:off x="8470900" y="3560445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</a:t>
          </a:r>
        </a:p>
      </xdr:txBody>
    </xdr:sp>
    <xdr:clientData/>
  </xdr:oneCellAnchor>
  <xdr:twoCellAnchor>
    <xdr:from>
      <xdr:col>0</xdr:col>
      <xdr:colOff>127000</xdr:colOff>
      <xdr:row>192</xdr:row>
      <xdr:rowOff>158750</xdr:rowOff>
    </xdr:from>
    <xdr:to>
      <xdr:col>7</xdr:col>
      <xdr:colOff>605169</xdr:colOff>
      <xdr:row>226</xdr:row>
      <xdr:rowOff>185598</xdr:rowOff>
    </xdr:to>
    <xdr:grpSp>
      <xdr:nvGrpSpPr>
        <xdr:cNvPr id="11" name="Group 10"/>
        <xdr:cNvGrpSpPr/>
      </xdr:nvGrpSpPr>
      <xdr:grpSpPr>
        <a:xfrm>
          <a:off x="127000" y="36239450"/>
          <a:ext cx="6434469" cy="6713398"/>
          <a:chOff x="127000" y="36239450"/>
          <a:chExt cx="6434469" cy="6713398"/>
        </a:xfrm>
      </xdr:grpSpPr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5698" y="4079284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000" y="36239450"/>
            <a:ext cx="2925289" cy="219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64855" y="3853414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16184" y="36239450"/>
            <a:ext cx="1645285" cy="219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51102" y="36239450"/>
            <a:ext cx="1645285" cy="219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02815" y="3853414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40775" y="3853414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93658" y="4079284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3" name="TextBox 42"/>
          <xdr:cNvSpPr txBox="1"/>
        </xdr:nvSpPr>
        <xdr:spPr>
          <a:xfrm>
            <a:off x="3773402" y="37693600"/>
            <a:ext cx="59657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44" name="TextBox 43"/>
          <xdr:cNvSpPr txBox="1"/>
        </xdr:nvSpPr>
        <xdr:spPr>
          <a:xfrm>
            <a:off x="5417834" y="37642800"/>
            <a:ext cx="5917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uMxYxjG1pBr8yguR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278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37" customWidth="1"/>
    <col min="2" max="2" width="12" style="37" customWidth="1"/>
    <col min="3" max="3" width="12.7265625" style="37" customWidth="1"/>
    <col min="4" max="4" width="14.1796875" style="37" customWidth="1"/>
    <col min="5" max="6" width="11.7265625" style="37" customWidth="1"/>
    <col min="7" max="7" width="11.453125" style="37" customWidth="1"/>
    <col min="8" max="8" width="11.54296875" style="37" customWidth="1"/>
    <col min="9" max="9" width="17.453125" style="18" customWidth="1"/>
    <col min="10" max="10" width="11.453125" style="18" customWidth="1"/>
    <col min="11" max="11" width="10.54296875" style="18" bestFit="1" customWidth="1"/>
    <col min="12" max="12" width="10.54296875" style="18" customWidth="1"/>
    <col min="13" max="13" width="11.81640625" style="18" customWidth="1"/>
    <col min="14" max="14" width="12.54296875" style="18" customWidth="1"/>
    <col min="15" max="15" width="9.81640625" style="18" customWidth="1"/>
    <col min="16" max="16" width="11.7265625" style="18" customWidth="1"/>
    <col min="17" max="247" width="9.1796875" style="18"/>
    <col min="248" max="248" width="8.7265625" style="18" customWidth="1"/>
    <col min="249" max="249" width="9.81640625" style="18" customWidth="1"/>
    <col min="250" max="250" width="14.453125" style="18" customWidth="1"/>
    <col min="251" max="251" width="7.26953125" style="18" customWidth="1"/>
    <col min="252" max="252" width="5.54296875" style="18" customWidth="1"/>
    <col min="253" max="253" width="9" style="18" customWidth="1"/>
    <col min="254" max="255" width="9.81640625" style="18" customWidth="1"/>
    <col min="256" max="256" width="11.1796875" style="18" customWidth="1"/>
    <col min="257" max="257" width="2.81640625" style="18" customWidth="1"/>
    <col min="258" max="258" width="3.54296875" style="18" customWidth="1"/>
    <col min="259" max="503" width="9.1796875" style="18"/>
    <col min="504" max="504" width="8.7265625" style="18" customWidth="1"/>
    <col min="505" max="505" width="9.81640625" style="18" customWidth="1"/>
    <col min="506" max="506" width="14.453125" style="18" customWidth="1"/>
    <col min="507" max="507" width="7.26953125" style="18" customWidth="1"/>
    <col min="508" max="508" width="5.54296875" style="18" customWidth="1"/>
    <col min="509" max="509" width="9" style="18" customWidth="1"/>
    <col min="510" max="511" width="9.81640625" style="18" customWidth="1"/>
    <col min="512" max="512" width="11.1796875" style="18" customWidth="1"/>
    <col min="513" max="513" width="2.81640625" style="18" customWidth="1"/>
    <col min="514" max="514" width="3.54296875" style="18" customWidth="1"/>
    <col min="515" max="759" width="9.1796875" style="18"/>
    <col min="760" max="760" width="8.7265625" style="18" customWidth="1"/>
    <col min="761" max="761" width="9.81640625" style="18" customWidth="1"/>
    <col min="762" max="762" width="14.453125" style="18" customWidth="1"/>
    <col min="763" max="763" width="7.26953125" style="18" customWidth="1"/>
    <col min="764" max="764" width="5.54296875" style="18" customWidth="1"/>
    <col min="765" max="765" width="9" style="18" customWidth="1"/>
    <col min="766" max="767" width="9.81640625" style="18" customWidth="1"/>
    <col min="768" max="768" width="11.1796875" style="18" customWidth="1"/>
    <col min="769" max="769" width="2.81640625" style="18" customWidth="1"/>
    <col min="770" max="770" width="3.54296875" style="18" customWidth="1"/>
    <col min="771" max="1015" width="9.1796875" style="18"/>
    <col min="1016" max="1016" width="8.7265625" style="18" customWidth="1"/>
    <col min="1017" max="1017" width="9.81640625" style="18" customWidth="1"/>
    <col min="1018" max="1018" width="14.453125" style="18" customWidth="1"/>
    <col min="1019" max="1019" width="7.26953125" style="18" customWidth="1"/>
    <col min="1020" max="1020" width="5.54296875" style="18" customWidth="1"/>
    <col min="1021" max="1021" width="9" style="18" customWidth="1"/>
    <col min="1022" max="1023" width="9.81640625" style="18" customWidth="1"/>
    <col min="1024" max="1024" width="11.1796875" style="18" customWidth="1"/>
    <col min="1025" max="1025" width="2.81640625" style="18" customWidth="1"/>
    <col min="1026" max="1026" width="3.54296875" style="18" customWidth="1"/>
    <col min="1027" max="1271" width="9.1796875" style="18"/>
    <col min="1272" max="1272" width="8.7265625" style="18" customWidth="1"/>
    <col min="1273" max="1273" width="9.81640625" style="18" customWidth="1"/>
    <col min="1274" max="1274" width="14.453125" style="18" customWidth="1"/>
    <col min="1275" max="1275" width="7.26953125" style="18" customWidth="1"/>
    <col min="1276" max="1276" width="5.54296875" style="18" customWidth="1"/>
    <col min="1277" max="1277" width="9" style="18" customWidth="1"/>
    <col min="1278" max="1279" width="9.81640625" style="18" customWidth="1"/>
    <col min="1280" max="1280" width="11.1796875" style="18" customWidth="1"/>
    <col min="1281" max="1281" width="2.81640625" style="18" customWidth="1"/>
    <col min="1282" max="1282" width="3.54296875" style="18" customWidth="1"/>
    <col min="1283" max="1527" width="9.1796875" style="18"/>
    <col min="1528" max="1528" width="8.7265625" style="18" customWidth="1"/>
    <col min="1529" max="1529" width="9.81640625" style="18" customWidth="1"/>
    <col min="1530" max="1530" width="14.453125" style="18" customWidth="1"/>
    <col min="1531" max="1531" width="7.26953125" style="18" customWidth="1"/>
    <col min="1532" max="1532" width="5.54296875" style="18" customWidth="1"/>
    <col min="1533" max="1533" width="9" style="18" customWidth="1"/>
    <col min="1534" max="1535" width="9.81640625" style="18" customWidth="1"/>
    <col min="1536" max="1536" width="11.1796875" style="18" customWidth="1"/>
    <col min="1537" max="1537" width="2.81640625" style="18" customWidth="1"/>
    <col min="1538" max="1538" width="3.54296875" style="18" customWidth="1"/>
    <col min="1539" max="1783" width="9.1796875" style="18"/>
    <col min="1784" max="1784" width="8.7265625" style="18" customWidth="1"/>
    <col min="1785" max="1785" width="9.81640625" style="18" customWidth="1"/>
    <col min="1786" max="1786" width="14.453125" style="18" customWidth="1"/>
    <col min="1787" max="1787" width="7.26953125" style="18" customWidth="1"/>
    <col min="1788" max="1788" width="5.54296875" style="18" customWidth="1"/>
    <col min="1789" max="1789" width="9" style="18" customWidth="1"/>
    <col min="1790" max="1791" width="9.81640625" style="18" customWidth="1"/>
    <col min="1792" max="1792" width="11.1796875" style="18" customWidth="1"/>
    <col min="1793" max="1793" width="2.81640625" style="18" customWidth="1"/>
    <col min="1794" max="1794" width="3.54296875" style="18" customWidth="1"/>
    <col min="1795" max="2039" width="9.1796875" style="18"/>
    <col min="2040" max="2040" width="8.7265625" style="18" customWidth="1"/>
    <col min="2041" max="2041" width="9.81640625" style="18" customWidth="1"/>
    <col min="2042" max="2042" width="14.453125" style="18" customWidth="1"/>
    <col min="2043" max="2043" width="7.26953125" style="18" customWidth="1"/>
    <col min="2044" max="2044" width="5.54296875" style="18" customWidth="1"/>
    <col min="2045" max="2045" width="9" style="18" customWidth="1"/>
    <col min="2046" max="2047" width="9.81640625" style="18" customWidth="1"/>
    <col min="2048" max="2048" width="11.1796875" style="18" customWidth="1"/>
    <col min="2049" max="2049" width="2.81640625" style="18" customWidth="1"/>
    <col min="2050" max="2050" width="3.54296875" style="18" customWidth="1"/>
    <col min="2051" max="2295" width="9.1796875" style="18"/>
    <col min="2296" max="2296" width="8.7265625" style="18" customWidth="1"/>
    <col min="2297" max="2297" width="9.81640625" style="18" customWidth="1"/>
    <col min="2298" max="2298" width="14.453125" style="18" customWidth="1"/>
    <col min="2299" max="2299" width="7.26953125" style="18" customWidth="1"/>
    <col min="2300" max="2300" width="5.54296875" style="18" customWidth="1"/>
    <col min="2301" max="2301" width="9" style="18" customWidth="1"/>
    <col min="2302" max="2303" width="9.81640625" style="18" customWidth="1"/>
    <col min="2304" max="2304" width="11.1796875" style="18" customWidth="1"/>
    <col min="2305" max="2305" width="2.81640625" style="18" customWidth="1"/>
    <col min="2306" max="2306" width="3.54296875" style="18" customWidth="1"/>
    <col min="2307" max="2551" width="9.1796875" style="18"/>
    <col min="2552" max="2552" width="8.7265625" style="18" customWidth="1"/>
    <col min="2553" max="2553" width="9.81640625" style="18" customWidth="1"/>
    <col min="2554" max="2554" width="14.453125" style="18" customWidth="1"/>
    <col min="2555" max="2555" width="7.26953125" style="18" customWidth="1"/>
    <col min="2556" max="2556" width="5.54296875" style="18" customWidth="1"/>
    <col min="2557" max="2557" width="9" style="18" customWidth="1"/>
    <col min="2558" max="2559" width="9.81640625" style="18" customWidth="1"/>
    <col min="2560" max="2560" width="11.1796875" style="18" customWidth="1"/>
    <col min="2561" max="2561" width="2.81640625" style="18" customWidth="1"/>
    <col min="2562" max="2562" width="3.54296875" style="18" customWidth="1"/>
    <col min="2563" max="2807" width="9.1796875" style="18"/>
    <col min="2808" max="2808" width="8.7265625" style="18" customWidth="1"/>
    <col min="2809" max="2809" width="9.81640625" style="18" customWidth="1"/>
    <col min="2810" max="2810" width="14.453125" style="18" customWidth="1"/>
    <col min="2811" max="2811" width="7.26953125" style="18" customWidth="1"/>
    <col min="2812" max="2812" width="5.54296875" style="18" customWidth="1"/>
    <col min="2813" max="2813" width="9" style="18" customWidth="1"/>
    <col min="2814" max="2815" width="9.81640625" style="18" customWidth="1"/>
    <col min="2816" max="2816" width="11.1796875" style="18" customWidth="1"/>
    <col min="2817" max="2817" width="2.81640625" style="18" customWidth="1"/>
    <col min="2818" max="2818" width="3.54296875" style="18" customWidth="1"/>
    <col min="2819" max="3063" width="9.1796875" style="18"/>
    <col min="3064" max="3064" width="8.7265625" style="18" customWidth="1"/>
    <col min="3065" max="3065" width="9.81640625" style="18" customWidth="1"/>
    <col min="3066" max="3066" width="14.453125" style="18" customWidth="1"/>
    <col min="3067" max="3067" width="7.26953125" style="18" customWidth="1"/>
    <col min="3068" max="3068" width="5.54296875" style="18" customWidth="1"/>
    <col min="3069" max="3069" width="9" style="18" customWidth="1"/>
    <col min="3070" max="3071" width="9.81640625" style="18" customWidth="1"/>
    <col min="3072" max="3072" width="11.1796875" style="18" customWidth="1"/>
    <col min="3073" max="3073" width="2.81640625" style="18" customWidth="1"/>
    <col min="3074" max="3074" width="3.54296875" style="18" customWidth="1"/>
    <col min="3075" max="3319" width="9.1796875" style="18"/>
    <col min="3320" max="3320" width="8.7265625" style="18" customWidth="1"/>
    <col min="3321" max="3321" width="9.81640625" style="18" customWidth="1"/>
    <col min="3322" max="3322" width="14.453125" style="18" customWidth="1"/>
    <col min="3323" max="3323" width="7.26953125" style="18" customWidth="1"/>
    <col min="3324" max="3324" width="5.54296875" style="18" customWidth="1"/>
    <col min="3325" max="3325" width="9" style="18" customWidth="1"/>
    <col min="3326" max="3327" width="9.81640625" style="18" customWidth="1"/>
    <col min="3328" max="3328" width="11.1796875" style="18" customWidth="1"/>
    <col min="3329" max="3329" width="2.81640625" style="18" customWidth="1"/>
    <col min="3330" max="3330" width="3.54296875" style="18" customWidth="1"/>
    <col min="3331" max="3575" width="9.1796875" style="18"/>
    <col min="3576" max="3576" width="8.7265625" style="18" customWidth="1"/>
    <col min="3577" max="3577" width="9.81640625" style="18" customWidth="1"/>
    <col min="3578" max="3578" width="14.453125" style="18" customWidth="1"/>
    <col min="3579" max="3579" width="7.26953125" style="18" customWidth="1"/>
    <col min="3580" max="3580" width="5.54296875" style="18" customWidth="1"/>
    <col min="3581" max="3581" width="9" style="18" customWidth="1"/>
    <col min="3582" max="3583" width="9.81640625" style="18" customWidth="1"/>
    <col min="3584" max="3584" width="11.1796875" style="18" customWidth="1"/>
    <col min="3585" max="3585" width="2.81640625" style="18" customWidth="1"/>
    <col min="3586" max="3586" width="3.54296875" style="18" customWidth="1"/>
    <col min="3587" max="3831" width="9.1796875" style="18"/>
    <col min="3832" max="3832" width="8.7265625" style="18" customWidth="1"/>
    <col min="3833" max="3833" width="9.81640625" style="18" customWidth="1"/>
    <col min="3834" max="3834" width="14.453125" style="18" customWidth="1"/>
    <col min="3835" max="3835" width="7.26953125" style="18" customWidth="1"/>
    <col min="3836" max="3836" width="5.54296875" style="18" customWidth="1"/>
    <col min="3837" max="3837" width="9" style="18" customWidth="1"/>
    <col min="3838" max="3839" width="9.81640625" style="18" customWidth="1"/>
    <col min="3840" max="3840" width="11.1796875" style="18" customWidth="1"/>
    <col min="3841" max="3841" width="2.81640625" style="18" customWidth="1"/>
    <col min="3842" max="3842" width="3.54296875" style="18" customWidth="1"/>
    <col min="3843" max="4087" width="9.1796875" style="18"/>
    <col min="4088" max="4088" width="8.7265625" style="18" customWidth="1"/>
    <col min="4089" max="4089" width="9.81640625" style="18" customWidth="1"/>
    <col min="4090" max="4090" width="14.453125" style="18" customWidth="1"/>
    <col min="4091" max="4091" width="7.26953125" style="18" customWidth="1"/>
    <col min="4092" max="4092" width="5.54296875" style="18" customWidth="1"/>
    <col min="4093" max="4093" width="9" style="18" customWidth="1"/>
    <col min="4094" max="4095" width="9.81640625" style="18" customWidth="1"/>
    <col min="4096" max="4096" width="11.1796875" style="18" customWidth="1"/>
    <col min="4097" max="4097" width="2.81640625" style="18" customWidth="1"/>
    <col min="4098" max="4098" width="3.54296875" style="18" customWidth="1"/>
    <col min="4099" max="4343" width="9.1796875" style="18"/>
    <col min="4344" max="4344" width="8.7265625" style="18" customWidth="1"/>
    <col min="4345" max="4345" width="9.81640625" style="18" customWidth="1"/>
    <col min="4346" max="4346" width="14.453125" style="18" customWidth="1"/>
    <col min="4347" max="4347" width="7.26953125" style="18" customWidth="1"/>
    <col min="4348" max="4348" width="5.54296875" style="18" customWidth="1"/>
    <col min="4349" max="4349" width="9" style="18" customWidth="1"/>
    <col min="4350" max="4351" width="9.81640625" style="18" customWidth="1"/>
    <col min="4352" max="4352" width="11.1796875" style="18" customWidth="1"/>
    <col min="4353" max="4353" width="2.81640625" style="18" customWidth="1"/>
    <col min="4354" max="4354" width="3.54296875" style="18" customWidth="1"/>
    <col min="4355" max="4599" width="9.1796875" style="18"/>
    <col min="4600" max="4600" width="8.7265625" style="18" customWidth="1"/>
    <col min="4601" max="4601" width="9.81640625" style="18" customWidth="1"/>
    <col min="4602" max="4602" width="14.453125" style="18" customWidth="1"/>
    <col min="4603" max="4603" width="7.26953125" style="18" customWidth="1"/>
    <col min="4604" max="4604" width="5.54296875" style="18" customWidth="1"/>
    <col min="4605" max="4605" width="9" style="18" customWidth="1"/>
    <col min="4606" max="4607" width="9.81640625" style="18" customWidth="1"/>
    <col min="4608" max="4608" width="11.1796875" style="18" customWidth="1"/>
    <col min="4609" max="4609" width="2.81640625" style="18" customWidth="1"/>
    <col min="4610" max="4610" width="3.54296875" style="18" customWidth="1"/>
    <col min="4611" max="4855" width="9.1796875" style="18"/>
    <col min="4856" max="4856" width="8.7265625" style="18" customWidth="1"/>
    <col min="4857" max="4857" width="9.81640625" style="18" customWidth="1"/>
    <col min="4858" max="4858" width="14.453125" style="18" customWidth="1"/>
    <col min="4859" max="4859" width="7.26953125" style="18" customWidth="1"/>
    <col min="4860" max="4860" width="5.54296875" style="18" customWidth="1"/>
    <col min="4861" max="4861" width="9" style="18" customWidth="1"/>
    <col min="4862" max="4863" width="9.81640625" style="18" customWidth="1"/>
    <col min="4864" max="4864" width="11.1796875" style="18" customWidth="1"/>
    <col min="4865" max="4865" width="2.81640625" style="18" customWidth="1"/>
    <col min="4866" max="4866" width="3.54296875" style="18" customWidth="1"/>
    <col min="4867" max="5111" width="9.1796875" style="18"/>
    <col min="5112" max="5112" width="8.7265625" style="18" customWidth="1"/>
    <col min="5113" max="5113" width="9.81640625" style="18" customWidth="1"/>
    <col min="5114" max="5114" width="14.453125" style="18" customWidth="1"/>
    <col min="5115" max="5115" width="7.26953125" style="18" customWidth="1"/>
    <col min="5116" max="5116" width="5.54296875" style="18" customWidth="1"/>
    <col min="5117" max="5117" width="9" style="18" customWidth="1"/>
    <col min="5118" max="5119" width="9.81640625" style="18" customWidth="1"/>
    <col min="5120" max="5120" width="11.1796875" style="18" customWidth="1"/>
    <col min="5121" max="5121" width="2.81640625" style="18" customWidth="1"/>
    <col min="5122" max="5122" width="3.54296875" style="18" customWidth="1"/>
    <col min="5123" max="5367" width="9.1796875" style="18"/>
    <col min="5368" max="5368" width="8.7265625" style="18" customWidth="1"/>
    <col min="5369" max="5369" width="9.81640625" style="18" customWidth="1"/>
    <col min="5370" max="5370" width="14.453125" style="18" customWidth="1"/>
    <col min="5371" max="5371" width="7.26953125" style="18" customWidth="1"/>
    <col min="5372" max="5372" width="5.54296875" style="18" customWidth="1"/>
    <col min="5373" max="5373" width="9" style="18" customWidth="1"/>
    <col min="5374" max="5375" width="9.81640625" style="18" customWidth="1"/>
    <col min="5376" max="5376" width="11.1796875" style="18" customWidth="1"/>
    <col min="5377" max="5377" width="2.81640625" style="18" customWidth="1"/>
    <col min="5378" max="5378" width="3.54296875" style="18" customWidth="1"/>
    <col min="5379" max="5623" width="9.1796875" style="18"/>
    <col min="5624" max="5624" width="8.7265625" style="18" customWidth="1"/>
    <col min="5625" max="5625" width="9.81640625" style="18" customWidth="1"/>
    <col min="5626" max="5626" width="14.453125" style="18" customWidth="1"/>
    <col min="5627" max="5627" width="7.26953125" style="18" customWidth="1"/>
    <col min="5628" max="5628" width="5.54296875" style="18" customWidth="1"/>
    <col min="5629" max="5629" width="9" style="18" customWidth="1"/>
    <col min="5630" max="5631" width="9.81640625" style="18" customWidth="1"/>
    <col min="5632" max="5632" width="11.1796875" style="18" customWidth="1"/>
    <col min="5633" max="5633" width="2.81640625" style="18" customWidth="1"/>
    <col min="5634" max="5634" width="3.54296875" style="18" customWidth="1"/>
    <col min="5635" max="5879" width="9.1796875" style="18"/>
    <col min="5880" max="5880" width="8.7265625" style="18" customWidth="1"/>
    <col min="5881" max="5881" width="9.81640625" style="18" customWidth="1"/>
    <col min="5882" max="5882" width="14.453125" style="18" customWidth="1"/>
    <col min="5883" max="5883" width="7.26953125" style="18" customWidth="1"/>
    <col min="5884" max="5884" width="5.54296875" style="18" customWidth="1"/>
    <col min="5885" max="5885" width="9" style="18" customWidth="1"/>
    <col min="5886" max="5887" width="9.81640625" style="18" customWidth="1"/>
    <col min="5888" max="5888" width="11.1796875" style="18" customWidth="1"/>
    <col min="5889" max="5889" width="2.81640625" style="18" customWidth="1"/>
    <col min="5890" max="5890" width="3.54296875" style="18" customWidth="1"/>
    <col min="5891" max="6135" width="9.1796875" style="18"/>
    <col min="6136" max="6136" width="8.7265625" style="18" customWidth="1"/>
    <col min="6137" max="6137" width="9.81640625" style="18" customWidth="1"/>
    <col min="6138" max="6138" width="14.453125" style="18" customWidth="1"/>
    <col min="6139" max="6139" width="7.26953125" style="18" customWidth="1"/>
    <col min="6140" max="6140" width="5.54296875" style="18" customWidth="1"/>
    <col min="6141" max="6141" width="9" style="18" customWidth="1"/>
    <col min="6142" max="6143" width="9.81640625" style="18" customWidth="1"/>
    <col min="6144" max="6144" width="11.1796875" style="18" customWidth="1"/>
    <col min="6145" max="6145" width="2.81640625" style="18" customWidth="1"/>
    <col min="6146" max="6146" width="3.54296875" style="18" customWidth="1"/>
    <col min="6147" max="6391" width="9.1796875" style="18"/>
    <col min="6392" max="6392" width="8.7265625" style="18" customWidth="1"/>
    <col min="6393" max="6393" width="9.81640625" style="18" customWidth="1"/>
    <col min="6394" max="6394" width="14.453125" style="18" customWidth="1"/>
    <col min="6395" max="6395" width="7.26953125" style="18" customWidth="1"/>
    <col min="6396" max="6396" width="5.54296875" style="18" customWidth="1"/>
    <col min="6397" max="6397" width="9" style="18" customWidth="1"/>
    <col min="6398" max="6399" width="9.81640625" style="18" customWidth="1"/>
    <col min="6400" max="6400" width="11.1796875" style="18" customWidth="1"/>
    <col min="6401" max="6401" width="2.81640625" style="18" customWidth="1"/>
    <col min="6402" max="6402" width="3.54296875" style="18" customWidth="1"/>
    <col min="6403" max="6647" width="9.1796875" style="18"/>
    <col min="6648" max="6648" width="8.7265625" style="18" customWidth="1"/>
    <col min="6649" max="6649" width="9.81640625" style="18" customWidth="1"/>
    <col min="6650" max="6650" width="14.453125" style="18" customWidth="1"/>
    <col min="6651" max="6651" width="7.26953125" style="18" customWidth="1"/>
    <col min="6652" max="6652" width="5.54296875" style="18" customWidth="1"/>
    <col min="6653" max="6653" width="9" style="18" customWidth="1"/>
    <col min="6654" max="6655" width="9.81640625" style="18" customWidth="1"/>
    <col min="6656" max="6656" width="11.1796875" style="18" customWidth="1"/>
    <col min="6657" max="6657" width="2.81640625" style="18" customWidth="1"/>
    <col min="6658" max="6658" width="3.54296875" style="18" customWidth="1"/>
    <col min="6659" max="6903" width="9.1796875" style="18"/>
    <col min="6904" max="6904" width="8.7265625" style="18" customWidth="1"/>
    <col min="6905" max="6905" width="9.81640625" style="18" customWidth="1"/>
    <col min="6906" max="6906" width="14.453125" style="18" customWidth="1"/>
    <col min="6907" max="6907" width="7.26953125" style="18" customWidth="1"/>
    <col min="6908" max="6908" width="5.54296875" style="18" customWidth="1"/>
    <col min="6909" max="6909" width="9" style="18" customWidth="1"/>
    <col min="6910" max="6911" width="9.81640625" style="18" customWidth="1"/>
    <col min="6912" max="6912" width="11.1796875" style="18" customWidth="1"/>
    <col min="6913" max="6913" width="2.81640625" style="18" customWidth="1"/>
    <col min="6914" max="6914" width="3.54296875" style="18" customWidth="1"/>
    <col min="6915" max="7159" width="9.1796875" style="18"/>
    <col min="7160" max="7160" width="8.7265625" style="18" customWidth="1"/>
    <col min="7161" max="7161" width="9.81640625" style="18" customWidth="1"/>
    <col min="7162" max="7162" width="14.453125" style="18" customWidth="1"/>
    <col min="7163" max="7163" width="7.26953125" style="18" customWidth="1"/>
    <col min="7164" max="7164" width="5.54296875" style="18" customWidth="1"/>
    <col min="7165" max="7165" width="9" style="18" customWidth="1"/>
    <col min="7166" max="7167" width="9.81640625" style="18" customWidth="1"/>
    <col min="7168" max="7168" width="11.1796875" style="18" customWidth="1"/>
    <col min="7169" max="7169" width="2.81640625" style="18" customWidth="1"/>
    <col min="7170" max="7170" width="3.54296875" style="18" customWidth="1"/>
    <col min="7171" max="7415" width="9.1796875" style="18"/>
    <col min="7416" max="7416" width="8.7265625" style="18" customWidth="1"/>
    <col min="7417" max="7417" width="9.81640625" style="18" customWidth="1"/>
    <col min="7418" max="7418" width="14.453125" style="18" customWidth="1"/>
    <col min="7419" max="7419" width="7.26953125" style="18" customWidth="1"/>
    <col min="7420" max="7420" width="5.54296875" style="18" customWidth="1"/>
    <col min="7421" max="7421" width="9" style="18" customWidth="1"/>
    <col min="7422" max="7423" width="9.81640625" style="18" customWidth="1"/>
    <col min="7424" max="7424" width="11.1796875" style="18" customWidth="1"/>
    <col min="7425" max="7425" width="2.81640625" style="18" customWidth="1"/>
    <col min="7426" max="7426" width="3.54296875" style="18" customWidth="1"/>
    <col min="7427" max="7671" width="9.1796875" style="18"/>
    <col min="7672" max="7672" width="8.7265625" style="18" customWidth="1"/>
    <col min="7673" max="7673" width="9.81640625" style="18" customWidth="1"/>
    <col min="7674" max="7674" width="14.453125" style="18" customWidth="1"/>
    <col min="7675" max="7675" width="7.26953125" style="18" customWidth="1"/>
    <col min="7676" max="7676" width="5.54296875" style="18" customWidth="1"/>
    <col min="7677" max="7677" width="9" style="18" customWidth="1"/>
    <col min="7678" max="7679" width="9.81640625" style="18" customWidth="1"/>
    <col min="7680" max="7680" width="11.1796875" style="18" customWidth="1"/>
    <col min="7681" max="7681" width="2.81640625" style="18" customWidth="1"/>
    <col min="7682" max="7682" width="3.54296875" style="18" customWidth="1"/>
    <col min="7683" max="7927" width="9.1796875" style="18"/>
    <col min="7928" max="7928" width="8.7265625" style="18" customWidth="1"/>
    <col min="7929" max="7929" width="9.81640625" style="18" customWidth="1"/>
    <col min="7930" max="7930" width="14.453125" style="18" customWidth="1"/>
    <col min="7931" max="7931" width="7.26953125" style="18" customWidth="1"/>
    <col min="7932" max="7932" width="5.54296875" style="18" customWidth="1"/>
    <col min="7933" max="7933" width="9" style="18" customWidth="1"/>
    <col min="7934" max="7935" width="9.81640625" style="18" customWidth="1"/>
    <col min="7936" max="7936" width="11.1796875" style="18" customWidth="1"/>
    <col min="7937" max="7937" width="2.81640625" style="18" customWidth="1"/>
    <col min="7938" max="7938" width="3.54296875" style="18" customWidth="1"/>
    <col min="7939" max="8183" width="9.1796875" style="18"/>
    <col min="8184" max="8184" width="8.7265625" style="18" customWidth="1"/>
    <col min="8185" max="8185" width="9.81640625" style="18" customWidth="1"/>
    <col min="8186" max="8186" width="14.453125" style="18" customWidth="1"/>
    <col min="8187" max="8187" width="7.26953125" style="18" customWidth="1"/>
    <col min="8188" max="8188" width="5.54296875" style="18" customWidth="1"/>
    <col min="8189" max="8189" width="9" style="18" customWidth="1"/>
    <col min="8190" max="8191" width="9.81640625" style="18" customWidth="1"/>
    <col min="8192" max="8192" width="11.1796875" style="18" customWidth="1"/>
    <col min="8193" max="8193" width="2.81640625" style="18" customWidth="1"/>
    <col min="8194" max="8194" width="3.54296875" style="18" customWidth="1"/>
    <col min="8195" max="8439" width="9.1796875" style="18"/>
    <col min="8440" max="8440" width="8.7265625" style="18" customWidth="1"/>
    <col min="8441" max="8441" width="9.81640625" style="18" customWidth="1"/>
    <col min="8442" max="8442" width="14.453125" style="18" customWidth="1"/>
    <col min="8443" max="8443" width="7.26953125" style="18" customWidth="1"/>
    <col min="8444" max="8444" width="5.54296875" style="18" customWidth="1"/>
    <col min="8445" max="8445" width="9" style="18" customWidth="1"/>
    <col min="8446" max="8447" width="9.81640625" style="18" customWidth="1"/>
    <col min="8448" max="8448" width="11.1796875" style="18" customWidth="1"/>
    <col min="8449" max="8449" width="2.81640625" style="18" customWidth="1"/>
    <col min="8450" max="8450" width="3.54296875" style="18" customWidth="1"/>
    <col min="8451" max="8695" width="9.1796875" style="18"/>
    <col min="8696" max="8696" width="8.7265625" style="18" customWidth="1"/>
    <col min="8697" max="8697" width="9.81640625" style="18" customWidth="1"/>
    <col min="8698" max="8698" width="14.453125" style="18" customWidth="1"/>
    <col min="8699" max="8699" width="7.26953125" style="18" customWidth="1"/>
    <col min="8700" max="8700" width="5.54296875" style="18" customWidth="1"/>
    <col min="8701" max="8701" width="9" style="18" customWidth="1"/>
    <col min="8702" max="8703" width="9.81640625" style="18" customWidth="1"/>
    <col min="8704" max="8704" width="11.1796875" style="18" customWidth="1"/>
    <col min="8705" max="8705" width="2.81640625" style="18" customWidth="1"/>
    <col min="8706" max="8706" width="3.54296875" style="18" customWidth="1"/>
    <col min="8707" max="8951" width="9.1796875" style="18"/>
    <col min="8952" max="8952" width="8.7265625" style="18" customWidth="1"/>
    <col min="8953" max="8953" width="9.81640625" style="18" customWidth="1"/>
    <col min="8954" max="8954" width="14.453125" style="18" customWidth="1"/>
    <col min="8955" max="8955" width="7.26953125" style="18" customWidth="1"/>
    <col min="8956" max="8956" width="5.54296875" style="18" customWidth="1"/>
    <col min="8957" max="8957" width="9" style="18" customWidth="1"/>
    <col min="8958" max="8959" width="9.81640625" style="18" customWidth="1"/>
    <col min="8960" max="8960" width="11.1796875" style="18" customWidth="1"/>
    <col min="8961" max="8961" width="2.81640625" style="18" customWidth="1"/>
    <col min="8962" max="8962" width="3.54296875" style="18" customWidth="1"/>
    <col min="8963" max="9207" width="9.1796875" style="18"/>
    <col min="9208" max="9208" width="8.7265625" style="18" customWidth="1"/>
    <col min="9209" max="9209" width="9.81640625" style="18" customWidth="1"/>
    <col min="9210" max="9210" width="14.453125" style="18" customWidth="1"/>
    <col min="9211" max="9211" width="7.26953125" style="18" customWidth="1"/>
    <col min="9212" max="9212" width="5.54296875" style="18" customWidth="1"/>
    <col min="9213" max="9213" width="9" style="18" customWidth="1"/>
    <col min="9214" max="9215" width="9.81640625" style="18" customWidth="1"/>
    <col min="9216" max="9216" width="11.1796875" style="18" customWidth="1"/>
    <col min="9217" max="9217" width="2.81640625" style="18" customWidth="1"/>
    <col min="9218" max="9218" width="3.54296875" style="18" customWidth="1"/>
    <col min="9219" max="9463" width="9.1796875" style="18"/>
    <col min="9464" max="9464" width="8.7265625" style="18" customWidth="1"/>
    <col min="9465" max="9465" width="9.81640625" style="18" customWidth="1"/>
    <col min="9466" max="9466" width="14.453125" style="18" customWidth="1"/>
    <col min="9467" max="9467" width="7.26953125" style="18" customWidth="1"/>
    <col min="9468" max="9468" width="5.54296875" style="18" customWidth="1"/>
    <col min="9469" max="9469" width="9" style="18" customWidth="1"/>
    <col min="9470" max="9471" width="9.81640625" style="18" customWidth="1"/>
    <col min="9472" max="9472" width="11.1796875" style="18" customWidth="1"/>
    <col min="9473" max="9473" width="2.81640625" style="18" customWidth="1"/>
    <col min="9474" max="9474" width="3.54296875" style="18" customWidth="1"/>
    <col min="9475" max="9719" width="9.1796875" style="18"/>
    <col min="9720" max="9720" width="8.7265625" style="18" customWidth="1"/>
    <col min="9721" max="9721" width="9.81640625" style="18" customWidth="1"/>
    <col min="9722" max="9722" width="14.453125" style="18" customWidth="1"/>
    <col min="9723" max="9723" width="7.26953125" style="18" customWidth="1"/>
    <col min="9724" max="9724" width="5.54296875" style="18" customWidth="1"/>
    <col min="9725" max="9725" width="9" style="18" customWidth="1"/>
    <col min="9726" max="9727" width="9.81640625" style="18" customWidth="1"/>
    <col min="9728" max="9728" width="11.1796875" style="18" customWidth="1"/>
    <col min="9729" max="9729" width="2.81640625" style="18" customWidth="1"/>
    <col min="9730" max="9730" width="3.54296875" style="18" customWidth="1"/>
    <col min="9731" max="9975" width="9.1796875" style="18"/>
    <col min="9976" max="9976" width="8.7265625" style="18" customWidth="1"/>
    <col min="9977" max="9977" width="9.81640625" style="18" customWidth="1"/>
    <col min="9978" max="9978" width="14.453125" style="18" customWidth="1"/>
    <col min="9979" max="9979" width="7.26953125" style="18" customWidth="1"/>
    <col min="9980" max="9980" width="5.54296875" style="18" customWidth="1"/>
    <col min="9981" max="9981" width="9" style="18" customWidth="1"/>
    <col min="9982" max="9983" width="9.81640625" style="18" customWidth="1"/>
    <col min="9984" max="9984" width="11.1796875" style="18" customWidth="1"/>
    <col min="9985" max="9985" width="2.81640625" style="18" customWidth="1"/>
    <col min="9986" max="9986" width="3.54296875" style="18" customWidth="1"/>
    <col min="9987" max="10231" width="9.1796875" style="18"/>
    <col min="10232" max="10232" width="8.7265625" style="18" customWidth="1"/>
    <col min="10233" max="10233" width="9.81640625" style="18" customWidth="1"/>
    <col min="10234" max="10234" width="14.453125" style="18" customWidth="1"/>
    <col min="10235" max="10235" width="7.26953125" style="18" customWidth="1"/>
    <col min="10236" max="10236" width="5.54296875" style="18" customWidth="1"/>
    <col min="10237" max="10237" width="9" style="18" customWidth="1"/>
    <col min="10238" max="10239" width="9.81640625" style="18" customWidth="1"/>
    <col min="10240" max="10240" width="11.1796875" style="18" customWidth="1"/>
    <col min="10241" max="10241" width="2.81640625" style="18" customWidth="1"/>
    <col min="10242" max="10242" width="3.54296875" style="18" customWidth="1"/>
    <col min="10243" max="10487" width="9.1796875" style="18"/>
    <col min="10488" max="10488" width="8.7265625" style="18" customWidth="1"/>
    <col min="10489" max="10489" width="9.81640625" style="18" customWidth="1"/>
    <col min="10490" max="10490" width="14.453125" style="18" customWidth="1"/>
    <col min="10491" max="10491" width="7.26953125" style="18" customWidth="1"/>
    <col min="10492" max="10492" width="5.54296875" style="18" customWidth="1"/>
    <col min="10493" max="10493" width="9" style="18" customWidth="1"/>
    <col min="10494" max="10495" width="9.81640625" style="18" customWidth="1"/>
    <col min="10496" max="10496" width="11.1796875" style="18" customWidth="1"/>
    <col min="10497" max="10497" width="2.81640625" style="18" customWidth="1"/>
    <col min="10498" max="10498" width="3.54296875" style="18" customWidth="1"/>
    <col min="10499" max="10743" width="9.1796875" style="18"/>
    <col min="10744" max="10744" width="8.7265625" style="18" customWidth="1"/>
    <col min="10745" max="10745" width="9.81640625" style="18" customWidth="1"/>
    <col min="10746" max="10746" width="14.453125" style="18" customWidth="1"/>
    <col min="10747" max="10747" width="7.26953125" style="18" customWidth="1"/>
    <col min="10748" max="10748" width="5.54296875" style="18" customWidth="1"/>
    <col min="10749" max="10749" width="9" style="18" customWidth="1"/>
    <col min="10750" max="10751" width="9.81640625" style="18" customWidth="1"/>
    <col min="10752" max="10752" width="11.1796875" style="18" customWidth="1"/>
    <col min="10753" max="10753" width="2.81640625" style="18" customWidth="1"/>
    <col min="10754" max="10754" width="3.54296875" style="18" customWidth="1"/>
    <col min="10755" max="10999" width="9.1796875" style="18"/>
    <col min="11000" max="11000" width="8.7265625" style="18" customWidth="1"/>
    <col min="11001" max="11001" width="9.81640625" style="18" customWidth="1"/>
    <col min="11002" max="11002" width="14.453125" style="18" customWidth="1"/>
    <col min="11003" max="11003" width="7.26953125" style="18" customWidth="1"/>
    <col min="11004" max="11004" width="5.54296875" style="18" customWidth="1"/>
    <col min="11005" max="11005" width="9" style="18" customWidth="1"/>
    <col min="11006" max="11007" width="9.81640625" style="18" customWidth="1"/>
    <col min="11008" max="11008" width="11.1796875" style="18" customWidth="1"/>
    <col min="11009" max="11009" width="2.81640625" style="18" customWidth="1"/>
    <col min="11010" max="11010" width="3.54296875" style="18" customWidth="1"/>
    <col min="11011" max="11255" width="9.1796875" style="18"/>
    <col min="11256" max="11256" width="8.7265625" style="18" customWidth="1"/>
    <col min="11257" max="11257" width="9.81640625" style="18" customWidth="1"/>
    <col min="11258" max="11258" width="14.453125" style="18" customWidth="1"/>
    <col min="11259" max="11259" width="7.26953125" style="18" customWidth="1"/>
    <col min="11260" max="11260" width="5.54296875" style="18" customWidth="1"/>
    <col min="11261" max="11261" width="9" style="18" customWidth="1"/>
    <col min="11262" max="11263" width="9.81640625" style="18" customWidth="1"/>
    <col min="11264" max="11264" width="11.1796875" style="18" customWidth="1"/>
    <col min="11265" max="11265" width="2.81640625" style="18" customWidth="1"/>
    <col min="11266" max="11266" width="3.54296875" style="18" customWidth="1"/>
    <col min="11267" max="11511" width="9.1796875" style="18"/>
    <col min="11512" max="11512" width="8.7265625" style="18" customWidth="1"/>
    <col min="11513" max="11513" width="9.81640625" style="18" customWidth="1"/>
    <col min="11514" max="11514" width="14.453125" style="18" customWidth="1"/>
    <col min="11515" max="11515" width="7.26953125" style="18" customWidth="1"/>
    <col min="11516" max="11516" width="5.54296875" style="18" customWidth="1"/>
    <col min="11517" max="11517" width="9" style="18" customWidth="1"/>
    <col min="11518" max="11519" width="9.81640625" style="18" customWidth="1"/>
    <col min="11520" max="11520" width="11.1796875" style="18" customWidth="1"/>
    <col min="11521" max="11521" width="2.81640625" style="18" customWidth="1"/>
    <col min="11522" max="11522" width="3.54296875" style="18" customWidth="1"/>
    <col min="11523" max="11767" width="9.1796875" style="18"/>
    <col min="11768" max="11768" width="8.7265625" style="18" customWidth="1"/>
    <col min="11769" max="11769" width="9.81640625" style="18" customWidth="1"/>
    <col min="11770" max="11770" width="14.453125" style="18" customWidth="1"/>
    <col min="11771" max="11771" width="7.26953125" style="18" customWidth="1"/>
    <col min="11772" max="11772" width="5.54296875" style="18" customWidth="1"/>
    <col min="11773" max="11773" width="9" style="18" customWidth="1"/>
    <col min="11774" max="11775" width="9.81640625" style="18" customWidth="1"/>
    <col min="11776" max="11776" width="11.1796875" style="18" customWidth="1"/>
    <col min="11777" max="11777" width="2.81640625" style="18" customWidth="1"/>
    <col min="11778" max="11778" width="3.54296875" style="18" customWidth="1"/>
    <col min="11779" max="12023" width="9.1796875" style="18"/>
    <col min="12024" max="12024" width="8.7265625" style="18" customWidth="1"/>
    <col min="12025" max="12025" width="9.81640625" style="18" customWidth="1"/>
    <col min="12026" max="12026" width="14.453125" style="18" customWidth="1"/>
    <col min="12027" max="12027" width="7.26953125" style="18" customWidth="1"/>
    <col min="12028" max="12028" width="5.54296875" style="18" customWidth="1"/>
    <col min="12029" max="12029" width="9" style="18" customWidth="1"/>
    <col min="12030" max="12031" width="9.81640625" style="18" customWidth="1"/>
    <col min="12032" max="12032" width="11.1796875" style="18" customWidth="1"/>
    <col min="12033" max="12033" width="2.81640625" style="18" customWidth="1"/>
    <col min="12034" max="12034" width="3.54296875" style="18" customWidth="1"/>
    <col min="12035" max="12279" width="9.1796875" style="18"/>
    <col min="12280" max="12280" width="8.7265625" style="18" customWidth="1"/>
    <col min="12281" max="12281" width="9.81640625" style="18" customWidth="1"/>
    <col min="12282" max="12282" width="14.453125" style="18" customWidth="1"/>
    <col min="12283" max="12283" width="7.26953125" style="18" customWidth="1"/>
    <col min="12284" max="12284" width="5.54296875" style="18" customWidth="1"/>
    <col min="12285" max="12285" width="9" style="18" customWidth="1"/>
    <col min="12286" max="12287" width="9.81640625" style="18" customWidth="1"/>
    <col min="12288" max="12288" width="11.1796875" style="18" customWidth="1"/>
    <col min="12289" max="12289" width="2.81640625" style="18" customWidth="1"/>
    <col min="12290" max="12290" width="3.54296875" style="18" customWidth="1"/>
    <col min="12291" max="12535" width="9.1796875" style="18"/>
    <col min="12536" max="12536" width="8.7265625" style="18" customWidth="1"/>
    <col min="12537" max="12537" width="9.81640625" style="18" customWidth="1"/>
    <col min="12538" max="12538" width="14.453125" style="18" customWidth="1"/>
    <col min="12539" max="12539" width="7.26953125" style="18" customWidth="1"/>
    <col min="12540" max="12540" width="5.54296875" style="18" customWidth="1"/>
    <col min="12541" max="12541" width="9" style="18" customWidth="1"/>
    <col min="12542" max="12543" width="9.81640625" style="18" customWidth="1"/>
    <col min="12544" max="12544" width="11.1796875" style="18" customWidth="1"/>
    <col min="12545" max="12545" width="2.81640625" style="18" customWidth="1"/>
    <col min="12546" max="12546" width="3.54296875" style="18" customWidth="1"/>
    <col min="12547" max="12791" width="9.1796875" style="18"/>
    <col min="12792" max="12792" width="8.7265625" style="18" customWidth="1"/>
    <col min="12793" max="12793" width="9.81640625" style="18" customWidth="1"/>
    <col min="12794" max="12794" width="14.453125" style="18" customWidth="1"/>
    <col min="12795" max="12795" width="7.26953125" style="18" customWidth="1"/>
    <col min="12796" max="12796" width="5.54296875" style="18" customWidth="1"/>
    <col min="12797" max="12797" width="9" style="18" customWidth="1"/>
    <col min="12798" max="12799" width="9.81640625" style="18" customWidth="1"/>
    <col min="12800" max="12800" width="11.1796875" style="18" customWidth="1"/>
    <col min="12801" max="12801" width="2.81640625" style="18" customWidth="1"/>
    <col min="12802" max="12802" width="3.54296875" style="18" customWidth="1"/>
    <col min="12803" max="13047" width="9.1796875" style="18"/>
    <col min="13048" max="13048" width="8.7265625" style="18" customWidth="1"/>
    <col min="13049" max="13049" width="9.81640625" style="18" customWidth="1"/>
    <col min="13050" max="13050" width="14.453125" style="18" customWidth="1"/>
    <col min="13051" max="13051" width="7.26953125" style="18" customWidth="1"/>
    <col min="13052" max="13052" width="5.54296875" style="18" customWidth="1"/>
    <col min="13053" max="13053" width="9" style="18" customWidth="1"/>
    <col min="13054" max="13055" width="9.81640625" style="18" customWidth="1"/>
    <col min="13056" max="13056" width="11.1796875" style="18" customWidth="1"/>
    <col min="13057" max="13057" width="2.81640625" style="18" customWidth="1"/>
    <col min="13058" max="13058" width="3.54296875" style="18" customWidth="1"/>
    <col min="13059" max="13303" width="9.1796875" style="18"/>
    <col min="13304" max="13304" width="8.7265625" style="18" customWidth="1"/>
    <col min="13305" max="13305" width="9.81640625" style="18" customWidth="1"/>
    <col min="13306" max="13306" width="14.453125" style="18" customWidth="1"/>
    <col min="13307" max="13307" width="7.26953125" style="18" customWidth="1"/>
    <col min="13308" max="13308" width="5.54296875" style="18" customWidth="1"/>
    <col min="13309" max="13309" width="9" style="18" customWidth="1"/>
    <col min="13310" max="13311" width="9.81640625" style="18" customWidth="1"/>
    <col min="13312" max="13312" width="11.1796875" style="18" customWidth="1"/>
    <col min="13313" max="13313" width="2.81640625" style="18" customWidth="1"/>
    <col min="13314" max="13314" width="3.54296875" style="18" customWidth="1"/>
    <col min="13315" max="13559" width="9.1796875" style="18"/>
    <col min="13560" max="13560" width="8.7265625" style="18" customWidth="1"/>
    <col min="13561" max="13561" width="9.81640625" style="18" customWidth="1"/>
    <col min="13562" max="13562" width="14.453125" style="18" customWidth="1"/>
    <col min="13563" max="13563" width="7.26953125" style="18" customWidth="1"/>
    <col min="13564" max="13564" width="5.54296875" style="18" customWidth="1"/>
    <col min="13565" max="13565" width="9" style="18" customWidth="1"/>
    <col min="13566" max="13567" width="9.81640625" style="18" customWidth="1"/>
    <col min="13568" max="13568" width="11.1796875" style="18" customWidth="1"/>
    <col min="13569" max="13569" width="2.81640625" style="18" customWidth="1"/>
    <col min="13570" max="13570" width="3.54296875" style="18" customWidth="1"/>
    <col min="13571" max="13815" width="9.1796875" style="18"/>
    <col min="13816" max="13816" width="8.7265625" style="18" customWidth="1"/>
    <col min="13817" max="13817" width="9.81640625" style="18" customWidth="1"/>
    <col min="13818" max="13818" width="14.453125" style="18" customWidth="1"/>
    <col min="13819" max="13819" width="7.26953125" style="18" customWidth="1"/>
    <col min="13820" max="13820" width="5.54296875" style="18" customWidth="1"/>
    <col min="13821" max="13821" width="9" style="18" customWidth="1"/>
    <col min="13822" max="13823" width="9.81640625" style="18" customWidth="1"/>
    <col min="13824" max="13824" width="11.1796875" style="18" customWidth="1"/>
    <col min="13825" max="13825" width="2.81640625" style="18" customWidth="1"/>
    <col min="13826" max="13826" width="3.54296875" style="18" customWidth="1"/>
    <col min="13827" max="14071" width="9.1796875" style="18"/>
    <col min="14072" max="14072" width="8.7265625" style="18" customWidth="1"/>
    <col min="14073" max="14073" width="9.81640625" style="18" customWidth="1"/>
    <col min="14074" max="14074" width="14.453125" style="18" customWidth="1"/>
    <col min="14075" max="14075" width="7.26953125" style="18" customWidth="1"/>
    <col min="14076" max="14076" width="5.54296875" style="18" customWidth="1"/>
    <col min="14077" max="14077" width="9" style="18" customWidth="1"/>
    <col min="14078" max="14079" width="9.81640625" style="18" customWidth="1"/>
    <col min="14080" max="14080" width="11.1796875" style="18" customWidth="1"/>
    <col min="14081" max="14081" width="2.81640625" style="18" customWidth="1"/>
    <col min="14082" max="14082" width="3.54296875" style="18" customWidth="1"/>
    <col min="14083" max="14327" width="9.1796875" style="18"/>
    <col min="14328" max="14328" width="8.7265625" style="18" customWidth="1"/>
    <col min="14329" max="14329" width="9.81640625" style="18" customWidth="1"/>
    <col min="14330" max="14330" width="14.453125" style="18" customWidth="1"/>
    <col min="14331" max="14331" width="7.26953125" style="18" customWidth="1"/>
    <col min="14332" max="14332" width="5.54296875" style="18" customWidth="1"/>
    <col min="14333" max="14333" width="9" style="18" customWidth="1"/>
    <col min="14334" max="14335" width="9.81640625" style="18" customWidth="1"/>
    <col min="14336" max="14336" width="11.1796875" style="18" customWidth="1"/>
    <col min="14337" max="14337" width="2.81640625" style="18" customWidth="1"/>
    <col min="14338" max="14338" width="3.54296875" style="18" customWidth="1"/>
    <col min="14339" max="14583" width="9.1796875" style="18"/>
    <col min="14584" max="14584" width="8.7265625" style="18" customWidth="1"/>
    <col min="14585" max="14585" width="9.81640625" style="18" customWidth="1"/>
    <col min="14586" max="14586" width="14.453125" style="18" customWidth="1"/>
    <col min="14587" max="14587" width="7.26953125" style="18" customWidth="1"/>
    <col min="14588" max="14588" width="5.54296875" style="18" customWidth="1"/>
    <col min="14589" max="14589" width="9" style="18" customWidth="1"/>
    <col min="14590" max="14591" width="9.81640625" style="18" customWidth="1"/>
    <col min="14592" max="14592" width="11.1796875" style="18" customWidth="1"/>
    <col min="14593" max="14593" width="2.81640625" style="18" customWidth="1"/>
    <col min="14594" max="14594" width="3.54296875" style="18" customWidth="1"/>
    <col min="14595" max="14839" width="9.1796875" style="18"/>
    <col min="14840" max="14840" width="8.7265625" style="18" customWidth="1"/>
    <col min="14841" max="14841" width="9.81640625" style="18" customWidth="1"/>
    <col min="14842" max="14842" width="14.453125" style="18" customWidth="1"/>
    <col min="14843" max="14843" width="7.26953125" style="18" customWidth="1"/>
    <col min="14844" max="14844" width="5.54296875" style="18" customWidth="1"/>
    <col min="14845" max="14845" width="9" style="18" customWidth="1"/>
    <col min="14846" max="14847" width="9.81640625" style="18" customWidth="1"/>
    <col min="14848" max="14848" width="11.1796875" style="18" customWidth="1"/>
    <col min="14849" max="14849" width="2.81640625" style="18" customWidth="1"/>
    <col min="14850" max="14850" width="3.54296875" style="18" customWidth="1"/>
    <col min="14851" max="15095" width="9.1796875" style="18"/>
    <col min="15096" max="15096" width="8.7265625" style="18" customWidth="1"/>
    <col min="15097" max="15097" width="9.81640625" style="18" customWidth="1"/>
    <col min="15098" max="15098" width="14.453125" style="18" customWidth="1"/>
    <col min="15099" max="15099" width="7.26953125" style="18" customWidth="1"/>
    <col min="15100" max="15100" width="5.54296875" style="18" customWidth="1"/>
    <col min="15101" max="15101" width="9" style="18" customWidth="1"/>
    <col min="15102" max="15103" width="9.81640625" style="18" customWidth="1"/>
    <col min="15104" max="15104" width="11.1796875" style="18" customWidth="1"/>
    <col min="15105" max="15105" width="2.81640625" style="18" customWidth="1"/>
    <col min="15106" max="15106" width="3.54296875" style="18" customWidth="1"/>
    <col min="15107" max="15351" width="9.1796875" style="18"/>
    <col min="15352" max="15352" width="8.7265625" style="18" customWidth="1"/>
    <col min="15353" max="15353" width="9.81640625" style="18" customWidth="1"/>
    <col min="15354" max="15354" width="14.453125" style="18" customWidth="1"/>
    <col min="15355" max="15355" width="7.26953125" style="18" customWidth="1"/>
    <col min="15356" max="15356" width="5.54296875" style="18" customWidth="1"/>
    <col min="15357" max="15357" width="9" style="18" customWidth="1"/>
    <col min="15358" max="15359" width="9.81640625" style="18" customWidth="1"/>
    <col min="15360" max="15360" width="11.1796875" style="18" customWidth="1"/>
    <col min="15361" max="15361" width="2.81640625" style="18" customWidth="1"/>
    <col min="15362" max="15362" width="3.54296875" style="18" customWidth="1"/>
    <col min="15363" max="15607" width="9.1796875" style="18"/>
    <col min="15608" max="15608" width="8.7265625" style="18" customWidth="1"/>
    <col min="15609" max="15609" width="9.81640625" style="18" customWidth="1"/>
    <col min="15610" max="15610" width="14.453125" style="18" customWidth="1"/>
    <col min="15611" max="15611" width="7.26953125" style="18" customWidth="1"/>
    <col min="15612" max="15612" width="5.54296875" style="18" customWidth="1"/>
    <col min="15613" max="15613" width="9" style="18" customWidth="1"/>
    <col min="15614" max="15615" width="9.81640625" style="18" customWidth="1"/>
    <col min="15616" max="15616" width="11.1796875" style="18" customWidth="1"/>
    <col min="15617" max="15617" width="2.81640625" style="18" customWidth="1"/>
    <col min="15618" max="15618" width="3.54296875" style="18" customWidth="1"/>
    <col min="15619" max="15863" width="9.1796875" style="18"/>
    <col min="15864" max="15864" width="8.7265625" style="18" customWidth="1"/>
    <col min="15865" max="15865" width="9.81640625" style="18" customWidth="1"/>
    <col min="15866" max="15866" width="14.453125" style="18" customWidth="1"/>
    <col min="15867" max="15867" width="7.26953125" style="18" customWidth="1"/>
    <col min="15868" max="15868" width="5.54296875" style="18" customWidth="1"/>
    <col min="15869" max="15869" width="9" style="18" customWidth="1"/>
    <col min="15870" max="15871" width="9.81640625" style="18" customWidth="1"/>
    <col min="15872" max="15872" width="11.1796875" style="18" customWidth="1"/>
    <col min="15873" max="15873" width="2.81640625" style="18" customWidth="1"/>
    <col min="15874" max="15874" width="3.54296875" style="18" customWidth="1"/>
    <col min="15875" max="16119" width="9.1796875" style="18"/>
    <col min="16120" max="16120" width="8.7265625" style="18" customWidth="1"/>
    <col min="16121" max="16121" width="9.81640625" style="18" customWidth="1"/>
    <col min="16122" max="16122" width="14.453125" style="18" customWidth="1"/>
    <col min="16123" max="16123" width="7.26953125" style="18" customWidth="1"/>
    <col min="16124" max="16124" width="5.54296875" style="18" customWidth="1"/>
    <col min="16125" max="16125" width="9" style="18" customWidth="1"/>
    <col min="16126" max="16127" width="9.81640625" style="18" customWidth="1"/>
    <col min="16128" max="16128" width="11.1796875" style="18" customWidth="1"/>
    <col min="16129" max="16129" width="2.81640625" style="18" customWidth="1"/>
    <col min="16130" max="16130" width="3.54296875" style="18" customWidth="1"/>
    <col min="16131" max="16384" width="9.1796875" style="18"/>
  </cols>
  <sheetData>
    <row r="1" spans="1:26" ht="46.5" customHeight="1" x14ac:dyDescent="0.35">
      <c r="A1" s="139" t="s">
        <v>162</v>
      </c>
      <c r="B1" s="139"/>
      <c r="C1" s="139"/>
      <c r="D1" s="139"/>
      <c r="E1" s="139"/>
      <c r="F1" s="139"/>
      <c r="G1" s="139"/>
      <c r="H1" s="139"/>
    </row>
    <row r="2" spans="1:26" ht="16.5" customHeight="1" x14ac:dyDescent="0.35">
      <c r="A2" s="75" t="s">
        <v>0</v>
      </c>
      <c r="B2" s="75"/>
      <c r="C2" s="75"/>
      <c r="D2" s="75"/>
      <c r="E2" s="75"/>
      <c r="F2" s="75"/>
      <c r="G2" s="75"/>
      <c r="H2" s="75"/>
    </row>
    <row r="3" spans="1:26" x14ac:dyDescent="0.35">
      <c r="A3" s="140" t="s">
        <v>1</v>
      </c>
      <c r="B3" s="140"/>
      <c r="C3" s="140"/>
      <c r="D3" s="140"/>
      <c r="E3" s="140" t="str">
        <f ca="1">TEXT(TODAY(),"DD/MM/YYYY")</f>
        <v>10/09/2025</v>
      </c>
      <c r="F3" s="140"/>
      <c r="G3" s="140"/>
      <c r="H3" s="140"/>
    </row>
    <row r="4" spans="1:26" ht="15" customHeight="1" x14ac:dyDescent="0.35">
      <c r="A4" s="140" t="s">
        <v>2</v>
      </c>
      <c r="B4" s="140"/>
      <c r="C4" s="140"/>
      <c r="D4" s="140"/>
      <c r="E4" s="135" t="s">
        <v>228</v>
      </c>
      <c r="F4" s="135"/>
      <c r="G4" s="135"/>
      <c r="H4" s="135"/>
    </row>
    <row r="5" spans="1:26" x14ac:dyDescent="0.35">
      <c r="A5" s="140" t="s">
        <v>3</v>
      </c>
      <c r="B5" s="140"/>
      <c r="C5" s="140"/>
      <c r="D5" s="140"/>
      <c r="E5" s="141">
        <v>45909</v>
      </c>
      <c r="F5" s="140"/>
      <c r="G5" s="140"/>
      <c r="H5" s="140"/>
    </row>
    <row r="6" spans="1:26" ht="16.5" customHeight="1" x14ac:dyDescent="0.35">
      <c r="A6" s="140" t="s">
        <v>4</v>
      </c>
      <c r="B6" s="140"/>
      <c r="C6" s="140"/>
      <c r="D6" s="140"/>
      <c r="E6" s="140" t="s">
        <v>229</v>
      </c>
      <c r="F6" s="140"/>
      <c r="G6" s="140"/>
      <c r="H6" s="140"/>
    </row>
    <row r="7" spans="1:26" ht="15" customHeight="1" x14ac:dyDescent="0.35">
      <c r="A7" s="140" t="s">
        <v>5</v>
      </c>
      <c r="B7" s="140"/>
      <c r="C7" s="140"/>
      <c r="D7" s="140"/>
      <c r="E7" s="140" t="str">
        <f>E6</f>
        <v>M/s.Tisai Builders &amp; Developers</v>
      </c>
      <c r="F7" s="140"/>
      <c r="G7" s="140"/>
      <c r="H7" s="140"/>
    </row>
    <row r="8" spans="1:26" x14ac:dyDescent="0.35">
      <c r="A8" s="140" t="s">
        <v>6</v>
      </c>
      <c r="B8" s="140"/>
      <c r="C8" s="140"/>
      <c r="D8" s="140"/>
      <c r="E8" s="134" t="s">
        <v>232</v>
      </c>
      <c r="F8" s="138"/>
      <c r="G8" s="138"/>
      <c r="H8" s="138"/>
    </row>
    <row r="9" spans="1:26" x14ac:dyDescent="0.35">
      <c r="A9" s="140" t="s">
        <v>165</v>
      </c>
      <c r="B9" s="140"/>
      <c r="C9" s="140"/>
      <c r="D9" s="140"/>
      <c r="E9" s="140" t="s">
        <v>233</v>
      </c>
      <c r="F9" s="140"/>
      <c r="G9" s="140"/>
      <c r="H9" s="140"/>
    </row>
    <row r="10" spans="1:26" hidden="1" x14ac:dyDescent="0.35">
      <c r="A10" s="140" t="s">
        <v>166</v>
      </c>
      <c r="B10" s="140"/>
      <c r="C10" s="140"/>
      <c r="D10" s="140"/>
      <c r="E10" s="140" t="s">
        <v>233</v>
      </c>
      <c r="F10" s="140"/>
      <c r="G10" s="140"/>
      <c r="H10" s="140"/>
    </row>
    <row r="11" spans="1:26" x14ac:dyDescent="0.35">
      <c r="A11" s="140" t="s">
        <v>7</v>
      </c>
      <c r="B11" s="140"/>
      <c r="C11" s="140"/>
      <c r="D11" s="140"/>
      <c r="E11" s="140" t="s">
        <v>234</v>
      </c>
      <c r="F11" s="140"/>
      <c r="G11" s="140"/>
      <c r="H11" s="140"/>
    </row>
    <row r="12" spans="1:26" x14ac:dyDescent="0.35">
      <c r="A12" s="140" t="s">
        <v>168</v>
      </c>
      <c r="B12" s="140"/>
      <c r="C12" s="140"/>
      <c r="D12" s="140"/>
      <c r="E12" s="140" t="s">
        <v>29</v>
      </c>
      <c r="F12" s="140"/>
      <c r="G12" s="140"/>
      <c r="H12" s="140"/>
      <c r="S12" s="48" t="s">
        <v>175</v>
      </c>
      <c r="T12" s="48" t="s">
        <v>185</v>
      </c>
      <c r="U12" s="48" t="s">
        <v>169</v>
      </c>
      <c r="V12" s="48" t="s">
        <v>190</v>
      </c>
      <c r="W12" s="48" t="s">
        <v>208</v>
      </c>
      <c r="X12"/>
      <c r="Y12" t="s">
        <v>190</v>
      </c>
      <c r="Z12" t="e">
        <f ca="1">OFFSET($S$12,1,MATCH($G19,$S$12:$W$12,0)-1,15,1)</f>
        <v>#VALUE!</v>
      </c>
    </row>
    <row r="13" spans="1:26" ht="32.25" customHeight="1" x14ac:dyDescent="0.35">
      <c r="A13" s="77" t="s">
        <v>8</v>
      </c>
      <c r="B13" s="77"/>
      <c r="C13" s="77"/>
      <c r="D13" s="77"/>
      <c r="E13" s="136" t="s">
        <v>230</v>
      </c>
      <c r="F13" s="136"/>
      <c r="G13" s="136"/>
      <c r="H13" s="136"/>
      <c r="S13" s="48" t="s">
        <v>176</v>
      </c>
      <c r="T13" s="48" t="s">
        <v>183</v>
      </c>
      <c r="U13" s="48" t="s">
        <v>205</v>
      </c>
      <c r="V13" s="48" t="s">
        <v>191</v>
      </c>
      <c r="W13" s="48" t="s">
        <v>209</v>
      </c>
      <c r="X13"/>
      <c r="Y13"/>
      <c r="Z13"/>
    </row>
    <row r="14" spans="1:26" x14ac:dyDescent="0.35">
      <c r="A14" s="77" t="s">
        <v>9</v>
      </c>
      <c r="B14" s="77"/>
      <c r="C14" s="77"/>
      <c r="D14" s="77"/>
      <c r="E14" s="136" t="s">
        <v>231</v>
      </c>
      <c r="F14" s="135"/>
      <c r="G14" s="135"/>
      <c r="H14" s="135"/>
      <c r="I14" s="72" t="e">
        <f ca="1">OFFSET($D$4,1,MATCH($J12,$D$4:$H$4,0)-1,15,1)</f>
        <v>#N/A</v>
      </c>
      <c r="J14" s="73"/>
      <c r="K14" s="73"/>
      <c r="L14" s="73"/>
      <c r="M14" s="73"/>
      <c r="N14" s="73"/>
      <c r="O14" s="73"/>
      <c r="P14" s="73"/>
      <c r="S14" s="48" t="s">
        <v>177</v>
      </c>
      <c r="T14" s="48" t="s">
        <v>184</v>
      </c>
      <c r="U14" s="48" t="s">
        <v>206</v>
      </c>
      <c r="V14" s="48" t="s">
        <v>192</v>
      </c>
      <c r="W14" s="48" t="s">
        <v>222</v>
      </c>
      <c r="X14"/>
      <c r="Y14"/>
      <c r="Z14"/>
    </row>
    <row r="15" spans="1:26" ht="48.75" customHeight="1" x14ac:dyDescent="0.35">
      <c r="A15" s="85" t="s">
        <v>10</v>
      </c>
      <c r="B15" s="85"/>
      <c r="C15" s="85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Sai Dham, Survey No.22/15/B, Plot No.1, S. No. 27/4/A, Plot No. 6, near Square Planet, Internal Road, Hajare Nagar, Bopele, Bopele, Neral East, Karjat, Raigad - 410101.</v>
      </c>
      <c r="D15" s="85"/>
      <c r="E15" s="85"/>
      <c r="F15" s="85"/>
      <c r="G15" s="85"/>
      <c r="H15" s="85"/>
      <c r="S15" s="48" t="s">
        <v>178</v>
      </c>
      <c r="T15" s="48" t="s">
        <v>186</v>
      </c>
      <c r="U15" s="48" t="s">
        <v>207</v>
      </c>
      <c r="V15" s="48" t="s">
        <v>193</v>
      </c>
      <c r="W15" s="48" t="s">
        <v>210</v>
      </c>
      <c r="X15"/>
      <c r="Y15"/>
      <c r="Z15"/>
    </row>
    <row r="16" spans="1:26" x14ac:dyDescent="0.35">
      <c r="A16" s="136" t="s">
        <v>239</v>
      </c>
      <c r="B16" s="136"/>
      <c r="C16" s="136" t="s">
        <v>240</v>
      </c>
      <c r="D16" s="136"/>
      <c r="E16" s="136"/>
      <c r="F16" s="136"/>
      <c r="G16" s="136"/>
      <c r="H16" s="136"/>
      <c r="S16" s="48" t="s">
        <v>179</v>
      </c>
      <c r="T16" s="48" t="s">
        <v>187</v>
      </c>
      <c r="U16" s="48"/>
      <c r="V16" s="48" t="s">
        <v>194</v>
      </c>
      <c r="W16" s="48" t="s">
        <v>211</v>
      </c>
      <c r="X16"/>
      <c r="Y16"/>
      <c r="Z16"/>
    </row>
    <row r="17" spans="1:26" ht="15.75" customHeight="1" x14ac:dyDescent="0.35">
      <c r="A17" s="142" t="s">
        <v>160</v>
      </c>
      <c r="B17" s="142"/>
      <c r="C17" s="142" t="s">
        <v>242</v>
      </c>
      <c r="D17" s="142"/>
      <c r="E17" s="142"/>
      <c r="F17" s="142"/>
      <c r="G17" s="142"/>
      <c r="H17" s="142"/>
      <c r="S17" s="48" t="s">
        <v>180</v>
      </c>
      <c r="T17" s="48" t="s">
        <v>185</v>
      </c>
      <c r="U17" s="48"/>
      <c r="V17" s="48" t="s">
        <v>195</v>
      </c>
      <c r="W17" s="48" t="s">
        <v>212</v>
      </c>
      <c r="X17"/>
      <c r="Y17"/>
      <c r="Z17"/>
    </row>
    <row r="18" spans="1:26" ht="15.75" customHeight="1" x14ac:dyDescent="0.35">
      <c r="A18" s="85" t="s">
        <v>11</v>
      </c>
      <c r="B18" s="85"/>
      <c r="C18" s="140" t="s">
        <v>243</v>
      </c>
      <c r="D18" s="140"/>
      <c r="E18" s="85" t="s">
        <v>72</v>
      </c>
      <c r="F18" s="85"/>
      <c r="G18" s="142" t="s">
        <v>241</v>
      </c>
      <c r="H18" s="142"/>
      <c r="S18" s="48" t="s">
        <v>181</v>
      </c>
      <c r="T18" s="48" t="s">
        <v>188</v>
      </c>
      <c r="U18" s="48"/>
      <c r="V18" s="48" t="s">
        <v>196</v>
      </c>
      <c r="W18" s="48" t="s">
        <v>213</v>
      </c>
      <c r="X18"/>
      <c r="Y18"/>
      <c r="Z18"/>
    </row>
    <row r="19" spans="1:26" x14ac:dyDescent="0.35">
      <c r="A19" s="77" t="s">
        <v>13</v>
      </c>
      <c r="B19" s="77"/>
      <c r="C19" s="136" t="s">
        <v>238</v>
      </c>
      <c r="D19" s="136"/>
      <c r="E19" s="136" t="s">
        <v>12</v>
      </c>
      <c r="F19" s="136"/>
      <c r="G19" s="143" t="s">
        <v>190</v>
      </c>
      <c r="H19" s="143"/>
      <c r="S19" s="48" t="s">
        <v>182</v>
      </c>
      <c r="T19" s="48" t="s">
        <v>189</v>
      </c>
      <c r="U19" s="48"/>
      <c r="V19" s="48" t="s">
        <v>197</v>
      </c>
      <c r="W19" s="48" t="s">
        <v>214</v>
      </c>
      <c r="X19"/>
      <c r="Y19"/>
      <c r="Z19"/>
    </row>
    <row r="20" spans="1:26" x14ac:dyDescent="0.35">
      <c r="A20" s="77" t="s">
        <v>73</v>
      </c>
      <c r="B20" s="77"/>
      <c r="C20" s="136" t="s">
        <v>194</v>
      </c>
      <c r="D20" s="136"/>
      <c r="E20" s="136" t="s">
        <v>14</v>
      </c>
      <c r="F20" s="136"/>
      <c r="G20" s="136">
        <v>410101</v>
      </c>
      <c r="H20" s="136"/>
      <c r="S20" s="48"/>
      <c r="T20" s="48"/>
      <c r="U20" s="48"/>
      <c r="V20" s="48" t="s">
        <v>198</v>
      </c>
      <c r="W20" s="48" t="s">
        <v>215</v>
      </c>
      <c r="X20"/>
      <c r="Y20"/>
      <c r="Z20"/>
    </row>
    <row r="21" spans="1:26" ht="32.25" customHeight="1" x14ac:dyDescent="0.35">
      <c r="A21" s="77" t="s">
        <v>118</v>
      </c>
      <c r="B21" s="77"/>
      <c r="C21" s="142" t="s">
        <v>274</v>
      </c>
      <c r="D21" s="142"/>
      <c r="E21" s="85" t="s">
        <v>15</v>
      </c>
      <c r="F21" s="85"/>
      <c r="G21" s="136" t="s">
        <v>237</v>
      </c>
      <c r="H21" s="136"/>
      <c r="S21" s="48"/>
      <c r="T21" s="48"/>
      <c r="U21" s="48"/>
      <c r="V21" s="48" t="s">
        <v>199</v>
      </c>
      <c r="W21" s="48" t="s">
        <v>216</v>
      </c>
      <c r="X21"/>
      <c r="Y21"/>
      <c r="Z21"/>
    </row>
    <row r="22" spans="1:26" ht="15" customHeight="1" x14ac:dyDescent="0.35">
      <c r="A22" s="85" t="s">
        <v>75</v>
      </c>
      <c r="B22" s="85"/>
      <c r="C22" s="85"/>
      <c r="D22" s="85"/>
      <c r="E22" s="140" t="s">
        <v>16</v>
      </c>
      <c r="F22" s="140"/>
      <c r="G22" s="140"/>
      <c r="H22" s="140"/>
      <c r="S22" s="48"/>
      <c r="T22" s="48"/>
      <c r="U22" s="48"/>
      <c r="V22" s="48" t="s">
        <v>200</v>
      </c>
      <c r="W22" s="48" t="s">
        <v>217</v>
      </c>
      <c r="X22"/>
      <c r="Y22"/>
      <c r="Z22"/>
    </row>
    <row r="23" spans="1:26" ht="18.75" customHeight="1" x14ac:dyDescent="0.35">
      <c r="A23" s="85"/>
      <c r="B23" s="85"/>
      <c r="C23" s="85"/>
      <c r="D23" s="85"/>
      <c r="E23" s="140"/>
      <c r="F23" s="140"/>
      <c r="G23" s="140"/>
      <c r="H23" s="140"/>
      <c r="S23" s="48"/>
      <c r="T23" s="48"/>
      <c r="U23" s="48"/>
      <c r="V23" s="48" t="s">
        <v>201</v>
      </c>
      <c r="W23" s="48" t="s">
        <v>218</v>
      </c>
      <c r="X23"/>
      <c r="Y23"/>
      <c r="Z23"/>
    </row>
    <row r="24" spans="1:26" ht="15" customHeight="1" x14ac:dyDescent="0.35">
      <c r="A24" s="85" t="s">
        <v>17</v>
      </c>
      <c r="B24" s="85"/>
      <c r="C24" s="85"/>
      <c r="D24" s="85"/>
      <c r="E24" s="142" t="s">
        <v>18</v>
      </c>
      <c r="F24" s="142"/>
      <c r="G24" s="142"/>
      <c r="H24" s="142"/>
      <c r="S24" s="48"/>
      <c r="T24" s="48"/>
      <c r="U24" s="48"/>
      <c r="V24" s="48" t="s">
        <v>202</v>
      </c>
      <c r="W24" s="48" t="s">
        <v>219</v>
      </c>
      <c r="X24"/>
      <c r="Y24"/>
      <c r="Z24"/>
    </row>
    <row r="25" spans="1:26" ht="15" customHeight="1" x14ac:dyDescent="0.35">
      <c r="A25" s="77" t="s">
        <v>19</v>
      </c>
      <c r="B25" s="77"/>
      <c r="C25" s="77"/>
      <c r="D25" s="77"/>
      <c r="E25" s="142" t="str">
        <f>IF(AND(G19="Mumbai"),"Upper Class","Middle Class")</f>
        <v>Middle Class</v>
      </c>
      <c r="F25" s="142"/>
      <c r="G25" s="142"/>
      <c r="H25" s="142"/>
      <c r="S25" s="48"/>
      <c r="T25" s="48"/>
      <c r="U25" s="48"/>
      <c r="V25" s="48" t="s">
        <v>203</v>
      </c>
      <c r="W25" s="48" t="s">
        <v>220</v>
      </c>
      <c r="X25"/>
      <c r="Y25"/>
      <c r="Z25"/>
    </row>
    <row r="26" spans="1:26" x14ac:dyDescent="0.35">
      <c r="A26" s="77" t="s">
        <v>20</v>
      </c>
      <c r="B26" s="77"/>
      <c r="C26" s="77"/>
      <c r="D26" s="77"/>
      <c r="E26" s="142" t="s">
        <v>21</v>
      </c>
      <c r="F26" s="142"/>
      <c r="G26" s="142"/>
      <c r="H26" s="142"/>
      <c r="S26" s="48"/>
      <c r="T26" s="48"/>
      <c r="U26" s="48"/>
      <c r="V26" s="48" t="s">
        <v>204</v>
      </c>
      <c r="W26" s="48" t="s">
        <v>221</v>
      </c>
      <c r="X26"/>
      <c r="Y26"/>
      <c r="Z26"/>
    </row>
    <row r="27" spans="1:26" ht="15.75" customHeight="1" x14ac:dyDescent="0.35">
      <c r="A27" s="77" t="s">
        <v>22</v>
      </c>
      <c r="B27" s="77"/>
      <c r="C27" s="77"/>
      <c r="D27" s="77"/>
      <c r="E27" s="142" t="str">
        <f>IF(AND(G19="Mumbai"),"Developed","Developing")</f>
        <v>Developing</v>
      </c>
      <c r="F27" s="142"/>
      <c r="G27" s="142"/>
      <c r="H27" s="142"/>
    </row>
    <row r="28" spans="1:26" x14ac:dyDescent="0.35">
      <c r="A28" s="77" t="s">
        <v>23</v>
      </c>
      <c r="B28" s="77"/>
      <c r="C28" s="77"/>
      <c r="D28" s="77"/>
      <c r="E28" s="142" t="s">
        <v>24</v>
      </c>
      <c r="F28" s="142"/>
      <c r="G28" s="142"/>
      <c r="H28" s="142"/>
    </row>
    <row r="29" spans="1:26" ht="15.75" customHeight="1" x14ac:dyDescent="0.35">
      <c r="A29" s="77" t="s">
        <v>80</v>
      </c>
      <c r="B29" s="77"/>
      <c r="C29" s="77"/>
      <c r="D29" s="77"/>
      <c r="E29" s="142" t="s">
        <v>81</v>
      </c>
      <c r="F29" s="142"/>
      <c r="G29" s="142"/>
      <c r="H29" s="142"/>
    </row>
    <row r="30" spans="1:26" ht="15" customHeight="1" x14ac:dyDescent="0.35">
      <c r="A30" s="77" t="s">
        <v>32</v>
      </c>
      <c r="B30" s="77"/>
      <c r="C30" s="77"/>
      <c r="D30" s="77"/>
      <c r="E30" s="142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42"/>
      <c r="G30" s="142"/>
      <c r="H30" s="142"/>
    </row>
    <row r="31" spans="1:26" ht="15.75" customHeight="1" x14ac:dyDescent="0.35">
      <c r="A31" s="77" t="s">
        <v>92</v>
      </c>
      <c r="B31" s="77"/>
      <c r="C31" s="77"/>
      <c r="D31" s="77"/>
      <c r="E31" s="142" t="s">
        <v>33</v>
      </c>
      <c r="F31" s="142"/>
      <c r="G31" s="142"/>
      <c r="H31" s="142"/>
    </row>
    <row r="32" spans="1:26" s="19" customFormat="1" x14ac:dyDescent="0.35">
      <c r="A32" s="145" t="s">
        <v>93</v>
      </c>
      <c r="B32" s="145"/>
      <c r="C32" s="191" t="s">
        <v>170</v>
      </c>
      <c r="D32" s="191"/>
      <c r="E32" s="191"/>
      <c r="F32" s="191" t="s">
        <v>30</v>
      </c>
      <c r="G32" s="191"/>
      <c r="H32" s="191"/>
    </row>
    <row r="33" spans="1:8" s="19" customFormat="1" x14ac:dyDescent="0.35">
      <c r="A33" s="144" t="s">
        <v>25</v>
      </c>
      <c r="B33" s="144" t="s">
        <v>29</v>
      </c>
      <c r="C33" s="192" t="s">
        <v>248</v>
      </c>
      <c r="D33" s="192"/>
      <c r="E33" s="192"/>
      <c r="F33" s="192" t="s">
        <v>244</v>
      </c>
      <c r="G33" s="192"/>
      <c r="H33" s="192"/>
    </row>
    <row r="34" spans="1:8" x14ac:dyDescent="0.35">
      <c r="A34" s="144" t="s">
        <v>26</v>
      </c>
      <c r="B34" s="144" t="s">
        <v>29</v>
      </c>
      <c r="C34" s="192" t="s">
        <v>249</v>
      </c>
      <c r="D34" s="192"/>
      <c r="E34" s="192"/>
      <c r="F34" s="192" t="s">
        <v>275</v>
      </c>
      <c r="G34" s="192"/>
      <c r="H34" s="192"/>
    </row>
    <row r="35" spans="1:8" s="19" customFormat="1" x14ac:dyDescent="0.35">
      <c r="A35" s="144" t="s">
        <v>28</v>
      </c>
      <c r="B35" s="144" t="s">
        <v>29</v>
      </c>
      <c r="C35" s="192" t="s">
        <v>246</v>
      </c>
      <c r="D35" s="192"/>
      <c r="E35" s="192"/>
      <c r="F35" s="193" t="s">
        <v>276</v>
      </c>
      <c r="G35" s="193"/>
      <c r="H35" s="193"/>
    </row>
    <row r="36" spans="1:8" x14ac:dyDescent="0.35">
      <c r="A36" s="144" t="s">
        <v>27</v>
      </c>
      <c r="B36" s="144" t="s">
        <v>29</v>
      </c>
      <c r="C36" s="192" t="s">
        <v>247</v>
      </c>
      <c r="D36" s="192"/>
      <c r="E36" s="192"/>
      <c r="F36" s="192" t="s">
        <v>245</v>
      </c>
      <c r="G36" s="192"/>
      <c r="H36" s="192"/>
    </row>
    <row r="37" spans="1:8" x14ac:dyDescent="0.35">
      <c r="A37" s="77" t="s">
        <v>31</v>
      </c>
      <c r="B37" s="77"/>
      <c r="C37" s="77"/>
      <c r="D37" s="77"/>
      <c r="E37" s="77"/>
      <c r="F37" s="77"/>
      <c r="G37" s="77"/>
      <c r="H37" s="77"/>
    </row>
    <row r="38" spans="1:8" ht="15.75" customHeight="1" x14ac:dyDescent="0.35">
      <c r="A38" s="77" t="s">
        <v>163</v>
      </c>
      <c r="B38" s="77"/>
      <c r="C38" s="130" t="s">
        <v>235</v>
      </c>
      <c r="D38" s="130"/>
      <c r="E38" s="130"/>
      <c r="F38" s="130"/>
      <c r="G38" s="130"/>
      <c r="H38" s="130"/>
    </row>
    <row r="39" spans="1:8" x14ac:dyDescent="0.35">
      <c r="A39" s="77" t="s">
        <v>159</v>
      </c>
      <c r="B39" s="77"/>
      <c r="C39" s="148" t="s">
        <v>236</v>
      </c>
      <c r="D39" s="142"/>
      <c r="E39" s="142"/>
      <c r="F39" s="142"/>
      <c r="G39" s="142"/>
      <c r="H39" s="142"/>
    </row>
    <row r="40" spans="1:8" x14ac:dyDescent="0.35">
      <c r="A40" s="130" t="s">
        <v>34</v>
      </c>
      <c r="B40" s="130"/>
      <c r="C40" s="130"/>
      <c r="D40" s="130"/>
      <c r="E40" s="130"/>
      <c r="F40" s="130"/>
      <c r="G40" s="130"/>
      <c r="H40" s="130"/>
    </row>
    <row r="41" spans="1:8" x14ac:dyDescent="0.35">
      <c r="A41" s="77" t="s">
        <v>35</v>
      </c>
      <c r="B41" s="77"/>
      <c r="C41" s="77"/>
      <c r="D41" s="77"/>
      <c r="E41" s="155">
        <v>752</v>
      </c>
      <c r="F41" s="155"/>
      <c r="G41" s="155"/>
      <c r="H41" s="155"/>
    </row>
    <row r="42" spans="1:8" x14ac:dyDescent="0.35">
      <c r="A42" s="77" t="s">
        <v>36</v>
      </c>
      <c r="B42" s="77"/>
      <c r="C42" s="77"/>
      <c r="D42" s="77"/>
      <c r="E42" s="157">
        <f>827.2/E41</f>
        <v>1.1000000000000001</v>
      </c>
      <c r="F42" s="157"/>
      <c r="G42" s="157"/>
      <c r="H42" s="157"/>
    </row>
    <row r="43" spans="1:8" x14ac:dyDescent="0.35">
      <c r="A43" s="77" t="s">
        <v>37</v>
      </c>
      <c r="B43" s="77"/>
      <c r="C43" s="77"/>
      <c r="D43" s="77"/>
      <c r="E43" s="157">
        <f>E45/E41-E42</f>
        <v>0.76256648936170213</v>
      </c>
      <c r="F43" s="157"/>
      <c r="G43" s="157"/>
      <c r="H43" s="157"/>
    </row>
    <row r="44" spans="1:8" x14ac:dyDescent="0.35">
      <c r="A44" s="77" t="s">
        <v>38</v>
      </c>
      <c r="B44" s="77"/>
      <c r="C44" s="77"/>
      <c r="D44" s="77"/>
      <c r="E44" s="157">
        <f>E42+E43</f>
        <v>1.8625664893617022</v>
      </c>
      <c r="F44" s="157"/>
      <c r="G44" s="157"/>
      <c r="H44" s="157"/>
    </row>
    <row r="45" spans="1:8" x14ac:dyDescent="0.35">
      <c r="A45" s="77" t="s">
        <v>91</v>
      </c>
      <c r="B45" s="77"/>
      <c r="C45" s="77"/>
      <c r="D45" s="77"/>
      <c r="E45" s="158">
        <v>1400.65</v>
      </c>
      <c r="F45" s="158"/>
      <c r="G45" s="158"/>
      <c r="H45" s="158"/>
    </row>
    <row r="46" spans="1:8" x14ac:dyDescent="0.35">
      <c r="A46" s="140" t="s">
        <v>39</v>
      </c>
      <c r="B46" s="140"/>
      <c r="C46" s="140"/>
      <c r="D46" s="140"/>
      <c r="E46" s="135" t="s">
        <v>250</v>
      </c>
      <c r="F46" s="135"/>
      <c r="G46" s="135"/>
      <c r="H46" s="135"/>
    </row>
    <row r="47" spans="1:8" x14ac:dyDescent="0.35">
      <c r="A47" s="130" t="s">
        <v>40</v>
      </c>
      <c r="B47" s="130"/>
      <c r="C47" s="130"/>
      <c r="D47" s="130"/>
      <c r="E47" s="130"/>
      <c r="F47" s="130"/>
      <c r="G47" s="130"/>
      <c r="H47" s="130"/>
    </row>
    <row r="48" spans="1:8" ht="33.75" customHeight="1" x14ac:dyDescent="0.35">
      <c r="A48" s="69" t="s">
        <v>147</v>
      </c>
      <c r="B48" s="71"/>
      <c r="C48" s="183" t="s">
        <v>251</v>
      </c>
      <c r="D48" s="184"/>
      <c r="E48" s="184"/>
      <c r="F48" s="184"/>
      <c r="G48" s="184"/>
      <c r="H48" s="185"/>
    </row>
    <row r="49" spans="1:14" ht="15.75" customHeight="1" x14ac:dyDescent="0.35">
      <c r="A49" s="69" t="s">
        <v>41</v>
      </c>
      <c r="B49" s="71"/>
      <c r="C49" s="69" t="s">
        <v>252</v>
      </c>
      <c r="D49" s="70"/>
      <c r="E49" s="71"/>
      <c r="F49" s="16" t="s">
        <v>42</v>
      </c>
      <c r="G49" s="149">
        <v>44670</v>
      </c>
      <c r="H49" s="71"/>
    </row>
    <row r="50" spans="1:14" x14ac:dyDescent="0.35">
      <c r="A50" s="69" t="s">
        <v>43</v>
      </c>
      <c r="B50" s="71"/>
      <c r="C50" s="69" t="str">
        <f>C49</f>
        <v>RJP BD/NSVP/112 2022</v>
      </c>
      <c r="D50" s="70"/>
      <c r="E50" s="71"/>
      <c r="F50" s="16" t="s">
        <v>42</v>
      </c>
      <c r="G50" s="149">
        <f>G49</f>
        <v>44670</v>
      </c>
      <c r="H50" s="71"/>
    </row>
    <row r="51" spans="1:14" s="20" customFormat="1" ht="15.75" customHeight="1" x14ac:dyDescent="0.35">
      <c r="A51" s="151" t="s">
        <v>151</v>
      </c>
      <c r="B51" s="152"/>
      <c r="C51" s="88" t="s">
        <v>253</v>
      </c>
      <c r="D51" s="89"/>
      <c r="E51" s="90"/>
      <c r="F51" s="56" t="s">
        <v>42</v>
      </c>
      <c r="G51" s="150">
        <f>G50</f>
        <v>44670</v>
      </c>
      <c r="H51" s="90"/>
    </row>
    <row r="52" spans="1:14" s="20" customFormat="1" x14ac:dyDescent="0.35">
      <c r="A52" s="153"/>
      <c r="B52" s="154"/>
      <c r="C52" s="88" t="s">
        <v>273</v>
      </c>
      <c r="D52" s="89"/>
      <c r="E52" s="89"/>
      <c r="F52" s="89"/>
      <c r="G52" s="89"/>
      <c r="H52" s="90"/>
      <c r="I52" s="20">
        <f>171.45+311.6+303</f>
        <v>786.05</v>
      </c>
    </row>
    <row r="53" spans="1:14" ht="30.75" customHeight="1" x14ac:dyDescent="0.35">
      <c r="A53" s="80" t="s">
        <v>288</v>
      </c>
      <c r="B53" s="81"/>
      <c r="C53" s="80" t="s">
        <v>289</v>
      </c>
      <c r="D53" s="82"/>
      <c r="E53" s="81"/>
      <c r="F53" s="41" t="s">
        <v>42</v>
      </c>
      <c r="G53" s="146">
        <v>45646</v>
      </c>
      <c r="H53" s="147"/>
    </row>
    <row r="54" spans="1:14" x14ac:dyDescent="0.35">
      <c r="A54" s="132" t="s">
        <v>45</v>
      </c>
      <c r="B54" s="132"/>
      <c r="C54" s="132"/>
      <c r="D54" s="132"/>
      <c r="E54" s="132"/>
      <c r="F54" s="132"/>
      <c r="G54" s="132"/>
      <c r="H54" s="132"/>
    </row>
    <row r="55" spans="1:14" x14ac:dyDescent="0.35">
      <c r="A55" s="85" t="s">
        <v>90</v>
      </c>
      <c r="B55" s="85"/>
      <c r="C55" s="85"/>
      <c r="D55" s="77">
        <f>E45</f>
        <v>1400.65</v>
      </c>
      <c r="E55" s="77"/>
      <c r="F55" s="77"/>
      <c r="G55" s="77"/>
      <c r="H55" s="77"/>
    </row>
    <row r="56" spans="1:14" x14ac:dyDescent="0.35">
      <c r="A56" s="142" t="s">
        <v>46</v>
      </c>
      <c r="B56" s="140"/>
      <c r="C56" s="140"/>
      <c r="D56" s="140" t="s">
        <v>268</v>
      </c>
      <c r="E56" s="140"/>
      <c r="F56" s="140"/>
      <c r="G56" s="140"/>
      <c r="H56" s="140"/>
      <c r="I56" s="21"/>
    </row>
    <row r="57" spans="1:14" x14ac:dyDescent="0.35">
      <c r="A57" s="106" t="s">
        <v>47</v>
      </c>
      <c r="B57" s="107"/>
      <c r="C57" s="161"/>
      <c r="D57" s="159" t="s">
        <v>281</v>
      </c>
      <c r="E57" s="160"/>
      <c r="F57" s="160"/>
      <c r="G57" s="160"/>
      <c r="H57" s="160"/>
    </row>
    <row r="58" spans="1:14" ht="15.75" customHeight="1" x14ac:dyDescent="0.35">
      <c r="A58" s="106" t="s">
        <v>88</v>
      </c>
      <c r="B58" s="107"/>
      <c r="C58" s="107"/>
      <c r="D58" s="162" t="s">
        <v>282</v>
      </c>
      <c r="E58" s="163"/>
      <c r="F58" s="163"/>
      <c r="G58" s="163"/>
      <c r="H58" s="164"/>
    </row>
    <row r="59" spans="1:14" ht="15.75" hidden="1" customHeight="1" x14ac:dyDescent="0.35">
      <c r="A59" s="108"/>
      <c r="B59" s="109"/>
      <c r="C59" s="109"/>
      <c r="D59" s="91" t="s">
        <v>254</v>
      </c>
      <c r="E59" s="92"/>
      <c r="F59" s="92"/>
      <c r="G59" s="92"/>
      <c r="H59" s="93"/>
    </row>
    <row r="60" spans="1:14" ht="15.75" customHeight="1" x14ac:dyDescent="0.35">
      <c r="A60" s="77" t="s">
        <v>44</v>
      </c>
      <c r="B60" s="77"/>
      <c r="C60" s="77"/>
      <c r="D60" s="85" t="s">
        <v>286</v>
      </c>
      <c r="E60" s="85"/>
      <c r="F60" s="85"/>
      <c r="G60" s="85"/>
      <c r="H60" s="85"/>
      <c r="J60" s="22"/>
      <c r="K60" s="21"/>
      <c r="N60" s="21"/>
    </row>
    <row r="61" spans="1:14" ht="15.75" customHeight="1" x14ac:dyDescent="0.35">
      <c r="A61" s="77" t="s">
        <v>86</v>
      </c>
      <c r="B61" s="77"/>
      <c r="C61" s="77"/>
      <c r="D61" s="156" t="str">
        <f ca="1">(IF(G53="NA","60 Years",IF(G53&lt;&gt;"NA",""&amp;60-ROUNDDOWN((E3-G53)/360,0)&amp;" Years"," ")))</f>
        <v>60 Years</v>
      </c>
      <c r="E61" s="156"/>
      <c r="F61" s="156"/>
      <c r="G61" s="156"/>
      <c r="H61" s="156"/>
      <c r="N61" s="21"/>
    </row>
    <row r="62" spans="1:14" ht="15.75" customHeight="1" x14ac:dyDescent="0.35">
      <c r="A62" s="77" t="s">
        <v>87</v>
      </c>
      <c r="B62" s="77"/>
      <c r="C62" s="77"/>
      <c r="D62" s="85" t="s">
        <v>24</v>
      </c>
      <c r="E62" s="85"/>
      <c r="F62" s="85"/>
      <c r="G62" s="85"/>
      <c r="H62" s="85"/>
      <c r="J62" s="23"/>
      <c r="K62" s="23"/>
    </row>
    <row r="63" spans="1:14" x14ac:dyDescent="0.35">
      <c r="A63" s="135" t="s">
        <v>255</v>
      </c>
      <c r="B63" s="135"/>
      <c r="C63" s="135"/>
      <c r="D63" s="136" t="s">
        <v>272</v>
      </c>
      <c r="E63" s="136"/>
      <c r="F63" s="136"/>
      <c r="G63" s="136"/>
      <c r="H63" s="136"/>
    </row>
    <row r="64" spans="1:14" x14ac:dyDescent="0.35">
      <c r="A64" s="85" t="s">
        <v>144</v>
      </c>
      <c r="B64" s="85"/>
      <c r="C64" s="85"/>
      <c r="D64" s="85" t="s">
        <v>29</v>
      </c>
      <c r="E64" s="85"/>
      <c r="F64" s="85"/>
      <c r="G64" s="85"/>
      <c r="H64" s="85"/>
      <c r="I64" s="24"/>
      <c r="J64" s="24"/>
      <c r="K64" s="24"/>
      <c r="L64" s="24"/>
      <c r="M64" s="24"/>
      <c r="N64" s="24"/>
    </row>
    <row r="65" spans="1:10" ht="15.75" customHeight="1" x14ac:dyDescent="0.35">
      <c r="A65" s="86" t="s">
        <v>85</v>
      </c>
      <c r="B65" s="86"/>
      <c r="C65" s="86"/>
      <c r="D65" s="137" t="str">
        <f ca="1">(IF(G71&gt;95%,"Nothing",IF(G71&gt;0%,"Cement, Aggregate, Steel, etc",IF(G71=0%,"Work not yet Started"))))</f>
        <v>Nothing</v>
      </c>
      <c r="E65" s="137"/>
      <c r="F65" s="137"/>
      <c r="G65" s="137"/>
      <c r="H65" s="137"/>
      <c r="J65" s="23"/>
    </row>
    <row r="66" spans="1:10" ht="33.75" customHeight="1" thickBot="1" x14ac:dyDescent="0.4">
      <c r="A66" s="85" t="s">
        <v>115</v>
      </c>
      <c r="B66" s="85"/>
      <c r="C66" s="85"/>
      <c r="D66" s="142" t="str">
        <f ca="1">(IF(D65="Nothing","Yes",IF(D65="Cement, Aggregate, Steel, etc","Under Construction",IF(D65="Work not yet Started","Work not yet Started"))))</f>
        <v>Yes</v>
      </c>
      <c r="E66" s="142"/>
      <c r="F66" s="142" t="str">
        <f ca="1">(IF(D65="Nothing","Yes",IF(D65="Cement, Aggregate, Steel, etc","Under Construction",IF(D65="Work not yet Started","Work not yet Started"))))</f>
        <v>Yes</v>
      </c>
      <c r="G66" s="142"/>
      <c r="H66" s="142"/>
    </row>
    <row r="67" spans="1:10" ht="15.75" customHeight="1" x14ac:dyDescent="0.35">
      <c r="A67" s="195" t="s">
        <v>136</v>
      </c>
      <c r="B67" s="195"/>
      <c r="C67" s="195" t="str">
        <f>D58</f>
        <v>A &amp; B Wing = Gr + 1st to 4th Floor</v>
      </c>
      <c r="D67" s="195"/>
      <c r="E67" s="195"/>
      <c r="F67" s="195"/>
      <c r="G67" s="195"/>
      <c r="H67" s="195"/>
      <c r="I67" s="194" t="str">
        <f ca="1">IF(D80=100%,"All work Completed. Possession granted to the Building.",IF(D79=100%,"All work Completed, Waiting for OC",I68&amp;""&amp;I69&amp;""&amp;J68&amp;""&amp;J67&amp;" "&amp;J69))</f>
        <v>All work Completed. Possession granted to the Building.</v>
      </c>
      <c r="J67" s="45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/>
      </c>
    </row>
    <row r="68" spans="1:10" x14ac:dyDescent="0.35">
      <c r="A68" s="43" t="s">
        <v>138</v>
      </c>
      <c r="B68" s="43">
        <f>IF(AND(ISNUMBER(SEARCH("1B",C67))),1,IF(AND(ISNUMBER(SEARCH("2B",C67))),2,IF(AND(ISNUMBER(SEARCH("3B",C67))),3,IF(AND(ISNUMBER(SEARCH("4B",C67))),4,IF(ISNUMBER(SEARCH("5B",C67)),5,0)))))</f>
        <v>0</v>
      </c>
      <c r="C68" s="43" t="s">
        <v>71</v>
      </c>
      <c r="D68" s="43">
        <v>1</v>
      </c>
      <c r="E68" s="43" t="s">
        <v>70</v>
      </c>
      <c r="F68" s="49">
        <v>0</v>
      </c>
      <c r="G68" s="44" t="s">
        <v>79</v>
      </c>
      <c r="H68" s="43">
        <f ca="1">--TRIM(RIGHT(SUBSTITUTE(LEFT(C67,_xlfn.AGGREGATE(16,6,FIND({0,1,2,3,4,5,6,7,8,9},C67,ROW(INDIRECT("1:"&amp;LEN(C67)))),1))," ",REPT(" ",LEN(C67))),LEN(C67)))</f>
        <v>4</v>
      </c>
      <c r="I68" s="58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Plaster, Flooring, Painting, Building common Amenities</v>
      </c>
      <c r="J68" s="46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x14ac:dyDescent="0.35">
      <c r="A69" s="138" t="s">
        <v>89</v>
      </c>
      <c r="B69" s="138"/>
      <c r="C69" s="134" t="str">
        <f ca="1">I67</f>
        <v>All work Completed. Possession granted to the Building.</v>
      </c>
      <c r="D69" s="134"/>
      <c r="E69" s="134"/>
      <c r="F69" s="134"/>
      <c r="G69" s="134"/>
      <c r="H69" s="134"/>
      <c r="I69" s="58" t="str">
        <f ca="1">IF(I68&lt;&gt;""," Completed","")</f>
        <v xml:space="preserve"> Completed</v>
      </c>
      <c r="J69" s="46" t="str">
        <f ca="1">IF(J67&lt;&gt;"","Completed","")</f>
        <v/>
      </c>
    </row>
    <row r="70" spans="1:10" ht="15.75" customHeight="1" x14ac:dyDescent="0.35">
      <c r="A70" s="87" t="s">
        <v>48</v>
      </c>
      <c r="B70" s="87"/>
      <c r="C70" s="60" t="s">
        <v>135</v>
      </c>
      <c r="D70" s="60" t="s">
        <v>82</v>
      </c>
      <c r="E70" s="87" t="s">
        <v>84</v>
      </c>
      <c r="F70" s="87"/>
      <c r="G70" s="87" t="s">
        <v>83</v>
      </c>
      <c r="H70" s="87"/>
      <c r="I70" s="14" t="s">
        <v>137</v>
      </c>
      <c r="J70" s="25">
        <f ca="1">H68*25%</f>
        <v>1</v>
      </c>
    </row>
    <row r="71" spans="1:10" x14ac:dyDescent="0.35">
      <c r="A71" s="87" t="s">
        <v>124</v>
      </c>
      <c r="B71" s="87"/>
      <c r="C71" s="60">
        <f ca="1">J72</f>
        <v>4</v>
      </c>
      <c r="D71" s="17">
        <f ca="1">((100/H68)*C71)/100</f>
        <v>1</v>
      </c>
      <c r="E71" s="173">
        <f ca="1">(((C72/H68*10)+(40/(D68+F68+H68)*C73)+(7.5/(H68)*C74)+(7.5/(H68)*C75)+(10/H68*C76)+(10/H68*C77)+(5/H68*C78)+(5/H68*C79)+(5/H68*C80))/100)</f>
        <v>1</v>
      </c>
      <c r="F71" s="173"/>
      <c r="G71" s="173">
        <f ca="1">((((C71/H68)*20)+((C72/H68)*25)+(30/(H68+F68+D68)*C73)+(5/H68*C74)+(5/H68*C75)+(5/H68*C76)+(5/H68*C77)+(0/H68*C78)+(0/H68*C79)+(5/H68*C80))/100)</f>
        <v>1</v>
      </c>
      <c r="H71" s="173"/>
      <c r="I71" s="14" t="s">
        <v>98</v>
      </c>
      <c r="J71" s="26">
        <f ca="1">H68*50%</f>
        <v>2</v>
      </c>
    </row>
    <row r="72" spans="1:10" x14ac:dyDescent="0.35">
      <c r="A72" s="87" t="s">
        <v>49</v>
      </c>
      <c r="B72" s="87"/>
      <c r="C72" s="60">
        <f ca="1">J80</f>
        <v>4</v>
      </c>
      <c r="D72" s="17">
        <f ca="1">((100/H68)*C72)/100</f>
        <v>1</v>
      </c>
      <c r="E72" s="173"/>
      <c r="F72" s="173"/>
      <c r="G72" s="173"/>
      <c r="H72" s="173"/>
      <c r="I72" s="14" t="s">
        <v>99</v>
      </c>
      <c r="J72" s="26">
        <f ca="1">H68</f>
        <v>4</v>
      </c>
    </row>
    <row r="73" spans="1:10" ht="15.75" customHeight="1" x14ac:dyDescent="0.35">
      <c r="A73" s="87" t="s">
        <v>125</v>
      </c>
      <c r="B73" s="87"/>
      <c r="C73" s="60">
        <v>5</v>
      </c>
      <c r="D73" s="17">
        <f ca="1">((100/(D68+F68+H68))*C73)/100</f>
        <v>1</v>
      </c>
      <c r="E73" s="173"/>
      <c r="F73" s="173"/>
      <c r="G73" s="173"/>
      <c r="H73" s="173"/>
      <c r="I73" s="14" t="s">
        <v>100</v>
      </c>
      <c r="J73" s="27">
        <f ca="1">(IF(B68&gt;1,(H68/(B68+2)),H68/4))</f>
        <v>1</v>
      </c>
    </row>
    <row r="74" spans="1:10" ht="15.75" customHeight="1" x14ac:dyDescent="0.35">
      <c r="A74" s="87" t="s">
        <v>132</v>
      </c>
      <c r="B74" s="87" t="s">
        <v>126</v>
      </c>
      <c r="C74" s="60">
        <v>4</v>
      </c>
      <c r="D74" s="17">
        <f ca="1">((100/H68)*C74)/100</f>
        <v>1</v>
      </c>
      <c r="E74" s="173"/>
      <c r="F74" s="173"/>
      <c r="G74" s="173"/>
      <c r="H74" s="173"/>
      <c r="I74" s="14" t="s">
        <v>101</v>
      </c>
      <c r="J74" s="27">
        <f ca="1">(IF(B68&gt;1,(H68/(B68+2)+J73),H68/4+J73))</f>
        <v>2</v>
      </c>
    </row>
    <row r="75" spans="1:10" ht="15.75" customHeight="1" x14ac:dyDescent="0.35">
      <c r="A75" s="87" t="s">
        <v>133</v>
      </c>
      <c r="B75" s="87" t="s">
        <v>126</v>
      </c>
      <c r="C75" s="60">
        <v>4</v>
      </c>
      <c r="D75" s="17">
        <f ca="1">((100/H68)*C75)/100</f>
        <v>1</v>
      </c>
      <c r="E75" s="173"/>
      <c r="F75" s="173"/>
      <c r="G75" s="173"/>
      <c r="H75" s="173"/>
      <c r="I75" s="14" t="s">
        <v>142</v>
      </c>
      <c r="J75" s="27">
        <f>(IF(B68&gt;1,(H68/(B68+2)+J74),0))</f>
        <v>0</v>
      </c>
    </row>
    <row r="76" spans="1:10" ht="15" customHeight="1" x14ac:dyDescent="0.35">
      <c r="A76" s="87" t="s">
        <v>131</v>
      </c>
      <c r="B76" s="87" t="s">
        <v>128</v>
      </c>
      <c r="C76" s="60">
        <v>4</v>
      </c>
      <c r="D76" s="17">
        <f ca="1">((100/(H68))*C76)/100</f>
        <v>1</v>
      </c>
      <c r="E76" s="173"/>
      <c r="F76" s="173"/>
      <c r="G76" s="173"/>
      <c r="H76" s="173"/>
      <c r="I76" s="14" t="s">
        <v>139</v>
      </c>
      <c r="J76" s="27">
        <f>(IF(B68&gt;2,(H68/(B68+2)+J75),0))</f>
        <v>0</v>
      </c>
    </row>
    <row r="77" spans="1:10" ht="15.75" customHeight="1" x14ac:dyDescent="0.35">
      <c r="A77" s="87" t="s">
        <v>127</v>
      </c>
      <c r="B77" s="87" t="s">
        <v>127</v>
      </c>
      <c r="C77" s="60">
        <v>4</v>
      </c>
      <c r="D77" s="17">
        <f ca="1">((100/H68)*C77)/100</f>
        <v>1</v>
      </c>
      <c r="E77" s="173"/>
      <c r="F77" s="173"/>
      <c r="G77" s="173"/>
      <c r="H77" s="173"/>
      <c r="I77" s="14" t="s">
        <v>140</v>
      </c>
      <c r="J77" s="28">
        <f>(IF(B68&gt;3,(H68/(B68+2)+J76),0))</f>
        <v>0</v>
      </c>
    </row>
    <row r="78" spans="1:10" ht="15.75" customHeight="1" x14ac:dyDescent="0.35">
      <c r="A78" s="87" t="s">
        <v>134</v>
      </c>
      <c r="B78" s="87"/>
      <c r="C78" s="60">
        <v>4</v>
      </c>
      <c r="D78" s="17">
        <f ca="1">((100/H68)*C78)/100</f>
        <v>1</v>
      </c>
      <c r="E78" s="173"/>
      <c r="F78" s="173"/>
      <c r="G78" s="173"/>
      <c r="H78" s="173"/>
      <c r="I78" s="14" t="s">
        <v>141</v>
      </c>
      <c r="J78" s="27">
        <f>(IF(B68&gt;4,(H68/(B68+2)+J77),0))</f>
        <v>0</v>
      </c>
    </row>
    <row r="79" spans="1:10" ht="15.75" customHeight="1" x14ac:dyDescent="0.35">
      <c r="A79" s="87" t="s">
        <v>129</v>
      </c>
      <c r="B79" s="87" t="s">
        <v>129</v>
      </c>
      <c r="C79" s="60">
        <v>4</v>
      </c>
      <c r="D79" s="17">
        <f ca="1">((100/(H68))*C79)/100</f>
        <v>1</v>
      </c>
      <c r="E79" s="173"/>
      <c r="F79" s="173"/>
      <c r="G79" s="173"/>
      <c r="H79" s="173"/>
      <c r="I79" s="14" t="s">
        <v>143</v>
      </c>
      <c r="J79" s="27">
        <f ca="1">(IF(B68=1,(H68/(B68+3)+J74),IF(B68=0,(H68/4+J74),IF(B68&gt;1,0))))</f>
        <v>3</v>
      </c>
    </row>
    <row r="80" spans="1:10" ht="16" thickBot="1" x14ac:dyDescent="0.4">
      <c r="A80" s="87" t="s">
        <v>130</v>
      </c>
      <c r="B80" s="87"/>
      <c r="C80" s="60">
        <v>4</v>
      </c>
      <c r="D80" s="17">
        <f ca="1">((100/(H68))*C80)/100</f>
        <v>1</v>
      </c>
      <c r="E80" s="173"/>
      <c r="F80" s="173"/>
      <c r="G80" s="173"/>
      <c r="H80" s="173"/>
      <c r="I80" s="15" t="s">
        <v>102</v>
      </c>
      <c r="J80" s="29">
        <f ca="1">(IF(B68&gt;1.5,(H68/(B68+2)+J74+MAX(0,J75-J74)+MAX(0,J76-J75)+MAX(0,J77-J76)+MAX(0,J78-J77)+MAX(0,J79-J78)),IF(B68=1,(H68/(B68+3)+J79),IF(B68=0,H68/4+J79))))</f>
        <v>4</v>
      </c>
    </row>
    <row r="81" spans="1:10" ht="15.75" hidden="1" customHeight="1" x14ac:dyDescent="0.35">
      <c r="A81" s="195" t="s">
        <v>136</v>
      </c>
      <c r="B81" s="195"/>
      <c r="C81" s="195" t="str">
        <f>D59</f>
        <v xml:space="preserve">B Wing = Gr + 1st to 4th Floor
</v>
      </c>
      <c r="D81" s="195"/>
      <c r="E81" s="195"/>
      <c r="F81" s="195"/>
      <c r="G81" s="195"/>
      <c r="H81" s="195"/>
      <c r="I81" s="194" t="str">
        <f ca="1">IF(D94=100%,"All work Completed. Possession granted to the Building.",IF(D93=100%,"All work Completed, Waiting for OC",I82&amp;""&amp;I83&amp;""&amp;J82&amp;""&amp;J81&amp;" "&amp;J83))</f>
        <v>Excavation, Plinth, RCC Slab, Brickwork, Internal Plaster, External Plaster, Flooring, Painting Completed, Finishing upto 2 Floor Completed</v>
      </c>
      <c r="J81" s="45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Finishing upto 2 Floor</v>
      </c>
    </row>
    <row r="82" spans="1:10" hidden="1" x14ac:dyDescent="0.35">
      <c r="A82" s="43" t="s">
        <v>138</v>
      </c>
      <c r="B82" s="43">
        <f>IF(AND(ISNUMBER(SEARCH("1B",C81))),1,IF(AND(ISNUMBER(SEARCH("2B",C81))),2,IF(AND(ISNUMBER(SEARCH("3B",C81))),3,IF(AND(ISNUMBER(SEARCH("4B",C81))),4,IF(ISNUMBER(SEARCH("5B",C81)),5,0)))))</f>
        <v>0</v>
      </c>
      <c r="C82" s="43" t="s">
        <v>71</v>
      </c>
      <c r="D82" s="43">
        <v>1</v>
      </c>
      <c r="E82" s="43" t="s">
        <v>70</v>
      </c>
      <c r="F82" s="49">
        <v>0</v>
      </c>
      <c r="G82" s="44" t="s">
        <v>79</v>
      </c>
      <c r="H82" s="43">
        <f ca="1">--TRIM(RIGHT(SUBSTITUTE(LEFT(C81,_xlfn.AGGREGATE(16,6,FIND({0,1,2,3,4,5,6,7,8,9},C81,ROW(INDIRECT("1:"&amp;LEN(C81)))),1))," ",REPT(" ",LEN(C81))),LEN(C81)))</f>
        <v>4</v>
      </c>
      <c r="I82" s="58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Plaster, External Plaster, Flooring, Painting</v>
      </c>
      <c r="J82" s="46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idden="1" x14ac:dyDescent="0.35">
      <c r="A83" s="138" t="s">
        <v>89</v>
      </c>
      <c r="B83" s="138"/>
      <c r="C83" s="134" t="str">
        <f>(IF($G$53="NA",I81,"All work Completed. OC Received."))</f>
        <v>All work Completed. OC Received.</v>
      </c>
      <c r="D83" s="134"/>
      <c r="E83" s="134"/>
      <c r="F83" s="134"/>
      <c r="G83" s="134"/>
      <c r="H83" s="134"/>
      <c r="I83" s="58" t="str">
        <f ca="1">IF(I82&lt;&gt;""," Completed","")</f>
        <v xml:space="preserve"> Completed</v>
      </c>
      <c r="J83" s="46" t="str">
        <f ca="1">IF(J81&lt;&gt;"","Completed","")</f>
        <v>Completed</v>
      </c>
    </row>
    <row r="84" spans="1:10" ht="15.75" hidden="1" customHeight="1" x14ac:dyDescent="0.35">
      <c r="A84" s="87" t="s">
        <v>48</v>
      </c>
      <c r="B84" s="87"/>
      <c r="C84" s="60" t="s">
        <v>135</v>
      </c>
      <c r="D84" s="60" t="s">
        <v>82</v>
      </c>
      <c r="E84" s="87" t="s">
        <v>84</v>
      </c>
      <c r="F84" s="87"/>
      <c r="G84" s="87" t="s">
        <v>83</v>
      </c>
      <c r="H84" s="87"/>
      <c r="I84" s="14" t="s">
        <v>137</v>
      </c>
      <c r="J84" s="25">
        <f ca="1">H82*25%</f>
        <v>1</v>
      </c>
    </row>
    <row r="85" spans="1:10" hidden="1" x14ac:dyDescent="0.35">
      <c r="A85" s="87" t="s">
        <v>124</v>
      </c>
      <c r="B85" s="87"/>
      <c r="C85" s="60">
        <f ca="1">J86</f>
        <v>4</v>
      </c>
      <c r="D85" s="17">
        <f ca="1">((100/H82)*C85)/100</f>
        <v>1</v>
      </c>
      <c r="E85" s="173">
        <f ca="1">(((C86/H82*10)+(40/(D82+F82+H82)*C87)+(7.5/(H82)*C88)+(7.5/(H82)*C89)+(10/H82*C90)+(10/H82*C91)+(5/H82*C92)+(5/H82*C93)+(5/H82*C94))/100)</f>
        <v>0.92500000000000004</v>
      </c>
      <c r="F85" s="173"/>
      <c r="G85" s="173">
        <f ca="1">((((C85/H82)*20)+((C86/H82)*25)+(30/(H82+F82+D82)*C87)+(5/H82*C88)+(5/H82*C89)+(5/H82*C90)+(5/H82*C91)+(0/H82*C92)+(0/H82*C93)+(5/H82*C94))/100)</f>
        <v>0.95</v>
      </c>
      <c r="H85" s="173"/>
      <c r="I85" s="14" t="s">
        <v>98</v>
      </c>
      <c r="J85" s="26">
        <f ca="1">H82*50%</f>
        <v>2</v>
      </c>
    </row>
    <row r="86" spans="1:10" hidden="1" x14ac:dyDescent="0.35">
      <c r="A86" s="87" t="s">
        <v>49</v>
      </c>
      <c r="B86" s="87"/>
      <c r="C86" s="60">
        <f ca="1">J94</f>
        <v>4</v>
      </c>
      <c r="D86" s="17">
        <f ca="1">((100/H82)*C86)/100</f>
        <v>1</v>
      </c>
      <c r="E86" s="173"/>
      <c r="F86" s="173"/>
      <c r="G86" s="173"/>
      <c r="H86" s="173"/>
      <c r="I86" s="14" t="s">
        <v>99</v>
      </c>
      <c r="J86" s="26">
        <f ca="1">H82</f>
        <v>4</v>
      </c>
    </row>
    <row r="87" spans="1:10" ht="15.75" hidden="1" customHeight="1" x14ac:dyDescent="0.35">
      <c r="A87" s="87" t="s">
        <v>125</v>
      </c>
      <c r="B87" s="87"/>
      <c r="C87" s="60">
        <v>5</v>
      </c>
      <c r="D87" s="17">
        <f ca="1">((100/(D82+F82+H82))*C87)/100</f>
        <v>1</v>
      </c>
      <c r="E87" s="173"/>
      <c r="F87" s="173"/>
      <c r="G87" s="173"/>
      <c r="H87" s="173"/>
      <c r="I87" s="14" t="s">
        <v>100</v>
      </c>
      <c r="J87" s="27">
        <f ca="1">(IF(B82&gt;1,(H82/(B82+2)),H82/4))</f>
        <v>1</v>
      </c>
    </row>
    <row r="88" spans="1:10" ht="15.75" hidden="1" customHeight="1" x14ac:dyDescent="0.35">
      <c r="A88" s="87" t="s">
        <v>132</v>
      </c>
      <c r="B88" s="87" t="s">
        <v>126</v>
      </c>
      <c r="C88" s="60">
        <v>4</v>
      </c>
      <c r="D88" s="17">
        <f ca="1">((100/H82)*C88)/100</f>
        <v>1</v>
      </c>
      <c r="E88" s="173"/>
      <c r="F88" s="173"/>
      <c r="G88" s="173"/>
      <c r="H88" s="173"/>
      <c r="I88" s="14" t="s">
        <v>101</v>
      </c>
      <c r="J88" s="27">
        <f ca="1">(IF(B82&gt;1,(H82/(B82+2)+J87),H82/4+J87))</f>
        <v>2</v>
      </c>
    </row>
    <row r="89" spans="1:10" ht="15.75" hidden="1" customHeight="1" x14ac:dyDescent="0.35">
      <c r="A89" s="87" t="s">
        <v>133</v>
      </c>
      <c r="B89" s="87" t="s">
        <v>126</v>
      </c>
      <c r="C89" s="60">
        <v>4</v>
      </c>
      <c r="D89" s="17">
        <f ca="1">((100/H82)*C89)/100</f>
        <v>1</v>
      </c>
      <c r="E89" s="173"/>
      <c r="F89" s="173"/>
      <c r="G89" s="173"/>
      <c r="H89" s="173"/>
      <c r="I89" s="14" t="s">
        <v>142</v>
      </c>
      <c r="J89" s="27">
        <f>(IF(B82&gt;1,(H82/(B82+2)+J88),0))</f>
        <v>0</v>
      </c>
    </row>
    <row r="90" spans="1:10" ht="15" hidden="1" customHeight="1" x14ac:dyDescent="0.35">
      <c r="A90" s="87" t="s">
        <v>131</v>
      </c>
      <c r="B90" s="87" t="s">
        <v>128</v>
      </c>
      <c r="C90" s="60">
        <v>4</v>
      </c>
      <c r="D90" s="17">
        <f ca="1">((100/(H82))*C90)/100</f>
        <v>1</v>
      </c>
      <c r="E90" s="173"/>
      <c r="F90" s="173"/>
      <c r="G90" s="173"/>
      <c r="H90" s="173"/>
      <c r="I90" s="14" t="s">
        <v>139</v>
      </c>
      <c r="J90" s="27">
        <f>(IF(B82&gt;2,(H82/(B82+2)+J89),0))</f>
        <v>0</v>
      </c>
    </row>
    <row r="91" spans="1:10" ht="15.75" hidden="1" customHeight="1" x14ac:dyDescent="0.35">
      <c r="A91" s="87" t="s">
        <v>127</v>
      </c>
      <c r="B91" s="87" t="s">
        <v>127</v>
      </c>
      <c r="C91" s="60">
        <v>4</v>
      </c>
      <c r="D91" s="17">
        <f ca="1">((100/H82)*C91)/100</f>
        <v>1</v>
      </c>
      <c r="E91" s="173"/>
      <c r="F91" s="173"/>
      <c r="G91" s="173"/>
      <c r="H91" s="173"/>
      <c r="I91" s="14" t="s">
        <v>140</v>
      </c>
      <c r="J91" s="28">
        <f>(IF(B82&gt;3,(H82/(B82+2)+J90),0))</f>
        <v>0</v>
      </c>
    </row>
    <row r="92" spans="1:10" ht="15.75" hidden="1" customHeight="1" x14ac:dyDescent="0.35">
      <c r="A92" s="87" t="s">
        <v>134</v>
      </c>
      <c r="B92" s="87"/>
      <c r="C92" s="60">
        <v>4</v>
      </c>
      <c r="D92" s="17">
        <f ca="1">((100/H82)*C92)/100</f>
        <v>1</v>
      </c>
      <c r="E92" s="173"/>
      <c r="F92" s="173"/>
      <c r="G92" s="173"/>
      <c r="H92" s="173"/>
      <c r="I92" s="14" t="s">
        <v>141</v>
      </c>
      <c r="J92" s="27">
        <f>(IF(B82&gt;4,(H82/(B82+2)+J91),0))</f>
        <v>0</v>
      </c>
    </row>
    <row r="93" spans="1:10" ht="15.75" hidden="1" customHeight="1" x14ac:dyDescent="0.35">
      <c r="A93" s="87" t="s">
        <v>129</v>
      </c>
      <c r="B93" s="87" t="s">
        <v>129</v>
      </c>
      <c r="C93" s="60">
        <v>2</v>
      </c>
      <c r="D93" s="17">
        <f ca="1">((100/(H82))*C93)/100</f>
        <v>0.5</v>
      </c>
      <c r="E93" s="173"/>
      <c r="F93" s="173"/>
      <c r="G93" s="173"/>
      <c r="H93" s="173"/>
      <c r="I93" s="14" t="s">
        <v>143</v>
      </c>
      <c r="J93" s="27">
        <f ca="1">(IF(B82=1,(H82/(B82+3)+J88),IF(B82=0,(H82/4+J88),IF(B82&gt;1,0))))</f>
        <v>3</v>
      </c>
    </row>
    <row r="94" spans="1:10" ht="16" hidden="1" thickBot="1" x14ac:dyDescent="0.4">
      <c r="A94" s="87" t="s">
        <v>130</v>
      </c>
      <c r="B94" s="87"/>
      <c r="C94" s="60">
        <v>0</v>
      </c>
      <c r="D94" s="17">
        <f ca="1">((100/(H82))*C94)/100</f>
        <v>0</v>
      </c>
      <c r="E94" s="173"/>
      <c r="F94" s="173"/>
      <c r="G94" s="173"/>
      <c r="H94" s="173"/>
      <c r="I94" s="15" t="s">
        <v>102</v>
      </c>
      <c r="J94" s="29">
        <f ca="1">(IF(B82&gt;1.5,(H82/(B82+2)+J88+MAX(0,J89-J88)+MAX(0,J90-J89)+MAX(0,J91-J90)+MAX(0,J92-J91)+MAX(0,J93-J92)),IF(B82=1,(H82/(B82+3)+J93),IF(B82=0,H82/4+J93))))</f>
        <v>4</v>
      </c>
    </row>
    <row r="95" spans="1:10" x14ac:dyDescent="0.35">
      <c r="A95" s="130" t="s">
        <v>153</v>
      </c>
      <c r="B95" s="130"/>
      <c r="C95" s="130"/>
      <c r="D95" s="130"/>
      <c r="E95" s="130"/>
      <c r="F95" s="75" t="s">
        <v>157</v>
      </c>
      <c r="G95" s="75"/>
      <c r="H95" s="75"/>
    </row>
    <row r="96" spans="1:10" x14ac:dyDescent="0.35">
      <c r="A96" s="77" t="s">
        <v>155</v>
      </c>
      <c r="B96" s="77"/>
      <c r="C96" s="77"/>
      <c r="D96" s="77"/>
      <c r="E96" s="77"/>
      <c r="F96" s="74">
        <v>3400</v>
      </c>
      <c r="G96" s="74"/>
      <c r="H96" s="74"/>
    </row>
    <row r="97" spans="1:9" x14ac:dyDescent="0.35">
      <c r="A97" s="77" t="s">
        <v>154</v>
      </c>
      <c r="B97" s="77"/>
      <c r="C97" s="77"/>
      <c r="D97" s="77"/>
      <c r="E97" s="77"/>
      <c r="F97" s="74">
        <v>7200</v>
      </c>
      <c r="G97" s="74"/>
      <c r="H97" s="74"/>
      <c r="I97" s="18" t="s">
        <v>293</v>
      </c>
    </row>
    <row r="98" spans="1:9" hidden="1" x14ac:dyDescent="0.35">
      <c r="A98" s="77" t="s">
        <v>156</v>
      </c>
      <c r="B98" s="77"/>
      <c r="C98" s="77"/>
      <c r="D98" s="77"/>
      <c r="E98" s="77"/>
      <c r="F98" s="74"/>
      <c r="G98" s="74"/>
      <c r="H98" s="74"/>
    </row>
    <row r="99" spans="1:9" s="30" customFormat="1" hidden="1" x14ac:dyDescent="0.3">
      <c r="A99" s="77" t="s">
        <v>265</v>
      </c>
      <c r="B99" s="77"/>
      <c r="C99" s="77"/>
      <c r="D99" s="77"/>
      <c r="E99" s="77"/>
      <c r="F99" s="74"/>
      <c r="G99" s="74"/>
      <c r="H99" s="74"/>
    </row>
    <row r="100" spans="1:9" s="30" customFormat="1" x14ac:dyDescent="0.3">
      <c r="A100" s="77" t="s">
        <v>269</v>
      </c>
      <c r="B100" s="77"/>
      <c r="C100" s="77"/>
      <c r="D100" s="77"/>
      <c r="E100" s="77"/>
      <c r="F100" s="74">
        <v>100000</v>
      </c>
      <c r="G100" s="74"/>
      <c r="H100" s="74"/>
    </row>
    <row r="101" spans="1:9" s="30" customFormat="1" hidden="1" x14ac:dyDescent="0.3">
      <c r="A101" s="77" t="s">
        <v>94</v>
      </c>
      <c r="B101" s="77"/>
      <c r="C101" s="77"/>
      <c r="D101" s="77"/>
      <c r="E101" s="77"/>
      <c r="F101" s="74"/>
      <c r="G101" s="74"/>
      <c r="H101" s="74"/>
    </row>
    <row r="102" spans="1:9" s="30" customFormat="1" hidden="1" x14ac:dyDescent="0.3">
      <c r="A102" s="77" t="s">
        <v>158</v>
      </c>
      <c r="B102" s="77"/>
      <c r="C102" s="77"/>
      <c r="D102" s="77"/>
      <c r="E102" s="77"/>
      <c r="F102" s="74"/>
      <c r="G102" s="74"/>
      <c r="H102" s="74"/>
    </row>
    <row r="103" spans="1:9" s="30" customFormat="1" hidden="1" x14ac:dyDescent="0.3">
      <c r="A103" s="77" t="s">
        <v>95</v>
      </c>
      <c r="B103" s="77"/>
      <c r="C103" s="77"/>
      <c r="D103" s="77"/>
      <c r="E103" s="77"/>
      <c r="F103" s="74"/>
      <c r="G103" s="74"/>
      <c r="H103" s="74"/>
    </row>
    <row r="104" spans="1:9" s="30" customFormat="1" hidden="1" x14ac:dyDescent="0.3">
      <c r="A104" s="77" t="s">
        <v>96</v>
      </c>
      <c r="B104" s="77"/>
      <c r="C104" s="77"/>
      <c r="D104" s="77"/>
      <c r="E104" s="77"/>
      <c r="F104" s="74"/>
      <c r="G104" s="74"/>
      <c r="H104" s="74"/>
    </row>
    <row r="105" spans="1:9" s="30" customFormat="1" x14ac:dyDescent="0.3">
      <c r="A105" s="77" t="s">
        <v>97</v>
      </c>
      <c r="B105" s="77"/>
      <c r="C105" s="77"/>
      <c r="D105" s="77"/>
      <c r="E105" s="77"/>
      <c r="F105" s="74">
        <v>50000</v>
      </c>
      <c r="G105" s="74"/>
      <c r="H105" s="74"/>
    </row>
    <row r="106" spans="1:9" s="30" customFormat="1" x14ac:dyDescent="0.3">
      <c r="A106" s="77" t="s">
        <v>283</v>
      </c>
      <c r="B106" s="77"/>
      <c r="C106" s="77"/>
      <c r="D106" s="77"/>
      <c r="E106" s="77"/>
      <c r="F106" s="74">
        <v>50000</v>
      </c>
      <c r="G106" s="74"/>
      <c r="H106" s="74"/>
    </row>
    <row r="107" spans="1:9" x14ac:dyDescent="0.35">
      <c r="A107" s="77" t="s">
        <v>50</v>
      </c>
      <c r="B107" s="77"/>
      <c r="C107" s="77"/>
      <c r="D107" s="77"/>
      <c r="E107" s="77"/>
      <c r="F107" s="74">
        <v>150000</v>
      </c>
      <c r="G107" s="74"/>
      <c r="H107" s="74"/>
      <c r="I107" s="30"/>
    </row>
    <row r="108" spans="1:9" s="31" customFormat="1" x14ac:dyDescent="0.35">
      <c r="A108" s="130" t="s">
        <v>51</v>
      </c>
      <c r="B108" s="130"/>
      <c r="C108" s="130"/>
      <c r="D108" s="130"/>
      <c r="E108" s="130"/>
      <c r="F108" s="131">
        <f>F96*0.8</f>
        <v>2720</v>
      </c>
      <c r="G108" s="131"/>
      <c r="H108" s="131"/>
    </row>
    <row r="109" spans="1:9" s="32" customFormat="1" ht="15.75" customHeight="1" x14ac:dyDescent="0.35">
      <c r="A109" s="114" t="s">
        <v>74</v>
      </c>
      <c r="B109" s="114"/>
      <c r="C109" s="114"/>
      <c r="D109" s="114"/>
      <c r="E109" s="114"/>
      <c r="F109" s="114"/>
      <c r="G109" s="114"/>
      <c r="H109" s="114"/>
    </row>
    <row r="110" spans="1:9" s="32" customFormat="1" ht="15.75" customHeight="1" x14ac:dyDescent="0.35">
      <c r="A110" s="76" t="s">
        <v>52</v>
      </c>
      <c r="B110" s="76"/>
      <c r="C110" s="84" t="s">
        <v>77</v>
      </c>
      <c r="D110" s="84"/>
      <c r="E110" s="83" t="s">
        <v>53</v>
      </c>
      <c r="F110" s="83"/>
      <c r="G110" s="76" t="s">
        <v>54</v>
      </c>
      <c r="H110" s="76"/>
    </row>
    <row r="111" spans="1:9" s="32" customFormat="1" x14ac:dyDescent="0.35">
      <c r="A111" s="117" t="s">
        <v>257</v>
      </c>
      <c r="B111" s="117"/>
      <c r="C111" s="110">
        <f>COUNT(D125:D138)</f>
        <v>14</v>
      </c>
      <c r="D111" s="111"/>
      <c r="E111" s="97">
        <f>SUM(D125:D138)</f>
        <v>1367.3509199999999</v>
      </c>
      <c r="F111" s="98"/>
      <c r="G111" s="97">
        <f>SUM(F125:F138)</f>
        <v>2119.3939260000002</v>
      </c>
      <c r="H111" s="98"/>
    </row>
    <row r="112" spans="1:9" s="32" customFormat="1" x14ac:dyDescent="0.35">
      <c r="A112" s="114" t="s">
        <v>146</v>
      </c>
      <c r="B112" s="114"/>
      <c r="C112" s="115">
        <f>SUM(C111)</f>
        <v>14</v>
      </c>
      <c r="D112" s="84"/>
      <c r="E112" s="116">
        <f>SUM(E111)</f>
        <v>1367.3509199999999</v>
      </c>
      <c r="F112" s="83"/>
      <c r="G112" s="76">
        <f>SUM(G111)</f>
        <v>2119.3939260000002</v>
      </c>
      <c r="H112" s="76"/>
    </row>
    <row r="113" spans="1:10" s="32" customFormat="1" x14ac:dyDescent="0.35">
      <c r="A113" s="114" t="s">
        <v>69</v>
      </c>
      <c r="B113" s="114"/>
      <c r="C113" s="114"/>
      <c r="D113" s="114"/>
      <c r="E113" s="114"/>
      <c r="F113" s="114"/>
      <c r="G113" s="114"/>
      <c r="H113" s="114"/>
    </row>
    <row r="114" spans="1:10" s="32" customFormat="1" ht="15.75" customHeight="1" x14ac:dyDescent="0.35">
      <c r="A114" s="76" t="s">
        <v>52</v>
      </c>
      <c r="B114" s="76"/>
      <c r="C114" s="84" t="s">
        <v>77</v>
      </c>
      <c r="D114" s="84"/>
      <c r="E114" s="83" t="s">
        <v>53</v>
      </c>
      <c r="F114" s="83"/>
      <c r="G114" s="76" t="s">
        <v>54</v>
      </c>
      <c r="H114" s="76"/>
    </row>
    <row r="115" spans="1:10" s="32" customFormat="1" x14ac:dyDescent="0.35">
      <c r="A115" s="117" t="s">
        <v>257</v>
      </c>
      <c r="B115" s="117"/>
      <c r="C115" s="110">
        <f>COUNT(D144:D147)*2+COUNT(D149:D152)*2</f>
        <v>16</v>
      </c>
      <c r="D115" s="110"/>
      <c r="E115" s="97">
        <f>SUM(D144:D147)*2+SUM(D149:D152)*2</f>
        <v>5642.887068</v>
      </c>
      <c r="F115" s="97"/>
      <c r="G115" s="97">
        <f>SUM(F144:F147)*2+SUM(F149:F152)*2</f>
        <v>8660</v>
      </c>
      <c r="H115" s="97"/>
    </row>
    <row r="116" spans="1:10" s="32" customFormat="1" x14ac:dyDescent="0.35">
      <c r="A116" s="117" t="s">
        <v>258</v>
      </c>
      <c r="B116" s="117"/>
      <c r="C116" s="110">
        <f>COUNT(D155:D158)*2+COUNT(D160:D163)*2</f>
        <v>16</v>
      </c>
      <c r="D116" s="110"/>
      <c r="E116" s="97">
        <f>SUM(D155:D158)*2+SUM(D160:D163)*2</f>
        <v>5642.887068</v>
      </c>
      <c r="F116" s="97"/>
      <c r="G116" s="97">
        <f>SUM(F155:F158)*2+SUM(F160:F163)*2</f>
        <v>8660</v>
      </c>
      <c r="H116" s="97"/>
    </row>
    <row r="117" spans="1:10" s="32" customFormat="1" ht="16" thickBot="1" x14ac:dyDescent="0.4">
      <c r="A117" s="118" t="s">
        <v>146</v>
      </c>
      <c r="B117" s="118"/>
      <c r="C117" s="99">
        <f>SUM(C115:C116)</f>
        <v>32</v>
      </c>
      <c r="D117" s="99"/>
      <c r="E117" s="119">
        <f>SUM(E115:E116)</f>
        <v>11285.774136</v>
      </c>
      <c r="F117" s="119"/>
      <c r="G117" s="186">
        <f>SUM(G115:G116)</f>
        <v>17320</v>
      </c>
      <c r="H117" s="186"/>
    </row>
    <row r="118" spans="1:10" s="32" customFormat="1" ht="16" thickBot="1" x14ac:dyDescent="0.4">
      <c r="A118" s="104" t="s">
        <v>164</v>
      </c>
      <c r="B118" s="105"/>
      <c r="C118" s="187">
        <f>C112+C117</f>
        <v>46</v>
      </c>
      <c r="D118" s="187"/>
      <c r="E118" s="188">
        <f>E112+E117</f>
        <v>12653.125056000001</v>
      </c>
      <c r="F118" s="188"/>
      <c r="G118" s="126">
        <f>G112+G117</f>
        <v>19439.393926000001</v>
      </c>
      <c r="H118" s="127"/>
    </row>
    <row r="119" spans="1:10" s="31" customFormat="1" x14ac:dyDescent="0.35">
      <c r="A119" s="103" t="s">
        <v>55</v>
      </c>
      <c r="B119" s="103"/>
      <c r="C119" s="103"/>
      <c r="D119" s="103"/>
      <c r="E119" s="103"/>
      <c r="F119" s="103"/>
      <c r="G119" s="103"/>
      <c r="H119" s="103"/>
    </row>
    <row r="120" spans="1:10" x14ac:dyDescent="0.35">
      <c r="A120" s="75" t="s">
        <v>171</v>
      </c>
      <c r="B120" s="75"/>
      <c r="C120" s="75"/>
      <c r="D120" s="75"/>
      <c r="E120" s="75"/>
      <c r="F120" s="75"/>
      <c r="G120" s="75"/>
      <c r="H120" s="75"/>
    </row>
    <row r="121" spans="1:10" ht="47.25" customHeight="1" x14ac:dyDescent="0.35">
      <c r="A121" s="112" t="s">
        <v>116</v>
      </c>
      <c r="B121" s="112" t="s">
        <v>172</v>
      </c>
      <c r="C121" s="112" t="s">
        <v>56</v>
      </c>
      <c r="D121" s="112" t="s">
        <v>57</v>
      </c>
      <c r="E121" s="167" t="s">
        <v>152</v>
      </c>
      <c r="F121" s="40" t="s">
        <v>145</v>
      </c>
      <c r="G121" s="169" t="s">
        <v>59</v>
      </c>
      <c r="H121" s="170"/>
      <c r="I121" s="165"/>
    </row>
    <row r="122" spans="1:10" s="34" customFormat="1" x14ac:dyDescent="0.35">
      <c r="A122" s="113"/>
      <c r="B122" s="113"/>
      <c r="C122" s="113"/>
      <c r="D122" s="113"/>
      <c r="E122" s="168"/>
      <c r="F122" s="13">
        <v>0.55000000000000004</v>
      </c>
      <c r="G122" s="171"/>
      <c r="H122" s="172"/>
      <c r="I122" s="165"/>
    </row>
    <row r="123" spans="1:10" s="34" customFormat="1" x14ac:dyDescent="0.35">
      <c r="A123" s="174" t="s">
        <v>277</v>
      </c>
      <c r="B123" s="175"/>
      <c r="C123" s="175"/>
      <c r="D123" s="175"/>
      <c r="E123" s="175"/>
      <c r="F123" s="175"/>
      <c r="G123" s="175"/>
      <c r="H123" s="176"/>
      <c r="I123" s="50"/>
    </row>
    <row r="124" spans="1:10" s="34" customFormat="1" x14ac:dyDescent="0.35">
      <c r="A124" s="196" t="s">
        <v>256</v>
      </c>
      <c r="B124" s="196"/>
      <c r="C124" s="196"/>
      <c r="D124" s="196"/>
      <c r="E124" s="196"/>
      <c r="F124" s="196"/>
      <c r="G124" s="196"/>
      <c r="H124" s="196"/>
      <c r="J124" s="54">
        <v>10.763999999999999</v>
      </c>
    </row>
    <row r="125" spans="1:10" s="34" customFormat="1" ht="15.75" customHeight="1" x14ac:dyDescent="0.35">
      <c r="A125" s="133">
        <v>1</v>
      </c>
      <c r="B125" s="133"/>
      <c r="C125" s="61" t="s">
        <v>259</v>
      </c>
      <c r="D125" s="54">
        <f>(11.25)*10.764</f>
        <v>121.095</v>
      </c>
      <c r="E125" s="61">
        <v>0</v>
      </c>
      <c r="F125" s="61">
        <f>(D125+E125)*(($F$122)+1)</f>
        <v>187.69725</v>
      </c>
      <c r="G125" s="133" t="str">
        <f>A124</f>
        <v>Ground Floor For Commercial,  Entrance Lobby &amp; Parking</v>
      </c>
      <c r="H125" s="133"/>
      <c r="I125" s="34">
        <f>5.56*2</f>
        <v>11.12</v>
      </c>
      <c r="J125" s="33"/>
    </row>
    <row r="126" spans="1:10" s="34" customFormat="1" ht="15.75" customHeight="1" x14ac:dyDescent="0.35">
      <c r="A126" s="133">
        <f t="shared" ref="A126:A128" si="0">A125+1</f>
        <v>2</v>
      </c>
      <c r="B126" s="133"/>
      <c r="C126" s="61" t="s">
        <v>259</v>
      </c>
      <c r="D126" s="54">
        <f>(12.56)*10.764</f>
        <v>135.19584</v>
      </c>
      <c r="E126" s="61">
        <v>0</v>
      </c>
      <c r="F126" s="61">
        <f t="shared" ref="F126:F128" si="1">(D126+E126)*(($F$122)+1)</f>
        <v>209.55355200000002</v>
      </c>
      <c r="G126" s="133"/>
      <c r="H126" s="133"/>
      <c r="I126" s="34">
        <f>5.56*2.21</f>
        <v>12.287599999999999</v>
      </c>
      <c r="J126" s="33"/>
    </row>
    <row r="127" spans="1:10" s="34" customFormat="1" ht="15.75" customHeight="1" x14ac:dyDescent="0.35">
      <c r="A127" s="133">
        <f t="shared" si="0"/>
        <v>3</v>
      </c>
      <c r="B127" s="133"/>
      <c r="C127" s="61" t="s">
        <v>259</v>
      </c>
      <c r="D127" s="54">
        <f>(11.9)*10.764</f>
        <v>128.0916</v>
      </c>
      <c r="E127" s="61">
        <v>0</v>
      </c>
      <c r="F127" s="61">
        <f t="shared" si="1"/>
        <v>198.54198</v>
      </c>
      <c r="G127" s="133"/>
      <c r="H127" s="133"/>
      <c r="J127" s="33"/>
    </row>
    <row r="128" spans="1:10" s="34" customFormat="1" ht="15.75" customHeight="1" x14ac:dyDescent="0.35">
      <c r="A128" s="133">
        <f t="shared" si="0"/>
        <v>4</v>
      </c>
      <c r="B128" s="133"/>
      <c r="C128" s="61" t="s">
        <v>259</v>
      </c>
      <c r="D128" s="54">
        <f>(15.18)*10.764</f>
        <v>163.39751999999999</v>
      </c>
      <c r="E128" s="61">
        <v>0</v>
      </c>
      <c r="F128" s="61">
        <f t="shared" si="1"/>
        <v>253.266156</v>
      </c>
      <c r="G128" s="133"/>
      <c r="H128" s="133"/>
      <c r="J128" s="33"/>
    </row>
    <row r="129" spans="1:14" s="34" customFormat="1" x14ac:dyDescent="0.35">
      <c r="A129" s="133">
        <v>5</v>
      </c>
      <c r="B129" s="133"/>
      <c r="C129" s="61" t="s">
        <v>259</v>
      </c>
      <c r="D129" s="54">
        <f>(5.16)*10.764</f>
        <v>55.54224</v>
      </c>
      <c r="E129" s="61">
        <v>0</v>
      </c>
      <c r="F129" s="61">
        <f>(D129+E129)*(($F$122)+1)</f>
        <v>86.090472000000005</v>
      </c>
      <c r="G129" s="133"/>
      <c r="H129" s="133"/>
      <c r="I129" s="34">
        <f>2.44*2</f>
        <v>4.88</v>
      </c>
      <c r="J129" s="33"/>
    </row>
    <row r="130" spans="1:14" s="34" customFormat="1" x14ac:dyDescent="0.35">
      <c r="A130" s="133">
        <f t="shared" ref="A130:A132" si="2">A129+1</f>
        <v>6</v>
      </c>
      <c r="B130" s="133"/>
      <c r="C130" s="61" t="s">
        <v>259</v>
      </c>
      <c r="D130" s="54">
        <f>(7.75)*10.764</f>
        <v>83.420999999999992</v>
      </c>
      <c r="E130" s="61">
        <v>0</v>
      </c>
      <c r="F130" s="61">
        <f t="shared" ref="F130:F132" si="3">(D130+E130)*(($F$122)+1)</f>
        <v>129.30255</v>
      </c>
      <c r="G130" s="133"/>
      <c r="H130" s="133"/>
      <c r="J130" s="33"/>
    </row>
    <row r="131" spans="1:14" s="34" customFormat="1" x14ac:dyDescent="0.35">
      <c r="A131" s="133">
        <f t="shared" si="2"/>
        <v>7</v>
      </c>
      <c r="B131" s="133"/>
      <c r="C131" s="61" t="s">
        <v>259</v>
      </c>
      <c r="D131" s="54">
        <f>(6.52)*10.764</f>
        <v>70.181279999999987</v>
      </c>
      <c r="E131" s="61">
        <v>0</v>
      </c>
      <c r="F131" s="61">
        <f t="shared" si="3"/>
        <v>108.78098399999999</v>
      </c>
      <c r="G131" s="133"/>
      <c r="H131" s="133"/>
      <c r="J131" s="33"/>
    </row>
    <row r="132" spans="1:14" s="34" customFormat="1" x14ac:dyDescent="0.35">
      <c r="A132" s="133">
        <f t="shared" si="2"/>
        <v>8</v>
      </c>
      <c r="B132" s="133"/>
      <c r="C132" s="61" t="s">
        <v>259</v>
      </c>
      <c r="D132" s="54">
        <f>(10)*10.764</f>
        <v>107.63999999999999</v>
      </c>
      <c r="E132" s="61">
        <v>0</v>
      </c>
      <c r="F132" s="61">
        <f t="shared" si="3"/>
        <v>166.84199999999998</v>
      </c>
      <c r="G132" s="133"/>
      <c r="H132" s="133"/>
      <c r="I132" s="34">
        <f>2.7*3.57</f>
        <v>9.6389999999999993</v>
      </c>
      <c r="J132" s="33"/>
    </row>
    <row r="133" spans="1:14" s="34" customFormat="1" ht="15.75" customHeight="1" x14ac:dyDescent="0.35">
      <c r="A133" s="133">
        <v>9</v>
      </c>
      <c r="B133" s="133"/>
      <c r="C133" s="61" t="s">
        <v>259</v>
      </c>
      <c r="D133" s="54">
        <f>(10)*10.764</f>
        <v>107.63999999999999</v>
      </c>
      <c r="E133" s="61">
        <v>0</v>
      </c>
      <c r="F133" s="61">
        <f>(D133+E133)*(($F$122)+1)</f>
        <v>166.84199999999998</v>
      </c>
      <c r="G133" s="133"/>
      <c r="H133" s="133"/>
      <c r="J133" s="33"/>
    </row>
    <row r="134" spans="1:14" s="34" customFormat="1" ht="15.75" customHeight="1" x14ac:dyDescent="0.35">
      <c r="A134" s="133">
        <f t="shared" ref="A134:A136" si="4">A133+1</f>
        <v>10</v>
      </c>
      <c r="B134" s="133"/>
      <c r="C134" s="61" t="s">
        <v>259</v>
      </c>
      <c r="D134" s="54">
        <f>(6.54)*10.764</f>
        <v>70.396559999999994</v>
      </c>
      <c r="E134" s="61">
        <v>0</v>
      </c>
      <c r="F134" s="61">
        <f t="shared" ref="F134:F136" si="5">(D134+E134)*(($F$122)+1)</f>
        <v>109.11466799999999</v>
      </c>
      <c r="G134" s="133"/>
      <c r="H134" s="133"/>
      <c r="I134" s="34">
        <f>2.25*2.77</f>
        <v>6.2324999999999999</v>
      </c>
      <c r="J134" s="33"/>
    </row>
    <row r="135" spans="1:14" s="34" customFormat="1" ht="15.75" customHeight="1" x14ac:dyDescent="0.35">
      <c r="A135" s="133">
        <f t="shared" si="4"/>
        <v>11</v>
      </c>
      <c r="B135" s="133"/>
      <c r="C135" s="61" t="s">
        <v>259</v>
      </c>
      <c r="D135" s="54">
        <f>(7.77)*10.764</f>
        <v>83.636279999999985</v>
      </c>
      <c r="E135" s="61">
        <v>0</v>
      </c>
      <c r="F135" s="61">
        <f t="shared" si="5"/>
        <v>129.63623399999997</v>
      </c>
      <c r="G135" s="133"/>
      <c r="H135" s="133"/>
      <c r="J135" s="33"/>
    </row>
    <row r="136" spans="1:14" s="34" customFormat="1" ht="15.75" customHeight="1" x14ac:dyDescent="0.35">
      <c r="A136" s="133">
        <f t="shared" si="4"/>
        <v>12</v>
      </c>
      <c r="B136" s="133"/>
      <c r="C136" s="61" t="s">
        <v>259</v>
      </c>
      <c r="D136" s="54">
        <f>(4.84)*10.764</f>
        <v>52.097759999999994</v>
      </c>
      <c r="E136" s="61">
        <v>0</v>
      </c>
      <c r="F136" s="61">
        <f t="shared" si="5"/>
        <v>80.751527999999993</v>
      </c>
      <c r="G136" s="133"/>
      <c r="H136" s="133"/>
      <c r="J136" s="33"/>
    </row>
    <row r="137" spans="1:14" s="34" customFormat="1" ht="15.75" customHeight="1" x14ac:dyDescent="0.35">
      <c r="A137" s="133">
        <v>13</v>
      </c>
      <c r="B137" s="133"/>
      <c r="C137" s="61" t="s">
        <v>259</v>
      </c>
      <c r="D137" s="54">
        <f>(8.9)*10.764</f>
        <v>95.799599999999998</v>
      </c>
      <c r="E137" s="61">
        <v>0</v>
      </c>
      <c r="F137" s="61">
        <f>(D137+E137)*(($F$122)+1)</f>
        <v>148.48938000000001</v>
      </c>
      <c r="G137" s="133"/>
      <c r="H137" s="133"/>
      <c r="I137" s="51">
        <f>2.67*3.16+0.45*1.02</f>
        <v>8.8962000000000003</v>
      </c>
      <c r="L137" s="166"/>
      <c r="M137" s="166"/>
      <c r="N137" s="33"/>
    </row>
    <row r="138" spans="1:14" s="34" customFormat="1" ht="15.75" customHeight="1" x14ac:dyDescent="0.35">
      <c r="A138" s="133">
        <f t="shared" ref="A138" si="6">A137+1</f>
        <v>14</v>
      </c>
      <c r="B138" s="133"/>
      <c r="C138" s="61" t="s">
        <v>259</v>
      </c>
      <c r="D138" s="54">
        <f>(8.66)*10.764</f>
        <v>93.216239999999999</v>
      </c>
      <c r="E138" s="61">
        <v>0</v>
      </c>
      <c r="F138" s="61">
        <f t="shared" ref="F138" si="7">(D138+E138)*(($F$122)+1)</f>
        <v>144.48517200000001</v>
      </c>
      <c r="G138" s="133"/>
      <c r="H138" s="133"/>
      <c r="I138" s="33"/>
      <c r="L138" s="166"/>
      <c r="M138" s="166"/>
      <c r="N138" s="33"/>
    </row>
    <row r="139" spans="1:14" s="34" customFormat="1" x14ac:dyDescent="0.35">
      <c r="A139" s="133"/>
      <c r="B139" s="133"/>
      <c r="C139" s="133"/>
      <c r="D139" s="133"/>
      <c r="E139" s="133"/>
      <c r="F139" s="133"/>
      <c r="G139" s="133"/>
      <c r="H139" s="133"/>
      <c r="I139" s="33"/>
      <c r="N139" s="33"/>
    </row>
    <row r="140" spans="1:14" ht="47.25" customHeight="1" x14ac:dyDescent="0.35">
      <c r="A140" s="95" t="s">
        <v>117</v>
      </c>
      <c r="B140" s="95" t="s">
        <v>173</v>
      </c>
      <c r="C140" s="95" t="s">
        <v>56</v>
      </c>
      <c r="D140" s="95" t="s">
        <v>57</v>
      </c>
      <c r="E140" s="96" t="s">
        <v>58</v>
      </c>
      <c r="F140" s="62" t="s">
        <v>267</v>
      </c>
      <c r="G140" s="95" t="s">
        <v>59</v>
      </c>
      <c r="H140" s="95"/>
      <c r="I140" s="33"/>
    </row>
    <row r="141" spans="1:14" s="34" customFormat="1" hidden="1" x14ac:dyDescent="0.35">
      <c r="A141" s="95"/>
      <c r="B141" s="95"/>
      <c r="C141" s="95"/>
      <c r="D141" s="95"/>
      <c r="E141" s="96"/>
      <c r="F141" s="59">
        <v>0.45</v>
      </c>
      <c r="G141" s="95"/>
      <c r="H141" s="95"/>
      <c r="I141" s="33"/>
    </row>
    <row r="142" spans="1:14" s="34" customFormat="1" x14ac:dyDescent="0.35">
      <c r="A142" s="95" t="s">
        <v>257</v>
      </c>
      <c r="B142" s="95"/>
      <c r="C142" s="95"/>
      <c r="D142" s="95"/>
      <c r="E142" s="95"/>
      <c r="F142" s="95"/>
      <c r="G142" s="95"/>
      <c r="H142" s="95"/>
      <c r="I142" s="33"/>
    </row>
    <row r="143" spans="1:14" s="34" customFormat="1" x14ac:dyDescent="0.35">
      <c r="A143" s="95" t="s">
        <v>278</v>
      </c>
      <c r="B143" s="95"/>
      <c r="C143" s="95"/>
      <c r="D143" s="95"/>
      <c r="E143" s="95"/>
      <c r="F143" s="95"/>
      <c r="G143" s="95"/>
      <c r="H143" s="95"/>
      <c r="I143" s="33"/>
      <c r="J143" s="34" t="s">
        <v>260</v>
      </c>
      <c r="K143" s="53" t="s">
        <v>261</v>
      </c>
      <c r="L143" s="53" t="s">
        <v>262</v>
      </c>
    </row>
    <row r="144" spans="1:14" s="34" customFormat="1" ht="15.75" customHeight="1" x14ac:dyDescent="0.35">
      <c r="A144" s="133">
        <v>1</v>
      </c>
      <c r="B144" s="133"/>
      <c r="C144" s="39" t="s">
        <v>280</v>
      </c>
      <c r="D144" s="54">
        <f>(21.21+0.46*2+0.75*2.75+2.74)*10.764</f>
        <v>289.90143</v>
      </c>
      <c r="E144" s="55">
        <v>0</v>
      </c>
      <c r="F144" s="39">
        <v>430</v>
      </c>
      <c r="G144" s="133" t="str">
        <f>A143</f>
        <v>1st &amp; 3rd Floor For Residential</v>
      </c>
      <c r="H144" s="133"/>
      <c r="I144" s="33">
        <f>2.74*3.35+2.75*2+1.68*1.22+1.22*0.91+0.95*2.2+0.5*0.91</f>
        <v>20.383799999999997</v>
      </c>
      <c r="J144" s="51">
        <f>0.45*2</f>
        <v>0.9</v>
      </c>
      <c r="K144" s="53">
        <f>2.74+2.75*0.75</f>
        <v>4.8025000000000002</v>
      </c>
      <c r="L144" s="53"/>
      <c r="M144" s="52">
        <f>I144+J144+K144</f>
        <v>26.086299999999994</v>
      </c>
      <c r="N144" s="34">
        <f>21.21+4.47+0.95</f>
        <v>26.63</v>
      </c>
    </row>
    <row r="145" spans="1:15" s="34" customFormat="1" ht="15.75" customHeight="1" x14ac:dyDescent="0.35">
      <c r="A145" s="133">
        <f t="shared" ref="A145:A147" si="8">A144+1</f>
        <v>2</v>
      </c>
      <c r="B145" s="133"/>
      <c r="C145" s="39" t="s">
        <v>263</v>
      </c>
      <c r="D145" s="54">
        <f>(30.4+0.46*2.2+2.74*0.85+2.74+2.44*0.75)*10.764</f>
        <v>412.37960399999997</v>
      </c>
      <c r="E145" s="55">
        <v>0</v>
      </c>
      <c r="F145" s="39">
        <v>615</v>
      </c>
      <c r="G145" s="133"/>
      <c r="H145" s="133"/>
      <c r="I145" s="33">
        <f>2.74*4.06+2.44*2.25+2.74*2.74+1.68*1.22+0.91*1.22+2*0.95+0.5*0.91+0.4*1.52</f>
        <v>30.244799999999994</v>
      </c>
      <c r="J145" s="34">
        <f>0.45*2.1</f>
        <v>0.94500000000000006</v>
      </c>
      <c r="K145" s="53">
        <f>2.74*0.85+2.74</f>
        <v>5.0690000000000008</v>
      </c>
      <c r="L145" s="53"/>
      <c r="N145" s="51"/>
    </row>
    <row r="146" spans="1:15" s="34" customFormat="1" ht="15.75" customHeight="1" x14ac:dyDescent="0.35">
      <c r="A146" s="133">
        <f t="shared" si="8"/>
        <v>3</v>
      </c>
      <c r="B146" s="133"/>
      <c r="C146" s="39" t="s">
        <v>263</v>
      </c>
      <c r="D146" s="54">
        <f>(26.86+2.74*0.85+2.25*0.85)*10.764</f>
        <v>334.776546</v>
      </c>
      <c r="E146" s="54">
        <f>(2.7*1.85)*10.764</f>
        <v>53.766180000000006</v>
      </c>
      <c r="F146" s="39">
        <v>590</v>
      </c>
      <c r="G146" s="133"/>
      <c r="H146" s="133"/>
      <c r="I146" s="51">
        <f>2.74*3.35+2.25*2.41+2.74*2.74+1.68*1.22+1.22*0.91+0.5*1.22</f>
        <v>25.878900000000002</v>
      </c>
      <c r="K146" s="53">
        <f>2.74+2.25</f>
        <v>4.99</v>
      </c>
      <c r="L146" s="53">
        <f>2.74*1.85</f>
        <v>5.0690000000000008</v>
      </c>
      <c r="M146" s="51">
        <f>L146+K146+I146</f>
        <v>35.937899999999999</v>
      </c>
    </row>
    <row r="147" spans="1:15" s="34" customFormat="1" ht="15.75" customHeight="1" x14ac:dyDescent="0.35">
      <c r="A147" s="133">
        <f t="shared" si="8"/>
        <v>4</v>
      </c>
      <c r="B147" s="133"/>
      <c r="C147" s="39" t="s">
        <v>263</v>
      </c>
      <c r="D147" s="54">
        <f>(26.61+2.74+2.25)*10.764</f>
        <v>340.14240000000001</v>
      </c>
      <c r="E147" s="54">
        <f>(2.7*1.69)*10.764</f>
        <v>49.116131999999993</v>
      </c>
      <c r="F147" s="39">
        <v>565</v>
      </c>
      <c r="G147" s="133"/>
      <c r="H147" s="133"/>
      <c r="I147" s="51">
        <f>2.74*3.35+2.25*2.25+2.74*2.74+1.68*1.22+1.22*0.91+0.5*1.22</f>
        <v>25.518900000000002</v>
      </c>
      <c r="K147" s="53">
        <f>2.74*0.85+2.25</f>
        <v>4.5790000000000006</v>
      </c>
      <c r="L147" s="53">
        <f>2.7*1.85</f>
        <v>4.995000000000001</v>
      </c>
      <c r="O147" s="33"/>
    </row>
    <row r="148" spans="1:15" s="34" customFormat="1" ht="15.75" customHeight="1" x14ac:dyDescent="0.35">
      <c r="A148" s="100" t="s">
        <v>264</v>
      </c>
      <c r="B148" s="101"/>
      <c r="C148" s="101"/>
      <c r="D148" s="101"/>
      <c r="E148" s="101"/>
      <c r="F148" s="101"/>
      <c r="G148" s="101"/>
      <c r="H148" s="102"/>
      <c r="I148" s="33"/>
      <c r="K148" s="53"/>
    </row>
    <row r="149" spans="1:15" s="34" customFormat="1" ht="15.75" customHeight="1" x14ac:dyDescent="0.35">
      <c r="A149" s="78">
        <v>1</v>
      </c>
      <c r="B149" s="79"/>
      <c r="C149" s="39" t="s">
        <v>280</v>
      </c>
      <c r="D149" s="54">
        <f>(21.21+0.46*2+0.75*2.75+2.74)*10.764</f>
        <v>289.90143</v>
      </c>
      <c r="E149" s="39">
        <v>0</v>
      </c>
      <c r="F149" s="39">
        <v>430</v>
      </c>
      <c r="G149" s="120" t="str">
        <f>A148</f>
        <v>2nd &amp; 4th Floor</v>
      </c>
      <c r="H149" s="121"/>
      <c r="I149" s="51">
        <f>430/D149</f>
        <v>1.4832627765927198</v>
      </c>
      <c r="K149" s="34" t="e">
        <f>430/#REF!</f>
        <v>#REF!</v>
      </c>
    </row>
    <row r="150" spans="1:15" s="34" customFormat="1" ht="15.75" customHeight="1" x14ac:dyDescent="0.35">
      <c r="A150" s="78">
        <f t="shared" ref="A150:A152" si="9">A149+1</f>
        <v>2</v>
      </c>
      <c r="B150" s="79"/>
      <c r="C150" s="39" t="s">
        <v>263</v>
      </c>
      <c r="D150" s="54">
        <f>(30.4+0.46*2.2+2.74*0.85+2.74+2.44*0.75)*10.764</f>
        <v>412.37960399999997</v>
      </c>
      <c r="E150" s="39">
        <v>0</v>
      </c>
      <c r="F150" s="39">
        <v>615</v>
      </c>
      <c r="G150" s="122"/>
      <c r="H150" s="123"/>
      <c r="I150" s="51">
        <f>615/D150</f>
        <v>1.4913443682340799</v>
      </c>
      <c r="K150" s="34" t="e">
        <f>615/#REF!</f>
        <v>#REF!</v>
      </c>
    </row>
    <row r="151" spans="1:15" s="34" customFormat="1" ht="15.75" customHeight="1" x14ac:dyDescent="0.35">
      <c r="A151" s="78">
        <f t="shared" si="9"/>
        <v>3</v>
      </c>
      <c r="B151" s="79"/>
      <c r="C151" s="39" t="s">
        <v>263</v>
      </c>
      <c r="D151" s="54">
        <f>(26.86+2.74+2.25+2.74)*10.764</f>
        <v>372.32676000000004</v>
      </c>
      <c r="E151" s="39">
        <v>0</v>
      </c>
      <c r="F151" s="39">
        <v>555</v>
      </c>
      <c r="G151" s="122"/>
      <c r="H151" s="123"/>
      <c r="I151" s="51">
        <f>555/D151</f>
        <v>1.4906261371060192</v>
      </c>
      <c r="K151" s="34" t="e">
        <f>590/#REF!</f>
        <v>#REF!</v>
      </c>
    </row>
    <row r="152" spans="1:15" s="34" customFormat="1" ht="15.75" customHeight="1" x14ac:dyDescent="0.35">
      <c r="A152" s="78">
        <f t="shared" si="9"/>
        <v>4</v>
      </c>
      <c r="B152" s="79"/>
      <c r="C152" s="39" t="s">
        <v>263</v>
      </c>
      <c r="D152" s="54">
        <f>(26.61+2.74+2.25+2.74)*10.764</f>
        <v>369.63576</v>
      </c>
      <c r="E152" s="39">
        <v>0</v>
      </c>
      <c r="F152" s="39">
        <v>530</v>
      </c>
      <c r="G152" s="124"/>
      <c r="H152" s="125"/>
      <c r="I152" s="51">
        <f>530/D152</f>
        <v>1.4338439549247075</v>
      </c>
      <c r="K152" s="34" t="e">
        <f>565/#REF!</f>
        <v>#REF!</v>
      </c>
    </row>
    <row r="153" spans="1:15" s="34" customFormat="1" ht="15.75" customHeight="1" x14ac:dyDescent="0.35">
      <c r="A153" s="100" t="s">
        <v>258</v>
      </c>
      <c r="B153" s="101"/>
      <c r="C153" s="101"/>
      <c r="D153" s="101"/>
      <c r="E153" s="101"/>
      <c r="F153" s="101"/>
      <c r="G153" s="101"/>
      <c r="H153" s="102"/>
      <c r="J153" s="33"/>
    </row>
    <row r="154" spans="1:15" s="34" customFormat="1" ht="15.75" customHeight="1" x14ac:dyDescent="0.35">
      <c r="A154" s="174" t="s">
        <v>279</v>
      </c>
      <c r="B154" s="175"/>
      <c r="C154" s="175"/>
      <c r="D154" s="175"/>
      <c r="E154" s="175"/>
      <c r="F154" s="175"/>
      <c r="G154" s="175"/>
      <c r="H154" s="176"/>
      <c r="I154" s="33"/>
    </row>
    <row r="155" spans="1:15" s="34" customFormat="1" ht="15.75" customHeight="1" x14ac:dyDescent="0.35">
      <c r="A155" s="78">
        <v>1</v>
      </c>
      <c r="B155" s="79"/>
      <c r="C155" s="39" t="s">
        <v>263</v>
      </c>
      <c r="D155" s="54">
        <f>(26.61+2.74+2.25)*10.764</f>
        <v>340.14240000000001</v>
      </c>
      <c r="E155" s="54">
        <f>(2.7*1.69)*10.764</f>
        <v>49.116131999999993</v>
      </c>
      <c r="F155" s="39">
        <v>565</v>
      </c>
      <c r="G155" s="120" t="str">
        <f>A154</f>
        <v>1st &amp; 3rd Floor</v>
      </c>
      <c r="H155" s="121"/>
      <c r="I155" s="33"/>
      <c r="K155" s="34" t="s">
        <v>270</v>
      </c>
      <c r="L155" s="166"/>
      <c r="M155" s="166"/>
      <c r="N155" s="33"/>
    </row>
    <row r="156" spans="1:15" s="34" customFormat="1" ht="15.75" customHeight="1" x14ac:dyDescent="0.35">
      <c r="A156" s="78">
        <f t="shared" ref="A156:A158" si="10">A155+1</f>
        <v>2</v>
      </c>
      <c r="B156" s="79"/>
      <c r="C156" s="39" t="s">
        <v>263</v>
      </c>
      <c r="D156" s="54">
        <f>(26.86+2.74*0.85+2.25*0.85)*10.764</f>
        <v>334.776546</v>
      </c>
      <c r="E156" s="54">
        <f>(2.7*1.85)*10.764</f>
        <v>53.766180000000006</v>
      </c>
      <c r="F156" s="39">
        <v>590</v>
      </c>
      <c r="G156" s="122"/>
      <c r="H156" s="123"/>
      <c r="I156" s="33"/>
      <c r="L156" s="166"/>
      <c r="M156" s="166"/>
      <c r="N156" s="33"/>
    </row>
    <row r="157" spans="1:15" s="34" customFormat="1" ht="15.75" customHeight="1" x14ac:dyDescent="0.35">
      <c r="A157" s="78">
        <f t="shared" si="10"/>
        <v>3</v>
      </c>
      <c r="B157" s="79"/>
      <c r="C157" s="39" t="s">
        <v>263</v>
      </c>
      <c r="D157" s="54">
        <f>(30.4+0.46*2.2+2.74*0.85+2.74+2.44*0.75)*10.764</f>
        <v>412.37960399999997</v>
      </c>
      <c r="E157" s="54">
        <v>0</v>
      </c>
      <c r="F157" s="39">
        <v>615</v>
      </c>
      <c r="G157" s="122"/>
      <c r="H157" s="123"/>
      <c r="I157" s="33"/>
      <c r="L157" s="166"/>
      <c r="M157" s="166"/>
      <c r="N157" s="33"/>
    </row>
    <row r="158" spans="1:15" s="34" customFormat="1" ht="15.75" customHeight="1" x14ac:dyDescent="0.35">
      <c r="A158" s="78">
        <f t="shared" si="10"/>
        <v>4</v>
      </c>
      <c r="B158" s="79"/>
      <c r="C158" s="39" t="s">
        <v>280</v>
      </c>
      <c r="D158" s="54">
        <f>(21.21+0.46*2+0.75*2.75+2.74)*10.764</f>
        <v>289.90143</v>
      </c>
      <c r="E158" s="54">
        <v>0</v>
      </c>
      <c r="F158" s="39">
        <v>430</v>
      </c>
      <c r="G158" s="124"/>
      <c r="H158" s="125"/>
      <c r="I158" s="33"/>
      <c r="L158" s="166"/>
      <c r="M158" s="166"/>
    </row>
    <row r="159" spans="1:15" s="34" customFormat="1" x14ac:dyDescent="0.35">
      <c r="A159" s="100" t="s">
        <v>264</v>
      </c>
      <c r="B159" s="101"/>
      <c r="C159" s="101"/>
      <c r="D159" s="101"/>
      <c r="E159" s="101"/>
      <c r="F159" s="101"/>
      <c r="G159" s="101"/>
      <c r="H159" s="102"/>
      <c r="I159" s="33"/>
      <c r="N159" s="33"/>
    </row>
    <row r="160" spans="1:15" s="34" customFormat="1" ht="15.75" customHeight="1" x14ac:dyDescent="0.35">
      <c r="A160" s="78">
        <v>1</v>
      </c>
      <c r="B160" s="79"/>
      <c r="C160" s="39" t="s">
        <v>263</v>
      </c>
      <c r="D160" s="54">
        <f>(26.61+2.74+2.25+2.74)*10.764</f>
        <v>369.63576</v>
      </c>
      <c r="E160" s="54">
        <v>0</v>
      </c>
      <c r="F160" s="39">
        <v>530</v>
      </c>
      <c r="G160" s="120" t="str">
        <f>A159</f>
        <v>2nd &amp; 4th Floor</v>
      </c>
      <c r="H160" s="121"/>
      <c r="I160" s="33"/>
      <c r="N160" s="33"/>
    </row>
    <row r="161" spans="1:14" s="34" customFormat="1" ht="15.75" customHeight="1" x14ac:dyDescent="0.35">
      <c r="A161" s="78">
        <f t="shared" ref="A161:A163" si="11">A160+1</f>
        <v>2</v>
      </c>
      <c r="B161" s="79"/>
      <c r="C161" s="39" t="s">
        <v>263</v>
      </c>
      <c r="D161" s="54">
        <f>(26.86+2.74+2.25+2.74)*10.764</f>
        <v>372.32676000000004</v>
      </c>
      <c r="E161" s="54">
        <v>0</v>
      </c>
      <c r="F161" s="39">
        <v>555</v>
      </c>
      <c r="G161" s="122"/>
      <c r="H161" s="123"/>
      <c r="I161" s="33"/>
      <c r="N161" s="33"/>
    </row>
    <row r="162" spans="1:14" s="34" customFormat="1" ht="15.75" customHeight="1" x14ac:dyDescent="0.35">
      <c r="A162" s="78">
        <f t="shared" si="11"/>
        <v>3</v>
      </c>
      <c r="B162" s="79"/>
      <c r="C162" s="39" t="s">
        <v>263</v>
      </c>
      <c r="D162" s="54">
        <f>(30.4+0.46*2.2+2.74*0.85+2.74+2.44*0.75)*10.764</f>
        <v>412.37960399999997</v>
      </c>
      <c r="E162" s="54">
        <v>0</v>
      </c>
      <c r="F162" s="39">
        <v>615</v>
      </c>
      <c r="G162" s="122"/>
      <c r="H162" s="123"/>
      <c r="I162" s="33"/>
      <c r="N162" s="33"/>
    </row>
    <row r="163" spans="1:14" s="34" customFormat="1" ht="15.75" customHeight="1" x14ac:dyDescent="0.35">
      <c r="A163" s="78">
        <f t="shared" si="11"/>
        <v>4</v>
      </c>
      <c r="B163" s="79"/>
      <c r="C163" s="39" t="s">
        <v>280</v>
      </c>
      <c r="D163" s="54">
        <f>(21.21+0.46*2+0.75*2.75+2.74)*10.764</f>
        <v>289.90143</v>
      </c>
      <c r="E163" s="54">
        <v>0</v>
      </c>
      <c r="F163" s="39">
        <v>430</v>
      </c>
      <c r="G163" s="124"/>
      <c r="H163" s="125"/>
      <c r="I163" s="33"/>
      <c r="N163" s="33"/>
    </row>
    <row r="164" spans="1:14" s="32" customFormat="1" x14ac:dyDescent="0.35">
      <c r="A164" s="189" t="s">
        <v>67</v>
      </c>
      <c r="B164" s="189"/>
      <c r="C164" s="189"/>
      <c r="D164" s="189"/>
      <c r="E164" s="189"/>
      <c r="F164" s="189"/>
      <c r="G164" s="189"/>
      <c r="H164" s="189"/>
    </row>
    <row r="165" spans="1:14" s="32" customFormat="1" x14ac:dyDescent="0.35">
      <c r="A165" s="42" t="s">
        <v>149</v>
      </c>
      <c r="B165" s="180" t="s">
        <v>290</v>
      </c>
      <c r="C165" s="181"/>
      <c r="D165" s="181"/>
      <c r="E165" s="181"/>
      <c r="F165" s="181"/>
      <c r="G165" s="181"/>
      <c r="H165" s="182"/>
    </row>
    <row r="166" spans="1:14" s="32" customFormat="1" x14ac:dyDescent="0.35">
      <c r="A166" s="42" t="s">
        <v>149</v>
      </c>
      <c r="B166" s="177" t="str">
        <f>(IF(F140="Saleable area Loading :","We have considered Saleable area of Flats as per our Calculation.","We considered Saleable area of Flat as per Builder area Sheet."))</f>
        <v>We considered Saleable area of Flat as per Builder area Sheet.</v>
      </c>
      <c r="C166" s="178"/>
      <c r="D166" s="178"/>
      <c r="E166" s="178"/>
      <c r="F166" s="178"/>
      <c r="G166" s="178"/>
      <c r="H166" s="179"/>
    </row>
    <row r="167" spans="1:14" s="32" customFormat="1" x14ac:dyDescent="0.35">
      <c r="A167" s="42" t="s">
        <v>149</v>
      </c>
      <c r="B167" s="177" t="str">
        <f>(IF(F121="Saleable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67" s="178"/>
      <c r="D167" s="178"/>
      <c r="E167" s="178"/>
      <c r="F167" s="178"/>
      <c r="G167" s="178"/>
      <c r="H167" s="179"/>
    </row>
    <row r="168" spans="1:14" s="32" customFormat="1" x14ac:dyDescent="0.35">
      <c r="A168" s="42" t="s">
        <v>149</v>
      </c>
      <c r="B168" s="63" t="s">
        <v>119</v>
      </c>
      <c r="C168" s="64"/>
      <c r="D168" s="64"/>
      <c r="E168" s="64"/>
      <c r="F168" s="64"/>
      <c r="G168" s="64"/>
      <c r="H168" s="65"/>
    </row>
    <row r="169" spans="1:14" s="32" customFormat="1" ht="32.25" customHeight="1" x14ac:dyDescent="0.35">
      <c r="A169" s="42" t="s">
        <v>149</v>
      </c>
      <c r="B169" s="63" t="s">
        <v>266</v>
      </c>
      <c r="C169" s="64"/>
      <c r="D169" s="64"/>
      <c r="E169" s="64"/>
      <c r="F169" s="64"/>
      <c r="G169" s="64"/>
      <c r="H169" s="65"/>
    </row>
    <row r="170" spans="1:14" s="32" customFormat="1" x14ac:dyDescent="0.35">
      <c r="A170" s="42" t="s">
        <v>149</v>
      </c>
      <c r="B170" s="63" t="s">
        <v>148</v>
      </c>
      <c r="C170" s="64"/>
      <c r="D170" s="64"/>
      <c r="E170" s="64"/>
      <c r="F170" s="64"/>
      <c r="G170" s="64"/>
      <c r="H170" s="65"/>
    </row>
    <row r="171" spans="1:14" s="32" customFormat="1" x14ac:dyDescent="0.35">
      <c r="A171" s="42" t="s">
        <v>149</v>
      </c>
      <c r="B171" s="63" t="s">
        <v>120</v>
      </c>
      <c r="C171" s="64"/>
      <c r="D171" s="64"/>
      <c r="E171" s="64"/>
      <c r="F171" s="64"/>
      <c r="G171" s="64"/>
      <c r="H171" s="65"/>
    </row>
    <row r="172" spans="1:14" s="32" customFormat="1" ht="36.75" hidden="1" customHeight="1" x14ac:dyDescent="0.35">
      <c r="A172" s="42" t="s">
        <v>149</v>
      </c>
      <c r="B172" s="66" t="s">
        <v>271</v>
      </c>
      <c r="C172" s="67"/>
      <c r="D172" s="67"/>
      <c r="E172" s="67"/>
      <c r="F172" s="67"/>
      <c r="G172" s="67"/>
      <c r="H172" s="68"/>
    </row>
    <row r="173" spans="1:14" s="32" customFormat="1" ht="34.5" customHeight="1" x14ac:dyDescent="0.35">
      <c r="A173" s="42" t="s">
        <v>149</v>
      </c>
      <c r="B173" s="63" t="s">
        <v>150</v>
      </c>
      <c r="C173" s="64"/>
      <c r="D173" s="64"/>
      <c r="E173" s="64"/>
      <c r="F173" s="64"/>
      <c r="G173" s="64"/>
      <c r="H173" s="65"/>
    </row>
    <row r="174" spans="1:14" s="32" customFormat="1" x14ac:dyDescent="0.35">
      <c r="A174" s="42" t="s">
        <v>149</v>
      </c>
      <c r="B174" s="63" t="s">
        <v>121</v>
      </c>
      <c r="C174" s="64"/>
      <c r="D174" s="64"/>
      <c r="E174" s="64"/>
      <c r="F174" s="64"/>
      <c r="G174" s="64"/>
      <c r="H174" s="65"/>
    </row>
    <row r="175" spans="1:14" s="32" customFormat="1" x14ac:dyDescent="0.35">
      <c r="A175" s="42" t="s">
        <v>149</v>
      </c>
      <c r="B175" s="63" t="s">
        <v>284</v>
      </c>
      <c r="C175" s="64"/>
      <c r="D175" s="64"/>
      <c r="E175" s="64"/>
      <c r="F175" s="64"/>
      <c r="G175" s="64"/>
      <c r="H175" s="65"/>
    </row>
    <row r="176" spans="1:14" s="32" customFormat="1" x14ac:dyDescent="0.35">
      <c r="A176" s="57" t="s">
        <v>149</v>
      </c>
      <c r="B176" s="63" t="s">
        <v>291</v>
      </c>
      <c r="C176" s="64"/>
      <c r="D176" s="64"/>
      <c r="E176" s="64"/>
      <c r="F176" s="64"/>
      <c r="G176" s="64"/>
      <c r="H176" s="65"/>
    </row>
    <row r="177" spans="1:8" s="32" customFormat="1" x14ac:dyDescent="0.35">
      <c r="A177" s="42" t="s">
        <v>149</v>
      </c>
      <c r="B177" s="63" t="s">
        <v>294</v>
      </c>
      <c r="C177" s="64"/>
      <c r="D177" s="64"/>
      <c r="E177" s="64"/>
      <c r="F177" s="64"/>
      <c r="G177" s="64"/>
      <c r="H177" s="65"/>
    </row>
    <row r="178" spans="1:8" s="32" customFormat="1" ht="32.25" hidden="1" customHeight="1" x14ac:dyDescent="0.35">
      <c r="A178" s="42" t="s">
        <v>149</v>
      </c>
      <c r="B178" s="66" t="s">
        <v>174</v>
      </c>
      <c r="C178" s="67"/>
      <c r="D178" s="67"/>
      <c r="E178" s="67"/>
      <c r="F178" s="67"/>
      <c r="G178" s="67"/>
      <c r="H178" s="68"/>
    </row>
    <row r="179" spans="1:8" s="32" customFormat="1" ht="30.65" hidden="1" customHeight="1" x14ac:dyDescent="0.35">
      <c r="A179" s="42" t="s">
        <v>149</v>
      </c>
      <c r="B179" s="66" t="s">
        <v>285</v>
      </c>
      <c r="C179" s="67"/>
      <c r="D179" s="67"/>
      <c r="E179" s="67"/>
      <c r="F179" s="67"/>
      <c r="G179" s="67"/>
      <c r="H179" s="68"/>
    </row>
    <row r="180" spans="1:8" x14ac:dyDescent="0.35">
      <c r="A180" s="132" t="s">
        <v>60</v>
      </c>
      <c r="B180" s="132"/>
      <c r="C180" s="132"/>
      <c r="D180" s="132"/>
      <c r="E180" s="132"/>
      <c r="F180" s="132"/>
      <c r="G180" s="132"/>
      <c r="H180" s="132"/>
    </row>
    <row r="181" spans="1:8" x14ac:dyDescent="0.35">
      <c r="A181" s="77" t="s">
        <v>61</v>
      </c>
      <c r="B181" s="77"/>
      <c r="C181" s="77"/>
      <c r="D181" s="77"/>
      <c r="E181" s="77"/>
      <c r="F181" s="77"/>
      <c r="G181" s="77"/>
      <c r="H181" s="77"/>
    </row>
    <row r="182" spans="1:8" ht="15.75" customHeight="1" x14ac:dyDescent="0.35">
      <c r="A182" s="94" t="s">
        <v>62</v>
      </c>
      <c r="B182" s="94"/>
      <c r="C182" s="94"/>
      <c r="D182" s="94"/>
      <c r="E182" s="94"/>
      <c r="F182" s="94"/>
      <c r="G182" s="94"/>
      <c r="H182" s="94"/>
    </row>
    <row r="183" spans="1:8" x14ac:dyDescent="0.35">
      <c r="A183" s="77" t="s">
        <v>63</v>
      </c>
      <c r="B183" s="77"/>
      <c r="C183" s="77"/>
      <c r="D183" s="77"/>
      <c r="E183" s="77"/>
      <c r="F183" s="77"/>
      <c r="G183" s="77"/>
      <c r="H183" s="77"/>
    </row>
    <row r="184" spans="1:8" x14ac:dyDescent="0.35">
      <c r="A184" s="77" t="s">
        <v>64</v>
      </c>
      <c r="B184" s="77"/>
      <c r="C184" s="77"/>
      <c r="D184" s="77"/>
      <c r="E184" s="77"/>
      <c r="F184" s="77"/>
      <c r="G184" s="77"/>
      <c r="H184" s="77"/>
    </row>
    <row r="185" spans="1:8" x14ac:dyDescent="0.35">
      <c r="A185" s="77" t="s">
        <v>122</v>
      </c>
      <c r="B185" s="77"/>
      <c r="C185" s="77"/>
      <c r="D185" s="77"/>
      <c r="E185" s="77"/>
      <c r="F185" s="77"/>
      <c r="G185" s="77"/>
      <c r="H185" s="77"/>
    </row>
    <row r="186" spans="1:8" ht="34" customHeight="1" x14ac:dyDescent="0.35">
      <c r="A186" s="85" t="s">
        <v>123</v>
      </c>
      <c r="B186" s="85"/>
      <c r="C186" s="85"/>
      <c r="D186" s="85"/>
      <c r="E186" s="85"/>
      <c r="F186" s="85"/>
      <c r="G186" s="85"/>
      <c r="H186" s="85"/>
    </row>
    <row r="187" spans="1:8" x14ac:dyDescent="0.35">
      <c r="A187" s="129" t="s">
        <v>76</v>
      </c>
      <c r="B187" s="129"/>
      <c r="C187" s="129" t="s">
        <v>287</v>
      </c>
      <c r="D187" s="129"/>
      <c r="E187" s="129" t="s">
        <v>103</v>
      </c>
      <c r="F187" s="129"/>
      <c r="G187" s="129" t="s">
        <v>292</v>
      </c>
      <c r="H187" s="129"/>
    </row>
    <row r="188" spans="1:8" x14ac:dyDescent="0.35">
      <c r="A188" s="128" t="s">
        <v>78</v>
      </c>
      <c r="B188" s="128"/>
      <c r="C188" s="128"/>
      <c r="D188" s="128"/>
      <c r="E188" s="128"/>
      <c r="F188" s="128"/>
      <c r="G188" s="128"/>
      <c r="H188" s="128"/>
    </row>
    <row r="189" spans="1:8" x14ac:dyDescent="0.35">
      <c r="A189" s="128"/>
      <c r="B189" s="128"/>
      <c r="C189" s="128"/>
      <c r="D189" s="128"/>
      <c r="E189" s="128"/>
      <c r="F189" s="128"/>
      <c r="G189" s="128"/>
      <c r="H189" s="128"/>
    </row>
    <row r="190" spans="1:8" x14ac:dyDescent="0.35">
      <c r="A190" s="128"/>
      <c r="B190" s="128"/>
      <c r="C190" s="128"/>
      <c r="D190" s="128"/>
      <c r="E190" s="128"/>
      <c r="F190" s="128"/>
      <c r="G190" s="128"/>
      <c r="H190" s="128"/>
    </row>
    <row r="191" spans="1:8" x14ac:dyDescent="0.35">
      <c r="A191" s="128"/>
      <c r="B191" s="128"/>
      <c r="C191" s="128"/>
      <c r="D191" s="128"/>
      <c r="E191" s="128"/>
      <c r="F191" s="128"/>
      <c r="G191" s="128"/>
      <c r="H191" s="128"/>
    </row>
    <row r="192" spans="1:8" x14ac:dyDescent="0.35">
      <c r="A192" s="35" t="s">
        <v>65</v>
      </c>
      <c r="B192" s="36"/>
      <c r="C192" s="36"/>
      <c r="D192" s="35" t="str">
        <f>E8</f>
        <v>Sai Dham</v>
      </c>
      <c r="F192" s="36"/>
      <c r="G192" s="36"/>
      <c r="H192" s="36"/>
    </row>
    <row r="193" spans="1:8" x14ac:dyDescent="0.35">
      <c r="A193" s="36"/>
      <c r="B193" s="36"/>
      <c r="C193" s="36"/>
      <c r="D193" s="36"/>
      <c r="E193" s="36"/>
      <c r="F193" s="36"/>
      <c r="G193" s="36"/>
      <c r="H193" s="36"/>
    </row>
    <row r="194" spans="1:8" x14ac:dyDescent="0.35">
      <c r="A194" s="36"/>
      <c r="B194" s="36"/>
      <c r="C194" s="36"/>
      <c r="D194" s="36"/>
      <c r="E194" s="36"/>
      <c r="F194" s="36"/>
      <c r="G194" s="36"/>
      <c r="H194" s="36"/>
    </row>
    <row r="195" spans="1:8" ht="15" customHeight="1" x14ac:dyDescent="0.35"/>
    <row r="235" spans="1:1" x14ac:dyDescent="0.35">
      <c r="A235" s="38" t="s">
        <v>161</v>
      </c>
    </row>
    <row r="278" spans="1:1" x14ac:dyDescent="0.35">
      <c r="A278" s="38" t="s">
        <v>66</v>
      </c>
    </row>
  </sheetData>
  <mergeCells count="333">
    <mergeCell ref="B174:H174"/>
    <mergeCell ref="B172:H172"/>
    <mergeCell ref="A159:H159"/>
    <mergeCell ref="G149:H152"/>
    <mergeCell ref="G160:H163"/>
    <mergeCell ref="A148:H148"/>
    <mergeCell ref="A149:B149"/>
    <mergeCell ref="A150:B150"/>
    <mergeCell ref="B171:H171"/>
    <mergeCell ref="B168:H168"/>
    <mergeCell ref="B169:H169"/>
    <mergeCell ref="A164:H164"/>
    <mergeCell ref="A162:B162"/>
    <mergeCell ref="A163:B163"/>
    <mergeCell ref="A160:B160"/>
    <mergeCell ref="A161:B161"/>
    <mergeCell ref="C48:H48"/>
    <mergeCell ref="B170:H170"/>
    <mergeCell ref="G85:H94"/>
    <mergeCell ref="A86:B86"/>
    <mergeCell ref="A87:B87"/>
    <mergeCell ref="A88:B88"/>
    <mergeCell ref="F97:H97"/>
    <mergeCell ref="A97:E97"/>
    <mergeCell ref="D121:D122"/>
    <mergeCell ref="A99:E99"/>
    <mergeCell ref="A98:E98"/>
    <mergeCell ref="A95:E95"/>
    <mergeCell ref="F99:H99"/>
    <mergeCell ref="A106:E106"/>
    <mergeCell ref="G117:H117"/>
    <mergeCell ref="A123:H123"/>
    <mergeCell ref="A133:B133"/>
    <mergeCell ref="A127:B127"/>
    <mergeCell ref="C118:D118"/>
    <mergeCell ref="E118:F118"/>
    <mergeCell ref="A132:B132"/>
    <mergeCell ref="A144:B144"/>
    <mergeCell ref="G144:H147"/>
    <mergeCell ref="A145:B145"/>
    <mergeCell ref="L155:M155"/>
    <mergeCell ref="A156:B156"/>
    <mergeCell ref="L156:M156"/>
    <mergeCell ref="A157:B157"/>
    <mergeCell ref="L157:M157"/>
    <mergeCell ref="B173:H173"/>
    <mergeCell ref="B167:H167"/>
    <mergeCell ref="B165:H165"/>
    <mergeCell ref="B166:H166"/>
    <mergeCell ref="L158:M158"/>
    <mergeCell ref="A146:B146"/>
    <mergeCell ref="A147:B147"/>
    <mergeCell ref="A155:B155"/>
    <mergeCell ref="G155:H158"/>
    <mergeCell ref="A134:B134"/>
    <mergeCell ref="A151:B151"/>
    <mergeCell ref="A152:B152"/>
    <mergeCell ref="A142:H142"/>
    <mergeCell ref="A143:H143"/>
    <mergeCell ref="A135:B135"/>
    <mergeCell ref="A154:H154"/>
    <mergeCell ref="I121:I122"/>
    <mergeCell ref="A136:B136"/>
    <mergeCell ref="A125:B125"/>
    <mergeCell ref="A39:B39"/>
    <mergeCell ref="A38:B38"/>
    <mergeCell ref="C38:H38"/>
    <mergeCell ref="A45:D45"/>
    <mergeCell ref="L138:M138"/>
    <mergeCell ref="L137:M137"/>
    <mergeCell ref="A78:B78"/>
    <mergeCell ref="C115:D115"/>
    <mergeCell ref="E115:F115"/>
    <mergeCell ref="G115:H115"/>
    <mergeCell ref="F102:H102"/>
    <mergeCell ref="A96:E96"/>
    <mergeCell ref="A124:H124"/>
    <mergeCell ref="E121:E122"/>
    <mergeCell ref="G121:H122"/>
    <mergeCell ref="A85:B85"/>
    <mergeCell ref="E71:F80"/>
    <mergeCell ref="G71:H80"/>
    <mergeCell ref="A79:B79"/>
    <mergeCell ref="A80:B80"/>
    <mergeCell ref="A84:B84"/>
    <mergeCell ref="A83:B83"/>
    <mergeCell ref="C83:H83"/>
    <mergeCell ref="A77:B77"/>
    <mergeCell ref="A41:D41"/>
    <mergeCell ref="E41:H41"/>
    <mergeCell ref="A40:H40"/>
    <mergeCell ref="A60:C60"/>
    <mergeCell ref="A61:C61"/>
    <mergeCell ref="D60:H60"/>
    <mergeCell ref="D61:H61"/>
    <mergeCell ref="A43:D43"/>
    <mergeCell ref="E43:H43"/>
    <mergeCell ref="E44:H44"/>
    <mergeCell ref="E45:H45"/>
    <mergeCell ref="E46:H46"/>
    <mergeCell ref="A44:D44"/>
    <mergeCell ref="A46:D46"/>
    <mergeCell ref="A47:H47"/>
    <mergeCell ref="D57:H57"/>
    <mergeCell ref="A57:C57"/>
    <mergeCell ref="D58:H58"/>
    <mergeCell ref="E42:H42"/>
    <mergeCell ref="A42:D42"/>
    <mergeCell ref="A56:C56"/>
    <mergeCell ref="D56:H56"/>
    <mergeCell ref="G53:H53"/>
    <mergeCell ref="C51:E51"/>
    <mergeCell ref="C33:E33"/>
    <mergeCell ref="A34:B34"/>
    <mergeCell ref="C34:E34"/>
    <mergeCell ref="F33:H33"/>
    <mergeCell ref="A37:H37"/>
    <mergeCell ref="A36:B36"/>
    <mergeCell ref="C36:E36"/>
    <mergeCell ref="F36:H36"/>
    <mergeCell ref="F34:H34"/>
    <mergeCell ref="C39:H39"/>
    <mergeCell ref="A35:B35"/>
    <mergeCell ref="C35:E35"/>
    <mergeCell ref="C49:E49"/>
    <mergeCell ref="G49:H49"/>
    <mergeCell ref="G51:H51"/>
    <mergeCell ref="A50:B50"/>
    <mergeCell ref="A54:H54"/>
    <mergeCell ref="A55:C55"/>
    <mergeCell ref="A51:B52"/>
    <mergeCell ref="G50:H50"/>
    <mergeCell ref="A48:B48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62:C62"/>
    <mergeCell ref="D62:H62"/>
    <mergeCell ref="C69:H69"/>
    <mergeCell ref="A72:B72"/>
    <mergeCell ref="A74:B74"/>
    <mergeCell ref="E70:F70"/>
    <mergeCell ref="A63:C63"/>
    <mergeCell ref="D63:H63"/>
    <mergeCell ref="A66:C66"/>
    <mergeCell ref="D66:H66"/>
    <mergeCell ref="A64:C64"/>
    <mergeCell ref="D65:H65"/>
    <mergeCell ref="A71:B71"/>
    <mergeCell ref="G70:H70"/>
    <mergeCell ref="A69:B69"/>
    <mergeCell ref="A67:B67"/>
    <mergeCell ref="C67:H67"/>
    <mergeCell ref="A70:B70"/>
    <mergeCell ref="A73:B73"/>
    <mergeCell ref="A188:H191"/>
    <mergeCell ref="A187:B187"/>
    <mergeCell ref="E187:F187"/>
    <mergeCell ref="C187:D187"/>
    <mergeCell ref="G187:H187"/>
    <mergeCell ref="A109:H109"/>
    <mergeCell ref="A107:E107"/>
    <mergeCell ref="F107:H107"/>
    <mergeCell ref="A108:E108"/>
    <mergeCell ref="F108:H108"/>
    <mergeCell ref="A115:B115"/>
    <mergeCell ref="A111:B111"/>
    <mergeCell ref="A183:H183"/>
    <mergeCell ref="A113:H113"/>
    <mergeCell ref="A186:H186"/>
    <mergeCell ref="A184:H184"/>
    <mergeCell ref="A180:H180"/>
    <mergeCell ref="G114:H114"/>
    <mergeCell ref="C121:C122"/>
    <mergeCell ref="B140:B141"/>
    <mergeCell ref="A139:H139"/>
    <mergeCell ref="A181:H181"/>
    <mergeCell ref="E114:F114"/>
    <mergeCell ref="B177:H177"/>
    <mergeCell ref="A126:B126"/>
    <mergeCell ref="E84:F84"/>
    <mergeCell ref="G84:H84"/>
    <mergeCell ref="A101:E101"/>
    <mergeCell ref="F101:H101"/>
    <mergeCell ref="A102:E102"/>
    <mergeCell ref="A104:E104"/>
    <mergeCell ref="F98:H98"/>
    <mergeCell ref="A103:E103"/>
    <mergeCell ref="E85:F94"/>
    <mergeCell ref="A92:B92"/>
    <mergeCell ref="A93:B93"/>
    <mergeCell ref="A100:E100"/>
    <mergeCell ref="A94:B94"/>
    <mergeCell ref="A58:C59"/>
    <mergeCell ref="C111:D111"/>
    <mergeCell ref="E111:F111"/>
    <mergeCell ref="B121:B122"/>
    <mergeCell ref="A121:A122"/>
    <mergeCell ref="C140:C141"/>
    <mergeCell ref="A119:H119"/>
    <mergeCell ref="A140:A141"/>
    <mergeCell ref="A112:B112"/>
    <mergeCell ref="C112:D112"/>
    <mergeCell ref="E112:F112"/>
    <mergeCell ref="G112:H112"/>
    <mergeCell ref="A116:B116"/>
    <mergeCell ref="C116:D116"/>
    <mergeCell ref="E116:F116"/>
    <mergeCell ref="G116:H116"/>
    <mergeCell ref="A117:B117"/>
    <mergeCell ref="E117:F117"/>
    <mergeCell ref="G125:H138"/>
    <mergeCell ref="A128:B128"/>
    <mergeCell ref="A129:B129"/>
    <mergeCell ref="A130:B130"/>
    <mergeCell ref="A131:B131"/>
    <mergeCell ref="G118:H118"/>
    <mergeCell ref="A49:B49"/>
    <mergeCell ref="A75:B75"/>
    <mergeCell ref="D59:H59"/>
    <mergeCell ref="A185:H185"/>
    <mergeCell ref="A182:H182"/>
    <mergeCell ref="A114:B114"/>
    <mergeCell ref="D140:D141"/>
    <mergeCell ref="E140:E141"/>
    <mergeCell ref="G140:H141"/>
    <mergeCell ref="A89:B89"/>
    <mergeCell ref="A90:B90"/>
    <mergeCell ref="A91:B91"/>
    <mergeCell ref="F96:H96"/>
    <mergeCell ref="G111:H111"/>
    <mergeCell ref="F103:H103"/>
    <mergeCell ref="C110:D110"/>
    <mergeCell ref="C117:D117"/>
    <mergeCell ref="A153:H153"/>
    <mergeCell ref="A137:B137"/>
    <mergeCell ref="A158:B158"/>
    <mergeCell ref="B178:H178"/>
    <mergeCell ref="F95:H95"/>
    <mergeCell ref="F100:H100"/>
    <mergeCell ref="A118:B118"/>
    <mergeCell ref="B176:H176"/>
    <mergeCell ref="B175:H175"/>
    <mergeCell ref="B179:H179"/>
    <mergeCell ref="C50:E50"/>
    <mergeCell ref="I14:P14"/>
    <mergeCell ref="F106:H106"/>
    <mergeCell ref="F104:H104"/>
    <mergeCell ref="A120:H120"/>
    <mergeCell ref="G110:H110"/>
    <mergeCell ref="A105:E105"/>
    <mergeCell ref="A138:B138"/>
    <mergeCell ref="A53:B53"/>
    <mergeCell ref="C53:E53"/>
    <mergeCell ref="D55:H55"/>
    <mergeCell ref="F105:H105"/>
    <mergeCell ref="E110:F110"/>
    <mergeCell ref="A110:B110"/>
    <mergeCell ref="C114:D114"/>
    <mergeCell ref="D64:H64"/>
    <mergeCell ref="A65:C65"/>
    <mergeCell ref="A81:B81"/>
    <mergeCell ref="C81:H81"/>
    <mergeCell ref="A76:B76"/>
    <mergeCell ref="C52:H52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21:E122">
      <formula1>"Attached Loft area,Attached Terrace area,Attached Mezzanine area"</formula1>
    </dataValidation>
    <dataValidation type="list" allowBlank="1" showInputMessage="1" showErrorMessage="1" sqref="F122 F141">
      <formula1>"45%,50%,55%,60%"</formula1>
    </dataValidation>
    <dataValidation type="list" allowBlank="1" showInputMessage="1" showErrorMessage="1" sqref="G187:H187">
      <formula1>"Kunal Kadam,Pranita Mhatre,Shruti Fule,Pooja Kawale,Mansee Mohite,Anjali Kamble, Hitakshi Mhatre, Sachin Sawant"</formula1>
    </dataValidation>
    <dataValidation type="list" allowBlank="1" showInputMessage="1" showErrorMessage="1" sqref="F95:H95">
      <formula1>"On Saleable Area,On Builtup Area,On Carpet Area,On Plot Area"</formula1>
    </dataValidation>
    <dataValidation type="list" allowBlank="1" showInputMessage="1" showErrorMessage="1" sqref="F107:H107">
      <formula1>"100000,150000,200000,250000,300000,350000,400000,500000,600000,700000,800000,900000,1000000,1200000,1400000,1500000"</formula1>
    </dataValidation>
    <dataValidation type="list" allowBlank="1" showInputMessage="1" showErrorMessage="1" sqref="F121 F140">
      <formula1>"Saleable area Loading :,Builder Saleable area"</formula1>
    </dataValidation>
    <dataValidation type="list" allowBlank="1" showInputMessage="1" showErrorMessage="1" sqref="B121:B122">
      <formula1>"Shop No. (Sale Plan),Sale / Rehab,Sale / Mhada"</formula1>
    </dataValidation>
    <dataValidation type="list" allowBlank="1" showInputMessage="1" showErrorMessage="1" sqref="B140:B141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91" max="16383" man="1"/>
    <brk id="234" max="16383" man="1"/>
    <brk id="277" max="16383" man="1"/>
  </rowBreaks>
  <ignoredErrors>
    <ignoredError sqref="B159:H159 A161:C161 A160:C160 G160 A163:B163 A162:B162" unlockedFormula="1"/>
  </ignoredError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90" t="s">
        <v>104</v>
      </c>
      <c r="C3" s="190"/>
      <c r="D3" s="190"/>
      <c r="E3" s="190"/>
      <c r="F3" s="190"/>
      <c r="G3" s="190"/>
      <c r="H3" s="190"/>
    </row>
    <row r="4" spans="1:9" x14ac:dyDescent="0.35">
      <c r="A4" s="2"/>
      <c r="B4" s="3" t="s">
        <v>105</v>
      </c>
      <c r="C4" s="3" t="s">
        <v>106</v>
      </c>
      <c r="D4" s="3" t="s">
        <v>68</v>
      </c>
      <c r="E4" s="3" t="s">
        <v>107</v>
      </c>
      <c r="F4" s="3" t="s">
        <v>113</v>
      </c>
      <c r="G4" s="3" t="s">
        <v>114</v>
      </c>
      <c r="H4" s="3" t="s">
        <v>108</v>
      </c>
    </row>
    <row r="5" spans="1:9" ht="15" customHeight="1" x14ac:dyDescent="0.35">
      <c r="A5" s="2"/>
      <c r="B5" s="5" t="s">
        <v>109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109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109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109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109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110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110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111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112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5" x14ac:dyDescent="0.35"/>
  <cols>
    <col min="4" max="4" width="11" bestFit="1" customWidth="1"/>
    <col min="5" max="5" width="10.453125" bestFit="1" customWidth="1"/>
    <col min="8" max="8" width="10.54296875" bestFit="1" customWidth="1"/>
  </cols>
  <sheetData>
    <row r="3" spans="2:11" x14ac:dyDescent="0.35">
      <c r="J3">
        <v>1</v>
      </c>
      <c r="K3">
        <v>2</v>
      </c>
    </row>
    <row r="4" spans="2:11" x14ac:dyDescent="0.35">
      <c r="B4" s="47"/>
      <c r="C4" s="47" t="s">
        <v>12</v>
      </c>
      <c r="D4" s="48" t="s">
        <v>175</v>
      </c>
      <c r="E4" s="48" t="s">
        <v>185</v>
      </c>
      <c r="F4" s="48" t="s">
        <v>169</v>
      </c>
      <c r="G4" s="48" t="s">
        <v>190</v>
      </c>
      <c r="H4" s="48" t="s">
        <v>208</v>
      </c>
      <c r="J4" t="s">
        <v>190</v>
      </c>
      <c r="K4" t="s">
        <v>206</v>
      </c>
    </row>
    <row r="5" spans="2:11" x14ac:dyDescent="0.35">
      <c r="B5" s="47"/>
      <c r="C5" s="47"/>
      <c r="D5" s="48" t="s">
        <v>176</v>
      </c>
      <c r="E5" s="48" t="s">
        <v>183</v>
      </c>
      <c r="F5" s="48" t="s">
        <v>205</v>
      </c>
      <c r="G5" s="48" t="s">
        <v>191</v>
      </c>
      <c r="H5" s="48" t="s">
        <v>209</v>
      </c>
    </row>
    <row r="6" spans="2:11" x14ac:dyDescent="0.35">
      <c r="B6" s="47"/>
      <c r="C6" s="47"/>
      <c r="D6" s="48" t="s">
        <v>177</v>
      </c>
      <c r="E6" s="48" t="s">
        <v>184</v>
      </c>
      <c r="F6" s="48" t="s">
        <v>206</v>
      </c>
      <c r="G6" s="48" t="s">
        <v>192</v>
      </c>
      <c r="H6" s="48" t="s">
        <v>222</v>
      </c>
    </row>
    <row r="7" spans="2:11" x14ac:dyDescent="0.35">
      <c r="B7" s="47"/>
      <c r="C7" s="47"/>
      <c r="D7" s="48" t="s">
        <v>178</v>
      </c>
      <c r="E7" s="48" t="s">
        <v>186</v>
      </c>
      <c r="F7" s="48" t="s">
        <v>207</v>
      </c>
      <c r="G7" s="48" t="s">
        <v>193</v>
      </c>
      <c r="H7" s="48" t="s">
        <v>210</v>
      </c>
    </row>
    <row r="8" spans="2:11" x14ac:dyDescent="0.35">
      <c r="B8" s="47"/>
      <c r="C8" s="47"/>
      <c r="D8" s="48" t="s">
        <v>179</v>
      </c>
      <c r="E8" s="48" t="s">
        <v>187</v>
      </c>
      <c r="F8" s="48"/>
      <c r="G8" s="48" t="s">
        <v>194</v>
      </c>
      <c r="H8" s="48" t="s">
        <v>211</v>
      </c>
    </row>
    <row r="9" spans="2:11" x14ac:dyDescent="0.35">
      <c r="B9" s="47"/>
      <c r="C9" s="47"/>
      <c r="D9" s="48" t="s">
        <v>180</v>
      </c>
      <c r="E9" s="48" t="s">
        <v>185</v>
      </c>
      <c r="F9" s="48"/>
      <c r="G9" s="48" t="s">
        <v>195</v>
      </c>
      <c r="H9" s="48" t="s">
        <v>212</v>
      </c>
    </row>
    <row r="10" spans="2:11" x14ac:dyDescent="0.35">
      <c r="B10" s="47"/>
      <c r="C10" s="47"/>
      <c r="D10" s="48" t="s">
        <v>181</v>
      </c>
      <c r="E10" s="48" t="s">
        <v>188</v>
      </c>
      <c r="F10" s="48"/>
      <c r="G10" s="48" t="s">
        <v>196</v>
      </c>
      <c r="H10" s="48" t="s">
        <v>213</v>
      </c>
    </row>
    <row r="11" spans="2:11" x14ac:dyDescent="0.35">
      <c r="B11" s="47"/>
      <c r="C11" s="47"/>
      <c r="D11" s="48" t="s">
        <v>182</v>
      </c>
      <c r="E11" s="48" t="s">
        <v>189</v>
      </c>
      <c r="F11" s="48"/>
      <c r="G11" s="48" t="s">
        <v>197</v>
      </c>
      <c r="H11" s="48" t="s">
        <v>214</v>
      </c>
    </row>
    <row r="12" spans="2:11" x14ac:dyDescent="0.35">
      <c r="B12" s="47"/>
      <c r="C12" s="47"/>
      <c r="D12" s="48"/>
      <c r="E12" s="48"/>
      <c r="F12" s="48"/>
      <c r="G12" s="48" t="s">
        <v>198</v>
      </c>
      <c r="H12" s="48" t="s">
        <v>215</v>
      </c>
    </row>
    <row r="13" spans="2:11" x14ac:dyDescent="0.35">
      <c r="B13" s="47"/>
      <c r="C13" s="47"/>
      <c r="D13" s="48"/>
      <c r="E13" s="48"/>
      <c r="F13" s="48"/>
      <c r="G13" s="48" t="s">
        <v>199</v>
      </c>
      <c r="H13" s="48" t="s">
        <v>216</v>
      </c>
    </row>
    <row r="14" spans="2:11" x14ac:dyDescent="0.35">
      <c r="B14" s="47"/>
      <c r="C14" s="47"/>
      <c r="D14" s="48"/>
      <c r="E14" s="48"/>
      <c r="F14" s="48"/>
      <c r="G14" s="48" t="s">
        <v>200</v>
      </c>
      <c r="H14" s="48" t="s">
        <v>217</v>
      </c>
    </row>
    <row r="15" spans="2:11" x14ac:dyDescent="0.35">
      <c r="B15" s="47"/>
      <c r="C15" s="47"/>
      <c r="D15" s="48"/>
      <c r="E15" s="48"/>
      <c r="F15" s="48"/>
      <c r="G15" s="48" t="s">
        <v>201</v>
      </c>
      <c r="H15" s="48" t="s">
        <v>218</v>
      </c>
    </row>
    <row r="16" spans="2:11" x14ac:dyDescent="0.35">
      <c r="B16" s="47"/>
      <c r="C16" s="47"/>
      <c r="D16" s="48"/>
      <c r="E16" s="48"/>
      <c r="F16" s="48"/>
      <c r="G16" s="48" t="s">
        <v>202</v>
      </c>
      <c r="H16" s="48" t="s">
        <v>219</v>
      </c>
    </row>
    <row r="17" spans="2:8" x14ac:dyDescent="0.35">
      <c r="B17" s="47"/>
      <c r="C17" s="47"/>
      <c r="D17" s="48"/>
      <c r="E17" s="48"/>
      <c r="F17" s="48"/>
      <c r="G17" s="48" t="s">
        <v>203</v>
      </c>
      <c r="H17" s="48" t="s">
        <v>220</v>
      </c>
    </row>
    <row r="18" spans="2:8" x14ac:dyDescent="0.35">
      <c r="B18" s="47"/>
      <c r="C18" s="47"/>
      <c r="D18" s="48"/>
      <c r="E18" s="48"/>
      <c r="F18" s="48"/>
      <c r="G18" s="48" t="s">
        <v>204</v>
      </c>
      <c r="H18" s="48" t="s">
        <v>221</v>
      </c>
    </row>
    <row r="24" spans="2:8" x14ac:dyDescent="0.35">
      <c r="C24" t="s">
        <v>167</v>
      </c>
    </row>
    <row r="25" spans="2:8" x14ac:dyDescent="0.35">
      <c r="C25" t="s">
        <v>223</v>
      </c>
    </row>
    <row r="26" spans="2:8" x14ac:dyDescent="0.35">
      <c r="C26" t="s">
        <v>224</v>
      </c>
    </row>
    <row r="27" spans="2:8" x14ac:dyDescent="0.35">
      <c r="C27" t="s">
        <v>225</v>
      </c>
    </row>
    <row r="28" spans="2:8" x14ac:dyDescent="0.35">
      <c r="C28" t="s">
        <v>226</v>
      </c>
    </row>
    <row r="29" spans="2:8" x14ac:dyDescent="0.35">
      <c r="C29" t="s">
        <v>227</v>
      </c>
    </row>
    <row r="30" spans="2:8" x14ac:dyDescent="0.35">
      <c r="C30" t="s">
        <v>167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2025-08-21T06:51:23Z</cp:lastPrinted>
  <dcterms:created xsi:type="dcterms:W3CDTF">2019-07-16T09:29:46Z</dcterms:created>
  <dcterms:modified xsi:type="dcterms:W3CDTF">2025-09-10T07:21:29Z</dcterms:modified>
</cp:coreProperties>
</file>