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ruti\Sept 25\Old\"/>
    </mc:Choice>
  </mc:AlternateContent>
  <bookViews>
    <workbookView xWindow="0" yWindow="0" windowWidth="20490" windowHeight="7755"/>
  </bookViews>
  <sheets>
    <sheet name="Report" sheetId="1" r:id="rId1"/>
    <sheet name="C%" sheetId="4" r:id="rId2"/>
  </sheets>
  <definedNames>
    <definedName name="_xlnm.Print_Area" localSheetId="0">Report!$A$1:$H$562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J102" i="1"/>
  <c r="J101" i="1"/>
  <c r="J100" i="1"/>
  <c r="J89" i="1"/>
  <c r="J88" i="1"/>
  <c r="J87" i="1"/>
  <c r="J86" i="1"/>
  <c r="H79" i="1"/>
  <c r="H93" i="1"/>
  <c r="J97" i="1" l="1"/>
  <c r="E96" i="1" s="1"/>
  <c r="F105" i="1"/>
  <c r="F101" i="1"/>
  <c r="J96" i="1"/>
  <c r="F99" i="1"/>
  <c r="F98" i="1"/>
  <c r="F102" i="1"/>
  <c r="F104" i="1"/>
  <c r="F100" i="1"/>
  <c r="F103" i="1"/>
  <c r="J98" i="1"/>
  <c r="J95" i="1"/>
  <c r="F91" i="1"/>
  <c r="F87" i="1"/>
  <c r="J82" i="1"/>
  <c r="F88" i="1"/>
  <c r="J83" i="1"/>
  <c r="E82" i="1" s="1"/>
  <c r="F90" i="1"/>
  <c r="F86" i="1"/>
  <c r="F89" i="1"/>
  <c r="F85" i="1"/>
  <c r="F84" i="1"/>
  <c r="J84" i="1"/>
  <c r="J85" i="1" s="1"/>
  <c r="J90" i="1" s="1"/>
  <c r="J81" i="1"/>
  <c r="D240" i="1"/>
  <c r="D239" i="1"/>
  <c r="D238" i="1"/>
  <c r="D214" i="1"/>
  <c r="D213" i="1"/>
  <c r="D201" i="1"/>
  <c r="D200" i="1"/>
  <c r="D282" i="1"/>
  <c r="D281" i="1"/>
  <c r="D269" i="1"/>
  <c r="D268" i="1"/>
  <c r="J99" i="1" l="1"/>
  <c r="J104" i="1" s="1"/>
  <c r="J105" i="1" s="1"/>
  <c r="E97" i="1"/>
  <c r="J91" i="1"/>
  <c r="E83" i="1" s="1"/>
  <c r="F82" i="1"/>
  <c r="F96" i="1"/>
  <c r="G31" i="1"/>
  <c r="J131" i="1"/>
  <c r="J130" i="1"/>
  <c r="J129" i="1"/>
  <c r="J128" i="1"/>
  <c r="J117" i="1"/>
  <c r="J116" i="1"/>
  <c r="J115" i="1"/>
  <c r="J114" i="1"/>
  <c r="H107" i="1"/>
  <c r="H121" i="1"/>
  <c r="G96" i="1" l="1"/>
  <c r="I92" i="1" s="1"/>
  <c r="C94" i="1" s="1"/>
  <c r="F97" i="1"/>
  <c r="F83" i="1"/>
  <c r="G82" i="1"/>
  <c r="I78" i="1" s="1"/>
  <c r="C80" i="1" s="1"/>
  <c r="J112" i="1"/>
  <c r="E111" i="1" s="1"/>
  <c r="F111" i="1" s="1"/>
  <c r="J126" i="1"/>
  <c r="J125" i="1"/>
  <c r="J124" i="1"/>
  <c r="E124" i="1" s="1"/>
  <c r="F133" i="1"/>
  <c r="F132" i="1"/>
  <c r="F131" i="1"/>
  <c r="F130" i="1"/>
  <c r="F129" i="1"/>
  <c r="F128" i="1"/>
  <c r="F127" i="1"/>
  <c r="F126" i="1"/>
  <c r="F125" i="1"/>
  <c r="G124" i="1"/>
  <c r="J123" i="1"/>
  <c r="J111" i="1"/>
  <c r="E110" i="1" s="1"/>
  <c r="J110" i="1"/>
  <c r="F119" i="1"/>
  <c r="F118" i="1"/>
  <c r="F117" i="1"/>
  <c r="F116" i="1"/>
  <c r="F115" i="1"/>
  <c r="F114" i="1"/>
  <c r="F113" i="1"/>
  <c r="F112" i="1"/>
  <c r="J109" i="1"/>
  <c r="G110" i="1" l="1"/>
  <c r="J113" i="1"/>
  <c r="J118" i="1" s="1"/>
  <c r="J119" i="1" s="1"/>
  <c r="F110" i="1"/>
  <c r="J127" i="1"/>
  <c r="I106" i="1" l="1"/>
  <c r="C108" i="1" s="1"/>
  <c r="J132" i="1"/>
  <c r="J133" i="1" s="1"/>
  <c r="F124" i="1"/>
  <c r="I120" i="1" s="1"/>
  <c r="D377" i="1"/>
  <c r="E377" i="1"/>
  <c r="D378" i="1"/>
  <c r="E378" i="1"/>
  <c r="E376" i="1"/>
  <c r="D376" i="1"/>
  <c r="D364" i="1"/>
  <c r="E364" i="1"/>
  <c r="D365" i="1"/>
  <c r="E365" i="1"/>
  <c r="D366" i="1"/>
  <c r="E366" i="1"/>
  <c r="E363" i="1"/>
  <c r="D363" i="1"/>
  <c r="D359" i="1"/>
  <c r="E359" i="1"/>
  <c r="D360" i="1"/>
  <c r="E360" i="1"/>
  <c r="D361" i="1"/>
  <c r="E361" i="1"/>
  <c r="E358" i="1"/>
  <c r="D358" i="1"/>
  <c r="E324" i="1"/>
  <c r="E325" i="1"/>
  <c r="E326" i="1"/>
  <c r="E327" i="1"/>
  <c r="E328" i="1"/>
  <c r="E323" i="1"/>
  <c r="D308" i="1"/>
  <c r="E308" i="1"/>
  <c r="D309" i="1"/>
  <c r="E309" i="1"/>
  <c r="E307" i="1"/>
  <c r="D307" i="1"/>
  <c r="E297" i="1"/>
  <c r="E296" i="1"/>
  <c r="E295" i="1"/>
  <c r="E294" i="1"/>
  <c r="D297" i="1"/>
  <c r="D296" i="1"/>
  <c r="D295" i="1"/>
  <c r="D294" i="1"/>
  <c r="D290" i="1"/>
  <c r="D291" i="1"/>
  <c r="D292" i="1"/>
  <c r="E290" i="1"/>
  <c r="E291" i="1"/>
  <c r="E292" i="1"/>
  <c r="E289" i="1"/>
  <c r="D289" i="1"/>
  <c r="E258" i="1"/>
  <c r="E257" i="1"/>
  <c r="E256" i="1"/>
  <c r="E255" i="1"/>
  <c r="E254" i="1"/>
  <c r="E253" i="1"/>
  <c r="E240" i="1"/>
  <c r="E239" i="1"/>
  <c r="E238" i="1"/>
  <c r="E228" i="1"/>
  <c r="E227" i="1"/>
  <c r="E226" i="1"/>
  <c r="E225" i="1"/>
  <c r="E221" i="1"/>
  <c r="E222" i="1"/>
  <c r="E223" i="1"/>
  <c r="E220" i="1"/>
  <c r="E216" i="1"/>
  <c r="E215" i="1"/>
  <c r="E212" i="1"/>
  <c r="E211" i="1"/>
  <c r="E209" i="1"/>
  <c r="E208" i="1"/>
  <c r="E207" i="1"/>
  <c r="E206" i="1"/>
  <c r="E205" i="1"/>
  <c r="E203" i="1"/>
  <c r="E202" i="1"/>
  <c r="E199" i="1"/>
  <c r="E198" i="1"/>
  <c r="E197" i="1"/>
  <c r="E196" i="1"/>
  <c r="E195" i="1"/>
  <c r="E194" i="1"/>
  <c r="E193" i="1"/>
  <c r="E192" i="1"/>
  <c r="E186" i="1"/>
  <c r="E187" i="1"/>
  <c r="E188" i="1"/>
  <c r="E189" i="1"/>
  <c r="E190" i="1"/>
  <c r="E185" i="1"/>
  <c r="C122" i="1" l="1"/>
  <c r="J289" i="1"/>
  <c r="I289" i="1"/>
  <c r="D387" i="1"/>
  <c r="D386" i="1"/>
  <c r="D385" i="1"/>
  <c r="D384" i="1"/>
  <c r="D383" i="1"/>
  <c r="D382" i="1"/>
  <c r="D381" i="1"/>
  <c r="D380" i="1"/>
  <c r="D368" i="1"/>
  <c r="D369" i="1"/>
  <c r="D370" i="1"/>
  <c r="D371" i="1"/>
  <c r="D372" i="1"/>
  <c r="D373" i="1"/>
  <c r="D374" i="1"/>
  <c r="D367" i="1"/>
  <c r="F360" i="1"/>
  <c r="H360" i="1" s="1"/>
  <c r="F361" i="1"/>
  <c r="H361" i="1" s="1"/>
  <c r="F359" i="1"/>
  <c r="H359" i="1" s="1"/>
  <c r="A359" i="1"/>
  <c r="A360" i="1" s="1"/>
  <c r="A361" i="1" s="1"/>
  <c r="F358" i="1"/>
  <c r="H358" i="1" s="1"/>
  <c r="C156" i="1" l="1"/>
  <c r="K354" i="1"/>
  <c r="J354" i="1"/>
  <c r="D354" i="1" l="1"/>
  <c r="F354" i="1" s="1"/>
  <c r="H354" i="1" s="1"/>
  <c r="D353" i="1"/>
  <c r="F353" i="1" s="1"/>
  <c r="H353" i="1" s="1"/>
  <c r="D352" i="1"/>
  <c r="F352" i="1" s="1"/>
  <c r="H352" i="1" s="1"/>
  <c r="D351" i="1"/>
  <c r="F351" i="1" s="1"/>
  <c r="H351" i="1" s="1"/>
  <c r="D350" i="1"/>
  <c r="F350" i="1" s="1"/>
  <c r="H350" i="1" s="1"/>
  <c r="D349" i="1"/>
  <c r="F349" i="1" s="1"/>
  <c r="H349" i="1" s="1"/>
  <c r="D347" i="1"/>
  <c r="F347" i="1" s="1"/>
  <c r="H347" i="1" s="1"/>
  <c r="D346" i="1"/>
  <c r="F346" i="1" s="1"/>
  <c r="H346" i="1" s="1"/>
  <c r="D345" i="1"/>
  <c r="F345" i="1" s="1"/>
  <c r="H345" i="1" s="1"/>
  <c r="D344" i="1"/>
  <c r="F344" i="1" s="1"/>
  <c r="H344" i="1" s="1"/>
  <c r="A344" i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D343" i="1"/>
  <c r="F343" i="1" s="1"/>
  <c r="H343" i="1" s="1"/>
  <c r="D341" i="1"/>
  <c r="F341" i="1" s="1"/>
  <c r="H341" i="1" s="1"/>
  <c r="D340" i="1"/>
  <c r="F340" i="1" s="1"/>
  <c r="H340" i="1" s="1"/>
  <c r="D339" i="1"/>
  <c r="F339" i="1" s="1"/>
  <c r="H339" i="1" s="1"/>
  <c r="D338" i="1"/>
  <c r="F338" i="1" s="1"/>
  <c r="H338" i="1" s="1"/>
  <c r="D337" i="1"/>
  <c r="F337" i="1" s="1"/>
  <c r="H337" i="1" s="1"/>
  <c r="D336" i="1"/>
  <c r="F336" i="1" s="1"/>
  <c r="H336" i="1" s="1"/>
  <c r="D335" i="1"/>
  <c r="F335" i="1" s="1"/>
  <c r="H335" i="1" s="1"/>
  <c r="D334" i="1"/>
  <c r="F334" i="1" s="1"/>
  <c r="H334" i="1" s="1"/>
  <c r="D333" i="1"/>
  <c r="F333" i="1" s="1"/>
  <c r="H333" i="1" s="1"/>
  <c r="D332" i="1"/>
  <c r="F332" i="1" s="1"/>
  <c r="H332" i="1" s="1"/>
  <c r="D331" i="1"/>
  <c r="F331" i="1" s="1"/>
  <c r="H331" i="1" s="1"/>
  <c r="A331" i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D330" i="1"/>
  <c r="F330" i="1" s="1"/>
  <c r="H330" i="1" s="1"/>
  <c r="I329" i="1"/>
  <c r="D328" i="1"/>
  <c r="F328" i="1" s="1"/>
  <c r="H328" i="1" s="1"/>
  <c r="D327" i="1"/>
  <c r="F327" i="1" s="1"/>
  <c r="H327" i="1" s="1"/>
  <c r="D326" i="1"/>
  <c r="F326" i="1" s="1"/>
  <c r="H326" i="1" s="1"/>
  <c r="D325" i="1"/>
  <c r="F325" i="1" s="1"/>
  <c r="H325" i="1" s="1"/>
  <c r="D324" i="1"/>
  <c r="F324" i="1" s="1"/>
  <c r="H324" i="1" s="1"/>
  <c r="A324" i="1"/>
  <c r="A325" i="1" s="1"/>
  <c r="A326" i="1" s="1"/>
  <c r="A327" i="1" s="1"/>
  <c r="A328" i="1" s="1"/>
  <c r="I323" i="1"/>
  <c r="D323" i="1"/>
  <c r="D318" i="1"/>
  <c r="F318" i="1" s="1"/>
  <c r="H318" i="1" s="1"/>
  <c r="D317" i="1"/>
  <c r="F317" i="1" s="1"/>
  <c r="H317" i="1" s="1"/>
  <c r="D316" i="1"/>
  <c r="F316" i="1" s="1"/>
  <c r="H316" i="1" s="1"/>
  <c r="D315" i="1"/>
  <c r="F315" i="1" s="1"/>
  <c r="H315" i="1" s="1"/>
  <c r="D314" i="1"/>
  <c r="F314" i="1" s="1"/>
  <c r="H314" i="1" s="1"/>
  <c r="D313" i="1"/>
  <c r="F313" i="1" s="1"/>
  <c r="H313" i="1" s="1"/>
  <c r="D312" i="1"/>
  <c r="F312" i="1" s="1"/>
  <c r="H312" i="1" s="1"/>
  <c r="D311" i="1"/>
  <c r="F311" i="1" s="1"/>
  <c r="H311" i="1" s="1"/>
  <c r="F309" i="1"/>
  <c r="H309" i="1" s="1"/>
  <c r="F308" i="1"/>
  <c r="H308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F307" i="1"/>
  <c r="H307" i="1" s="1"/>
  <c r="D305" i="1"/>
  <c r="F305" i="1" s="1"/>
  <c r="H305" i="1" s="1"/>
  <c r="D304" i="1"/>
  <c r="F304" i="1" s="1"/>
  <c r="H304" i="1" s="1"/>
  <c r="D303" i="1"/>
  <c r="F303" i="1" s="1"/>
  <c r="H303" i="1" s="1"/>
  <c r="D302" i="1"/>
  <c r="F302" i="1" s="1"/>
  <c r="H302" i="1" s="1"/>
  <c r="D301" i="1"/>
  <c r="F301" i="1" s="1"/>
  <c r="H301" i="1" s="1"/>
  <c r="D300" i="1"/>
  <c r="F300" i="1" s="1"/>
  <c r="H300" i="1" s="1"/>
  <c r="D299" i="1"/>
  <c r="F299" i="1" s="1"/>
  <c r="H299" i="1" s="1"/>
  <c r="D298" i="1"/>
  <c r="F298" i="1" s="1"/>
  <c r="H298" i="1" s="1"/>
  <c r="F297" i="1"/>
  <c r="H297" i="1" s="1"/>
  <c r="F296" i="1"/>
  <c r="H296" i="1" s="1"/>
  <c r="F295" i="1"/>
  <c r="H295" i="1" s="1"/>
  <c r="A295" i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F294" i="1"/>
  <c r="H294" i="1" s="1"/>
  <c r="I293" i="1"/>
  <c r="F292" i="1"/>
  <c r="H292" i="1" s="1"/>
  <c r="F291" i="1"/>
  <c r="H291" i="1" s="1"/>
  <c r="F290" i="1"/>
  <c r="H290" i="1" s="1"/>
  <c r="A290" i="1"/>
  <c r="A291" i="1" s="1"/>
  <c r="A292" i="1" s="1"/>
  <c r="F289" i="1"/>
  <c r="H289" i="1" s="1"/>
  <c r="I288" i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F363" i="1"/>
  <c r="H363" i="1" s="1"/>
  <c r="F387" i="1"/>
  <c r="H387" i="1" s="1"/>
  <c r="F386" i="1"/>
  <c r="H386" i="1" s="1"/>
  <c r="F385" i="1"/>
  <c r="H385" i="1" s="1"/>
  <c r="F384" i="1"/>
  <c r="H384" i="1" s="1"/>
  <c r="F383" i="1"/>
  <c r="H383" i="1" s="1"/>
  <c r="F382" i="1"/>
  <c r="H382" i="1" s="1"/>
  <c r="F381" i="1"/>
  <c r="H381" i="1" s="1"/>
  <c r="F380" i="1"/>
  <c r="H380" i="1" s="1"/>
  <c r="F378" i="1"/>
  <c r="H378" i="1" s="1"/>
  <c r="F377" i="1"/>
  <c r="A377" i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F376" i="1"/>
  <c r="H376" i="1" s="1"/>
  <c r="D284" i="1"/>
  <c r="F284" i="1" s="1"/>
  <c r="H284" i="1" s="1"/>
  <c r="D283" i="1"/>
  <c r="F283" i="1" s="1"/>
  <c r="H283" i="1" s="1"/>
  <c r="F282" i="1"/>
  <c r="H282" i="1" s="1"/>
  <c r="F281" i="1"/>
  <c r="H281" i="1" s="1"/>
  <c r="D280" i="1"/>
  <c r="F280" i="1" s="1"/>
  <c r="H280" i="1" s="1"/>
  <c r="D279" i="1"/>
  <c r="F279" i="1" s="1"/>
  <c r="H279" i="1" s="1"/>
  <c r="D277" i="1"/>
  <c r="F277" i="1" s="1"/>
  <c r="H277" i="1" s="1"/>
  <c r="D276" i="1"/>
  <c r="F276" i="1" s="1"/>
  <c r="H276" i="1" s="1"/>
  <c r="D275" i="1"/>
  <c r="F275" i="1" s="1"/>
  <c r="H275" i="1" s="1"/>
  <c r="D274" i="1"/>
  <c r="F274" i="1" s="1"/>
  <c r="H274" i="1" s="1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D273" i="1"/>
  <c r="F273" i="1" s="1"/>
  <c r="H273" i="1" s="1"/>
  <c r="D271" i="1"/>
  <c r="F271" i="1" s="1"/>
  <c r="H271" i="1" s="1"/>
  <c r="D270" i="1"/>
  <c r="F270" i="1" s="1"/>
  <c r="H270" i="1" s="1"/>
  <c r="F269" i="1"/>
  <c r="H269" i="1" s="1"/>
  <c r="F268" i="1"/>
  <c r="H268" i="1" s="1"/>
  <c r="D267" i="1"/>
  <c r="F267" i="1" s="1"/>
  <c r="H267" i="1" s="1"/>
  <c r="D266" i="1"/>
  <c r="F266" i="1" s="1"/>
  <c r="H266" i="1" s="1"/>
  <c r="D265" i="1"/>
  <c r="F265" i="1" s="1"/>
  <c r="H265" i="1" s="1"/>
  <c r="D264" i="1"/>
  <c r="F264" i="1" s="1"/>
  <c r="H264" i="1" s="1"/>
  <c r="D263" i="1"/>
  <c r="F263" i="1" s="1"/>
  <c r="H263" i="1" s="1"/>
  <c r="D262" i="1"/>
  <c r="F262" i="1" s="1"/>
  <c r="H262" i="1" s="1"/>
  <c r="D261" i="1"/>
  <c r="F261" i="1" s="1"/>
  <c r="H261" i="1" s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D260" i="1"/>
  <c r="F260" i="1" s="1"/>
  <c r="H260" i="1" s="1"/>
  <c r="I259" i="1"/>
  <c r="D258" i="1"/>
  <c r="F258" i="1" s="1"/>
  <c r="H258" i="1" s="1"/>
  <c r="D257" i="1"/>
  <c r="F257" i="1" s="1"/>
  <c r="H257" i="1" s="1"/>
  <c r="D256" i="1"/>
  <c r="F256" i="1" s="1"/>
  <c r="H256" i="1" s="1"/>
  <c r="D255" i="1"/>
  <c r="F255" i="1" s="1"/>
  <c r="H255" i="1" s="1"/>
  <c r="D254" i="1"/>
  <c r="F254" i="1" s="1"/>
  <c r="H254" i="1" s="1"/>
  <c r="A254" i="1"/>
  <c r="A255" i="1" s="1"/>
  <c r="A256" i="1" s="1"/>
  <c r="A257" i="1" s="1"/>
  <c r="A258" i="1" s="1"/>
  <c r="I253" i="1"/>
  <c r="D253" i="1"/>
  <c r="F253" i="1" s="1"/>
  <c r="H253" i="1" s="1"/>
  <c r="D249" i="1"/>
  <c r="F249" i="1" s="1"/>
  <c r="H249" i="1" s="1"/>
  <c r="D248" i="1"/>
  <c r="F248" i="1" s="1"/>
  <c r="H248" i="1" s="1"/>
  <c r="D247" i="1"/>
  <c r="F247" i="1" s="1"/>
  <c r="H247" i="1" s="1"/>
  <c r="D246" i="1"/>
  <c r="F246" i="1" s="1"/>
  <c r="H246" i="1" s="1"/>
  <c r="D245" i="1"/>
  <c r="F245" i="1" s="1"/>
  <c r="H245" i="1" s="1"/>
  <c r="D244" i="1"/>
  <c r="F244" i="1" s="1"/>
  <c r="H244" i="1" s="1"/>
  <c r="D243" i="1"/>
  <c r="F243" i="1" s="1"/>
  <c r="H243" i="1" s="1"/>
  <c r="D242" i="1"/>
  <c r="F242" i="1" s="1"/>
  <c r="H242" i="1" s="1"/>
  <c r="F240" i="1"/>
  <c r="H240" i="1" s="1"/>
  <c r="F239" i="1"/>
  <c r="H239" i="1" s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F238" i="1"/>
  <c r="H238" i="1" s="1"/>
  <c r="I219" i="1"/>
  <c r="I224" i="1"/>
  <c r="D235" i="1"/>
  <c r="D236" i="1"/>
  <c r="D231" i="1"/>
  <c r="D232" i="1"/>
  <c r="D233" i="1"/>
  <c r="D234" i="1"/>
  <c r="D230" i="1"/>
  <c r="D229" i="1"/>
  <c r="D228" i="1"/>
  <c r="D227" i="1"/>
  <c r="D226" i="1"/>
  <c r="D225" i="1"/>
  <c r="D221" i="1"/>
  <c r="F221" i="1" s="1"/>
  <c r="H221" i="1" s="1"/>
  <c r="D222" i="1"/>
  <c r="F222" i="1" s="1"/>
  <c r="H222" i="1" s="1"/>
  <c r="D223" i="1"/>
  <c r="F223" i="1" s="1"/>
  <c r="H223" i="1" s="1"/>
  <c r="D220" i="1"/>
  <c r="F220" i="1" s="1"/>
  <c r="H220" i="1" s="1"/>
  <c r="A221" i="1"/>
  <c r="A222" i="1" s="1"/>
  <c r="A223" i="1" s="1"/>
  <c r="J157" i="1"/>
  <c r="J151" i="1"/>
  <c r="D216" i="1"/>
  <c r="D215" i="1"/>
  <c r="D212" i="1"/>
  <c r="D211" i="1"/>
  <c r="D209" i="1"/>
  <c r="D208" i="1"/>
  <c r="D207" i="1"/>
  <c r="D206" i="1"/>
  <c r="D205" i="1"/>
  <c r="I191" i="1"/>
  <c r="D203" i="1"/>
  <c r="D202" i="1"/>
  <c r="D199" i="1"/>
  <c r="D198" i="1"/>
  <c r="D197" i="1"/>
  <c r="D196" i="1"/>
  <c r="D195" i="1"/>
  <c r="D194" i="1"/>
  <c r="D193" i="1"/>
  <c r="D192" i="1"/>
  <c r="D190" i="1"/>
  <c r="F190" i="1" s="1"/>
  <c r="H190" i="1" s="1"/>
  <c r="D189" i="1"/>
  <c r="F189" i="1" s="1"/>
  <c r="H189" i="1" s="1"/>
  <c r="D188" i="1"/>
  <c r="F188" i="1" s="1"/>
  <c r="H188" i="1" s="1"/>
  <c r="D187" i="1"/>
  <c r="F187" i="1" s="1"/>
  <c r="H187" i="1" s="1"/>
  <c r="D186" i="1"/>
  <c r="F186" i="1" s="1"/>
  <c r="H186" i="1" s="1"/>
  <c r="D185" i="1"/>
  <c r="I185" i="1"/>
  <c r="A186" i="1"/>
  <c r="A187" i="1" s="1"/>
  <c r="A188" i="1" s="1"/>
  <c r="A189" i="1" s="1"/>
  <c r="A190" i="1" s="1"/>
  <c r="I58" i="1"/>
  <c r="C151" i="1" l="1"/>
  <c r="F185" i="1"/>
  <c r="H185" i="1" s="1"/>
  <c r="C152" i="1"/>
  <c r="C154" i="1"/>
  <c r="F323" i="1"/>
  <c r="H323" i="1" s="1"/>
  <c r="G155" i="1" s="1"/>
  <c r="C155" i="1"/>
  <c r="C153" i="1"/>
  <c r="H377" i="1"/>
  <c r="G156" i="1" s="1"/>
  <c r="E156" i="1"/>
  <c r="G154" i="1"/>
  <c r="E154" i="1"/>
  <c r="G153" i="1"/>
  <c r="E153" i="1"/>
  <c r="E155" i="1" l="1"/>
  <c r="C157" i="1"/>
  <c r="F410" i="1"/>
  <c r="A406" i="1"/>
  <c r="A407" i="1" s="1"/>
  <c r="A408" i="1" s="1"/>
  <c r="A409" i="1" s="1"/>
  <c r="A410" i="1" s="1"/>
  <c r="A411" i="1" s="1"/>
  <c r="A412" i="1" s="1"/>
  <c r="A413" i="1" s="1"/>
  <c r="A414" i="1" s="1"/>
  <c r="A415" i="1" s="1"/>
  <c r="A390" i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F389" i="1"/>
  <c r="H389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F225" i="1"/>
  <c r="H225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09" i="1"/>
  <c r="H209" i="1" s="1"/>
  <c r="F208" i="1"/>
  <c r="H208" i="1" s="1"/>
  <c r="F207" i="1"/>
  <c r="H207" i="1" s="1"/>
  <c r="F206" i="1"/>
  <c r="H206" i="1" s="1"/>
  <c r="F205" i="1"/>
  <c r="H205" i="1" s="1"/>
  <c r="F166" i="1"/>
  <c r="H166" i="1" s="1"/>
  <c r="F167" i="1"/>
  <c r="F168" i="1"/>
  <c r="H168" i="1" s="1"/>
  <c r="F169" i="1"/>
  <c r="F170" i="1"/>
  <c r="F171" i="1"/>
  <c r="F172" i="1"/>
  <c r="F173" i="1"/>
  <c r="F174" i="1"/>
  <c r="F175" i="1"/>
  <c r="F176" i="1"/>
  <c r="F165" i="1"/>
  <c r="H165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F192" i="1"/>
  <c r="H192" i="1" s="1"/>
  <c r="H226" i="1" l="1"/>
  <c r="G152" i="1" s="1"/>
  <c r="E152" i="1"/>
  <c r="H193" i="1"/>
  <c r="G151" i="1" s="1"/>
  <c r="E151" i="1"/>
  <c r="E148" i="1"/>
  <c r="C148" i="1"/>
  <c r="C158" i="1" s="1"/>
  <c r="E157" i="1" l="1"/>
  <c r="E158" i="1" s="1"/>
  <c r="G157" i="1"/>
  <c r="C8" i="1"/>
  <c r="J75" i="1" l="1"/>
  <c r="J74" i="1"/>
  <c r="J73" i="1"/>
  <c r="J72" i="1"/>
  <c r="H65" i="1"/>
  <c r="J69" i="1" l="1"/>
  <c r="J67" i="1"/>
  <c r="F72" i="1"/>
  <c r="F77" i="1"/>
  <c r="F71" i="1"/>
  <c r="J70" i="1"/>
  <c r="F73" i="1"/>
  <c r="F76" i="1"/>
  <c r="F70" i="1"/>
  <c r="F74" i="1"/>
  <c r="F75" i="1"/>
  <c r="J68" i="1"/>
  <c r="E68" i="1" s="1"/>
  <c r="J71" i="1" l="1"/>
  <c r="J76" i="1" s="1"/>
  <c r="J77" i="1" s="1"/>
  <c r="F68" i="1"/>
  <c r="G68" i="1" l="1"/>
  <c r="I64" i="1" s="1"/>
  <c r="C66" i="1" s="1"/>
  <c r="F69" i="1"/>
  <c r="H167" i="1"/>
  <c r="H169" i="1"/>
  <c r="H170" i="1"/>
  <c r="H171" i="1"/>
  <c r="H172" i="1"/>
  <c r="H173" i="1"/>
  <c r="H174" i="1"/>
  <c r="H175" i="1"/>
  <c r="H176" i="1"/>
  <c r="G148" i="1" l="1"/>
  <c r="G49" i="1"/>
  <c r="G158" i="1" l="1"/>
  <c r="G5" i="1"/>
  <c r="G50" i="1" l="1"/>
  <c r="H11" i="4" l="1"/>
  <c r="H10" i="4"/>
  <c r="H9" i="4"/>
  <c r="H8" i="4"/>
  <c r="F2" i="4"/>
  <c r="C12" i="4" l="1"/>
  <c r="C8" i="4"/>
  <c r="C11" i="4"/>
  <c r="C7" i="4"/>
  <c r="H6" i="4"/>
  <c r="H7" i="4" s="1"/>
  <c r="H12" i="4" s="1"/>
  <c r="H13" i="4" s="1"/>
  <c r="B5" i="4" s="1"/>
  <c r="C13" i="4"/>
  <c r="H3" i="4"/>
  <c r="H4" i="4"/>
  <c r="C10" i="4"/>
  <c r="D12" i="4"/>
  <c r="C9" i="4"/>
  <c r="H5" i="4"/>
  <c r="B4" i="4" s="1"/>
  <c r="C4" i="4" l="1"/>
  <c r="D9" i="4" s="1"/>
  <c r="C6" i="4"/>
  <c r="D13" i="4"/>
  <c r="D8" i="4"/>
  <c r="C5" i="4"/>
  <c r="D10" i="4" l="1"/>
  <c r="D11" i="4" l="1"/>
  <c r="D4" i="4" s="1"/>
  <c r="E4" i="4" s="1"/>
  <c r="C416" i="1" l="1"/>
</calcChain>
</file>

<file path=xl/comments1.xml><?xml version="1.0" encoding="utf-8"?>
<comments xmlns="http://schemas.openxmlformats.org/spreadsheetml/2006/main">
  <authors>
    <author>SACHIN</author>
    <author>Windows User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As per CC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Take address from CC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Builder's office address from RERA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Provided during initiation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1" shapeId="0">
      <text>
        <r>
          <rPr>
            <b/>
            <sz val="11"/>
            <color indexed="81"/>
            <rFont val="Tahoma"/>
            <family val="2"/>
          </rPr>
          <t xml:space="preserve">Authority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Apartments or 
Apartments + Shops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15% of Total No of Flats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height should also be mentioned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</rPr>
          <t>RERA Start date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RERA completion date</t>
        </r>
      </text>
    </comment>
    <comment ref="H136" authorId="0" shapeId="0">
      <text>
        <r>
          <rPr>
            <b/>
            <sz val="9"/>
            <color indexed="81"/>
            <rFont val="Tahoma"/>
            <family val="2"/>
          </rPr>
          <t>if multiple buildings are in project and are connected internally</t>
        </r>
      </text>
    </comment>
    <comment ref="C138" authorId="0" shapeId="0">
      <text>
        <r>
          <rPr>
            <b/>
            <sz val="9"/>
            <color indexed="81"/>
            <rFont val="Tahoma"/>
            <family val="2"/>
          </rPr>
          <t>AAC Block or Brick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If present on slopy area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<sst xmlns="http://schemas.openxmlformats.org/spreadsheetml/2006/main" count="740" uniqueCount="329">
  <si>
    <t>Name of the project</t>
  </si>
  <si>
    <t xml:space="preserve">Address </t>
  </si>
  <si>
    <t>Name of the builder / developer</t>
  </si>
  <si>
    <t xml:space="preserve">Office address (agreement) </t>
  </si>
  <si>
    <t>Builder Bank Details</t>
  </si>
  <si>
    <t>Contact No.</t>
  </si>
  <si>
    <t>Village</t>
  </si>
  <si>
    <t>Other HFC's Approval / Funding</t>
  </si>
  <si>
    <t>No. of Tenements / Units in Project</t>
  </si>
  <si>
    <t>Verification of the schedule of the property</t>
  </si>
  <si>
    <t>Sale deed</t>
  </si>
  <si>
    <t>Physical on site</t>
  </si>
  <si>
    <t>North</t>
  </si>
  <si>
    <t>South</t>
  </si>
  <si>
    <t>East</t>
  </si>
  <si>
    <t>West</t>
  </si>
  <si>
    <t>Verification of survey No. (Title document)</t>
  </si>
  <si>
    <t xml:space="preserve">Approach road </t>
  </si>
  <si>
    <t>Yes/No</t>
  </si>
  <si>
    <t>Layout approval if applicable</t>
  </si>
  <si>
    <t>Building height / No. of Floors</t>
  </si>
  <si>
    <t>Construction/Building Permission</t>
  </si>
  <si>
    <t>NA / Land conversion</t>
  </si>
  <si>
    <t>CONSTRUCTION PROGRESS</t>
  </si>
  <si>
    <t>Baseline start date</t>
  </si>
  <si>
    <t>Baseline finish date</t>
  </si>
  <si>
    <t>General comment on progress</t>
  </si>
  <si>
    <t>QUALITY/NDMC Parameters</t>
  </si>
  <si>
    <t>Type of Structure</t>
  </si>
  <si>
    <t>Expansion Joint Available</t>
  </si>
  <si>
    <t>Mortar Type</t>
  </si>
  <si>
    <t>Flood Prone Area</t>
  </si>
  <si>
    <t>Masonry Type</t>
  </si>
  <si>
    <t>Projected Parts Available</t>
  </si>
  <si>
    <t>Footing Type</t>
  </si>
  <si>
    <t>Fire Exit Available</t>
  </si>
  <si>
    <t>Soil Type</t>
  </si>
  <si>
    <t>Ground Slope &gt;20%</t>
  </si>
  <si>
    <t>Concrete Grade</t>
  </si>
  <si>
    <t>Ground Slope Vulnerable to land slide</t>
  </si>
  <si>
    <t>Steel Grade</t>
  </si>
  <si>
    <t>Soil liquefiable</t>
  </si>
  <si>
    <t>Cyclone Zone-Wind speed (m/s)</t>
  </si>
  <si>
    <t>Coastal regulatory Zone</t>
  </si>
  <si>
    <t>Seismic Zone</t>
  </si>
  <si>
    <t>Environment exposure condition</t>
  </si>
  <si>
    <t>BUILDING / BLOCK - Configuration Details</t>
  </si>
  <si>
    <t>Floors</t>
  </si>
  <si>
    <t>REMARKS ON RECOMMENDATION</t>
  </si>
  <si>
    <t>RERA No.-</t>
  </si>
  <si>
    <t>Cement &amp; Sand</t>
  </si>
  <si>
    <t>RCC</t>
  </si>
  <si>
    <t>Yes</t>
  </si>
  <si>
    <t>No</t>
  </si>
  <si>
    <t>Moderate</t>
  </si>
  <si>
    <t>III</t>
  </si>
  <si>
    <t>1BHK</t>
  </si>
  <si>
    <t>Progress %</t>
  </si>
  <si>
    <t>Construction details:</t>
  </si>
  <si>
    <t>Basement</t>
  </si>
  <si>
    <t>Ground</t>
  </si>
  <si>
    <t>Podium</t>
  </si>
  <si>
    <t>Type of Work</t>
  </si>
  <si>
    <t>Slab/Floor</t>
  </si>
  <si>
    <t>Complition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</si>
  <si>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</si>
  <si>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</si>
  <si>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</si>
  <si>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</si>
  <si>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</si>
  <si>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</si>
  <si>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</si>
  <si>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</si>
  <si>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</si>
  <si>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</si>
  <si>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</si>
  <si>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</si>
  <si>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</si>
  <si>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</si>
  <si>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</si>
  <si>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</si>
  <si>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</si>
  <si>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</si>
  <si>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</si>
  <si>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</si>
  <si>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</si>
  <si>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APF Valuation Report </t>
  </si>
  <si>
    <t>Approved Plan</t>
  </si>
  <si>
    <t>Location of the project 
Municipal Limit :</t>
  </si>
  <si>
    <t>Project Type
(Apartments/Plot/ Combined)</t>
  </si>
  <si>
    <t>Geo Coordinates</t>
  </si>
  <si>
    <t>Landmark</t>
  </si>
  <si>
    <t>None</t>
  </si>
  <si>
    <t>No of Wings / Buildings</t>
  </si>
  <si>
    <t>Description</t>
  </si>
  <si>
    <t>Yes, Approx 9ft</t>
  </si>
  <si>
    <t xml:space="preserve">Approval Detail : Plan approval 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</si>
  <si>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</si>
  <si>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</si>
  <si>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</si>
  <si>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</si>
  <si>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</si>
  <si>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Building plan approvals - Approval No :</t>
  </si>
  <si>
    <t>Project Details</t>
  </si>
  <si>
    <t xml:space="preserve">Name of Valuation Agency </t>
  </si>
  <si>
    <t>Date of
Initiation</t>
  </si>
  <si>
    <t>Date &amp; Time of Site Visit</t>
  </si>
  <si>
    <t>Date of Report
Release</t>
  </si>
  <si>
    <t xml:space="preserve">Branch Name/ID </t>
  </si>
  <si>
    <t>Mahindra Rural Housing Finance - Kalyan</t>
  </si>
  <si>
    <t>Name of the person met at site &amp; Contact No</t>
  </si>
  <si>
    <t>V.S.JADON &amp; CO VALUERS LLP</t>
  </si>
  <si>
    <t>Builder Office Verified</t>
  </si>
  <si>
    <t>Name of the authority :</t>
  </si>
  <si>
    <t>Reference No :</t>
  </si>
  <si>
    <t>Validity &amp; area :
mentioned</t>
  </si>
  <si>
    <t xml:space="preserve"> Building No.4 = G + 3rd Floor</t>
  </si>
  <si>
    <t xml:space="preserve">Speed of Construction is Average. </t>
  </si>
  <si>
    <t>Recommended Rates of the Property :</t>
  </si>
  <si>
    <t>Recommended rate of the flat Per Sq. Ft. ( on Saleable area)</t>
  </si>
  <si>
    <t>Recommended of Parking ( If Available)</t>
  </si>
  <si>
    <t>Name of Engineer Visited the property</t>
  </si>
  <si>
    <t xml:space="preserve">Authorized Signatory
Name &amp; Seal of the agency
                                               </t>
  </si>
  <si>
    <t>Photographs Of Property :</t>
  </si>
  <si>
    <t xml:space="preserve">Google Map : </t>
  </si>
  <si>
    <t>Isolated Footing</t>
  </si>
  <si>
    <t>FE415</t>
  </si>
  <si>
    <t>Connectivity</t>
  </si>
  <si>
    <t>Exposure Limit
(Proposed)</t>
  </si>
  <si>
    <t>2nd Floor</t>
  </si>
  <si>
    <t>44 meter per sec</t>
  </si>
  <si>
    <t>Alluvial Soil</t>
  </si>
  <si>
    <t>Total Permissible Builtup area of the project (Sq.Mt)</t>
  </si>
  <si>
    <r>
      <t>Remark (</t>
    </r>
    <r>
      <rPr>
        <sz val="10"/>
        <color rgb="FF000000"/>
        <rFont val="Times New Roman"/>
        <family val="1"/>
      </rPr>
      <t>Flat configuration /Bungalows, etc.)</t>
    </r>
  </si>
  <si>
    <t>Plot area mentioned in the sale deed (As per 7/12)</t>
  </si>
  <si>
    <t>Plot area mentioned in the approved drg. on which FSI/FAR calculations computed (Net Plot Area)</t>
  </si>
  <si>
    <t>Stage of construction</t>
  </si>
  <si>
    <t>Building No.1</t>
  </si>
  <si>
    <t>Taluka</t>
  </si>
  <si>
    <t>District</t>
  </si>
  <si>
    <t>Pincode</t>
  </si>
  <si>
    <t>Geo Link</t>
  </si>
  <si>
    <t xml:space="preserve">Stage of construction: </t>
  </si>
  <si>
    <t>All work Completed. OC Received.</t>
  </si>
  <si>
    <t>Project Progress %</t>
  </si>
  <si>
    <t>AAC Block/ Brick</t>
  </si>
  <si>
    <t>M20</t>
  </si>
  <si>
    <t>Saleable Area Sq.Ft.
Loading:</t>
  </si>
  <si>
    <t>Layout Of Property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</si>
  <si>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</si>
  <si>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Latitude, Longitude   </t>
  </si>
  <si>
    <t>Road</t>
  </si>
  <si>
    <t>City</t>
  </si>
  <si>
    <t xml:space="preserve">Thane </t>
  </si>
  <si>
    <t>Palghar</t>
  </si>
  <si>
    <t>Mumbai</t>
  </si>
  <si>
    <t>Raigad</t>
  </si>
  <si>
    <t>Pune</t>
  </si>
  <si>
    <t>Thane</t>
  </si>
  <si>
    <t>Mokhada</t>
  </si>
  <si>
    <t>Andheri</t>
  </si>
  <si>
    <t>Alibag</t>
  </si>
  <si>
    <t>Pune City</t>
  </si>
  <si>
    <t>Shahpur</t>
  </si>
  <si>
    <t>Talasari</t>
  </si>
  <si>
    <t>Borivali</t>
  </si>
  <si>
    <t>Panvel</t>
  </si>
  <si>
    <t>Haveli</t>
  </si>
  <si>
    <t>Kalyan</t>
  </si>
  <si>
    <t>Vasai</t>
  </si>
  <si>
    <t>Kurla</t>
  </si>
  <si>
    <t>Uran</t>
  </si>
  <si>
    <t>Khed</t>
  </si>
  <si>
    <t>Bhiwandi</t>
  </si>
  <si>
    <t>Vikramgad</t>
  </si>
  <si>
    <t>Karjat</t>
  </si>
  <si>
    <t>Baramati</t>
  </si>
  <si>
    <t>Ulhasnagar</t>
  </si>
  <si>
    <t>Khalapur</t>
  </si>
  <si>
    <t>Junnar</t>
  </si>
  <si>
    <t>Ambernath</t>
  </si>
  <si>
    <t>Dahanu</t>
  </si>
  <si>
    <t>Pen</t>
  </si>
  <si>
    <t>Shirur</t>
  </si>
  <si>
    <t>Murbad</t>
  </si>
  <si>
    <t>Wada</t>
  </si>
  <si>
    <t>Sudhagad</t>
  </si>
  <si>
    <t>Indapur</t>
  </si>
  <si>
    <t>Mahad</t>
  </si>
  <si>
    <t>Daund</t>
  </si>
  <si>
    <t>Roha</t>
  </si>
  <si>
    <t>Mawal</t>
  </si>
  <si>
    <t>Mangaon</t>
  </si>
  <si>
    <t>Ambegaon</t>
  </si>
  <si>
    <t>Poladpur</t>
  </si>
  <si>
    <t>Purandhar</t>
  </si>
  <si>
    <t>Mahasala</t>
  </si>
  <si>
    <t>Bhor</t>
  </si>
  <si>
    <t>Shriwardhan</t>
  </si>
  <si>
    <t>Mulshi</t>
  </si>
  <si>
    <t>Murud</t>
  </si>
  <si>
    <t>Velhe</t>
  </si>
  <si>
    <t>Commercial Area Details :</t>
  </si>
  <si>
    <t>Building &amp; Wing</t>
  </si>
  <si>
    <t>No. of Units</t>
  </si>
  <si>
    <t>Total Carpet Area</t>
  </si>
  <si>
    <t>Total Saleable Area</t>
  </si>
  <si>
    <t>Wing A</t>
  </si>
  <si>
    <t>Total</t>
  </si>
  <si>
    <t>Residential Area Details :</t>
  </si>
  <si>
    <t>Grand Total</t>
  </si>
  <si>
    <t>Approved No. of Floor</t>
  </si>
  <si>
    <t>Proposed No. of Floor</t>
  </si>
  <si>
    <t>Ground Floor</t>
  </si>
  <si>
    <t>Flat No.
(Approved
Plan)</t>
  </si>
  <si>
    <t>Flat No. (Sale Plan)</t>
  </si>
  <si>
    <t>Carpet area</t>
  </si>
  <si>
    <t>Gross Carpet area</t>
  </si>
  <si>
    <t>Attached Terrace area</t>
  </si>
  <si>
    <t>Attached Loft area</t>
  </si>
  <si>
    <t>Shop</t>
  </si>
  <si>
    <t xml:space="preserve">Details of Residential &amp; Commercials in Building   </t>
  </si>
  <si>
    <t>Shop No.
(Approved
Plan)</t>
  </si>
  <si>
    <t>Shop No. (Sale Plan)</t>
  </si>
  <si>
    <t>AAC block or Bricks, Cement bags, aggregate, Sand, etc found on site in average quantity.</t>
  </si>
  <si>
    <t xml:space="preserve">Labours found on site at the time of visit. </t>
  </si>
  <si>
    <t>We considered Carpet area as per Approved Plan.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</si>
  <si>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</si>
  <si>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</si>
  <si>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</si>
  <si>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considered  Saleable area  as per our calculation. Loading</t>
  </si>
  <si>
    <t>Dosti Greater Thane ­ Sector 3A ­ Cluster 1B ­ Phase 1, 2 &amp; 3</t>
  </si>
  <si>
    <t>Survey No</t>
  </si>
  <si>
    <t>Internal Road</t>
  </si>
  <si>
    <t>Adrika Developers Private Limited</t>
  </si>
  <si>
    <t>Mrs. Rajni Shergill 7208963824</t>
  </si>
  <si>
    <t>Mumbai Metropolitian Region Development Authority (MMRDA)</t>
  </si>
  <si>
    <t>Apartments</t>
  </si>
  <si>
    <t>Salwan Niwas 362</t>
  </si>
  <si>
    <t>Collector of Thane</t>
  </si>
  <si>
    <t>Mahsul/K-1/Te-8/Mou.Rahanal,Kevani,Purna,Kopar/Tal. Bhiwandi/SND/SR-05/2022</t>
  </si>
  <si>
    <t>Date - 12/05/2022.          Area - 157796.9 Sq.mt</t>
  </si>
  <si>
    <t xml:space="preserve">Phase 1 - 12/10/2023,
Phase 2 -16/10/2023, 
Phase 3 - 23/10/2023 </t>
  </si>
  <si>
    <t>Phase 1, 2 &amp; 3 - 31/10/2028</t>
  </si>
  <si>
    <t>Ground Floor For Entrance Lobby, Fitness Center, Creche, Meter Room, Society Office, Drivers Room &amp; Parking</t>
  </si>
  <si>
    <t>1st &amp; 2nd Floor For Residential</t>
  </si>
  <si>
    <t>3rd to 7th, 9th to 12th, 14th to 17th, 19th to 22nd, 24th to 27th, 29th &amp; 30th Floor</t>
  </si>
  <si>
    <t>8th, 13th, 18th, 23rd &amp; 28th Floor (Part Refuge Area)</t>
  </si>
  <si>
    <t>-</t>
  </si>
  <si>
    <t>Refuge Area</t>
  </si>
  <si>
    <t>Phase 1 Tower T3A(Type 4)</t>
  </si>
  <si>
    <t>Phase 1 Tower T3A(Type 5)</t>
  </si>
  <si>
    <t>Phase 1 Tower T4(Type 3)</t>
  </si>
  <si>
    <t>2BHK</t>
  </si>
  <si>
    <t>8th, 13th, 18th, 23rd, 28th Floor (Part Refuge Area)</t>
  </si>
  <si>
    <t>Phase 2 Tower 4 (Type 4)</t>
  </si>
  <si>
    <t>Phase 3 Tower 3A(Type 1)</t>
  </si>
  <si>
    <t>Phase 3 Tower 4(Type 2)</t>
  </si>
  <si>
    <t>SROT/BSNA/2501/BP/Rahnal-Kevani-Purna-Kopar-02/CC/1073/2023
Date - 02/08/2023</t>
  </si>
  <si>
    <t>Cluster 1B :
Wing A - Tower T3A Bldg 4 = St + 1st to 30th Floor.(Height = 89.10m)
Wing B - Tower T4 Bldg 3 = St + 1st to 30th Floor (Height = 89.10m)
Wing C - Tower T3A Bldg 5 = St + 1st to 30th Floor (Height = 89.10m)
Tower T4 Bldg 4 = St + 1st to 30th Floor (Height = 89.10m)
Wing A - Tower T3A Bldg 1 = St + 1st to 30th Floor (Height = 89.10m)
Wing B - Tower T4 Bldg 2 = St + 1st to 22nd Floor (Height = 66.30m)</t>
  </si>
  <si>
    <t xml:space="preserve">SROT/BSNA/2501/BP/Rahnal-Kevani-Purna-Kopar-02/CC/1073/2023
Valid Upto - Cluster 1B - 
Tower T3A Bldg 1 = St + 1st to 30th Floor
Tower T3A Bldg 4 &amp; 5 = St + 1st to 30th Floor
Tower T4 Bldg 3 &amp; 4 = St + 1st to 30th Floor
Tower T4 Bldg 2 = St + 1st to 22nd Floor
</t>
  </si>
  <si>
    <t>3rd to 7th, 9th to 12th, 14th to 17th, 19th to 22nd Floor</t>
  </si>
  <si>
    <t>8th, 13th &amp; 18th Floor (Part Refuge Area)</t>
  </si>
  <si>
    <t>Sector 3A - Cluster 1B</t>
  </si>
  <si>
    <t>Phase 1 (Dosti Serene)</t>
  </si>
  <si>
    <t>Phase 2 ( Dosti Zion)</t>
  </si>
  <si>
    <t>Phase 3 (Dosti Dazzle)</t>
  </si>
  <si>
    <t>Balcony Area</t>
  </si>
  <si>
    <t>Tower T4 (Type 4)</t>
  </si>
  <si>
    <t>Wing C (Tower T3A Type 5)</t>
  </si>
  <si>
    <t>Wing B (Tower T4 Type 3)</t>
  </si>
  <si>
    <t>Wing A (Tower T3A Type 4)</t>
  </si>
  <si>
    <t>Wing A (Tower T3A Type 1)</t>
  </si>
  <si>
    <t>Wing B (Tower T4 Type 2)</t>
  </si>
  <si>
    <t>We considered Gross carpet area = Net carpet + Balcony + CB Area.</t>
  </si>
  <si>
    <t>RERA Carpet area + CB Area</t>
  </si>
  <si>
    <t>Mr. Pravin 9619081618</t>
  </si>
  <si>
    <t>Phase 2 (Dosti Zion) = St + 1st + 30th Floor</t>
  </si>
  <si>
    <t>Phase 3 (Dosti Dazzle) = St + 1st + 30th Floor</t>
  </si>
  <si>
    <t>19.258844,73.017936</t>
  </si>
  <si>
    <t>https://maps.app.goo.gl/R675kqUqcDEd41yS8</t>
  </si>
  <si>
    <t>Dosti Group, 1st Floor, Lawrence and Mayo House, 276, Dr DN Road, Fort, Mumbai - 400001</t>
  </si>
  <si>
    <t>HDFC Bank Ltd
IFSC Code - HDFC0000060</t>
  </si>
  <si>
    <t>Flats = 1952</t>
  </si>
  <si>
    <t>1. 2.3km from LB Joshi School. 
2. 2km from Evershine English School 
3. 2.3km from SS Hospital &amp; Research Centre 
4. 2.1km from Maruti Health Care
5. 1.7km from Shiv Mandir
6. 2.5km from Purneshwar Shiv Mandir
7. 2km from Vinayak Super Market
8. 2.6km from B mart
9. 1.5km from Kopar Bus stop
10. 5.3km from Bhiwandi Road Railway Station</t>
  </si>
  <si>
    <t>Survey Nos 25/2, 26/10, 25/3, 190, 26/13/U, 26/13/7, 23/1/B, 23/1/C of Village Rahnal, Taluka Bhiwandi and District Thane, S No. 40/7 of Village Kevni, Taluka Bhiwandi and District Thane, 151/2/A, 152/1, 152/2, 152/3, 156/3, 156/4, 152/4/A (152/4/1/1), 161/5, 174/5, 152/4/B, 152/4/C (152/4/2), 152/4/D (152/4/3), 152/5/A (152/5pt), 154/3/A (154/3pt), 161/4, 162, 164/5/A(164/5), 165/2/A (162/2PT), 152/5/B (152/5PT), 154/3/B (154/3PT), 153, 154/4, 154/7, 156/1, 156/2, 157/1, 157/2, 157/3, 158, 159/1/A, 159/1/B, 159/1/C, 159/2, 160/1, 160/2, 161/1, 161/3, 164/1, 165/3, 163/1, 164/4, 165/1, 163/2, 164/6, 165/2/B (165/2PT) of Village Purna, 14/3, 16/23 (16/23PT), 15/5, 16/1/A, 16/25, 18/5/A, 16/2, 19/3, 16/4, 17/8, 16/5, 17/9, 16/7, 16/9, 16/24, 16/27, 16/34, 17/4, 17/10, 16/18, 16/21, 16/29, 19/5, 19/7, 16/23/A (16/23PT), 19/10, 16/26, 16/30, 16/39, 16/28, 16/31, 16/14, 16/35, 16/36, 16/40, 17/1, 19/12, 17/2, 17/5, 17/3, 17/7, 17/13, 17/14, 18/1, 18/2, 18/3, 19/1/A (19/1PT), 19/2, 19/6/A, 19/6/C, 19/8, 19/9, 19/11, 19/13 of Village Kopar, Taluka Bhiwandi and District Thane.</t>
  </si>
  <si>
    <t>Boran</t>
  </si>
  <si>
    <t>Kopar Boundary</t>
  </si>
  <si>
    <t>Kevni Boundary</t>
  </si>
  <si>
    <t>Shri Raghunath Gana's Land</t>
  </si>
  <si>
    <t>Open Plot</t>
  </si>
  <si>
    <t>Cluster 1A</t>
  </si>
  <si>
    <t>Cluster 2</t>
  </si>
  <si>
    <t>24M W Road</t>
  </si>
  <si>
    <t>Fire NOC</t>
  </si>
  <si>
    <t>SIA/MH/MIS/70385/2021                                 Date - 30/09/2022
Plot Area = 162866 Sq.mt
Net Plot Area = 136743.24 Sq.mt
B.U.A = 546870.95 Sq.mt</t>
  </si>
  <si>
    <t>Mangesh Laxman Bapardekar</t>
  </si>
  <si>
    <t>Phase 1 - P51700053057 
Phase 2 - P51700053096
Phase 3 - P51700053217</t>
  </si>
  <si>
    <t>Rahanal, Kevani, Purna &amp; Kopar</t>
  </si>
  <si>
    <t>25/2, 25/3, 26/10, 26/13/7, 190, 23/1/B, 23/1/C of village Rahanal, S No.40/7 of village Kavani, S.No.151/2/A(pt), 152/1, 152/2, 152/3(pt), 152/4/A, 152/4/B, 152/4/C, 152/4/D, 152/5/A, 152/5/B, 153, 154/3/A, 154/3/B, 154/4, 154/7, 156/1, 156/2, 156/3, 156/4, 156/5, 157/1, 157/2, 157/3, 158, 159/1/A, 159/1/B, 159/1/C, 159/2, 160/1, 160/2, 161/1(pt), 161/3(pt), 161/4, 161/5, 162, 163/1(pt), 163/2(pt), 164/1(pt), 164/4, 164/4/5A, 164/6(pt), 165/1(pt), 165/2/A(pt), 165/2/B(pt), 165/3(pt), 174/5(pt) of village Purna, S No.14/3, 15/5, 16/1a, 16/2, 16/4, 16/5, 16/7, 16/9, 16/14, 16/15, 16/18, 16/21, 16/23, 16/23/A, 16/24, 16/25, 16/26, 16/27, 16/28, 16/29, 16/30, 16/31, 16/34, 16/35, 16/36, 16/39, 16/40, 17/1, 17/2, 17/3, 17/4, 17/5, 17/7, 17/8, 17/9, 17/10, 17/13, 17/14, 18/1, 18/2, 18/3, 18/5/A, 19/1/A, 19/2, 19/3, 19/5, 19/6A, 19/6C, 19/7, 19/8, 19/9, 19/10, 19/11, 19/12, 19/13 of Village Kopar</t>
  </si>
  <si>
    <t>As Per Approved Plan</t>
  </si>
  <si>
    <t>As Per Builder</t>
  </si>
  <si>
    <t>RERA</t>
  </si>
  <si>
    <t>Phase 1</t>
  </si>
  <si>
    <t>Dosti Serene
Wing A
Wing B
Wing C</t>
  </si>
  <si>
    <t>Phase 2</t>
  </si>
  <si>
    <t>Dosti Zion</t>
  </si>
  <si>
    <t>Tower T4-4</t>
  </si>
  <si>
    <t>Phase 3</t>
  </si>
  <si>
    <t>Dosti Dazzle
Wing A
Wing B</t>
  </si>
  <si>
    <r>
      <rPr>
        <b/>
        <sz val="10"/>
        <color rgb="FF000000"/>
        <rFont val="Times New Roman"/>
        <family val="1"/>
      </rPr>
      <t>Phase 1</t>
    </r>
    <r>
      <rPr>
        <sz val="10"/>
        <color rgb="FF000000"/>
        <rFont val="Times New Roman"/>
        <family val="1"/>
      </rPr>
      <t xml:space="preserve">
T3A - 4 &amp; 5 = G/ Stilt + 1st to 30th Floor
T4 Type 3 = G + 1st to 30th Floor</t>
    </r>
  </si>
  <si>
    <r>
      <rPr>
        <b/>
        <sz val="10"/>
        <color rgb="FF000000"/>
        <rFont val="Times New Roman"/>
        <family val="1"/>
      </rPr>
      <t>Phase 2</t>
    </r>
    <r>
      <rPr>
        <sz val="10"/>
        <color rgb="FF000000"/>
        <rFont val="Times New Roman"/>
        <family val="1"/>
      </rPr>
      <t xml:space="preserve">
T4 - 4 = G + 1st to 30th Floor</t>
    </r>
  </si>
  <si>
    <r>
      <rPr>
        <b/>
        <sz val="10"/>
        <color rgb="FF000000"/>
        <rFont val="Times New Roman"/>
        <family val="1"/>
      </rPr>
      <t>Phase 3</t>
    </r>
    <r>
      <rPr>
        <sz val="10"/>
        <color rgb="FF000000"/>
        <rFont val="Times New Roman"/>
        <family val="1"/>
      </rPr>
      <t xml:space="preserve">
T3A - 1 = G/ Stilt + 1st to 30th Floor
T4 - 2 = G/St + 1st to 22nd Floor</t>
    </r>
  </si>
  <si>
    <r>
      <rPr>
        <b/>
        <sz val="10"/>
        <color rgb="FF000000"/>
        <rFont val="Times New Roman"/>
        <family val="1"/>
      </rPr>
      <t>Phase 3</t>
    </r>
    <r>
      <rPr>
        <sz val="10"/>
        <color rgb="FF000000"/>
        <rFont val="Times New Roman"/>
        <family val="1"/>
      </rPr>
      <t xml:space="preserve">
T3A - 1 = G/ Stilt + 1st to 30th Floor
T4 - 2 = G/St + 1st to 30th Floor</t>
    </r>
  </si>
  <si>
    <t xml:space="preserve">Not Provided
</t>
  </si>
  <si>
    <t>Environmental Clearance</t>
  </si>
  <si>
    <r>
      <t>Remark (</t>
    </r>
    <r>
      <rPr>
        <sz val="10"/>
        <rFont val="Times New Roman"/>
        <family val="1"/>
      </rPr>
      <t>Flat configuration /Bungalows, etc.)</t>
    </r>
  </si>
  <si>
    <t>Please check for Fire NOC.</t>
  </si>
  <si>
    <t>3,00,000/-</t>
  </si>
  <si>
    <t>Phase 1 (Dosti Serene) Wing A = St + 1st + 30th Floor</t>
  </si>
  <si>
    <t>Phase 1 (Dosti Serene) Wing B = St + 1st + 30th Floor</t>
  </si>
  <si>
    <t>Phase 1 (Dosti Serene) Wing C = St + 1st + 30th Floor</t>
  </si>
  <si>
    <t>Visit dtd 02/04/2025 Wing C work not started but piling in process gives in previous report common work given for all wings</t>
  </si>
  <si>
    <t xml:space="preserve">Construction work is in process at the time of Visit. (Internal Visit not allowed)
</t>
  </si>
  <si>
    <t>On Site, we meet Mr. Shubham 9619081618.</t>
  </si>
  <si>
    <t>10/09/2025 at 14:40</t>
  </si>
  <si>
    <t>Mr. Shubham 9619081618
Mr. Islam 9930111077</t>
  </si>
  <si>
    <t>Tower T3A-4
Tower T4-3
Tower T3A-5</t>
  </si>
  <si>
    <t>Tower T3A-1
Tower T4-2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</si>
</sst>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E3F2F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8"/>
      <color rgb="FFFF000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3F2F3"/>
        <bgColor indexed="64"/>
      </patternFill>
    </fill>
    <fill>
      <patternFill patternType="solid">
        <fgColor rgb="FFE5EE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7" fillId="0" borderId="0" applyNumberFormat="0" applyFill="0" applyBorder="0" applyAlignment="0" applyProtection="0"/>
  </cellStyleXfs>
  <cellXfs count="266">
    <xf numFmtId="0" fontId="0" fillId="0" borderId="0" xfId="0"/>
    <xf numFmtId="0" fontId="5" fillId="0" borderId="0" xfId="0" applyFont="1" applyProtection="1">
      <protection hidden="1"/>
    </xf>
    <xf numFmtId="0" fontId="8" fillId="4" borderId="5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wrapText="1"/>
      <protection locked="0"/>
    </xf>
    <xf numFmtId="1" fontId="8" fillId="4" borderId="4" xfId="1" applyNumberFormat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9" fontId="9" fillId="2" borderId="13" xfId="0" applyNumberFormat="1" applyFont="1" applyFill="1" applyBorder="1" applyAlignment="1">
      <alignment horizontal="center" vertical="top" wrapText="1"/>
    </xf>
    <xf numFmtId="0" fontId="8" fillId="4" borderId="7" xfId="1" applyFont="1" applyFill="1" applyBorder="1" applyAlignment="1" applyProtection="1">
      <alignment horizontal="center" vertical="top" wrapText="1"/>
      <protection locked="0"/>
    </xf>
    <xf numFmtId="9" fontId="8" fillId="4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4" borderId="14" xfId="1" applyFont="1" applyFill="1" applyBorder="1" applyAlignment="1" applyProtection="1">
      <alignment horizontal="center" vertical="top" wrapText="1"/>
      <protection locked="0"/>
    </xf>
    <xf numFmtId="9" fontId="8" fillId="4" borderId="26" xfId="1" applyNumberFormat="1" applyFont="1" applyFill="1" applyBorder="1" applyAlignment="1" applyProtection="1">
      <alignment horizontal="center" vertical="center"/>
      <protection hidden="1"/>
    </xf>
    <xf numFmtId="9" fontId="13" fillId="4" borderId="14" xfId="1" applyNumberFormat="1" applyFont="1" applyFill="1" applyBorder="1" applyAlignment="1" applyProtection="1">
      <alignment horizontal="left" vertical="center"/>
      <protection hidden="1"/>
    </xf>
    <xf numFmtId="9" fontId="13" fillId="4" borderId="26" xfId="1" applyNumberFormat="1" applyFont="1" applyFill="1" applyBorder="1" applyAlignment="1" applyProtection="1">
      <alignment horizontal="left" vertical="center"/>
      <protection hidden="1"/>
    </xf>
    <xf numFmtId="0" fontId="6" fillId="0" borderId="24" xfId="1" applyFont="1" applyBorder="1"/>
    <xf numFmtId="0" fontId="5" fillId="0" borderId="19" xfId="0" applyFont="1" applyBorder="1" applyProtection="1">
      <protection hidden="1"/>
    </xf>
    <xf numFmtId="1" fontId="4" fillId="0" borderId="19" xfId="0" applyNumberFormat="1" applyFont="1" applyBorder="1"/>
    <xf numFmtId="1" fontId="4" fillId="0" borderId="19" xfId="0" applyNumberFormat="1" applyFont="1" applyBorder="1" applyAlignment="1">
      <alignment horizontal="right"/>
    </xf>
    <xf numFmtId="1" fontId="4" fillId="0" borderId="22" xfId="0" applyNumberFormat="1" applyFont="1" applyBorder="1"/>
    <xf numFmtId="0" fontId="5" fillId="0" borderId="25" xfId="0" applyFont="1" applyBorder="1" applyProtection="1">
      <protection hidden="1"/>
    </xf>
    <xf numFmtId="0" fontId="5" fillId="0" borderId="21" xfId="0" applyFont="1" applyBorder="1" applyProtection="1">
      <protection hidden="1"/>
    </xf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8" fillId="4" borderId="12" xfId="1" applyFont="1" applyFill="1" applyBorder="1" applyAlignment="1" applyProtection="1">
      <alignment horizontal="center" wrapText="1"/>
      <protection locked="0"/>
    </xf>
    <xf numFmtId="9" fontId="8" fillId="4" borderId="27" xfId="1" applyNumberFormat="1" applyFont="1" applyFill="1" applyBorder="1" applyAlignment="1" applyProtection="1">
      <alignment horizontal="center" vertical="center" wrapText="1"/>
      <protection hidden="1"/>
    </xf>
    <xf numFmtId="9" fontId="13" fillId="4" borderId="28" xfId="1" applyNumberFormat="1" applyFont="1" applyFill="1" applyBorder="1" applyAlignment="1" applyProtection="1">
      <alignment horizontal="left" vertical="center"/>
      <protection hidden="1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0" borderId="30" xfId="1" applyFont="1" applyBorder="1" applyProtection="1">
      <protection hidden="1"/>
    </xf>
    <xf numFmtId="0" fontId="6" fillId="0" borderId="31" xfId="1" applyFont="1" applyBorder="1" applyProtection="1"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0" borderId="0" xfId="1" applyFont="1" applyProtection="1">
      <protection hidden="1"/>
    </xf>
    <xf numFmtId="0" fontId="6" fillId="0" borderId="3" xfId="1" applyFont="1" applyBorder="1" applyProtection="1">
      <protection hidden="1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0" fontId="6" fillId="0" borderId="3" xfId="1" applyFont="1" applyBorder="1"/>
    <xf numFmtId="0" fontId="6" fillId="3" borderId="4" xfId="1" applyFont="1" applyFill="1" applyBorder="1" applyAlignment="1" applyProtection="1">
      <alignment horizontal="center" wrapText="1"/>
      <protection locked="0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Protection="1">
      <protection hidden="1"/>
    </xf>
    <xf numFmtId="1" fontId="6" fillId="3" borderId="4" xfId="1" applyNumberFormat="1" applyFont="1" applyFill="1" applyBorder="1" applyAlignment="1" applyProtection="1">
      <alignment horizontal="center" wrapText="1"/>
      <protection locked="0"/>
    </xf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0" fontId="6" fillId="3" borderId="12" xfId="1" applyFont="1" applyFill="1" applyBorder="1" applyAlignment="1" applyProtection="1">
      <alignment horizontal="center" wrapText="1"/>
      <protection locked="0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Protection="1">
      <protection hidden="1"/>
    </xf>
    <xf numFmtId="1" fontId="6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1" fontId="6" fillId="0" borderId="0" xfId="0" applyNumberFormat="1" applyFont="1"/>
    <xf numFmtId="0" fontId="6" fillId="0" borderId="0" xfId="0" applyFont="1" applyAlignment="1">
      <alignment horizontal="left"/>
    </xf>
    <xf numFmtId="0" fontId="18" fillId="0" borderId="0" xfId="0" applyFont="1"/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3" borderId="8" xfId="0" applyNumberFormat="1" applyFont="1" applyFill="1" applyBorder="1" applyAlignment="1">
      <alignment horizontal="left" vertical="top" wrapText="1"/>
    </xf>
    <xf numFmtId="0" fontId="6" fillId="3" borderId="5" xfId="1" applyFont="1" applyFill="1" applyBorder="1" applyAlignment="1" applyProtection="1">
      <alignment horizontal="center" vertical="top" wrapText="1"/>
      <protection locked="0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9" fontId="6" fillId="3" borderId="4" xfId="0" applyNumberFormat="1" applyFont="1" applyFill="1" applyBorder="1" applyAlignment="1">
      <alignment horizontal="center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6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3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6" fillId="3" borderId="12" xfId="1" applyFont="1" applyFill="1" applyBorder="1" applyAlignment="1" applyProtection="1">
      <alignment horizontal="center" vertical="top" wrapText="1"/>
      <protection locked="0"/>
    </xf>
    <xf numFmtId="9" fontId="6" fillId="3" borderId="12" xfId="0" applyNumberFormat="1" applyFont="1" applyFill="1" applyBorder="1" applyAlignment="1">
      <alignment horizontal="center"/>
    </xf>
    <xf numFmtId="0" fontId="1" fillId="2" borderId="36" xfId="1" applyFont="1" applyFill="1" applyBorder="1" applyAlignment="1" applyProtection="1">
      <alignment horizontal="left" vertical="top" wrapText="1"/>
      <protection locked="0"/>
    </xf>
    <xf numFmtId="0" fontId="1" fillId="2" borderId="30" xfId="1" applyFont="1" applyFill="1" applyBorder="1" applyAlignment="1" applyProtection="1">
      <alignment horizontal="left" vertical="top" wrapText="1"/>
      <protection locked="0"/>
    </xf>
    <xf numFmtId="0" fontId="1" fillId="2" borderId="37" xfId="1" applyFont="1" applyFill="1" applyBorder="1" applyAlignment="1" applyProtection="1">
      <alignment horizontal="left" vertical="top" wrapText="1"/>
      <protection locked="0"/>
    </xf>
    <xf numFmtId="0" fontId="1" fillId="2" borderId="38" xfId="1" applyFont="1" applyFill="1" applyBorder="1" applyAlignment="1" applyProtection="1">
      <alignment horizontal="left" vertical="top" wrapText="1"/>
      <protection locked="0"/>
    </xf>
    <xf numFmtId="0" fontId="1" fillId="2" borderId="21" xfId="1" applyFont="1" applyFill="1" applyBorder="1" applyAlignment="1" applyProtection="1">
      <alignment horizontal="left" vertical="top" wrapText="1"/>
      <protection locked="0"/>
    </xf>
    <xf numFmtId="0" fontId="1" fillId="2" borderId="22" xfId="1" applyFont="1" applyFill="1" applyBorder="1" applyAlignment="1" applyProtection="1">
      <alignment horizontal="left" vertical="top" wrapText="1"/>
      <protection locked="0"/>
    </xf>
    <xf numFmtId="0" fontId="1" fillId="3" borderId="4" xfId="1" applyFont="1" applyFill="1" applyBorder="1" applyAlignment="1" applyProtection="1">
      <alignment horizontal="left" vertical="top" wrapText="1"/>
      <protection locked="0"/>
    </xf>
    <xf numFmtId="0" fontId="1" fillId="3" borderId="6" xfId="1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>
      <alignment horizontal="center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1" fontId="5" fillId="5" borderId="7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 applyProtection="1">
      <alignment horizontal="left" vertical="center" wrapText="1"/>
      <protection locked="0"/>
    </xf>
    <xf numFmtId="22" fontId="8" fillId="3" borderId="4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1" fontId="8" fillId="3" borderId="4" xfId="0" applyNumberFormat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165" fontId="8" fillId="3" borderId="4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top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7" fillId="3" borderId="7" xfId="2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7" fillId="6" borderId="33" xfId="1" applyFont="1" applyFill="1" applyBorder="1" applyAlignment="1" applyProtection="1">
      <alignment horizontal="center" vertical="top" wrapText="1"/>
      <protection locked="0"/>
    </xf>
    <xf numFmtId="0" fontId="7" fillId="6" borderId="34" xfId="1" applyFont="1" applyFill="1" applyBorder="1" applyAlignment="1" applyProtection="1">
      <alignment horizontal="center" vertical="top" wrapText="1"/>
      <protection locked="0"/>
    </xf>
    <xf numFmtId="0" fontId="7" fillId="6" borderId="35" xfId="1" applyFont="1" applyFill="1" applyBorder="1" applyAlignment="1" applyProtection="1">
      <alignment horizontal="center" vertical="top" wrapText="1"/>
      <protection locked="0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2" borderId="15" xfId="1" applyFont="1" applyFill="1" applyBorder="1" applyAlignment="1" applyProtection="1">
      <alignment horizontal="left" vertical="top" wrapText="1"/>
      <protection locked="0"/>
    </xf>
    <xf numFmtId="0" fontId="7" fillId="2" borderId="16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9" fontId="8" fillId="4" borderId="25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0" xfId="1" applyNumberFormat="1" applyFont="1" applyFill="1" applyAlignment="1" applyProtection="1">
      <alignment horizontal="center" vertical="center" wrapText="1"/>
      <protection hidden="1"/>
    </xf>
    <xf numFmtId="9" fontId="8" fillId="4" borderId="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3F2F3"/>
      <color rgb="FFE5EEF1"/>
      <color rgb="FFBBDDBD"/>
      <color rgb="FFE1F5E7"/>
      <color rgb="FFF2FCDA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488675</xdr:colOff>
      <xdr:row>41</xdr:row>
      <xdr:rowOff>82825</xdr:rowOff>
    </xdr:from>
    <xdr:to>
      <xdr:col>16</xdr:col>
      <xdr:colOff>242682</xdr:colOff>
      <xdr:row>44</xdr:row>
      <xdr:rowOff>884995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3849" y="11405151"/>
          <a:ext cx="4972050" cy="3419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16564</xdr:colOff>
      <xdr:row>20</xdr:row>
      <xdr:rowOff>157370</xdr:rowOff>
    </xdr:from>
    <xdr:to>
      <xdr:col>16</xdr:col>
      <xdr:colOff>226173</xdr:colOff>
      <xdr:row>27</xdr:row>
      <xdr:rowOff>668866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9390" y="8025848"/>
          <a:ext cx="4500000" cy="24827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157370</xdr:colOff>
      <xdr:row>467</xdr:row>
      <xdr:rowOff>124239</xdr:rowOff>
    </xdr:from>
    <xdr:to>
      <xdr:col>7</xdr:col>
      <xdr:colOff>510209</xdr:colOff>
      <xdr:row>511</xdr:row>
      <xdr:rowOff>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xmlns="" id="{D4A3753E-D25A-B389-36CC-79810BEBCA8A}"/>
            </a:ext>
          </a:extLst>
        </xdr:cNvPr>
        <xdr:cNvGrpSpPr/>
      </xdr:nvGrpSpPr>
      <xdr:grpSpPr>
        <a:xfrm>
          <a:off x="157370" y="89998826"/>
          <a:ext cx="6266622" cy="7164457"/>
          <a:chOff x="157370" y="86475404"/>
          <a:chExt cx="6637682" cy="8108673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GrpSpPr/>
        </xdr:nvGrpSpPr>
        <xdr:grpSpPr>
          <a:xfrm>
            <a:off x="2153781" y="91536076"/>
            <a:ext cx="2920145" cy="3048001"/>
            <a:chOff x="4041321" y="121443749"/>
            <a:chExt cx="3592955" cy="504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041321" y="121443749"/>
              <a:ext cx="3592955" cy="50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10" name="Straight Arrow Connector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CxnSpPr/>
          </xdr:nvCxnSpPr>
          <xdr:spPr>
            <a:xfrm flipV="1">
              <a:off x="7102929" y="122151322"/>
              <a:ext cx="13607" cy="639534"/>
            </a:xfrm>
            <a:prstGeom prst="straightConnector1">
              <a:avLst/>
            </a:prstGeom>
            <a:ln w="5715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>
              <a:off x="6871607" y="121566214"/>
              <a:ext cx="639537" cy="6531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400" b="1">
                  <a:solidFill>
                    <a:srgbClr val="FF0000"/>
                  </a:solidFill>
                </a:rPr>
                <a:t>N</a:t>
              </a:r>
            </a:p>
          </xdr:txBody>
        </xdr:sp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GrpSpPr/>
        </xdr:nvGrpSpPr>
        <xdr:grpSpPr>
          <a:xfrm>
            <a:off x="157370" y="86475404"/>
            <a:ext cx="6637682" cy="4861891"/>
            <a:chOff x="2217963" y="126628071"/>
            <a:chExt cx="7026292" cy="5400000"/>
          </a:xfrm>
        </xdr:grpSpPr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xmlns="" id="{00000000-0008-0000-0000-00000D000000}"/>
                </a:ext>
              </a:extLst>
            </xdr:cNvPr>
            <xdr:cNvGrpSpPr/>
          </xdr:nvGrpSpPr>
          <xdr:grpSpPr>
            <a:xfrm>
              <a:off x="2217963" y="126628071"/>
              <a:ext cx="7026292" cy="5400000"/>
              <a:chOff x="2367642" y="121579821"/>
              <a:chExt cx="7026292" cy="5400000"/>
            </a:xfrm>
          </xdr:grpSpPr>
          <xdr:grpSp>
            <xdr:nvGrpSpPr>
              <xdr:cNvPr id="16" name="Group 15">
                <a:extLst>
                  <a:ext uri="{FF2B5EF4-FFF2-40B4-BE49-F238E27FC236}">
                    <a16:creationId xmlns:a16="http://schemas.microsoft.com/office/drawing/2014/main" xmlns="" id="{00000000-0008-0000-0000-000010000000}"/>
                  </a:ext>
                </a:extLst>
              </xdr:cNvPr>
              <xdr:cNvGrpSpPr/>
            </xdr:nvGrpSpPr>
            <xdr:grpSpPr>
              <a:xfrm>
                <a:off x="2367642" y="121579821"/>
                <a:ext cx="7026292" cy="5400000"/>
                <a:chOff x="2367642" y="121579821"/>
                <a:chExt cx="7026292" cy="5400000"/>
              </a:xfrm>
            </xdr:grpSpPr>
            <xdr:grpSp>
              <xdr:nvGrpSpPr>
                <xdr:cNvPr id="20" name="Group 19">
                  <a:extLst>
                    <a:ext uri="{FF2B5EF4-FFF2-40B4-BE49-F238E27FC236}">
                      <a16:creationId xmlns:a16="http://schemas.microsoft.com/office/drawing/2014/main" xmlns="" id="{00000000-0008-0000-0000-000014000000}"/>
                    </a:ext>
                  </a:extLst>
                </xdr:cNvPr>
                <xdr:cNvGrpSpPr/>
              </xdr:nvGrpSpPr>
              <xdr:grpSpPr>
                <a:xfrm>
                  <a:off x="2367642" y="121579821"/>
                  <a:ext cx="7026292" cy="5400000"/>
                  <a:chOff x="2367642" y="121579821"/>
                  <a:chExt cx="7026292" cy="5400000"/>
                </a:xfrm>
              </xdr:grpSpPr>
              <xdr:pic>
                <xdr:nvPicPr>
                  <xdr:cNvPr id="29" name="Picture 28">
                    <a:extLst>
                      <a:ext uri="{FF2B5EF4-FFF2-40B4-BE49-F238E27FC236}">
                        <a16:creationId xmlns:a16="http://schemas.microsoft.com/office/drawing/2014/main" xmlns="" id="{00000000-0008-0000-0000-00001D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 rotWithShape="1">
                  <a:blip xmlns:r="http://schemas.openxmlformats.org/officeDocument/2006/relationships" r:embed="rId4" cstate="screen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/>
                </xdr:blipFill>
                <xdr:spPr>
                  <a:xfrm>
                    <a:off x="2367642" y="121579821"/>
                    <a:ext cx="7026292" cy="5400000"/>
                  </a:xfrm>
                  <a:prstGeom prst="rect">
                    <a:avLst/>
                  </a:prstGeom>
                  <a:ln>
                    <a:solidFill>
                      <a:srgbClr val="0070C0"/>
                    </a:solidFill>
                  </a:ln>
                </xdr:spPr>
              </xdr:pic>
              <xdr:sp macro="" textlink="">
                <xdr:nvSpPr>
                  <xdr:cNvPr id="30" name="Freeform 29">
                    <a:extLst>
                      <a:ext uri="{FF2B5EF4-FFF2-40B4-BE49-F238E27FC236}">
                        <a16:creationId xmlns:a16="http://schemas.microsoft.com/office/drawing/2014/main" xmlns="" id="{00000000-0008-0000-0000-00001E000000}"/>
                      </a:ext>
                    </a:extLst>
                  </xdr:cNvPr>
                  <xdr:cNvSpPr/>
                </xdr:nvSpPr>
                <xdr:spPr>
                  <a:xfrm>
                    <a:off x="3918858" y="122845286"/>
                    <a:ext cx="4925785" cy="3755572"/>
                  </a:xfrm>
                  <a:custGeom>
                    <a:avLst/>
                    <a:gdLst>
                      <a:gd name="connsiteX0" fmla="*/ 53788 w 4876800"/>
                      <a:gd name="connsiteY0" fmla="*/ 1864659 h 3263153"/>
                      <a:gd name="connsiteX1" fmla="*/ 2420471 w 4876800"/>
                      <a:gd name="connsiteY1" fmla="*/ 143436 h 3263153"/>
                      <a:gd name="connsiteX2" fmla="*/ 2868706 w 4876800"/>
                      <a:gd name="connsiteY2" fmla="*/ 286871 h 3263153"/>
                      <a:gd name="connsiteX3" fmla="*/ 3836894 w 4876800"/>
                      <a:gd name="connsiteY3" fmla="*/ 0 h 3263153"/>
                      <a:gd name="connsiteX4" fmla="*/ 4320988 w 4876800"/>
                      <a:gd name="connsiteY4" fmla="*/ 1093694 h 3263153"/>
                      <a:gd name="connsiteX5" fmla="*/ 4177553 w 4876800"/>
                      <a:gd name="connsiteY5" fmla="*/ 1290918 h 3263153"/>
                      <a:gd name="connsiteX6" fmla="*/ 4231341 w 4876800"/>
                      <a:gd name="connsiteY6" fmla="*/ 1344706 h 3263153"/>
                      <a:gd name="connsiteX7" fmla="*/ 4374777 w 4876800"/>
                      <a:gd name="connsiteY7" fmla="*/ 1255059 h 3263153"/>
                      <a:gd name="connsiteX8" fmla="*/ 4356847 w 4876800"/>
                      <a:gd name="connsiteY8" fmla="*/ 1918447 h 3263153"/>
                      <a:gd name="connsiteX9" fmla="*/ 4410635 w 4876800"/>
                      <a:gd name="connsiteY9" fmla="*/ 2205318 h 3263153"/>
                      <a:gd name="connsiteX10" fmla="*/ 4392706 w 4876800"/>
                      <a:gd name="connsiteY10" fmla="*/ 2223247 h 3263153"/>
                      <a:gd name="connsiteX11" fmla="*/ 4715435 w 4876800"/>
                      <a:gd name="connsiteY11" fmla="*/ 2366683 h 3263153"/>
                      <a:gd name="connsiteX12" fmla="*/ 4751294 w 4876800"/>
                      <a:gd name="connsiteY12" fmla="*/ 2725271 h 3263153"/>
                      <a:gd name="connsiteX13" fmla="*/ 4823012 w 4876800"/>
                      <a:gd name="connsiteY13" fmla="*/ 2779059 h 3263153"/>
                      <a:gd name="connsiteX14" fmla="*/ 4876800 w 4876800"/>
                      <a:gd name="connsiteY14" fmla="*/ 3137647 h 3263153"/>
                      <a:gd name="connsiteX15" fmla="*/ 4303059 w 4876800"/>
                      <a:gd name="connsiteY15" fmla="*/ 3155577 h 3263153"/>
                      <a:gd name="connsiteX16" fmla="*/ 3908612 w 4876800"/>
                      <a:gd name="connsiteY16" fmla="*/ 2976283 h 3263153"/>
                      <a:gd name="connsiteX17" fmla="*/ 3693459 w 4876800"/>
                      <a:gd name="connsiteY17" fmla="*/ 3263153 h 3263153"/>
                      <a:gd name="connsiteX18" fmla="*/ 0 w 4876800"/>
                      <a:gd name="connsiteY18" fmla="*/ 2420471 h 3263153"/>
                      <a:gd name="connsiteX19" fmla="*/ 53788 w 4876800"/>
                      <a:gd name="connsiteY19" fmla="*/ 1864659 h 3263153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  <a:cxn ang="0">
                        <a:pos x="connsiteX9" y="connsiteY9"/>
                      </a:cxn>
                      <a:cxn ang="0">
                        <a:pos x="connsiteX10" y="connsiteY10"/>
                      </a:cxn>
                      <a:cxn ang="0">
                        <a:pos x="connsiteX11" y="connsiteY11"/>
                      </a:cxn>
                      <a:cxn ang="0">
                        <a:pos x="connsiteX12" y="connsiteY12"/>
                      </a:cxn>
                      <a:cxn ang="0">
                        <a:pos x="connsiteX13" y="connsiteY13"/>
                      </a:cxn>
                      <a:cxn ang="0">
                        <a:pos x="connsiteX14" y="connsiteY14"/>
                      </a:cxn>
                      <a:cxn ang="0">
                        <a:pos x="connsiteX15" y="connsiteY15"/>
                      </a:cxn>
                      <a:cxn ang="0">
                        <a:pos x="connsiteX16" y="connsiteY16"/>
                      </a:cxn>
                      <a:cxn ang="0">
                        <a:pos x="connsiteX17" y="connsiteY17"/>
                      </a:cxn>
                      <a:cxn ang="0">
                        <a:pos x="connsiteX18" y="connsiteY18"/>
                      </a:cxn>
                      <a:cxn ang="0">
                        <a:pos x="connsiteX19" y="connsiteY19"/>
                      </a:cxn>
                    </a:cxnLst>
                    <a:rect l="l" t="t" r="r" b="b"/>
                    <a:pathLst>
                      <a:path w="4876800" h="3263153">
                        <a:moveTo>
                          <a:pt x="53788" y="1864659"/>
                        </a:moveTo>
                        <a:lnTo>
                          <a:pt x="2420471" y="143436"/>
                        </a:lnTo>
                        <a:lnTo>
                          <a:pt x="2868706" y="286871"/>
                        </a:lnTo>
                        <a:lnTo>
                          <a:pt x="3836894" y="0"/>
                        </a:lnTo>
                        <a:lnTo>
                          <a:pt x="4320988" y="1093694"/>
                        </a:lnTo>
                        <a:lnTo>
                          <a:pt x="4177553" y="1290918"/>
                        </a:lnTo>
                        <a:lnTo>
                          <a:pt x="4231341" y="1344706"/>
                        </a:lnTo>
                        <a:lnTo>
                          <a:pt x="4374777" y="1255059"/>
                        </a:lnTo>
                        <a:lnTo>
                          <a:pt x="4356847" y="1918447"/>
                        </a:lnTo>
                        <a:lnTo>
                          <a:pt x="4410635" y="2205318"/>
                        </a:lnTo>
                        <a:lnTo>
                          <a:pt x="4392706" y="2223247"/>
                        </a:lnTo>
                        <a:lnTo>
                          <a:pt x="4715435" y="2366683"/>
                        </a:lnTo>
                        <a:lnTo>
                          <a:pt x="4751294" y="2725271"/>
                        </a:lnTo>
                        <a:lnTo>
                          <a:pt x="4823012" y="2779059"/>
                        </a:lnTo>
                        <a:lnTo>
                          <a:pt x="4876800" y="3137647"/>
                        </a:lnTo>
                        <a:lnTo>
                          <a:pt x="4303059" y="3155577"/>
                        </a:lnTo>
                        <a:lnTo>
                          <a:pt x="3908612" y="2976283"/>
                        </a:lnTo>
                        <a:lnTo>
                          <a:pt x="3693459" y="3263153"/>
                        </a:lnTo>
                        <a:lnTo>
                          <a:pt x="0" y="2420471"/>
                        </a:lnTo>
                        <a:lnTo>
                          <a:pt x="53788" y="1864659"/>
                        </a:lnTo>
                        <a:close/>
                      </a:path>
                    </a:pathLst>
                  </a:custGeom>
                  <a:noFill/>
                  <a:ln w="57150">
                    <a:solidFill>
                      <a:srgbClr val="FFFF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IN"/>
                  </a:p>
                </xdr:txBody>
              </xdr:sp>
              <xdr:sp macro="" textlink="">
                <xdr:nvSpPr>
                  <xdr:cNvPr id="31" name="Freeform 30">
                    <a:extLst>
                      <a:ext uri="{FF2B5EF4-FFF2-40B4-BE49-F238E27FC236}">
                        <a16:creationId xmlns:a16="http://schemas.microsoft.com/office/drawing/2014/main" xmlns="" id="{00000000-0008-0000-0000-00001F000000}"/>
                      </a:ext>
                    </a:extLst>
                  </xdr:cNvPr>
                  <xdr:cNvSpPr/>
                </xdr:nvSpPr>
                <xdr:spPr>
                  <a:xfrm>
                    <a:off x="7184571" y="124240346"/>
                    <a:ext cx="898625" cy="1135868"/>
                  </a:xfrm>
                  <a:custGeom>
                    <a:avLst/>
                    <a:gdLst>
                      <a:gd name="connsiteX0" fmla="*/ 0 w 831850"/>
                      <a:gd name="connsiteY0" fmla="*/ 476250 h 1098550"/>
                      <a:gd name="connsiteX1" fmla="*/ 38100 w 831850"/>
                      <a:gd name="connsiteY1" fmla="*/ 774700 h 1098550"/>
                      <a:gd name="connsiteX2" fmla="*/ 444500 w 831850"/>
                      <a:gd name="connsiteY2" fmla="*/ 704850 h 1098550"/>
                      <a:gd name="connsiteX3" fmla="*/ 508000 w 831850"/>
                      <a:gd name="connsiteY3" fmla="*/ 1098550 h 1098550"/>
                      <a:gd name="connsiteX4" fmla="*/ 831850 w 831850"/>
                      <a:gd name="connsiteY4" fmla="*/ 1054100 h 1098550"/>
                      <a:gd name="connsiteX5" fmla="*/ 666750 w 831850"/>
                      <a:gd name="connsiteY5" fmla="*/ 12700 h 1098550"/>
                      <a:gd name="connsiteX6" fmla="*/ 336550 w 831850"/>
                      <a:gd name="connsiteY6" fmla="*/ 0 h 1098550"/>
                      <a:gd name="connsiteX7" fmla="*/ 381000 w 831850"/>
                      <a:gd name="connsiteY7" fmla="*/ 412750 h 1098550"/>
                      <a:gd name="connsiteX8" fmla="*/ 0 w 831850"/>
                      <a:gd name="connsiteY8" fmla="*/ 476250 h 10985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</a:cxnLst>
                    <a:rect l="l" t="t" r="r" b="b"/>
                    <a:pathLst>
                      <a:path w="831850" h="1098550">
                        <a:moveTo>
                          <a:pt x="0" y="476250"/>
                        </a:moveTo>
                        <a:lnTo>
                          <a:pt x="38100" y="774700"/>
                        </a:lnTo>
                        <a:lnTo>
                          <a:pt x="444500" y="704850"/>
                        </a:lnTo>
                        <a:lnTo>
                          <a:pt x="508000" y="1098550"/>
                        </a:lnTo>
                        <a:lnTo>
                          <a:pt x="831850" y="1054100"/>
                        </a:lnTo>
                        <a:lnTo>
                          <a:pt x="666750" y="12700"/>
                        </a:lnTo>
                        <a:lnTo>
                          <a:pt x="336550" y="0"/>
                        </a:lnTo>
                        <a:lnTo>
                          <a:pt x="381000" y="412750"/>
                        </a:lnTo>
                        <a:lnTo>
                          <a:pt x="0" y="476250"/>
                        </a:lnTo>
                        <a:close/>
                      </a:path>
                    </a:pathLst>
                  </a:custGeom>
                  <a:noFill/>
                  <a:ln w="38100">
                    <a:solidFill>
                      <a:srgbClr val="00206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IN"/>
                  </a:p>
                </xdr:txBody>
              </xdr:sp>
              <xdr:sp macro="" textlink="">
                <xdr:nvSpPr>
                  <xdr:cNvPr id="32" name="Rectangle 31">
                    <a:extLst>
                      <a:ext uri="{FF2B5EF4-FFF2-40B4-BE49-F238E27FC236}">
                        <a16:creationId xmlns:a16="http://schemas.microsoft.com/office/drawing/2014/main" xmlns="" id="{00000000-0008-0000-0000-000020000000}"/>
                      </a:ext>
                    </a:extLst>
                  </xdr:cNvPr>
                  <xdr:cNvSpPr/>
                </xdr:nvSpPr>
                <xdr:spPr>
                  <a:xfrm rot="21176760">
                    <a:off x="7175996" y="124218514"/>
                    <a:ext cx="1002982" cy="1137451"/>
                  </a:xfrm>
                  <a:prstGeom prst="rect">
                    <a:avLst/>
                  </a:prstGeom>
                  <a:noFill/>
                  <a:ln w="38100">
                    <a:solidFill>
                      <a:srgbClr val="00206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IN"/>
                  </a:p>
                </xdr:txBody>
              </xdr:sp>
              <xdr:sp macro="" textlink="">
                <xdr:nvSpPr>
                  <xdr:cNvPr id="33" name="Rectangle 32">
                    <a:extLst>
                      <a:ext uri="{FF2B5EF4-FFF2-40B4-BE49-F238E27FC236}">
                        <a16:creationId xmlns:a16="http://schemas.microsoft.com/office/drawing/2014/main" xmlns="" id="{00000000-0008-0000-0000-000021000000}"/>
                      </a:ext>
                    </a:extLst>
                  </xdr:cNvPr>
                  <xdr:cNvSpPr/>
                </xdr:nvSpPr>
                <xdr:spPr>
                  <a:xfrm rot="4861847">
                    <a:off x="7223369" y="124793131"/>
                    <a:ext cx="1298798" cy="322901"/>
                  </a:xfrm>
                  <a:prstGeom prst="rect">
                    <a:avLst/>
                  </a:prstGeom>
                </xdr:spPr>
                <xdr:txBody>
                  <a:bodyPr wrap="square">
                    <a:sp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r>
                      <a:rPr lang="en-US" sz="1400" b="1">
                        <a:solidFill>
                          <a:srgbClr val="FF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T4 Blgd4</a:t>
                    </a:r>
                    <a:endParaRPr lang="en-IN" sz="14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4" name="Freeform 33">
                    <a:extLst>
                      <a:ext uri="{FF2B5EF4-FFF2-40B4-BE49-F238E27FC236}">
                        <a16:creationId xmlns:a16="http://schemas.microsoft.com/office/drawing/2014/main" xmlns="" id="{00000000-0008-0000-0000-000022000000}"/>
                      </a:ext>
                    </a:extLst>
                  </xdr:cNvPr>
                  <xdr:cNvSpPr/>
                </xdr:nvSpPr>
                <xdr:spPr>
                  <a:xfrm rot="16200000">
                    <a:off x="5755825" y="123389571"/>
                    <a:ext cx="966108" cy="1129392"/>
                  </a:xfrm>
                  <a:custGeom>
                    <a:avLst/>
                    <a:gdLst>
                      <a:gd name="connsiteX0" fmla="*/ 0 w 831850"/>
                      <a:gd name="connsiteY0" fmla="*/ 476250 h 1098550"/>
                      <a:gd name="connsiteX1" fmla="*/ 38100 w 831850"/>
                      <a:gd name="connsiteY1" fmla="*/ 774700 h 1098550"/>
                      <a:gd name="connsiteX2" fmla="*/ 444500 w 831850"/>
                      <a:gd name="connsiteY2" fmla="*/ 704850 h 1098550"/>
                      <a:gd name="connsiteX3" fmla="*/ 508000 w 831850"/>
                      <a:gd name="connsiteY3" fmla="*/ 1098550 h 1098550"/>
                      <a:gd name="connsiteX4" fmla="*/ 831850 w 831850"/>
                      <a:gd name="connsiteY4" fmla="*/ 1054100 h 1098550"/>
                      <a:gd name="connsiteX5" fmla="*/ 666750 w 831850"/>
                      <a:gd name="connsiteY5" fmla="*/ 12700 h 1098550"/>
                      <a:gd name="connsiteX6" fmla="*/ 336550 w 831850"/>
                      <a:gd name="connsiteY6" fmla="*/ 0 h 1098550"/>
                      <a:gd name="connsiteX7" fmla="*/ 381000 w 831850"/>
                      <a:gd name="connsiteY7" fmla="*/ 412750 h 1098550"/>
                      <a:gd name="connsiteX8" fmla="*/ 0 w 831850"/>
                      <a:gd name="connsiteY8" fmla="*/ 476250 h 10985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</a:cxnLst>
                    <a:rect l="l" t="t" r="r" b="b"/>
                    <a:pathLst>
                      <a:path w="831850" h="1098550">
                        <a:moveTo>
                          <a:pt x="0" y="476250"/>
                        </a:moveTo>
                        <a:lnTo>
                          <a:pt x="38100" y="774700"/>
                        </a:lnTo>
                        <a:lnTo>
                          <a:pt x="444500" y="704850"/>
                        </a:lnTo>
                        <a:lnTo>
                          <a:pt x="508000" y="1098550"/>
                        </a:lnTo>
                        <a:lnTo>
                          <a:pt x="831850" y="1054100"/>
                        </a:lnTo>
                        <a:lnTo>
                          <a:pt x="666750" y="12700"/>
                        </a:lnTo>
                        <a:lnTo>
                          <a:pt x="336550" y="0"/>
                        </a:lnTo>
                        <a:lnTo>
                          <a:pt x="381000" y="412750"/>
                        </a:lnTo>
                        <a:lnTo>
                          <a:pt x="0" y="476250"/>
                        </a:lnTo>
                        <a:close/>
                      </a:path>
                    </a:pathLst>
                  </a:custGeom>
                  <a:noFill/>
                  <a:ln w="38100">
                    <a:solidFill>
                      <a:srgbClr val="7030A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IN"/>
                  </a:p>
                </xdr:txBody>
              </xdr:sp>
              <xdr:sp macro="" textlink="">
                <xdr:nvSpPr>
                  <xdr:cNvPr id="35" name="Freeform 34">
                    <a:extLst>
                      <a:ext uri="{FF2B5EF4-FFF2-40B4-BE49-F238E27FC236}">
                        <a16:creationId xmlns:a16="http://schemas.microsoft.com/office/drawing/2014/main" xmlns="" id="{00000000-0008-0000-0000-000023000000}"/>
                      </a:ext>
                    </a:extLst>
                  </xdr:cNvPr>
                  <xdr:cNvSpPr/>
                </xdr:nvSpPr>
                <xdr:spPr>
                  <a:xfrm>
                    <a:off x="6752914" y="123519220"/>
                    <a:ext cx="1180050" cy="645957"/>
                  </a:xfrm>
                  <a:custGeom>
                    <a:avLst/>
                    <a:gdLst>
                      <a:gd name="connsiteX0" fmla="*/ 0 w 1005840"/>
                      <a:gd name="connsiteY0" fmla="*/ 0 h 533400"/>
                      <a:gd name="connsiteX1" fmla="*/ 15240 w 1005840"/>
                      <a:gd name="connsiteY1" fmla="*/ 327660 h 533400"/>
                      <a:gd name="connsiteX2" fmla="*/ 350520 w 1005840"/>
                      <a:gd name="connsiteY2" fmla="*/ 312420 h 533400"/>
                      <a:gd name="connsiteX3" fmla="*/ 342900 w 1005840"/>
                      <a:gd name="connsiteY3" fmla="*/ 533400 h 533400"/>
                      <a:gd name="connsiteX4" fmla="*/ 662940 w 1005840"/>
                      <a:gd name="connsiteY4" fmla="*/ 533400 h 533400"/>
                      <a:gd name="connsiteX5" fmla="*/ 655320 w 1005840"/>
                      <a:gd name="connsiteY5" fmla="*/ 320040 h 533400"/>
                      <a:gd name="connsiteX6" fmla="*/ 1005840 w 1005840"/>
                      <a:gd name="connsiteY6" fmla="*/ 320040 h 533400"/>
                      <a:gd name="connsiteX7" fmla="*/ 1005840 w 1005840"/>
                      <a:gd name="connsiteY7" fmla="*/ 7620 h 533400"/>
                      <a:gd name="connsiteX8" fmla="*/ 0 w 1005840"/>
                      <a:gd name="connsiteY8" fmla="*/ 0 h 53340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</a:cxnLst>
                    <a:rect l="l" t="t" r="r" b="b"/>
                    <a:pathLst>
                      <a:path w="1005840" h="533400">
                        <a:moveTo>
                          <a:pt x="0" y="0"/>
                        </a:moveTo>
                        <a:lnTo>
                          <a:pt x="15240" y="327660"/>
                        </a:lnTo>
                        <a:lnTo>
                          <a:pt x="350520" y="312420"/>
                        </a:lnTo>
                        <a:lnTo>
                          <a:pt x="342900" y="533400"/>
                        </a:lnTo>
                        <a:lnTo>
                          <a:pt x="662940" y="533400"/>
                        </a:lnTo>
                        <a:lnTo>
                          <a:pt x="655320" y="320040"/>
                        </a:lnTo>
                        <a:lnTo>
                          <a:pt x="1005840" y="320040"/>
                        </a:lnTo>
                        <a:lnTo>
                          <a:pt x="1005840" y="762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noFill/>
                  <a:ln w="38100">
                    <a:solidFill>
                      <a:srgbClr val="7030A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IN"/>
                  </a:p>
                </xdr:txBody>
              </xdr:sp>
              <xdr:sp macro="" textlink="">
                <xdr:nvSpPr>
                  <xdr:cNvPr id="36" name="Rectangle 35">
                    <a:extLst>
                      <a:ext uri="{FF2B5EF4-FFF2-40B4-BE49-F238E27FC236}">
                        <a16:creationId xmlns:a16="http://schemas.microsoft.com/office/drawing/2014/main" xmlns="" id="{00000000-0008-0000-0000-000024000000}"/>
                      </a:ext>
                    </a:extLst>
                  </xdr:cNvPr>
                  <xdr:cNvSpPr/>
                </xdr:nvSpPr>
                <xdr:spPr>
                  <a:xfrm rot="21010866">
                    <a:off x="5596804" y="123449783"/>
                    <a:ext cx="2382406" cy="908899"/>
                  </a:xfrm>
                  <a:prstGeom prst="rect">
                    <a:avLst/>
                  </a:prstGeom>
                  <a:noFill/>
                  <a:ln w="28575">
                    <a:solidFill>
                      <a:srgbClr val="7030A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IN"/>
                  </a:p>
                </xdr:txBody>
              </xdr:sp>
              <xdr:sp macro="" textlink="">
                <xdr:nvSpPr>
                  <xdr:cNvPr id="37" name="Rectangle 36">
                    <a:extLst>
                      <a:ext uri="{FF2B5EF4-FFF2-40B4-BE49-F238E27FC236}">
                        <a16:creationId xmlns:a16="http://schemas.microsoft.com/office/drawing/2014/main" xmlns="" id="{00000000-0008-0000-0000-000025000000}"/>
                      </a:ext>
                    </a:extLst>
                  </xdr:cNvPr>
                  <xdr:cNvSpPr/>
                </xdr:nvSpPr>
                <xdr:spPr>
                  <a:xfrm>
                    <a:off x="6749142" y="123512035"/>
                    <a:ext cx="1374322" cy="331871"/>
                  </a:xfrm>
                  <a:prstGeom prst="rect">
                    <a:avLst/>
                  </a:prstGeom>
                </xdr:spPr>
                <xdr:txBody>
                  <a:bodyPr wrap="square">
                    <a:sp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r>
                      <a:rPr lang="en-US" sz="1400" b="1">
                        <a:solidFill>
                          <a:srgbClr val="FF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T3A Bldg1</a:t>
                    </a:r>
                    <a:endParaRPr lang="en-IN" sz="14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38" name="Rectangle 37">
                    <a:extLst>
                      <a:ext uri="{FF2B5EF4-FFF2-40B4-BE49-F238E27FC236}">
                        <a16:creationId xmlns:a16="http://schemas.microsoft.com/office/drawing/2014/main" xmlns="" id="{00000000-0008-0000-0000-000026000000}"/>
                      </a:ext>
                    </a:extLst>
                  </xdr:cNvPr>
                  <xdr:cNvSpPr/>
                </xdr:nvSpPr>
                <xdr:spPr>
                  <a:xfrm rot="21047131">
                    <a:off x="5699752" y="123569326"/>
                    <a:ext cx="1266343" cy="331871"/>
                  </a:xfrm>
                  <a:prstGeom prst="rect">
                    <a:avLst/>
                  </a:prstGeom>
                </xdr:spPr>
                <xdr:txBody>
                  <a:bodyPr wrap="square">
                    <a:spAutoFit/>
                  </a:bodyPr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r>
                      <a:rPr lang="en-US" sz="1400" b="1">
                        <a:solidFill>
                          <a:srgbClr val="FF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T4 Blgd2</a:t>
                    </a:r>
                    <a:endParaRPr lang="en-IN" sz="14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sp macro="" textlink="">
              <xdr:nvSpPr>
                <xdr:cNvPr id="21" name="Rectangle 20">
                  <a:extLst>
                    <a:ext uri="{FF2B5EF4-FFF2-40B4-BE49-F238E27FC236}">
                      <a16:creationId xmlns:a16="http://schemas.microsoft.com/office/drawing/2014/main" xmlns="" id="{00000000-0008-0000-0000-000015000000}"/>
                    </a:ext>
                  </a:extLst>
                </xdr:cNvPr>
                <xdr:cNvSpPr/>
              </xdr:nvSpPr>
              <xdr:spPr>
                <a:xfrm rot="791952">
                  <a:off x="4748635" y="125195432"/>
                  <a:ext cx="3454020" cy="928187"/>
                </a:xfrm>
                <a:prstGeom prst="rect">
                  <a:avLst/>
                </a:prstGeom>
                <a:noFill/>
                <a:ln w="38100">
                  <a:solidFill>
                    <a:srgbClr val="0070C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IN"/>
                </a:p>
              </xdr:txBody>
            </xdr:sp>
            <xdr:sp macro="" textlink="">
              <xdr:nvSpPr>
                <xdr:cNvPr id="22" name="Freeform 21">
                  <a:extLst>
                    <a:ext uri="{FF2B5EF4-FFF2-40B4-BE49-F238E27FC236}">
                      <a16:creationId xmlns:a16="http://schemas.microsoft.com/office/drawing/2014/main" xmlns="" id="{00000000-0008-0000-0000-000016000000}"/>
                    </a:ext>
                  </a:extLst>
                </xdr:cNvPr>
                <xdr:cNvSpPr/>
              </xdr:nvSpPr>
              <xdr:spPr>
                <a:xfrm rot="6741887">
                  <a:off x="6056518" y="125133893"/>
                  <a:ext cx="911898" cy="1082087"/>
                </a:xfrm>
                <a:custGeom>
                  <a:avLst/>
                  <a:gdLst>
                    <a:gd name="connsiteX0" fmla="*/ 0 w 831850"/>
                    <a:gd name="connsiteY0" fmla="*/ 476250 h 1098550"/>
                    <a:gd name="connsiteX1" fmla="*/ 38100 w 831850"/>
                    <a:gd name="connsiteY1" fmla="*/ 774700 h 1098550"/>
                    <a:gd name="connsiteX2" fmla="*/ 444500 w 831850"/>
                    <a:gd name="connsiteY2" fmla="*/ 704850 h 1098550"/>
                    <a:gd name="connsiteX3" fmla="*/ 508000 w 831850"/>
                    <a:gd name="connsiteY3" fmla="*/ 1098550 h 1098550"/>
                    <a:gd name="connsiteX4" fmla="*/ 831850 w 831850"/>
                    <a:gd name="connsiteY4" fmla="*/ 1054100 h 1098550"/>
                    <a:gd name="connsiteX5" fmla="*/ 666750 w 831850"/>
                    <a:gd name="connsiteY5" fmla="*/ 12700 h 1098550"/>
                    <a:gd name="connsiteX6" fmla="*/ 336550 w 831850"/>
                    <a:gd name="connsiteY6" fmla="*/ 0 h 1098550"/>
                    <a:gd name="connsiteX7" fmla="*/ 381000 w 831850"/>
                    <a:gd name="connsiteY7" fmla="*/ 412750 h 1098550"/>
                    <a:gd name="connsiteX8" fmla="*/ 0 w 831850"/>
                    <a:gd name="connsiteY8" fmla="*/ 476250 h 109855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</a:cxnLst>
                  <a:rect l="l" t="t" r="r" b="b"/>
                  <a:pathLst>
                    <a:path w="831850" h="1098550">
                      <a:moveTo>
                        <a:pt x="0" y="476250"/>
                      </a:moveTo>
                      <a:lnTo>
                        <a:pt x="38100" y="774700"/>
                      </a:lnTo>
                      <a:lnTo>
                        <a:pt x="444500" y="704850"/>
                      </a:lnTo>
                      <a:lnTo>
                        <a:pt x="508000" y="1098550"/>
                      </a:lnTo>
                      <a:lnTo>
                        <a:pt x="831850" y="1054100"/>
                      </a:lnTo>
                      <a:lnTo>
                        <a:pt x="666750" y="12700"/>
                      </a:lnTo>
                      <a:lnTo>
                        <a:pt x="336550" y="0"/>
                      </a:lnTo>
                      <a:lnTo>
                        <a:pt x="381000" y="412750"/>
                      </a:lnTo>
                      <a:lnTo>
                        <a:pt x="0" y="476250"/>
                      </a:lnTo>
                      <a:close/>
                    </a:path>
                  </a:pathLst>
                </a:custGeom>
                <a:noFill/>
                <a:ln w="38100">
                  <a:solidFill>
                    <a:srgbClr val="0070C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IN"/>
                </a:p>
              </xdr:txBody>
            </xdr:sp>
            <xdr:sp macro="" textlink="">
              <xdr:nvSpPr>
                <xdr:cNvPr id="23" name="Freeform 22">
                  <a:extLst>
                    <a:ext uri="{FF2B5EF4-FFF2-40B4-BE49-F238E27FC236}">
                      <a16:creationId xmlns:a16="http://schemas.microsoft.com/office/drawing/2014/main" xmlns="" id="{00000000-0008-0000-0000-000017000000}"/>
                    </a:ext>
                  </a:extLst>
                </xdr:cNvPr>
                <xdr:cNvSpPr/>
              </xdr:nvSpPr>
              <xdr:spPr>
                <a:xfrm rot="11539106">
                  <a:off x="4839227" y="125102530"/>
                  <a:ext cx="1120349" cy="674624"/>
                </a:xfrm>
                <a:custGeom>
                  <a:avLst/>
                  <a:gdLst>
                    <a:gd name="connsiteX0" fmla="*/ 0 w 1005840"/>
                    <a:gd name="connsiteY0" fmla="*/ 0 h 533400"/>
                    <a:gd name="connsiteX1" fmla="*/ 15240 w 1005840"/>
                    <a:gd name="connsiteY1" fmla="*/ 327660 h 533400"/>
                    <a:gd name="connsiteX2" fmla="*/ 350520 w 1005840"/>
                    <a:gd name="connsiteY2" fmla="*/ 312420 h 533400"/>
                    <a:gd name="connsiteX3" fmla="*/ 342900 w 1005840"/>
                    <a:gd name="connsiteY3" fmla="*/ 533400 h 533400"/>
                    <a:gd name="connsiteX4" fmla="*/ 662940 w 1005840"/>
                    <a:gd name="connsiteY4" fmla="*/ 533400 h 533400"/>
                    <a:gd name="connsiteX5" fmla="*/ 655320 w 1005840"/>
                    <a:gd name="connsiteY5" fmla="*/ 320040 h 533400"/>
                    <a:gd name="connsiteX6" fmla="*/ 1005840 w 1005840"/>
                    <a:gd name="connsiteY6" fmla="*/ 320040 h 533400"/>
                    <a:gd name="connsiteX7" fmla="*/ 1005840 w 1005840"/>
                    <a:gd name="connsiteY7" fmla="*/ 7620 h 533400"/>
                    <a:gd name="connsiteX8" fmla="*/ 0 w 1005840"/>
                    <a:gd name="connsiteY8" fmla="*/ 0 h 5334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</a:cxnLst>
                  <a:rect l="l" t="t" r="r" b="b"/>
                  <a:pathLst>
                    <a:path w="1005840" h="533400">
                      <a:moveTo>
                        <a:pt x="0" y="0"/>
                      </a:moveTo>
                      <a:lnTo>
                        <a:pt x="15240" y="327660"/>
                      </a:lnTo>
                      <a:lnTo>
                        <a:pt x="350520" y="312420"/>
                      </a:lnTo>
                      <a:lnTo>
                        <a:pt x="342900" y="533400"/>
                      </a:lnTo>
                      <a:lnTo>
                        <a:pt x="662940" y="533400"/>
                      </a:lnTo>
                      <a:lnTo>
                        <a:pt x="655320" y="320040"/>
                      </a:lnTo>
                      <a:lnTo>
                        <a:pt x="1005840" y="320040"/>
                      </a:lnTo>
                      <a:lnTo>
                        <a:pt x="1005840" y="762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noFill/>
                <a:ln w="38100">
                  <a:solidFill>
                    <a:srgbClr val="0070C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IN"/>
                </a:p>
              </xdr:txBody>
            </xdr:sp>
            <xdr:sp macro="" textlink="">
              <xdr:nvSpPr>
                <xdr:cNvPr id="24" name="Freeform 23">
                  <a:extLst>
                    <a:ext uri="{FF2B5EF4-FFF2-40B4-BE49-F238E27FC236}">
                      <a16:creationId xmlns:a16="http://schemas.microsoft.com/office/drawing/2014/main" xmlns="" id="{00000000-0008-0000-0000-000018000000}"/>
                    </a:ext>
                  </a:extLst>
                </xdr:cNvPr>
                <xdr:cNvSpPr/>
              </xdr:nvSpPr>
              <xdr:spPr>
                <a:xfrm rot="10553330">
                  <a:off x="6951915" y="125486301"/>
                  <a:ext cx="1119743" cy="600576"/>
                </a:xfrm>
                <a:custGeom>
                  <a:avLst/>
                  <a:gdLst>
                    <a:gd name="connsiteX0" fmla="*/ 0 w 1005840"/>
                    <a:gd name="connsiteY0" fmla="*/ 0 h 533400"/>
                    <a:gd name="connsiteX1" fmla="*/ 15240 w 1005840"/>
                    <a:gd name="connsiteY1" fmla="*/ 327660 h 533400"/>
                    <a:gd name="connsiteX2" fmla="*/ 350520 w 1005840"/>
                    <a:gd name="connsiteY2" fmla="*/ 312420 h 533400"/>
                    <a:gd name="connsiteX3" fmla="*/ 342900 w 1005840"/>
                    <a:gd name="connsiteY3" fmla="*/ 533400 h 533400"/>
                    <a:gd name="connsiteX4" fmla="*/ 662940 w 1005840"/>
                    <a:gd name="connsiteY4" fmla="*/ 533400 h 533400"/>
                    <a:gd name="connsiteX5" fmla="*/ 655320 w 1005840"/>
                    <a:gd name="connsiteY5" fmla="*/ 320040 h 533400"/>
                    <a:gd name="connsiteX6" fmla="*/ 1005840 w 1005840"/>
                    <a:gd name="connsiteY6" fmla="*/ 320040 h 533400"/>
                    <a:gd name="connsiteX7" fmla="*/ 1005840 w 1005840"/>
                    <a:gd name="connsiteY7" fmla="*/ 7620 h 533400"/>
                    <a:gd name="connsiteX8" fmla="*/ 0 w 1005840"/>
                    <a:gd name="connsiteY8" fmla="*/ 0 h 5334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</a:cxnLst>
                  <a:rect l="l" t="t" r="r" b="b"/>
                  <a:pathLst>
                    <a:path w="1005840" h="533400">
                      <a:moveTo>
                        <a:pt x="0" y="0"/>
                      </a:moveTo>
                      <a:lnTo>
                        <a:pt x="15240" y="327660"/>
                      </a:lnTo>
                      <a:lnTo>
                        <a:pt x="350520" y="312420"/>
                      </a:lnTo>
                      <a:lnTo>
                        <a:pt x="342900" y="533400"/>
                      </a:lnTo>
                      <a:lnTo>
                        <a:pt x="662940" y="533400"/>
                      </a:lnTo>
                      <a:lnTo>
                        <a:pt x="655320" y="320040"/>
                      </a:lnTo>
                      <a:lnTo>
                        <a:pt x="1005840" y="320040"/>
                      </a:lnTo>
                      <a:lnTo>
                        <a:pt x="1005840" y="762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noFill/>
                <a:ln w="38100">
                  <a:solidFill>
                    <a:srgbClr val="0070C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IN"/>
                </a:p>
              </xdr:txBody>
            </xdr:sp>
            <xdr:sp macro="" textlink="">
              <xdr:nvSpPr>
                <xdr:cNvPr id="25" name="Rectangle 24">
                  <a:extLst>
                    <a:ext uri="{FF2B5EF4-FFF2-40B4-BE49-F238E27FC236}">
                      <a16:creationId xmlns:a16="http://schemas.microsoft.com/office/drawing/2014/main" xmlns="" id="{00000000-0008-0000-0000-000019000000}"/>
                    </a:ext>
                  </a:extLst>
                </xdr:cNvPr>
                <xdr:cNvSpPr/>
              </xdr:nvSpPr>
              <xdr:spPr>
                <a:xfrm rot="21027867">
                  <a:off x="6856662" y="125705500"/>
                  <a:ext cx="1371629" cy="331871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4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T3A Bldg5</a:t>
                  </a:r>
                  <a:endParaRPr lang="en-IN" sz="14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6" name="Rectangle 25">
                  <a:extLst>
                    <a:ext uri="{FF2B5EF4-FFF2-40B4-BE49-F238E27FC236}">
                      <a16:creationId xmlns:a16="http://schemas.microsoft.com/office/drawing/2014/main" xmlns="" id="{00000000-0008-0000-0000-00001A000000}"/>
                    </a:ext>
                  </a:extLst>
                </xdr:cNvPr>
                <xdr:cNvSpPr/>
              </xdr:nvSpPr>
              <xdr:spPr>
                <a:xfrm rot="744101">
                  <a:off x="5861554" y="125682236"/>
                  <a:ext cx="1233286" cy="331871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4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T4 Blgd3</a:t>
                  </a:r>
                  <a:endParaRPr lang="en-IN" sz="14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7" name="Rectangle 26">
                  <a:extLst>
                    <a:ext uri="{FF2B5EF4-FFF2-40B4-BE49-F238E27FC236}">
                      <a16:creationId xmlns:a16="http://schemas.microsoft.com/office/drawing/2014/main" xmlns="" id="{00000000-0008-0000-0000-00001B000000}"/>
                    </a:ext>
                  </a:extLst>
                </xdr:cNvPr>
                <xdr:cNvSpPr/>
              </xdr:nvSpPr>
              <xdr:spPr>
                <a:xfrm rot="940864">
                  <a:off x="4718304" y="125433047"/>
                  <a:ext cx="1356743" cy="331871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4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T3A Bldg4</a:t>
                  </a:r>
                  <a:endParaRPr lang="en-IN" sz="14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8" name="Rectangle 27">
                  <a:extLst>
                    <a:ext uri="{FF2B5EF4-FFF2-40B4-BE49-F238E27FC236}">
                      <a16:creationId xmlns:a16="http://schemas.microsoft.com/office/drawing/2014/main" xmlns="" id="{00000000-0008-0000-0000-00001C000000}"/>
                    </a:ext>
                  </a:extLst>
                </xdr:cNvPr>
                <xdr:cNvSpPr/>
              </xdr:nvSpPr>
              <xdr:spPr>
                <a:xfrm rot="941562">
                  <a:off x="5760924" y="126108763"/>
                  <a:ext cx="1167595" cy="397390"/>
                </a:xfrm>
                <a:prstGeom prst="rect">
                  <a:avLst/>
                </a:prstGeom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b="1">
                      <a:solidFill>
                        <a:srgbClr val="0070C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Phase 1</a:t>
                  </a:r>
                  <a:endParaRPr lang="en-IN" b="1">
                    <a:solidFill>
                      <a:srgbClr val="0070C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</xdr:grpSp>
          <xdr:sp macro="" textlink="">
            <xdr:nvSpPr>
              <xdr:cNvPr id="17" name="Rectangle 16">
                <a:extLst>
                  <a:ext uri="{FF2B5EF4-FFF2-40B4-BE49-F238E27FC236}">
                    <a16:creationId xmlns:a16="http://schemas.microsoft.com/office/drawing/2014/main" xmlns="" id="{00000000-0008-0000-0000-000011000000}"/>
                  </a:ext>
                </a:extLst>
              </xdr:cNvPr>
              <xdr:cNvSpPr/>
            </xdr:nvSpPr>
            <xdr:spPr>
              <a:xfrm rot="617544">
                <a:off x="8309600" y="124594319"/>
                <a:ext cx="1051645" cy="397390"/>
              </a:xfrm>
              <a:prstGeom prst="rect">
                <a:avLst/>
              </a:prstGeom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00206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Phase 2</a:t>
                </a:r>
                <a:endParaRPr lang="en-IN" b="1">
                  <a:solidFill>
                    <a:srgbClr val="00206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8" name="Rectangle 17">
                <a:extLst>
                  <a:ext uri="{FF2B5EF4-FFF2-40B4-BE49-F238E27FC236}">
                    <a16:creationId xmlns:a16="http://schemas.microsoft.com/office/drawing/2014/main" xmlns="" id="{00000000-0008-0000-0000-000012000000}"/>
                  </a:ext>
                </a:extLst>
              </xdr:cNvPr>
              <xdr:cNvSpPr/>
            </xdr:nvSpPr>
            <xdr:spPr>
              <a:xfrm rot="21042045">
                <a:off x="6612697" y="122949959"/>
                <a:ext cx="1060335" cy="397390"/>
              </a:xfrm>
              <a:prstGeom prst="rect">
                <a:avLst/>
              </a:prstGeom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Phase 3</a:t>
                </a:r>
                <a:endParaRPr lang="en-IN" b="1">
                  <a:solidFill>
                    <a:srgbClr val="7030A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9" name="Rectangle 18">
                <a:extLst>
                  <a:ext uri="{FF2B5EF4-FFF2-40B4-BE49-F238E27FC236}">
                    <a16:creationId xmlns:a16="http://schemas.microsoft.com/office/drawing/2014/main" xmlns="" id="{00000000-0008-0000-0000-000013000000}"/>
                  </a:ext>
                </a:extLst>
              </xdr:cNvPr>
              <xdr:cNvSpPr/>
            </xdr:nvSpPr>
            <xdr:spPr>
              <a:xfrm rot="150285">
                <a:off x="5831051" y="124596959"/>
                <a:ext cx="1353971" cy="369331"/>
              </a:xfrm>
              <a:prstGeom prst="rect">
                <a:avLst/>
              </a:prstGeom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Cluster 1B</a:t>
                </a:r>
                <a:endParaRPr lang="en-IN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14" name="Straight Arrow Connector 13">
              <a:extLst>
                <a:ext uri="{FF2B5EF4-FFF2-40B4-BE49-F238E27FC236}">
                  <a16:creationId xmlns:a16="http://schemas.microsoft.com/office/drawing/2014/main" xmlns="" id="{00000000-0008-0000-0000-00000E000000}"/>
                </a:ext>
              </a:extLst>
            </xdr:cNvPr>
            <xdr:cNvCxnSpPr/>
          </xdr:nvCxnSpPr>
          <xdr:spPr>
            <a:xfrm flipV="1">
              <a:off x="8613321" y="127417287"/>
              <a:ext cx="13607" cy="639534"/>
            </a:xfrm>
            <a:prstGeom prst="straightConnector1">
              <a:avLst/>
            </a:prstGeom>
            <a:ln w="5715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SpPr txBox="1"/>
          </xdr:nvSpPr>
          <xdr:spPr>
            <a:xfrm>
              <a:off x="8381999" y="126832179"/>
              <a:ext cx="639537" cy="6531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3600" b="1">
                  <a:solidFill>
                    <a:srgbClr val="FF0000"/>
                  </a:solidFill>
                </a:rPr>
                <a:t>N</a:t>
              </a:r>
            </a:p>
          </xdr:txBody>
        </xdr:sp>
      </xdr:grpSp>
    </xdr:grpSp>
    <xdr:clientData/>
  </xdr:twoCellAnchor>
  <xdr:twoCellAnchor>
    <xdr:from>
      <xdr:col>0</xdr:col>
      <xdr:colOff>452231</xdr:colOff>
      <xdr:row>535</xdr:row>
      <xdr:rowOff>38093</xdr:rowOff>
    </xdr:from>
    <xdr:to>
      <xdr:col>7</xdr:col>
      <xdr:colOff>152401</xdr:colOff>
      <xdr:row>555</xdr:row>
      <xdr:rowOff>145773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pSpPr/>
      </xdr:nvGrpSpPr>
      <xdr:grpSpPr>
        <a:xfrm>
          <a:off x="452231" y="101177028"/>
          <a:ext cx="5613953" cy="3420723"/>
          <a:chOff x="2598965" y="138615957"/>
          <a:chExt cx="6721977" cy="4500000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598965" y="138615957"/>
            <a:ext cx="6721977" cy="45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Freeform 41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/>
        </xdr:nvSpPr>
        <xdr:spPr>
          <a:xfrm rot="19920816">
            <a:off x="4776105" y="139772570"/>
            <a:ext cx="1823358" cy="1646465"/>
          </a:xfrm>
          <a:custGeom>
            <a:avLst/>
            <a:gdLst>
              <a:gd name="connsiteX0" fmla="*/ 53788 w 4876800"/>
              <a:gd name="connsiteY0" fmla="*/ 1864659 h 3263153"/>
              <a:gd name="connsiteX1" fmla="*/ 2420471 w 4876800"/>
              <a:gd name="connsiteY1" fmla="*/ 143436 h 3263153"/>
              <a:gd name="connsiteX2" fmla="*/ 2868706 w 4876800"/>
              <a:gd name="connsiteY2" fmla="*/ 286871 h 3263153"/>
              <a:gd name="connsiteX3" fmla="*/ 3836894 w 4876800"/>
              <a:gd name="connsiteY3" fmla="*/ 0 h 3263153"/>
              <a:gd name="connsiteX4" fmla="*/ 4320988 w 4876800"/>
              <a:gd name="connsiteY4" fmla="*/ 1093694 h 3263153"/>
              <a:gd name="connsiteX5" fmla="*/ 4177553 w 4876800"/>
              <a:gd name="connsiteY5" fmla="*/ 1290918 h 3263153"/>
              <a:gd name="connsiteX6" fmla="*/ 4231341 w 4876800"/>
              <a:gd name="connsiteY6" fmla="*/ 1344706 h 3263153"/>
              <a:gd name="connsiteX7" fmla="*/ 4374777 w 4876800"/>
              <a:gd name="connsiteY7" fmla="*/ 1255059 h 3263153"/>
              <a:gd name="connsiteX8" fmla="*/ 4356847 w 4876800"/>
              <a:gd name="connsiteY8" fmla="*/ 1918447 h 3263153"/>
              <a:gd name="connsiteX9" fmla="*/ 4410635 w 4876800"/>
              <a:gd name="connsiteY9" fmla="*/ 2205318 h 3263153"/>
              <a:gd name="connsiteX10" fmla="*/ 4392706 w 4876800"/>
              <a:gd name="connsiteY10" fmla="*/ 2223247 h 3263153"/>
              <a:gd name="connsiteX11" fmla="*/ 4715435 w 4876800"/>
              <a:gd name="connsiteY11" fmla="*/ 2366683 h 3263153"/>
              <a:gd name="connsiteX12" fmla="*/ 4751294 w 4876800"/>
              <a:gd name="connsiteY12" fmla="*/ 2725271 h 3263153"/>
              <a:gd name="connsiteX13" fmla="*/ 4823012 w 4876800"/>
              <a:gd name="connsiteY13" fmla="*/ 2779059 h 3263153"/>
              <a:gd name="connsiteX14" fmla="*/ 4876800 w 4876800"/>
              <a:gd name="connsiteY14" fmla="*/ 3137647 h 3263153"/>
              <a:gd name="connsiteX15" fmla="*/ 4303059 w 4876800"/>
              <a:gd name="connsiteY15" fmla="*/ 3155577 h 3263153"/>
              <a:gd name="connsiteX16" fmla="*/ 3908612 w 4876800"/>
              <a:gd name="connsiteY16" fmla="*/ 2976283 h 3263153"/>
              <a:gd name="connsiteX17" fmla="*/ 3693459 w 4876800"/>
              <a:gd name="connsiteY17" fmla="*/ 3263153 h 3263153"/>
              <a:gd name="connsiteX18" fmla="*/ 0 w 4876800"/>
              <a:gd name="connsiteY18" fmla="*/ 2420471 h 3263153"/>
              <a:gd name="connsiteX19" fmla="*/ 53788 w 4876800"/>
              <a:gd name="connsiteY19" fmla="*/ 1864659 h 32631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4876800" h="3263153">
                <a:moveTo>
                  <a:pt x="53788" y="1864659"/>
                </a:moveTo>
                <a:lnTo>
                  <a:pt x="2420471" y="143436"/>
                </a:lnTo>
                <a:lnTo>
                  <a:pt x="2868706" y="286871"/>
                </a:lnTo>
                <a:lnTo>
                  <a:pt x="3836894" y="0"/>
                </a:lnTo>
                <a:lnTo>
                  <a:pt x="4320988" y="1093694"/>
                </a:lnTo>
                <a:lnTo>
                  <a:pt x="4177553" y="1290918"/>
                </a:lnTo>
                <a:lnTo>
                  <a:pt x="4231341" y="1344706"/>
                </a:lnTo>
                <a:lnTo>
                  <a:pt x="4374777" y="1255059"/>
                </a:lnTo>
                <a:lnTo>
                  <a:pt x="4356847" y="1918447"/>
                </a:lnTo>
                <a:lnTo>
                  <a:pt x="4410635" y="2205318"/>
                </a:lnTo>
                <a:lnTo>
                  <a:pt x="4392706" y="2223247"/>
                </a:lnTo>
                <a:lnTo>
                  <a:pt x="4715435" y="2366683"/>
                </a:lnTo>
                <a:lnTo>
                  <a:pt x="4751294" y="2725271"/>
                </a:lnTo>
                <a:lnTo>
                  <a:pt x="4823012" y="2779059"/>
                </a:lnTo>
                <a:lnTo>
                  <a:pt x="4876800" y="3137647"/>
                </a:lnTo>
                <a:lnTo>
                  <a:pt x="4303059" y="3155577"/>
                </a:lnTo>
                <a:lnTo>
                  <a:pt x="3908612" y="2976283"/>
                </a:lnTo>
                <a:lnTo>
                  <a:pt x="3693459" y="3263153"/>
                </a:lnTo>
                <a:lnTo>
                  <a:pt x="0" y="2420471"/>
                </a:lnTo>
                <a:lnTo>
                  <a:pt x="53788" y="1864659"/>
                </a:lnTo>
                <a:close/>
              </a:path>
            </a:pathLst>
          </a:cu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</xdr:col>
      <xdr:colOff>59636</xdr:colOff>
      <xdr:row>517</xdr:row>
      <xdr:rowOff>110987</xdr:rowOff>
    </xdr:from>
    <xdr:to>
      <xdr:col>6</xdr:col>
      <xdr:colOff>633146</xdr:colOff>
      <xdr:row>534</xdr:row>
      <xdr:rowOff>61291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1271" y="95407370"/>
          <a:ext cx="4920223" cy="27663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146651</xdr:colOff>
      <xdr:row>58</xdr:row>
      <xdr:rowOff>438979</xdr:rowOff>
    </xdr:from>
    <xdr:to>
      <xdr:col>16</xdr:col>
      <xdr:colOff>107912</xdr:colOff>
      <xdr:row>60</xdr:row>
      <xdr:rowOff>59080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4357" y="21326744"/>
          <a:ext cx="1776614" cy="8239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192448</xdr:colOff>
      <xdr:row>58</xdr:row>
      <xdr:rowOff>499394</xdr:rowOff>
    </xdr:from>
    <xdr:to>
      <xdr:col>13</xdr:col>
      <xdr:colOff>93095</xdr:colOff>
      <xdr:row>59</xdr:row>
      <xdr:rowOff>729140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0801" y="21387159"/>
          <a:ext cx="3240000" cy="7287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190501</xdr:colOff>
      <xdr:row>60</xdr:row>
      <xdr:rowOff>44824</xdr:rowOff>
    </xdr:from>
    <xdr:to>
      <xdr:col>13</xdr:col>
      <xdr:colOff>374957</xdr:colOff>
      <xdr:row>61</xdr:row>
      <xdr:rowOff>211752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58854" y="22266089"/>
          <a:ext cx="3523809" cy="3238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44824</xdr:colOff>
      <xdr:row>52</xdr:row>
      <xdr:rowOff>257736</xdr:rowOff>
    </xdr:from>
    <xdr:to>
      <xdr:col>18</xdr:col>
      <xdr:colOff>79236</xdr:colOff>
      <xdr:row>56</xdr:row>
      <xdr:rowOff>5246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52530" y="17413942"/>
          <a:ext cx="3060000" cy="27170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134470</xdr:colOff>
      <xdr:row>53</xdr:row>
      <xdr:rowOff>403411</xdr:rowOff>
    </xdr:from>
    <xdr:to>
      <xdr:col>12</xdr:col>
      <xdr:colOff>460235</xdr:colOff>
      <xdr:row>56</xdr:row>
      <xdr:rowOff>304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02823" y="17974235"/>
          <a:ext cx="3060000" cy="21518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190500</xdr:colOff>
      <xdr:row>44</xdr:row>
      <xdr:rowOff>1445559</xdr:rowOff>
    </xdr:from>
    <xdr:to>
      <xdr:col>11</xdr:col>
      <xdr:colOff>581382</xdr:colOff>
      <xdr:row>53</xdr:row>
      <xdr:rowOff>179683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8853" y="15766677"/>
          <a:ext cx="2520000" cy="1983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89648</xdr:colOff>
      <xdr:row>56</xdr:row>
      <xdr:rowOff>67237</xdr:rowOff>
    </xdr:from>
    <xdr:to>
      <xdr:col>16</xdr:col>
      <xdr:colOff>353824</xdr:colOff>
      <xdr:row>59</xdr:row>
      <xdr:rowOff>298122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76883" y="20193002"/>
          <a:ext cx="4500000" cy="11585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22997</xdr:colOff>
      <xdr:row>4</xdr:row>
      <xdr:rowOff>279272</xdr:rowOff>
    </xdr:from>
    <xdr:to>
      <xdr:col>19</xdr:col>
      <xdr:colOff>591242</xdr:colOff>
      <xdr:row>7</xdr:row>
      <xdr:rowOff>1784734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153745" y="1644246"/>
          <a:ext cx="5551062" cy="2353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470648</xdr:colOff>
      <xdr:row>180</xdr:row>
      <xdr:rowOff>44823</xdr:rowOff>
    </xdr:from>
    <xdr:to>
      <xdr:col>14</xdr:col>
      <xdr:colOff>416488</xdr:colOff>
      <xdr:row>197</xdr:row>
      <xdr:rowOff>130204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157883" y="36273441"/>
          <a:ext cx="2971429" cy="2752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57150</xdr:colOff>
      <xdr:row>252</xdr:row>
      <xdr:rowOff>47625</xdr:rowOff>
    </xdr:from>
    <xdr:to>
      <xdr:col>14</xdr:col>
      <xdr:colOff>390102</xdr:colOff>
      <xdr:row>271</xdr:row>
      <xdr:rowOff>47239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24775" y="48196500"/>
          <a:ext cx="3380952" cy="30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19050</xdr:colOff>
      <xdr:row>252</xdr:row>
      <xdr:rowOff>19050</xdr:rowOff>
    </xdr:from>
    <xdr:to>
      <xdr:col>19</xdr:col>
      <xdr:colOff>590174</xdr:colOff>
      <xdr:row>270</xdr:row>
      <xdr:rowOff>123447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344275" y="48167925"/>
          <a:ext cx="3009524" cy="301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66675</xdr:colOff>
      <xdr:row>180</xdr:row>
      <xdr:rowOff>57150</xdr:rowOff>
    </xdr:from>
    <xdr:to>
      <xdr:col>20</xdr:col>
      <xdr:colOff>28199</xdr:colOff>
      <xdr:row>198</xdr:row>
      <xdr:rowOff>161547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391900" y="36518850"/>
          <a:ext cx="3009524" cy="301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514349</xdr:colOff>
      <xdr:row>218</xdr:row>
      <xdr:rowOff>123824</xdr:rowOff>
    </xdr:from>
    <xdr:to>
      <xdr:col>12</xdr:col>
      <xdr:colOff>461624</xdr:colOff>
      <xdr:row>234</xdr:row>
      <xdr:rowOff>158184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8049" y="42767249"/>
          <a:ext cx="2700000" cy="2625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0</xdr:colOff>
      <xdr:row>218</xdr:row>
      <xdr:rowOff>85725</xdr:rowOff>
    </xdr:from>
    <xdr:to>
      <xdr:col>17</xdr:col>
      <xdr:colOff>261600</xdr:colOff>
      <xdr:row>245</xdr:row>
      <xdr:rowOff>73884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06025" y="42729150"/>
          <a:ext cx="2700000" cy="43601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542925</xdr:colOff>
      <xdr:row>289</xdr:row>
      <xdr:rowOff>133349</xdr:rowOff>
    </xdr:from>
    <xdr:to>
      <xdr:col>14</xdr:col>
      <xdr:colOff>194925</xdr:colOff>
      <xdr:row>306</xdr:row>
      <xdr:rowOff>5785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0550" y="54302024"/>
          <a:ext cx="2700000" cy="2625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342901</xdr:colOff>
      <xdr:row>289</xdr:row>
      <xdr:rowOff>95250</xdr:rowOff>
    </xdr:from>
    <xdr:to>
      <xdr:col>18</xdr:col>
      <xdr:colOff>604501</xdr:colOff>
      <xdr:row>316</xdr:row>
      <xdr:rowOff>83411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58526" y="54263925"/>
          <a:ext cx="2700000" cy="43601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228600</xdr:colOff>
      <xdr:row>357</xdr:row>
      <xdr:rowOff>47624</xdr:rowOff>
    </xdr:from>
    <xdr:to>
      <xdr:col>13</xdr:col>
      <xdr:colOff>490200</xdr:colOff>
      <xdr:row>373</xdr:row>
      <xdr:rowOff>81983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6225" y="65255774"/>
          <a:ext cx="2700000" cy="2625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28576</xdr:colOff>
      <xdr:row>357</xdr:row>
      <xdr:rowOff>9525</xdr:rowOff>
    </xdr:from>
    <xdr:to>
      <xdr:col>18</xdr:col>
      <xdr:colOff>290176</xdr:colOff>
      <xdr:row>383</xdr:row>
      <xdr:rowOff>159609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44201" y="65217675"/>
          <a:ext cx="2700000" cy="43601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662668</xdr:colOff>
      <xdr:row>323</xdr:row>
      <xdr:rowOff>131989</xdr:rowOff>
    </xdr:from>
    <xdr:to>
      <xdr:col>19</xdr:col>
      <xdr:colOff>139341</xdr:colOff>
      <xdr:row>343</xdr:row>
      <xdr:rowOff>45870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11811" y="60153096"/>
          <a:ext cx="6525173" cy="31795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372719</xdr:colOff>
      <xdr:row>447</xdr:row>
      <xdr:rowOff>49695</xdr:rowOff>
    </xdr:from>
    <xdr:to>
      <xdr:col>5</xdr:col>
      <xdr:colOff>268249</xdr:colOff>
      <xdr:row>460</xdr:row>
      <xdr:rowOff>56217</xdr:rowOff>
    </xdr:to>
    <xdr:pic>
      <xdr:nvPicPr>
        <xdr:cNvPr id="64" name="Picture 63" descr="https://vsjcllp.vsjadon.com/upload/insp-247209-1525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0936" y="86619521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160684</xdr:colOff>
      <xdr:row>416</xdr:row>
      <xdr:rowOff>143770</xdr:rowOff>
    </xdr:from>
    <xdr:to>
      <xdr:col>7</xdr:col>
      <xdr:colOff>728486</xdr:colOff>
      <xdr:row>431</xdr:row>
      <xdr:rowOff>24848</xdr:rowOff>
    </xdr:to>
    <xdr:pic>
      <xdr:nvPicPr>
        <xdr:cNvPr id="66" name="Picture 65" descr="https://vsjcllp.vsjadon.com/upload/insp-247209-845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0293" y="81578379"/>
          <a:ext cx="3151976" cy="23658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238540</xdr:colOff>
      <xdr:row>416</xdr:row>
      <xdr:rowOff>147085</xdr:rowOff>
    </xdr:from>
    <xdr:to>
      <xdr:col>4</xdr:col>
      <xdr:colOff>63509</xdr:colOff>
      <xdr:row>431</xdr:row>
      <xdr:rowOff>30115</xdr:rowOff>
    </xdr:to>
    <xdr:pic>
      <xdr:nvPicPr>
        <xdr:cNvPr id="67" name="Picture 66" descr="https://vsjcllp.vsjadon.com/upload/insp-247209-847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540" y="81581694"/>
          <a:ext cx="3154578" cy="236781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753718</xdr:colOff>
      <xdr:row>431</xdr:row>
      <xdr:rowOff>135833</xdr:rowOff>
    </xdr:from>
    <xdr:to>
      <xdr:col>3</xdr:col>
      <xdr:colOff>86333</xdr:colOff>
      <xdr:row>446</xdr:row>
      <xdr:rowOff>54663</xdr:rowOff>
    </xdr:to>
    <xdr:pic>
      <xdr:nvPicPr>
        <xdr:cNvPr id="72" name="Picture 71" descr="https://vsjcllp.vsjadon.com/upload/insp-247209-849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718" y="84055224"/>
          <a:ext cx="1800832" cy="240361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362778</xdr:colOff>
      <xdr:row>431</xdr:row>
      <xdr:rowOff>122581</xdr:rowOff>
    </xdr:from>
    <xdr:to>
      <xdr:col>7</xdr:col>
      <xdr:colOff>440827</xdr:colOff>
      <xdr:row>446</xdr:row>
      <xdr:rowOff>41411</xdr:rowOff>
    </xdr:to>
    <xdr:pic>
      <xdr:nvPicPr>
        <xdr:cNvPr id="73" name="Picture 72" descr="https://vsjcllp.vsjadon.com/upload/insp-247209-861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3778" y="84041972"/>
          <a:ext cx="1800832" cy="240361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183875</xdr:colOff>
      <xdr:row>431</xdr:row>
      <xdr:rowOff>134176</xdr:rowOff>
    </xdr:from>
    <xdr:to>
      <xdr:col>5</xdr:col>
      <xdr:colOff>261924</xdr:colOff>
      <xdr:row>446</xdr:row>
      <xdr:rowOff>53006</xdr:rowOff>
    </xdr:to>
    <xdr:pic>
      <xdr:nvPicPr>
        <xdr:cNvPr id="74" name="Picture 73" descr="https://vsjcllp.vsjadon.com/upload/insp-247209-860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2092" y="84053567"/>
          <a:ext cx="1800832" cy="240361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675kqUqcDEd41yS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62"/>
  <sheetViews>
    <sheetView tabSelected="1" view="pageBreakPreview" topLeftCell="A184" zoomScale="115" zoomScaleNormal="115" zoomScaleSheetLayoutView="115" workbookViewId="0">
      <selection activeCell="L152" sqref="L152"/>
    </sheetView>
  </sheetViews>
  <sheetFormatPr defaultColWidth="9.140625" defaultRowHeight="12.75" x14ac:dyDescent="0.2"/>
  <cols>
    <col min="1" max="2" width="12" style="6" customWidth="1"/>
    <col min="3" max="8" width="12.85546875" style="6" customWidth="1"/>
    <col min="9" max="9" width="13.85546875" style="6" customWidth="1"/>
    <col min="10" max="16384" width="9.140625" style="6"/>
  </cols>
  <sheetData>
    <row r="1" spans="1:20" ht="41.25" customHeight="1" x14ac:dyDescent="0.3">
      <c r="A1" s="234" t="s">
        <v>149</v>
      </c>
      <c r="B1" s="234"/>
      <c r="C1" s="235"/>
      <c r="D1" s="235"/>
      <c r="E1" s="235"/>
      <c r="F1" s="235"/>
      <c r="G1" s="235"/>
      <c r="H1" s="235"/>
      <c r="K1" s="66"/>
    </row>
    <row r="2" spans="1:20" ht="14.25" x14ac:dyDescent="0.2">
      <c r="A2" s="237" t="s">
        <v>86</v>
      </c>
      <c r="B2" s="237"/>
      <c r="C2" s="237"/>
      <c r="D2" s="237"/>
      <c r="E2" s="237"/>
      <c r="F2" s="237"/>
      <c r="G2" s="237"/>
      <c r="H2" s="237"/>
    </row>
    <row r="3" spans="1:20" ht="25.5" x14ac:dyDescent="0.2">
      <c r="A3" s="12" t="s">
        <v>104</v>
      </c>
      <c r="B3" s="12"/>
      <c r="C3" s="134" t="s">
        <v>111</v>
      </c>
      <c r="D3" s="135"/>
      <c r="E3" s="136"/>
      <c r="F3" s="11" t="s">
        <v>105</v>
      </c>
      <c r="G3" s="126">
        <v>45909</v>
      </c>
      <c r="H3" s="126"/>
    </row>
    <row r="4" spans="1:20" ht="25.5" x14ac:dyDescent="0.2">
      <c r="A4" s="12" t="s">
        <v>108</v>
      </c>
      <c r="B4" s="67"/>
      <c r="C4" s="137" t="s">
        <v>109</v>
      </c>
      <c r="D4" s="138"/>
      <c r="E4" s="139"/>
      <c r="F4" s="68" t="s">
        <v>106</v>
      </c>
      <c r="G4" s="127" t="s">
        <v>325</v>
      </c>
      <c r="H4" s="127"/>
    </row>
    <row r="5" spans="1:20" ht="25.5" x14ac:dyDescent="0.2">
      <c r="A5" s="224" t="s">
        <v>110</v>
      </c>
      <c r="B5" s="225"/>
      <c r="C5" s="265" t="s">
        <v>326</v>
      </c>
      <c r="D5" s="135"/>
      <c r="E5" s="136"/>
      <c r="F5" s="11" t="s">
        <v>107</v>
      </c>
      <c r="G5" s="126" t="str">
        <f ca="1">TEXT(TODAY(),"DD/MM/YYYY")</f>
        <v>11/09/2025</v>
      </c>
      <c r="H5" s="126"/>
      <c r="I5" s="6" t="s">
        <v>276</v>
      </c>
    </row>
    <row r="6" spans="1:20" ht="14.25" x14ac:dyDescent="0.2">
      <c r="A6" s="237" t="s">
        <v>103</v>
      </c>
      <c r="B6" s="237"/>
      <c r="C6" s="237"/>
      <c r="D6" s="237"/>
      <c r="E6" s="237"/>
      <c r="F6" s="237"/>
      <c r="G6" s="237"/>
      <c r="H6" s="237"/>
    </row>
    <row r="7" spans="1:20" ht="14.25" x14ac:dyDescent="0.2">
      <c r="A7" s="144" t="s">
        <v>0</v>
      </c>
      <c r="B7" s="145"/>
      <c r="C7" s="239" t="s">
        <v>231</v>
      </c>
      <c r="D7" s="239"/>
      <c r="E7" s="239"/>
      <c r="F7" s="239"/>
      <c r="G7" s="239"/>
      <c r="H7" s="239"/>
    </row>
    <row r="8" spans="1:20" ht="143.25" customHeight="1" x14ac:dyDescent="0.2">
      <c r="A8" s="144" t="s">
        <v>1</v>
      </c>
      <c r="B8" s="145"/>
      <c r="C8" s="236" t="str">
        <f>CONCATENATE((IF(OR(C7="",C7="NA"),"",C7)),", ",(IF(OR(A9="",A9="NA"),"",A9)),".",(IF(OR(C9="",C9="NA"),"",C9)),", near ",(IF(OR(C17="",C17="NA"),"",C17)),", ",(IF(OR(C11="",C11="NA"),"",C11)),", ",(IF(OR(C10="",C10="NA"),"",C10)),", ",(IF(OR(C12="",C12="NA"),"",C12)),", ",(IF(OR(C13="",C13="NA"),"",C13)),", ",(IF(OR(C14="",C14="NA"),"",C14))," - ",(IF(OR(C15="",C15="NA"),"",C15)),".")</f>
        <v>Dosti Greater Thane ­ Sector 3A ­ Cluster 1B ­ Phase 1, 2 &amp; 3, Survey No.25/2, 25/3, 26/10, 26/13/7, 190, 23/1/B, 23/1/C of village Rahanal, S No.40/7 of village Kavani, S.No.151/2/A(pt), 152/1, 152/2, 152/3(pt), 152/4/A, 152/4/B, 152/4/C, 152/4/D, 152/5/A, 152/5/B, 153, 154/3/A, 154/3/B, 154/4, 154/7, 156/1, 156/2, 156/3, 156/4, 156/5, 157/1, 157/2, 157/3, 158, 159/1/A, 159/1/B, 159/1/C, 159/2, 160/1, 160/2, 161/1(pt), 161/3(pt), 161/4, 161/5, 162, 163/1(pt), 163/2(pt), 164/1(pt), 164/4, 164/4/5A, 164/6(pt), 165/1(pt), 165/2/A(pt), 165/2/B(pt), 165/3(pt), 174/5(pt) of village Purna, S No.14/3, 15/5, 16/1a, 16/2, 16/4, 16/5, 16/7, 16/9, 16/14, 16/15, 16/18, 16/21, 16/23, 16/23/A, 16/24, 16/25, 16/26, 16/27, 16/28, 16/29, 16/30, 16/31, 16/34, 16/35, 16/36, 16/39, 16/40, 17/1, 17/2, 17/3, 17/4, 17/5, 17/7, 17/8, 17/9, 17/10, 17/13, 17/14, 18/1, 18/2, 18/3, 18/5/A, 19/1/A, 19/2, 19/3, 19/5, 19/6A, 19/6C, 19/7, 19/8, 19/9, 19/10, 19/11, 19/12, 19/13 of Village Kopar, near Salwan Niwas 362, Internal Road, Rahanal, Kevani, Purna &amp; Kopar, Bhiwandi, Bhiwandi, Thane - 421302.</v>
      </c>
      <c r="D8" s="236"/>
      <c r="E8" s="236"/>
      <c r="F8" s="236"/>
      <c r="G8" s="236"/>
      <c r="H8" s="236"/>
      <c r="P8" s="59" t="s">
        <v>153</v>
      </c>
      <c r="Q8" s="59" t="s">
        <v>154</v>
      </c>
      <c r="R8" s="59" t="s">
        <v>155</v>
      </c>
      <c r="S8" s="59" t="s">
        <v>156</v>
      </c>
      <c r="T8" s="59" t="s">
        <v>157</v>
      </c>
    </row>
    <row r="9" spans="1:20" ht="117.75" customHeight="1" x14ac:dyDescent="0.2">
      <c r="A9" s="144" t="s">
        <v>232</v>
      </c>
      <c r="B9" s="145"/>
      <c r="C9" s="236" t="s">
        <v>299</v>
      </c>
      <c r="D9" s="236"/>
      <c r="E9" s="236"/>
      <c r="F9" s="236"/>
      <c r="G9" s="236"/>
      <c r="H9" s="236"/>
      <c r="P9" s="59" t="s">
        <v>158</v>
      </c>
      <c r="Q9" s="59" t="s">
        <v>159</v>
      </c>
      <c r="R9" s="59" t="s">
        <v>160</v>
      </c>
      <c r="S9" s="59" t="s">
        <v>161</v>
      </c>
      <c r="T9" s="59" t="s">
        <v>162</v>
      </c>
    </row>
    <row r="10" spans="1:20" ht="15" x14ac:dyDescent="0.2">
      <c r="A10" s="144" t="s">
        <v>6</v>
      </c>
      <c r="B10" s="145"/>
      <c r="C10" s="220" t="s">
        <v>298</v>
      </c>
      <c r="D10" s="220"/>
      <c r="E10" s="220"/>
      <c r="F10" s="220"/>
      <c r="G10" s="220"/>
      <c r="H10" s="220"/>
      <c r="P10" s="59" t="s">
        <v>163</v>
      </c>
      <c r="Q10" s="59" t="s">
        <v>164</v>
      </c>
      <c r="R10" s="59" t="s">
        <v>165</v>
      </c>
      <c r="S10" s="59" t="s">
        <v>166</v>
      </c>
      <c r="T10" s="59" t="s">
        <v>167</v>
      </c>
    </row>
    <row r="11" spans="1:20" ht="15" x14ac:dyDescent="0.2">
      <c r="A11" s="144" t="s">
        <v>151</v>
      </c>
      <c r="B11" s="145"/>
      <c r="C11" s="220" t="s">
        <v>233</v>
      </c>
      <c r="D11" s="220"/>
      <c r="E11" s="220"/>
      <c r="F11" s="220"/>
      <c r="G11" s="220"/>
      <c r="H11" s="220"/>
      <c r="P11" s="59" t="s">
        <v>168</v>
      </c>
      <c r="Q11" s="59" t="s">
        <v>169</v>
      </c>
      <c r="R11" s="59" t="s">
        <v>170</v>
      </c>
      <c r="S11" s="59" t="s">
        <v>171</v>
      </c>
      <c r="T11" s="59" t="s">
        <v>172</v>
      </c>
    </row>
    <row r="12" spans="1:20" ht="15" x14ac:dyDescent="0.2">
      <c r="A12" s="144" t="s">
        <v>152</v>
      </c>
      <c r="B12" s="145"/>
      <c r="C12" s="220" t="s">
        <v>173</v>
      </c>
      <c r="D12" s="220"/>
      <c r="E12" s="220"/>
      <c r="F12" s="220"/>
      <c r="G12" s="220"/>
      <c r="H12" s="220"/>
      <c r="P12" s="59" t="s">
        <v>173</v>
      </c>
      <c r="Q12" s="59" t="s">
        <v>174</v>
      </c>
      <c r="R12" s="59" t="s">
        <v>155</v>
      </c>
      <c r="S12" s="59" t="s">
        <v>175</v>
      </c>
      <c r="T12" s="59" t="s">
        <v>176</v>
      </c>
    </row>
    <row r="13" spans="1:20" ht="15" x14ac:dyDescent="0.2">
      <c r="A13" s="144" t="s">
        <v>138</v>
      </c>
      <c r="B13" s="145"/>
      <c r="C13" s="220" t="s">
        <v>173</v>
      </c>
      <c r="D13" s="220"/>
      <c r="E13" s="220"/>
      <c r="F13" s="220"/>
      <c r="G13" s="220"/>
      <c r="H13" s="220"/>
      <c r="P13" s="59" t="s">
        <v>177</v>
      </c>
      <c r="Q13" s="59" t="s">
        <v>154</v>
      </c>
      <c r="R13" s="59"/>
      <c r="S13" s="59" t="s">
        <v>178</v>
      </c>
      <c r="T13" s="59" t="s">
        <v>179</v>
      </c>
    </row>
    <row r="14" spans="1:20" ht="15" x14ac:dyDescent="0.2">
      <c r="A14" s="144" t="s">
        <v>139</v>
      </c>
      <c r="B14" s="145"/>
      <c r="C14" s="220" t="s">
        <v>158</v>
      </c>
      <c r="D14" s="220"/>
      <c r="E14" s="220"/>
      <c r="F14" s="220"/>
      <c r="G14" s="220"/>
      <c r="H14" s="220"/>
      <c r="P14" s="59" t="s">
        <v>180</v>
      </c>
      <c r="Q14" s="59" t="s">
        <v>181</v>
      </c>
      <c r="R14" s="59"/>
      <c r="S14" s="59" t="s">
        <v>182</v>
      </c>
      <c r="T14" s="59" t="s">
        <v>183</v>
      </c>
    </row>
    <row r="15" spans="1:20" ht="15" x14ac:dyDescent="0.2">
      <c r="A15" s="144" t="s">
        <v>140</v>
      </c>
      <c r="B15" s="145"/>
      <c r="C15" s="184">
        <v>421302</v>
      </c>
      <c r="D15" s="184"/>
      <c r="E15" s="184"/>
      <c r="F15" s="184"/>
      <c r="G15" s="184"/>
      <c r="H15" s="184"/>
      <c r="P15" s="59" t="s">
        <v>184</v>
      </c>
      <c r="Q15" s="59" t="s">
        <v>185</v>
      </c>
      <c r="R15" s="59"/>
      <c r="S15" s="59" t="s">
        <v>186</v>
      </c>
      <c r="T15" s="59" t="s">
        <v>187</v>
      </c>
    </row>
    <row r="16" spans="1:20" ht="42.75" customHeight="1" x14ac:dyDescent="0.2">
      <c r="A16" s="144" t="s">
        <v>49</v>
      </c>
      <c r="B16" s="145"/>
      <c r="C16" s="236" t="s">
        <v>297</v>
      </c>
      <c r="D16" s="236"/>
      <c r="E16" s="236"/>
      <c r="F16" s="236"/>
      <c r="G16" s="236"/>
      <c r="H16" s="236"/>
      <c r="P16" s="59"/>
      <c r="Q16" s="59"/>
      <c r="R16" s="59"/>
      <c r="S16" s="59" t="s">
        <v>188</v>
      </c>
      <c r="T16" s="59" t="s">
        <v>189</v>
      </c>
    </row>
    <row r="17" spans="1:20" ht="15" x14ac:dyDescent="0.2">
      <c r="A17" s="144" t="s">
        <v>91</v>
      </c>
      <c r="B17" s="145"/>
      <c r="C17" s="195" t="s">
        <v>238</v>
      </c>
      <c r="D17" s="195"/>
      <c r="E17" s="195"/>
      <c r="F17" s="195"/>
      <c r="G17" s="195"/>
      <c r="H17" s="195"/>
      <c r="P17" s="59"/>
      <c r="Q17" s="59"/>
      <c r="R17" s="59"/>
      <c r="S17" s="59" t="s">
        <v>190</v>
      </c>
      <c r="T17" s="59" t="s">
        <v>191</v>
      </c>
    </row>
    <row r="18" spans="1:20" ht="15" x14ac:dyDescent="0.2">
      <c r="A18" s="144" t="s">
        <v>90</v>
      </c>
      <c r="B18" s="145"/>
      <c r="C18" s="221" t="s">
        <v>150</v>
      </c>
      <c r="D18" s="222"/>
      <c r="E18" s="223"/>
      <c r="F18" s="172" t="s">
        <v>279</v>
      </c>
      <c r="G18" s="173"/>
      <c r="H18" s="174"/>
      <c r="P18" s="59"/>
      <c r="Q18" s="59"/>
      <c r="R18" s="59"/>
      <c r="S18" s="59" t="s">
        <v>192</v>
      </c>
      <c r="T18" s="59" t="s">
        <v>193</v>
      </c>
    </row>
    <row r="19" spans="1:20" ht="15" x14ac:dyDescent="0.2">
      <c r="A19" s="144" t="s">
        <v>141</v>
      </c>
      <c r="B19" s="145"/>
      <c r="C19" s="240" t="s">
        <v>280</v>
      </c>
      <c r="D19" s="241"/>
      <c r="E19" s="241"/>
      <c r="F19" s="241"/>
      <c r="G19" s="241"/>
      <c r="H19" s="242"/>
      <c r="P19" s="59"/>
      <c r="Q19" s="59"/>
      <c r="R19" s="59"/>
      <c r="S19" s="59" t="s">
        <v>194</v>
      </c>
      <c r="T19" s="59" t="s">
        <v>195</v>
      </c>
    </row>
    <row r="20" spans="1:20" ht="15" x14ac:dyDescent="0.2">
      <c r="A20" s="144" t="s">
        <v>2</v>
      </c>
      <c r="B20" s="145"/>
      <c r="C20" s="236" t="s">
        <v>234</v>
      </c>
      <c r="D20" s="236"/>
      <c r="E20" s="236"/>
      <c r="F20" s="236"/>
      <c r="G20" s="236"/>
      <c r="H20" s="236"/>
      <c r="P20" s="59"/>
      <c r="Q20" s="59"/>
      <c r="R20" s="59"/>
      <c r="S20" s="59" t="s">
        <v>196</v>
      </c>
      <c r="T20" s="59" t="s">
        <v>197</v>
      </c>
    </row>
    <row r="21" spans="1:20" ht="15" x14ac:dyDescent="0.2">
      <c r="A21" s="179" t="s">
        <v>3</v>
      </c>
      <c r="B21" s="180"/>
      <c r="C21" s="238" t="s">
        <v>281</v>
      </c>
      <c r="D21" s="238"/>
      <c r="E21" s="238"/>
      <c r="F21" s="238"/>
      <c r="G21" s="238"/>
      <c r="H21" s="238"/>
      <c r="P21" s="59"/>
      <c r="Q21" s="59"/>
      <c r="R21" s="59"/>
      <c r="S21" s="59" t="s">
        <v>198</v>
      </c>
      <c r="T21" s="59" t="s">
        <v>199</v>
      </c>
    </row>
    <row r="22" spans="1:20" ht="15" customHeight="1" x14ac:dyDescent="0.2">
      <c r="A22" s="144" t="s">
        <v>112</v>
      </c>
      <c r="B22" s="145"/>
      <c r="C22" s="184" t="s">
        <v>53</v>
      </c>
      <c r="D22" s="184"/>
      <c r="E22" s="184"/>
      <c r="F22" s="184"/>
      <c r="G22" s="184"/>
      <c r="H22" s="184"/>
      <c r="P22" s="59"/>
      <c r="Q22" s="59"/>
      <c r="R22" s="59"/>
      <c r="S22" s="59" t="s">
        <v>200</v>
      </c>
      <c r="T22" s="59" t="s">
        <v>201</v>
      </c>
    </row>
    <row r="23" spans="1:20" ht="25.5" customHeight="1" x14ac:dyDescent="0.2">
      <c r="A23" s="179" t="s">
        <v>4</v>
      </c>
      <c r="B23" s="180"/>
      <c r="C23" s="236" t="s">
        <v>282</v>
      </c>
      <c r="D23" s="220"/>
      <c r="E23" s="220"/>
      <c r="F23" s="220"/>
      <c r="G23" s="220"/>
      <c r="H23" s="220"/>
    </row>
    <row r="24" spans="1:20" x14ac:dyDescent="0.2">
      <c r="A24" s="144" t="s">
        <v>5</v>
      </c>
      <c r="B24" s="145"/>
      <c r="C24" s="220" t="s">
        <v>235</v>
      </c>
      <c r="D24" s="220"/>
      <c r="E24" s="220"/>
      <c r="F24" s="220"/>
      <c r="G24" s="220"/>
      <c r="H24" s="220"/>
    </row>
    <row r="25" spans="1:20" ht="27.75" customHeight="1" x14ac:dyDescent="0.2">
      <c r="A25" s="144" t="s">
        <v>88</v>
      </c>
      <c r="B25" s="145"/>
      <c r="C25" s="220" t="s">
        <v>236</v>
      </c>
      <c r="D25" s="220"/>
      <c r="E25" s="220"/>
      <c r="F25" s="220"/>
      <c r="G25" s="220"/>
      <c r="H25" s="220"/>
    </row>
    <row r="26" spans="1:20" ht="45.75" customHeight="1" x14ac:dyDescent="0.2">
      <c r="A26" s="168" t="s">
        <v>89</v>
      </c>
      <c r="B26" s="169"/>
      <c r="C26" s="141" t="s">
        <v>237</v>
      </c>
      <c r="D26" s="142"/>
      <c r="E26" s="143"/>
      <c r="F26" s="13" t="s">
        <v>7</v>
      </c>
      <c r="G26" s="140" t="s">
        <v>92</v>
      </c>
      <c r="H26" s="140"/>
    </row>
    <row r="27" spans="1:20" ht="12.75" customHeight="1" x14ac:dyDescent="0.2">
      <c r="A27" s="146" t="s">
        <v>93</v>
      </c>
      <c r="B27" s="147"/>
      <c r="C27" s="132" t="s">
        <v>302</v>
      </c>
      <c r="D27" s="133"/>
      <c r="E27" s="132" t="s">
        <v>300</v>
      </c>
      <c r="F27" s="133"/>
      <c r="G27" s="132" t="s">
        <v>301</v>
      </c>
      <c r="H27" s="133"/>
    </row>
    <row r="28" spans="1:20" ht="52.5" customHeight="1" x14ac:dyDescent="0.2">
      <c r="A28" s="148"/>
      <c r="B28" s="149"/>
      <c r="C28" s="250" t="s">
        <v>303</v>
      </c>
      <c r="D28" s="251"/>
      <c r="E28" s="250" t="s">
        <v>327</v>
      </c>
      <c r="F28" s="251"/>
      <c r="G28" s="132" t="s">
        <v>304</v>
      </c>
      <c r="H28" s="133"/>
    </row>
    <row r="29" spans="1:20" x14ac:dyDescent="0.2">
      <c r="A29" s="148"/>
      <c r="B29" s="149"/>
      <c r="C29" s="132" t="s">
        <v>305</v>
      </c>
      <c r="D29" s="133"/>
      <c r="E29" s="132" t="s">
        <v>307</v>
      </c>
      <c r="F29" s="133"/>
      <c r="G29" s="132" t="s">
        <v>306</v>
      </c>
      <c r="H29" s="133"/>
    </row>
    <row r="30" spans="1:20" ht="42" customHeight="1" x14ac:dyDescent="0.2">
      <c r="A30" s="150"/>
      <c r="B30" s="151"/>
      <c r="C30" s="250" t="s">
        <v>308</v>
      </c>
      <c r="D30" s="251"/>
      <c r="E30" s="250" t="s">
        <v>328</v>
      </c>
      <c r="F30" s="251"/>
      <c r="G30" s="132" t="s">
        <v>309</v>
      </c>
      <c r="H30" s="133"/>
    </row>
    <row r="31" spans="1:20" ht="25.5" x14ac:dyDescent="0.2">
      <c r="A31" s="144" t="s">
        <v>8</v>
      </c>
      <c r="B31" s="145"/>
      <c r="C31" s="140" t="s">
        <v>283</v>
      </c>
      <c r="D31" s="140"/>
      <c r="E31" s="140"/>
      <c r="F31" s="69" t="s">
        <v>128</v>
      </c>
      <c r="G31" s="152">
        <f>0.15*1952</f>
        <v>292.8</v>
      </c>
      <c r="H31" s="152"/>
    </row>
    <row r="32" spans="1:20" ht="39.75" customHeight="1" x14ac:dyDescent="0.2">
      <c r="A32" s="146" t="s">
        <v>211</v>
      </c>
      <c r="B32" s="147"/>
      <c r="C32" s="164" t="s">
        <v>310</v>
      </c>
      <c r="D32" s="165"/>
      <c r="E32" s="166"/>
      <c r="F32" s="166"/>
      <c r="G32" s="166"/>
      <c r="H32" s="167"/>
    </row>
    <row r="33" spans="1:8" ht="26.25" customHeight="1" x14ac:dyDescent="0.2">
      <c r="A33" s="148"/>
      <c r="B33" s="149"/>
      <c r="C33" s="164" t="s">
        <v>311</v>
      </c>
      <c r="D33" s="165"/>
      <c r="E33" s="166"/>
      <c r="F33" s="166"/>
      <c r="G33" s="166"/>
      <c r="H33" s="167"/>
    </row>
    <row r="34" spans="1:8" ht="41.25" customHeight="1" x14ac:dyDescent="0.2">
      <c r="A34" s="150"/>
      <c r="B34" s="151"/>
      <c r="C34" s="164" t="s">
        <v>312</v>
      </c>
      <c r="D34" s="165"/>
      <c r="E34" s="166"/>
      <c r="F34" s="166"/>
      <c r="G34" s="166"/>
      <c r="H34" s="167"/>
    </row>
    <row r="35" spans="1:8" ht="42" customHeight="1" x14ac:dyDescent="0.2">
      <c r="A35" s="146" t="s">
        <v>212</v>
      </c>
      <c r="B35" s="147"/>
      <c r="C35" s="164" t="s">
        <v>310</v>
      </c>
      <c r="D35" s="165"/>
      <c r="E35" s="166"/>
      <c r="F35" s="166"/>
      <c r="G35" s="166"/>
      <c r="H35" s="167"/>
    </row>
    <row r="36" spans="1:8" ht="27.75" customHeight="1" x14ac:dyDescent="0.2">
      <c r="A36" s="148"/>
      <c r="B36" s="149"/>
      <c r="C36" s="164" t="s">
        <v>311</v>
      </c>
      <c r="D36" s="165"/>
      <c r="E36" s="166"/>
      <c r="F36" s="166"/>
      <c r="G36" s="166"/>
      <c r="H36" s="167"/>
    </row>
    <row r="37" spans="1:8" ht="42" customHeight="1" x14ac:dyDescent="0.2">
      <c r="A37" s="150"/>
      <c r="B37" s="151"/>
      <c r="C37" s="164" t="s">
        <v>313</v>
      </c>
      <c r="D37" s="165"/>
      <c r="E37" s="166"/>
      <c r="F37" s="166"/>
      <c r="G37" s="166"/>
      <c r="H37" s="167"/>
    </row>
    <row r="38" spans="1:8" ht="12.75" customHeight="1" x14ac:dyDescent="0.2">
      <c r="A38" s="146" t="s">
        <v>9</v>
      </c>
      <c r="B38" s="147"/>
      <c r="C38" s="128" t="s">
        <v>94</v>
      </c>
      <c r="D38" s="129"/>
      <c r="E38" s="14" t="s">
        <v>12</v>
      </c>
      <c r="F38" s="14" t="s">
        <v>13</v>
      </c>
      <c r="G38" s="14" t="s">
        <v>14</v>
      </c>
      <c r="H38" s="14" t="s">
        <v>15</v>
      </c>
    </row>
    <row r="39" spans="1:8" ht="12.75" customHeight="1" x14ac:dyDescent="0.2">
      <c r="A39" s="148"/>
      <c r="B39" s="149"/>
      <c r="C39" s="130" t="s">
        <v>10</v>
      </c>
      <c r="D39" s="131"/>
      <c r="E39" s="15" t="s">
        <v>286</v>
      </c>
      <c r="F39" s="15" t="s">
        <v>287</v>
      </c>
      <c r="G39" s="15" t="s">
        <v>289</v>
      </c>
      <c r="H39" s="15" t="s">
        <v>288</v>
      </c>
    </row>
    <row r="40" spans="1:8" ht="12.75" customHeight="1" x14ac:dyDescent="0.2">
      <c r="A40" s="148"/>
      <c r="B40" s="149"/>
      <c r="C40" s="132" t="s">
        <v>87</v>
      </c>
      <c r="D40" s="133"/>
      <c r="E40" s="16" t="s">
        <v>291</v>
      </c>
      <c r="F40" s="16" t="s">
        <v>292</v>
      </c>
      <c r="G40" s="15" t="s">
        <v>290</v>
      </c>
      <c r="H40" s="16" t="s">
        <v>293</v>
      </c>
    </row>
    <row r="41" spans="1:8" ht="12.75" customHeight="1" x14ac:dyDescent="0.2">
      <c r="A41" s="150"/>
      <c r="B41" s="151"/>
      <c r="C41" s="132" t="s">
        <v>11</v>
      </c>
      <c r="D41" s="133"/>
      <c r="E41" s="15" t="s">
        <v>290</v>
      </c>
      <c r="F41" s="15" t="s">
        <v>290</v>
      </c>
      <c r="G41" s="15" t="s">
        <v>290</v>
      </c>
      <c r="H41" s="15" t="s">
        <v>233</v>
      </c>
    </row>
    <row r="42" spans="1:8" ht="154.5" customHeight="1" x14ac:dyDescent="0.2">
      <c r="A42" s="144" t="s">
        <v>16</v>
      </c>
      <c r="B42" s="145"/>
      <c r="C42" s="153" t="s">
        <v>285</v>
      </c>
      <c r="D42" s="153"/>
      <c r="E42" s="153"/>
      <c r="F42" s="153"/>
      <c r="G42" s="153"/>
      <c r="H42" s="153"/>
    </row>
    <row r="43" spans="1:8" ht="38.25" customHeight="1" x14ac:dyDescent="0.2">
      <c r="A43" s="144" t="s">
        <v>134</v>
      </c>
      <c r="B43" s="145"/>
      <c r="C43" s="170">
        <v>162866</v>
      </c>
      <c r="D43" s="171"/>
      <c r="E43" s="175" t="s">
        <v>135</v>
      </c>
      <c r="F43" s="175"/>
      <c r="G43" s="154">
        <v>136743.24</v>
      </c>
      <c r="H43" s="154"/>
    </row>
    <row r="44" spans="1:8" x14ac:dyDescent="0.2">
      <c r="A44" s="144" t="s">
        <v>17</v>
      </c>
      <c r="B44" s="145"/>
      <c r="C44" s="154" t="s">
        <v>95</v>
      </c>
      <c r="D44" s="154"/>
      <c r="E44" s="154"/>
      <c r="F44" s="154"/>
      <c r="G44" s="154"/>
      <c r="H44" s="154"/>
    </row>
    <row r="45" spans="1:8" ht="136.5" customHeight="1" x14ac:dyDescent="0.2">
      <c r="A45" s="144" t="s">
        <v>127</v>
      </c>
      <c r="B45" s="145"/>
      <c r="C45" s="195" t="s">
        <v>284</v>
      </c>
      <c r="D45" s="195"/>
      <c r="E45" s="140"/>
      <c r="F45" s="140"/>
      <c r="G45" s="140"/>
      <c r="H45" s="140"/>
    </row>
    <row r="46" spans="1:8" x14ac:dyDescent="0.2">
      <c r="A46" s="155" t="s">
        <v>96</v>
      </c>
      <c r="B46" s="155"/>
      <c r="C46" s="155"/>
      <c r="D46" s="155"/>
      <c r="E46" s="155"/>
      <c r="F46" s="155"/>
      <c r="G46" s="155"/>
      <c r="H46" s="155"/>
    </row>
    <row r="47" spans="1:8" ht="12.75" customHeight="1" x14ac:dyDescent="0.2">
      <c r="A47" s="158" t="s">
        <v>19</v>
      </c>
      <c r="B47" s="159"/>
      <c r="C47" s="156" t="s">
        <v>97</v>
      </c>
      <c r="D47" s="156"/>
      <c r="E47" s="156"/>
      <c r="F47" s="156"/>
      <c r="G47" s="157">
        <v>136743.24</v>
      </c>
      <c r="H47" s="157"/>
    </row>
    <row r="48" spans="1:8" x14ac:dyDescent="0.2">
      <c r="A48" s="160"/>
      <c r="B48" s="161"/>
      <c r="C48" s="156" t="s">
        <v>98</v>
      </c>
      <c r="D48" s="156"/>
      <c r="E48" s="156"/>
      <c r="F48" s="156"/>
      <c r="G48" s="157">
        <v>1.1000000000000001</v>
      </c>
      <c r="H48" s="157"/>
    </row>
    <row r="49" spans="1:10" x14ac:dyDescent="0.2">
      <c r="A49" s="160"/>
      <c r="B49" s="161"/>
      <c r="C49" s="156" t="s">
        <v>99</v>
      </c>
      <c r="D49" s="156"/>
      <c r="E49" s="156"/>
      <c r="F49" s="156"/>
      <c r="G49" s="192">
        <f>G52/G47-G48</f>
        <v>1.1391737975493341</v>
      </c>
      <c r="H49" s="192"/>
    </row>
    <row r="50" spans="1:10" x14ac:dyDescent="0.2">
      <c r="A50" s="160"/>
      <c r="B50" s="161"/>
      <c r="C50" s="156" t="s">
        <v>100</v>
      </c>
      <c r="D50" s="156"/>
      <c r="E50" s="156"/>
      <c r="F50" s="156"/>
      <c r="G50" s="192">
        <f>G48+G49</f>
        <v>2.2391737975493342</v>
      </c>
      <c r="H50" s="192"/>
    </row>
    <row r="51" spans="1:10" x14ac:dyDescent="0.2">
      <c r="A51" s="160"/>
      <c r="B51" s="161"/>
      <c r="C51" s="156" t="s">
        <v>132</v>
      </c>
      <c r="D51" s="156"/>
      <c r="E51" s="156"/>
      <c r="F51" s="156"/>
      <c r="G51" s="157">
        <v>305965.65000000002</v>
      </c>
      <c r="H51" s="157"/>
    </row>
    <row r="52" spans="1:10" x14ac:dyDescent="0.2">
      <c r="A52" s="162"/>
      <c r="B52" s="163"/>
      <c r="C52" s="156" t="s">
        <v>101</v>
      </c>
      <c r="D52" s="156"/>
      <c r="E52" s="156"/>
      <c r="F52" s="156"/>
      <c r="G52" s="157">
        <v>306191.88</v>
      </c>
      <c r="H52" s="157"/>
    </row>
    <row r="53" spans="1:10" ht="32.25" customHeight="1" x14ac:dyDescent="0.2">
      <c r="A53" s="144" t="s">
        <v>102</v>
      </c>
      <c r="B53" s="145"/>
      <c r="C53" s="153" t="s">
        <v>258</v>
      </c>
      <c r="D53" s="153"/>
      <c r="E53" s="153"/>
      <c r="F53" s="153"/>
      <c r="G53" s="153"/>
      <c r="H53" s="153"/>
    </row>
    <row r="54" spans="1:10" ht="93" customHeight="1" x14ac:dyDescent="0.2">
      <c r="A54" s="144" t="s">
        <v>20</v>
      </c>
      <c r="B54" s="145"/>
      <c r="C54" s="183" t="s">
        <v>259</v>
      </c>
      <c r="D54" s="183"/>
      <c r="E54" s="184"/>
      <c r="F54" s="184"/>
      <c r="G54" s="184"/>
      <c r="H54" s="184"/>
    </row>
    <row r="55" spans="1:10" ht="83.25" customHeight="1" x14ac:dyDescent="0.2">
      <c r="A55" s="144" t="s">
        <v>21</v>
      </c>
      <c r="B55" s="145"/>
      <c r="C55" s="183" t="s">
        <v>260</v>
      </c>
      <c r="D55" s="183"/>
      <c r="E55" s="183"/>
      <c r="F55" s="183"/>
      <c r="G55" s="183"/>
      <c r="H55" s="183"/>
    </row>
    <row r="56" spans="1:10" ht="25.5" customHeight="1" x14ac:dyDescent="0.2">
      <c r="A56" s="186" t="s">
        <v>22</v>
      </c>
      <c r="B56" s="187"/>
      <c r="C56" s="193" t="s">
        <v>113</v>
      </c>
      <c r="D56" s="194"/>
      <c r="E56" s="154" t="s">
        <v>239</v>
      </c>
      <c r="F56" s="154"/>
      <c r="G56" s="154"/>
      <c r="H56" s="154"/>
    </row>
    <row r="57" spans="1:10" ht="33.75" customHeight="1" x14ac:dyDescent="0.2">
      <c r="A57" s="188"/>
      <c r="B57" s="189"/>
      <c r="C57" s="193" t="s">
        <v>114</v>
      </c>
      <c r="D57" s="194"/>
      <c r="E57" s="185" t="s">
        <v>240</v>
      </c>
      <c r="F57" s="185"/>
      <c r="G57" s="185"/>
      <c r="H57" s="185"/>
    </row>
    <row r="58" spans="1:10" ht="26.25" customHeight="1" x14ac:dyDescent="0.2">
      <c r="A58" s="190"/>
      <c r="B58" s="191"/>
      <c r="C58" s="113" t="s">
        <v>115</v>
      </c>
      <c r="D58" s="114"/>
      <c r="E58" s="154" t="s">
        <v>241</v>
      </c>
      <c r="F58" s="154"/>
      <c r="G58" s="154"/>
      <c r="H58" s="154"/>
      <c r="I58" s="6">
        <f>600+1470+5670+4200+960+380+4830+200+6530+1420+1210+3650+480+430+350+280+500+2740+3410+5870+5870+510+1800+5900+3650+1590+1640+1590+2730+3340+1040+1060+6380+2120+4250+3540+1160+1650+1190+850+480+1850+710+7440+1810+3500+200+380+465+1870+280+360+650+311+1010+720+990+660+580+510+1090+580+380+630+400+330+2970+1800+80+1290+50+150+450+360+550+250+530+510+510+560+990+530+1720+350+1340+560+1620+10.9+2170+1190+1540+500+1040+1310+1010+350+1670+450+200+530+1260+830+400+940</f>
        <v>157796.9</v>
      </c>
    </row>
    <row r="59" spans="1:10" x14ac:dyDescent="0.2">
      <c r="A59" s="168" t="s">
        <v>294</v>
      </c>
      <c r="B59" s="169"/>
      <c r="C59" s="183" t="s">
        <v>314</v>
      </c>
      <c r="D59" s="183"/>
      <c r="E59" s="183"/>
      <c r="F59" s="183"/>
      <c r="G59" s="183"/>
      <c r="H59" s="183"/>
    </row>
    <row r="60" spans="1:10" ht="60" customHeight="1" x14ac:dyDescent="0.2">
      <c r="A60" s="230" t="s">
        <v>315</v>
      </c>
      <c r="B60" s="231"/>
      <c r="C60" s="195" t="s">
        <v>295</v>
      </c>
      <c r="D60" s="195"/>
      <c r="E60" s="195"/>
      <c r="F60" s="195"/>
      <c r="G60" s="195"/>
      <c r="H60" s="195"/>
    </row>
    <row r="61" spans="1:10" x14ac:dyDescent="0.2">
      <c r="A61" s="181" t="s">
        <v>23</v>
      </c>
      <c r="B61" s="181"/>
      <c r="C61" s="181"/>
      <c r="D61" s="181"/>
      <c r="E61" s="181"/>
      <c r="F61" s="181"/>
      <c r="G61" s="181"/>
      <c r="H61" s="181"/>
    </row>
    <row r="62" spans="1:10" ht="41.25" customHeight="1" thickBot="1" x14ac:dyDescent="0.25">
      <c r="A62" s="232" t="s">
        <v>24</v>
      </c>
      <c r="B62" s="233"/>
      <c r="C62" s="243" t="s">
        <v>242</v>
      </c>
      <c r="D62" s="244"/>
      <c r="E62" s="70" t="s">
        <v>25</v>
      </c>
      <c r="F62" s="182" t="s">
        <v>243</v>
      </c>
      <c r="G62" s="182"/>
      <c r="H62" s="182"/>
    </row>
    <row r="63" spans="1:10" ht="13.5" thickBot="1" x14ac:dyDescent="0.25">
      <c r="A63" s="245" t="s">
        <v>58</v>
      </c>
      <c r="B63" s="246"/>
      <c r="C63" s="246"/>
      <c r="D63" s="246"/>
      <c r="E63" s="246"/>
      <c r="F63" s="246"/>
      <c r="G63" s="246"/>
      <c r="H63" s="247"/>
    </row>
    <row r="64" spans="1:10" ht="12.75" customHeight="1" x14ac:dyDescent="0.2">
      <c r="A64" s="87" t="s">
        <v>319</v>
      </c>
      <c r="B64" s="88"/>
      <c r="C64" s="88"/>
      <c r="D64" s="89"/>
      <c r="E64" s="39" t="s">
        <v>59</v>
      </c>
      <c r="F64" s="39" t="s">
        <v>60</v>
      </c>
      <c r="G64" s="39" t="s">
        <v>61</v>
      </c>
      <c r="H64" s="40" t="s">
        <v>47</v>
      </c>
      <c r="I64" s="41" t="str">
        <f ca="1">(IF(G68&gt;99%,"All work completed. Please provide OC.",IF(G68&gt;89.8%,"Plinth, RCC, Brick, Plaster, Flooring, Painting work Completed. Finishing work is in process.",IF(G68&lt;94%,(IF(E68=0,"Work not yet Started.",IF(F68=25%,"Piling work in process",IF(F68=50%,"Excavation work in process",IF(F68=100%,"Excavation work Completed. ","0")))&amp;(IF(E69=0%,"",IF(E69=J70,"Footing work is process",IF(E69=J71,"Footing work Completed",IF(E69=J72,"1st Basement Completed",IF(E69=J73,"1st &amp; 2nd Basement Completed",IF(E69=J74,"1st to 3rd Basement Completed",IF(E69=J75,"1st to 4th Basement Completed",IF(E69=J76,"Plinth work is process",IF(E69=J77,"Plinth work completed","0")))))))))))&amp;(IF(E70=(F65+G65+H65),", RCC Slab",IF(E70&gt;0,", RCC upto "&amp;E70&amp;" Slab",""))&amp;(IF(E71=H65,", Brickwork",IF(E71&gt;0,", Brickwork upto "&amp;E71&amp;" Floor",""))&amp;(IF(E72=H65,", Internal Plaster",IF(E72&gt;0,", Internal Plaster upto "&amp;E72&amp;" Floor",""))&amp;(IF(E73=H65,", External Plaster",IF(E73&gt;0,", External Plaster upto "&amp;E73&amp;" Floor",""))&amp;(IF(E74=H65,", Flooring",IF(E74&gt;0,", Flooring upto "&amp;E74&amp;" Floor",""))&amp;(IF(E75=H65,", Painting",IF(E75&gt;0,", Painting upto "&amp;E75&amp;" Floor",""))&amp;(IF(E76&gt;0,", Finishing upto "&amp;E76&amp;" Floor","")&amp;(IF(E70&gt;0.5," Completed",""))))))))))))))</f>
        <v>Excavation work in process</v>
      </c>
      <c r="J64" s="42"/>
    </row>
    <row r="65" spans="1:10" x14ac:dyDescent="0.2">
      <c r="A65" s="90"/>
      <c r="B65" s="91"/>
      <c r="C65" s="91"/>
      <c r="D65" s="92"/>
      <c r="E65" s="43">
        <v>0</v>
      </c>
      <c r="F65" s="43">
        <v>1</v>
      </c>
      <c r="G65" s="43">
        <v>0</v>
      </c>
      <c r="H65" s="44">
        <f ca="1">--TRIM(RIGHT(SUBSTITUTE(LEFT(A64,_xlfn.AGGREGATE(16,6,FIND({0,1,2,3,4,5,6,7,8,9},A64,ROW(INDIRECT("1:"&amp;LEN(A64)))),1))," ",REPT(" ",LEN(A64))),LEN(A64)))</f>
        <v>30</v>
      </c>
      <c r="I65" s="45"/>
      <c r="J65" s="46"/>
    </row>
    <row r="66" spans="1:10" x14ac:dyDescent="0.2">
      <c r="A66" s="61" t="s">
        <v>142</v>
      </c>
      <c r="B66" s="60"/>
      <c r="C66" s="93" t="str">
        <f ca="1">I64</f>
        <v>Excavation work in process</v>
      </c>
      <c r="D66" s="93"/>
      <c r="E66" s="93"/>
      <c r="F66" s="93"/>
      <c r="G66" s="93"/>
      <c r="H66" s="94"/>
      <c r="I66" s="45" t="s">
        <v>143</v>
      </c>
      <c r="J66" s="46"/>
    </row>
    <row r="67" spans="1:10" x14ac:dyDescent="0.2">
      <c r="A67" s="75" t="s">
        <v>62</v>
      </c>
      <c r="B67" s="76"/>
      <c r="C67" s="95" t="s">
        <v>144</v>
      </c>
      <c r="D67" s="95"/>
      <c r="E67" s="47" t="s">
        <v>63</v>
      </c>
      <c r="F67" s="47" t="s">
        <v>64</v>
      </c>
      <c r="G67" s="96" t="s">
        <v>57</v>
      </c>
      <c r="H67" s="97"/>
      <c r="I67" s="1" t="s">
        <v>65</v>
      </c>
      <c r="J67" s="48">
        <f ca="1">H65*25%</f>
        <v>7.5</v>
      </c>
    </row>
    <row r="68" spans="1:10" ht="15" customHeight="1" x14ac:dyDescent="0.2">
      <c r="A68" s="75" t="s">
        <v>66</v>
      </c>
      <c r="B68" s="76"/>
      <c r="C68" s="77">
        <v>0</v>
      </c>
      <c r="D68" s="77"/>
      <c r="E68" s="49">
        <f ca="1">J68</f>
        <v>15</v>
      </c>
      <c r="F68" s="50">
        <f ca="1">((100/H65)*E68)/100</f>
        <v>0.5</v>
      </c>
      <c r="G68" s="78">
        <f ca="1">(((E69/H65*10)+(40/(F65+G65+H65)*E70)+(15/(H65)*E71)+(5/(H65)*E72)+(5/H65*E73)+(10/H65*E74)+(5/H65*E75)+(5/H65*E76)+(5/H65*E77))/100)</f>
        <v>0</v>
      </c>
      <c r="H68" s="79"/>
      <c r="I68" s="1" t="s">
        <v>67</v>
      </c>
      <c r="J68" s="51">
        <f ca="1">H65*50%</f>
        <v>15</v>
      </c>
    </row>
    <row r="69" spans="1:10" ht="15" customHeight="1" x14ac:dyDescent="0.2">
      <c r="A69" s="75" t="s">
        <v>68</v>
      </c>
      <c r="B69" s="76"/>
      <c r="C69" s="77">
        <v>0.1</v>
      </c>
      <c r="D69" s="77"/>
      <c r="E69" s="52">
        <v>0</v>
      </c>
      <c r="F69" s="50">
        <f ca="1">((100/H65)*E69)/100</f>
        <v>0</v>
      </c>
      <c r="G69" s="78"/>
      <c r="H69" s="79"/>
      <c r="I69" s="1" t="s">
        <v>69</v>
      </c>
      <c r="J69" s="51">
        <f ca="1">H65</f>
        <v>30</v>
      </c>
    </row>
    <row r="70" spans="1:10" ht="15" customHeight="1" x14ac:dyDescent="0.2">
      <c r="A70" s="75" t="s">
        <v>70</v>
      </c>
      <c r="B70" s="76"/>
      <c r="C70" s="77">
        <v>0.4</v>
      </c>
      <c r="D70" s="77"/>
      <c r="E70" s="52">
        <v>0</v>
      </c>
      <c r="F70" s="50">
        <f ca="1">((100/(F65+G65+H65))*E70)/100</f>
        <v>0</v>
      </c>
      <c r="G70" s="78"/>
      <c r="H70" s="79"/>
      <c r="I70" s="1" t="s">
        <v>71</v>
      </c>
      <c r="J70" s="53">
        <f ca="1">(IF(E65&gt;1,(H65/(E65+2)),H65/4))</f>
        <v>7.5</v>
      </c>
    </row>
    <row r="71" spans="1:10" ht="15" customHeight="1" x14ac:dyDescent="0.2">
      <c r="A71" s="75" t="s">
        <v>72</v>
      </c>
      <c r="B71" s="76"/>
      <c r="C71" s="77">
        <v>0.15</v>
      </c>
      <c r="D71" s="77"/>
      <c r="E71" s="49">
        <v>0</v>
      </c>
      <c r="F71" s="50">
        <f ca="1">((100/H65)*E71)/100</f>
        <v>0</v>
      </c>
      <c r="G71" s="78"/>
      <c r="H71" s="79"/>
      <c r="I71" s="1" t="s">
        <v>73</v>
      </c>
      <c r="J71" s="53">
        <f ca="1">(IF(E65&gt;1,(H65/(E65+2)+J70),H65/4+J70))</f>
        <v>15</v>
      </c>
    </row>
    <row r="72" spans="1:10" ht="15" customHeight="1" x14ac:dyDescent="0.2">
      <c r="A72" s="75" t="s">
        <v>74</v>
      </c>
      <c r="B72" s="76"/>
      <c r="C72" s="77">
        <v>0.05</v>
      </c>
      <c r="D72" s="77"/>
      <c r="E72" s="49">
        <v>0</v>
      </c>
      <c r="F72" s="50">
        <f ca="1">((100/H65)*E72)/100</f>
        <v>0</v>
      </c>
      <c r="G72" s="78"/>
      <c r="H72" s="79"/>
      <c r="I72" s="1" t="s">
        <v>75</v>
      </c>
      <c r="J72" s="53">
        <f>(IF(E65&gt;1,(H65/(E65+2)+J71),0))</f>
        <v>0</v>
      </c>
    </row>
    <row r="73" spans="1:10" ht="15" customHeight="1" x14ac:dyDescent="0.2">
      <c r="A73" s="75" t="s">
        <v>76</v>
      </c>
      <c r="B73" s="76"/>
      <c r="C73" s="77">
        <v>0.05</v>
      </c>
      <c r="D73" s="77"/>
      <c r="E73" s="49">
        <v>0</v>
      </c>
      <c r="F73" s="50">
        <f ca="1">((100/(H65))*E73)/100</f>
        <v>0</v>
      </c>
      <c r="G73" s="78"/>
      <c r="H73" s="79"/>
      <c r="I73" s="1" t="s">
        <v>77</v>
      </c>
      <c r="J73" s="53">
        <f>(IF(E65&gt;2,(H65/(E65+2)+J72),0))</f>
        <v>0</v>
      </c>
    </row>
    <row r="74" spans="1:10" ht="15" customHeight="1" x14ac:dyDescent="0.2">
      <c r="A74" s="75" t="s">
        <v>78</v>
      </c>
      <c r="B74" s="76"/>
      <c r="C74" s="77">
        <v>0.1</v>
      </c>
      <c r="D74" s="77"/>
      <c r="E74" s="49">
        <v>0</v>
      </c>
      <c r="F74" s="50">
        <f ca="1">((100/H65)*E74)/100</f>
        <v>0</v>
      </c>
      <c r="G74" s="78"/>
      <c r="H74" s="79"/>
      <c r="I74" s="1" t="s">
        <v>79</v>
      </c>
      <c r="J74" s="54">
        <f>(IF(E65&gt;3,(H65/(E65+2)+J73),0))</f>
        <v>0</v>
      </c>
    </row>
    <row r="75" spans="1:10" ht="15" customHeight="1" x14ac:dyDescent="0.2">
      <c r="A75" s="75" t="s">
        <v>80</v>
      </c>
      <c r="B75" s="76"/>
      <c r="C75" s="77">
        <v>0.05</v>
      </c>
      <c r="D75" s="77"/>
      <c r="E75" s="49">
        <v>0</v>
      </c>
      <c r="F75" s="50">
        <f ca="1">((100/H65)*E75)/100</f>
        <v>0</v>
      </c>
      <c r="G75" s="78"/>
      <c r="H75" s="79"/>
      <c r="I75" s="1" t="s">
        <v>81</v>
      </c>
      <c r="J75" s="53">
        <f>(IF(E65&gt;4,(H65/(E65+2)+J74),0))</f>
        <v>0</v>
      </c>
    </row>
    <row r="76" spans="1:10" ht="15" customHeight="1" x14ac:dyDescent="0.2">
      <c r="A76" s="75" t="s">
        <v>82</v>
      </c>
      <c r="B76" s="76"/>
      <c r="C76" s="77">
        <v>0.05</v>
      </c>
      <c r="D76" s="77"/>
      <c r="E76" s="49">
        <v>0</v>
      </c>
      <c r="F76" s="50">
        <f ca="1">((100/(H65))*E76)/100</f>
        <v>0</v>
      </c>
      <c r="G76" s="78"/>
      <c r="H76" s="79"/>
      <c r="I76" s="1" t="s">
        <v>83</v>
      </c>
      <c r="J76" s="53">
        <f ca="1">(IF(E65=1,(H65/(E65+3)+J71),IF(E65=0,(H65/4+J71),IF(E65&gt;1,0))))</f>
        <v>22.5</v>
      </c>
    </row>
    <row r="77" spans="1:10" ht="15.75" customHeight="1" thickBot="1" x14ac:dyDescent="0.25">
      <c r="A77" s="84" t="s">
        <v>84</v>
      </c>
      <c r="B77" s="85"/>
      <c r="C77" s="86">
        <v>0.05</v>
      </c>
      <c r="D77" s="86"/>
      <c r="E77" s="55">
        <v>0</v>
      </c>
      <c r="F77" s="56">
        <f ca="1">((100/(H65))*E77)/100</f>
        <v>0</v>
      </c>
      <c r="G77" s="80"/>
      <c r="H77" s="81"/>
      <c r="I77" s="57" t="s">
        <v>85</v>
      </c>
      <c r="J77" s="58">
        <f ca="1">(IF(E65&gt;1.5,(H65/(E65+2)+J71+MAX(0,J72-J71)+MAX(0,J73-J72)+MAX(0,J74-J73)+MAX(0,J75-J74)+MAX(0,J76-J75)),IF(E65=1,(H65/(E65+3)+J76),IF(E65=0,H65/4+J76))))</f>
        <v>30</v>
      </c>
    </row>
    <row r="78" spans="1:10" ht="12.75" customHeight="1" x14ac:dyDescent="0.2">
      <c r="A78" s="87" t="s">
        <v>320</v>
      </c>
      <c r="B78" s="88"/>
      <c r="C78" s="88"/>
      <c r="D78" s="89"/>
      <c r="E78" s="39" t="s">
        <v>59</v>
      </c>
      <c r="F78" s="39" t="s">
        <v>60</v>
      </c>
      <c r="G78" s="39" t="s">
        <v>61</v>
      </c>
      <c r="H78" s="40" t="s">
        <v>47</v>
      </c>
      <c r="I78" s="41" t="str">
        <f ca="1">(IF(G82&gt;99%,"All work completed. Please provide OC.",IF(G82&gt;89.8%,"Plinth, RCC, Brick, Plaster, Flooring, Painting work Completed. Finishing work is in process.",IF(G82&lt;94%,(IF(E82=0,"Work not yet Started.",IF(F82=25%,"Piling work in process",IF(F82=50%,"Excavation work in process",IF(F82=100%,"Excavation work Completed. ","0")))&amp;(IF(E83=0%,"",IF(E83=J84,"Footing work is process",IF(E83=J85,"Footing work Completed",IF(E83=J86,"1st Basement Completed",IF(E83=J87,"1st &amp; 2nd Basement Completed",IF(E83=J88,"1st to 3rd Basement Completed",IF(E83=J89,"1st to 4th Basement Completed",IF(E83=J90,"Plinth work is process",IF(E83=J91,"Plinth work completed","0")))))))))))&amp;(IF(E84=(F79+G79+H79),", RCC Slab",IF(E84&gt;0,", RCC upto "&amp;E84&amp;" Slab",""))&amp;(IF(E85=H79,", Brickwork",IF(E85&gt;0,", Brickwork upto "&amp;E85&amp;" Floor",""))&amp;(IF(E86=H79,", Internal Plaster",IF(E86&gt;0,", Internal Plaster upto "&amp;E86&amp;" Floor",""))&amp;(IF(E87=H79,", External Plaster",IF(E87&gt;0,", External Plaster upto "&amp;E87&amp;" Floor",""))&amp;(IF(E88=H79,", Flooring",IF(E88&gt;0,", Flooring upto "&amp;E88&amp;" Floor",""))&amp;(IF(E89=H79,", Painting",IF(E89&gt;0,", Painting upto "&amp;E89&amp;" Floor",""))&amp;(IF(E90&gt;0,", Finishing upto "&amp;E90&amp;" Floor","")&amp;(IF(E84&gt;0.5," Completed",""))))))))))))))</f>
        <v>Excavation work Completed. Plinth work completed</v>
      </c>
      <c r="J78" s="42"/>
    </row>
    <row r="79" spans="1:10" x14ac:dyDescent="0.2">
      <c r="A79" s="90"/>
      <c r="B79" s="91"/>
      <c r="C79" s="91"/>
      <c r="D79" s="92"/>
      <c r="E79" s="43">
        <v>0</v>
      </c>
      <c r="F79" s="43">
        <v>1</v>
      </c>
      <c r="G79" s="43">
        <v>0</v>
      </c>
      <c r="H79" s="44">
        <f ca="1">--TRIM(RIGHT(SUBSTITUTE(LEFT(A78,_xlfn.AGGREGATE(16,6,FIND({0,1,2,3,4,5,6,7,8,9},A78,ROW(INDIRECT("1:"&amp;LEN(A78)))),1))," ",REPT(" ",LEN(A78))),LEN(A78)))</f>
        <v>30</v>
      </c>
      <c r="I79" s="45"/>
      <c r="J79" s="46"/>
    </row>
    <row r="80" spans="1:10" x14ac:dyDescent="0.2">
      <c r="A80" s="61" t="s">
        <v>142</v>
      </c>
      <c r="B80" s="60"/>
      <c r="C80" s="93" t="str">
        <f ca="1">I78</f>
        <v>Excavation work Completed. Plinth work completed</v>
      </c>
      <c r="D80" s="93"/>
      <c r="E80" s="93"/>
      <c r="F80" s="93"/>
      <c r="G80" s="93"/>
      <c r="H80" s="94"/>
      <c r="I80" s="45" t="s">
        <v>143</v>
      </c>
      <c r="J80" s="46"/>
    </row>
    <row r="81" spans="1:15" x14ac:dyDescent="0.2">
      <c r="A81" s="75" t="s">
        <v>62</v>
      </c>
      <c r="B81" s="76"/>
      <c r="C81" s="95" t="s">
        <v>144</v>
      </c>
      <c r="D81" s="95"/>
      <c r="E81" s="47" t="s">
        <v>63</v>
      </c>
      <c r="F81" s="47" t="s">
        <v>64</v>
      </c>
      <c r="G81" s="96" t="s">
        <v>57</v>
      </c>
      <c r="H81" s="97"/>
      <c r="I81" s="1" t="s">
        <v>65</v>
      </c>
      <c r="J81" s="48">
        <f ca="1">H79*25%</f>
        <v>7.5</v>
      </c>
    </row>
    <row r="82" spans="1:15" ht="15" customHeight="1" x14ac:dyDescent="0.2">
      <c r="A82" s="75" t="s">
        <v>66</v>
      </c>
      <c r="B82" s="76"/>
      <c r="C82" s="77">
        <v>0</v>
      </c>
      <c r="D82" s="77"/>
      <c r="E82" s="49">
        <f ca="1">J83</f>
        <v>30</v>
      </c>
      <c r="F82" s="50">
        <f ca="1">((100/H79)*E82)/100</f>
        <v>1</v>
      </c>
      <c r="G82" s="78">
        <f ca="1">(((E83/H79*10)+(40/(F79+G79+H79)*E84)+(15/(H79)*E85)+(5/(H79)*E86)+(5/H79*E87)+(10/H79*E88)+(5/H79*E89)+(5/H79*E90)+(5/H79*E91))/100)</f>
        <v>0.1</v>
      </c>
      <c r="H82" s="79"/>
      <c r="I82" s="1" t="s">
        <v>67</v>
      </c>
      <c r="J82" s="51">
        <f ca="1">H79*50%</f>
        <v>15</v>
      </c>
    </row>
    <row r="83" spans="1:15" ht="15" customHeight="1" x14ac:dyDescent="0.2">
      <c r="A83" s="75" t="s">
        <v>68</v>
      </c>
      <c r="B83" s="76"/>
      <c r="C83" s="77">
        <v>0.1</v>
      </c>
      <c r="D83" s="77"/>
      <c r="E83" s="52">
        <f ca="1">J91</f>
        <v>30</v>
      </c>
      <c r="F83" s="50">
        <f ca="1">((100/H79)*E83)/100</f>
        <v>1</v>
      </c>
      <c r="G83" s="78"/>
      <c r="H83" s="79"/>
      <c r="I83" s="1" t="s">
        <v>69</v>
      </c>
      <c r="J83" s="51">
        <f ca="1">H79</f>
        <v>30</v>
      </c>
    </row>
    <row r="84" spans="1:15" ht="15" customHeight="1" x14ac:dyDescent="0.2">
      <c r="A84" s="75" t="s">
        <v>70</v>
      </c>
      <c r="B84" s="76"/>
      <c r="C84" s="77">
        <v>0.4</v>
      </c>
      <c r="D84" s="77"/>
      <c r="E84" s="52">
        <v>0</v>
      </c>
      <c r="F84" s="50">
        <f ca="1">((100/(F79+G79+H79))*E84)/100</f>
        <v>0</v>
      </c>
      <c r="G84" s="78"/>
      <c r="H84" s="79"/>
      <c r="I84" s="1" t="s">
        <v>71</v>
      </c>
      <c r="J84" s="53">
        <f ca="1">(IF(E79&gt;1,(H79/(E79+2)),H79/4))</f>
        <v>7.5</v>
      </c>
    </row>
    <row r="85" spans="1:15" ht="15" customHeight="1" x14ac:dyDescent="0.2">
      <c r="A85" s="75" t="s">
        <v>72</v>
      </c>
      <c r="B85" s="76"/>
      <c r="C85" s="77">
        <v>0.15</v>
      </c>
      <c r="D85" s="77"/>
      <c r="E85" s="49">
        <v>0</v>
      </c>
      <c r="F85" s="50">
        <f ca="1">((100/H79)*E85)/100</f>
        <v>0</v>
      </c>
      <c r="G85" s="78"/>
      <c r="H85" s="79"/>
      <c r="I85" s="1" t="s">
        <v>73</v>
      </c>
      <c r="J85" s="53">
        <f ca="1">(IF(E79&gt;1,(H79/(E79+2)+J84),H79/4+J84))</f>
        <v>15</v>
      </c>
    </row>
    <row r="86" spans="1:15" ht="15" customHeight="1" x14ac:dyDescent="0.2">
      <c r="A86" s="75" t="s">
        <v>74</v>
      </c>
      <c r="B86" s="76"/>
      <c r="C86" s="77">
        <v>0.05</v>
      </c>
      <c r="D86" s="77"/>
      <c r="E86" s="49">
        <v>0</v>
      </c>
      <c r="F86" s="50">
        <f ca="1">((100/H79)*E86)/100</f>
        <v>0</v>
      </c>
      <c r="G86" s="78"/>
      <c r="H86" s="79"/>
      <c r="I86" s="1" t="s">
        <v>75</v>
      </c>
      <c r="J86" s="53">
        <f>(IF(E79&gt;1,(H79/(E79+2)+J85),0))</f>
        <v>0</v>
      </c>
    </row>
    <row r="87" spans="1:15" ht="15" customHeight="1" x14ac:dyDescent="0.2">
      <c r="A87" s="75" t="s">
        <v>76</v>
      </c>
      <c r="B87" s="76"/>
      <c r="C87" s="77">
        <v>0.05</v>
      </c>
      <c r="D87" s="77"/>
      <c r="E87" s="49">
        <v>0</v>
      </c>
      <c r="F87" s="50">
        <f ca="1">((100/(H79))*E87)/100</f>
        <v>0</v>
      </c>
      <c r="G87" s="78"/>
      <c r="H87" s="79"/>
      <c r="I87" s="1" t="s">
        <v>77</v>
      </c>
      <c r="J87" s="53">
        <f>(IF(E79&gt;2,(H79/(E79+2)+J86),0))</f>
        <v>0</v>
      </c>
    </row>
    <row r="88" spans="1:15" ht="15" customHeight="1" x14ac:dyDescent="0.2">
      <c r="A88" s="75" t="s">
        <v>78</v>
      </c>
      <c r="B88" s="76"/>
      <c r="C88" s="77">
        <v>0.1</v>
      </c>
      <c r="D88" s="77"/>
      <c r="E88" s="49">
        <v>0</v>
      </c>
      <c r="F88" s="50">
        <f ca="1">((100/H79)*E88)/100</f>
        <v>0</v>
      </c>
      <c r="G88" s="78"/>
      <c r="H88" s="79"/>
      <c r="I88" s="1" t="s">
        <v>79</v>
      </c>
      <c r="J88" s="54">
        <f>(IF(E79&gt;3,(H79/(E79+2)+J87),0))</f>
        <v>0</v>
      </c>
    </row>
    <row r="89" spans="1:15" ht="15" customHeight="1" x14ac:dyDescent="0.2">
      <c r="A89" s="75" t="s">
        <v>80</v>
      </c>
      <c r="B89" s="76"/>
      <c r="C89" s="77">
        <v>0.05</v>
      </c>
      <c r="D89" s="77"/>
      <c r="E89" s="49">
        <v>0</v>
      </c>
      <c r="F89" s="50">
        <f ca="1">((100/H79)*E89)/100</f>
        <v>0</v>
      </c>
      <c r="G89" s="78"/>
      <c r="H89" s="79"/>
      <c r="I89" s="1" t="s">
        <v>81</v>
      </c>
      <c r="J89" s="53">
        <f>(IF(E79&gt;4,(H79/(E79+2)+J88),0))</f>
        <v>0</v>
      </c>
    </row>
    <row r="90" spans="1:15" ht="15" customHeight="1" x14ac:dyDescent="0.2">
      <c r="A90" s="75" t="s">
        <v>82</v>
      </c>
      <c r="B90" s="76"/>
      <c r="C90" s="77">
        <v>0.05</v>
      </c>
      <c r="D90" s="77"/>
      <c r="E90" s="49">
        <v>0</v>
      </c>
      <c r="F90" s="50">
        <f ca="1">((100/(H79))*E90)/100</f>
        <v>0</v>
      </c>
      <c r="G90" s="78"/>
      <c r="H90" s="79"/>
      <c r="I90" s="1" t="s">
        <v>83</v>
      </c>
      <c r="J90" s="53">
        <f ca="1">(IF(E79=1,(H79/(E79+3)+J85),IF(E79=0,(H79/4+J85),IF(E79&gt;1,0))))</f>
        <v>22.5</v>
      </c>
    </row>
    <row r="91" spans="1:15" ht="15.75" customHeight="1" thickBot="1" x14ac:dyDescent="0.25">
      <c r="A91" s="84" t="s">
        <v>84</v>
      </c>
      <c r="B91" s="85"/>
      <c r="C91" s="86">
        <v>0.05</v>
      </c>
      <c r="D91" s="86"/>
      <c r="E91" s="55">
        <v>0</v>
      </c>
      <c r="F91" s="56">
        <f ca="1">((100/(H79))*E91)/100</f>
        <v>0</v>
      </c>
      <c r="G91" s="80"/>
      <c r="H91" s="81"/>
      <c r="I91" s="57" t="s">
        <v>85</v>
      </c>
      <c r="J91" s="58">
        <f ca="1">(IF(E79&gt;1.5,(H79/(E79+2)+J85+MAX(0,J86-J85)+MAX(0,J87-J86)+MAX(0,J88-J87)+MAX(0,J89-J88)+MAX(0,J90-J89)),IF(E79=1,(H79/(E79+3)+J90),IF(E79=0,H79/4+J90))))</f>
        <v>30</v>
      </c>
    </row>
    <row r="92" spans="1:15" ht="12.75" customHeight="1" x14ac:dyDescent="0.2">
      <c r="A92" s="87" t="s">
        <v>321</v>
      </c>
      <c r="B92" s="88"/>
      <c r="C92" s="88"/>
      <c r="D92" s="89"/>
      <c r="E92" s="39" t="s">
        <v>59</v>
      </c>
      <c r="F92" s="39" t="s">
        <v>60</v>
      </c>
      <c r="G92" s="39" t="s">
        <v>61</v>
      </c>
      <c r="H92" s="40" t="s">
        <v>47</v>
      </c>
      <c r="I92" s="41" t="str">
        <f ca="1">(IF(G96&gt;99%,"All work completed. Please provide OC.",IF(G96&gt;89.8%,"Plinth, RCC, Brick, Plaster, Flooring, Painting work Completed. Finishing work is in process.",IF(G96&lt;94%,(IF(E96=0,"Work not yet Started.",IF(F96=25%,"Piling work in process",IF(F96=50%,"Excavation work in process",IF(F96=100%,"Excavation work Completed. ","0")))&amp;(IF(E97=0%,"",IF(E97=J98,"Footing work is process",IF(E97=J99,"Footing work Completed",IF(E97=J100,"1st Basement Completed",IF(E97=J101,"1st &amp; 2nd Basement Completed",IF(E97=J102,"1st to 3rd Basement Completed",IF(E97=J103,"1st to 4th Basement Completed",IF(E97=J104,"Plinth work is process",IF(E97=J105,"Plinth work completed","0")))))))))))&amp;(IF(E98=(F93+G93+H93),", RCC Slab",IF(E98&gt;0,", RCC upto "&amp;E98&amp;" Slab",""))&amp;(IF(E99=H93,", Brickwork",IF(E99&gt;0,", Brickwork upto "&amp;E99&amp;" Floor",""))&amp;(IF(E100=H93,", Internal Plaster",IF(E100&gt;0,", Internal Plaster upto "&amp;E100&amp;" Floor",""))&amp;(IF(E101=H93,", External Plaster",IF(E101&gt;0,", External Plaster upto "&amp;E101&amp;" Floor",""))&amp;(IF(E102=H93,", Flooring",IF(E102&gt;0,", Flooring upto "&amp;E102&amp;" Floor",""))&amp;(IF(E103=H93,", Painting",IF(E103&gt;0,", Painting upto "&amp;E103&amp;" Floor",""))&amp;(IF(E104&gt;0,", Finishing upto "&amp;E104&amp;" Floor","")&amp;(IF(E98&gt;0.5," Completed",""))))))))))))))</f>
        <v>Excavation work Completed. Footing work is process</v>
      </c>
      <c r="J92" s="42"/>
    </row>
    <row r="93" spans="1:15" x14ac:dyDescent="0.2">
      <c r="A93" s="90"/>
      <c r="B93" s="91"/>
      <c r="C93" s="91"/>
      <c r="D93" s="92"/>
      <c r="E93" s="43">
        <v>0</v>
      </c>
      <c r="F93" s="43">
        <v>1</v>
      </c>
      <c r="G93" s="43">
        <v>0</v>
      </c>
      <c r="H93" s="44">
        <f ca="1">--TRIM(RIGHT(SUBSTITUTE(LEFT(A92,_xlfn.AGGREGATE(16,6,FIND({0,1,2,3,4,5,6,7,8,9},A92,ROW(INDIRECT("1:"&amp;LEN(A92)))),1))," ",REPT(" ",LEN(A92))),LEN(A92)))</f>
        <v>30</v>
      </c>
      <c r="I93" s="45"/>
      <c r="J93" s="46"/>
      <c r="K93" s="82" t="s">
        <v>322</v>
      </c>
      <c r="L93" s="83"/>
      <c r="M93" s="83"/>
      <c r="N93" s="83"/>
      <c r="O93" s="83"/>
    </row>
    <row r="94" spans="1:15" x14ac:dyDescent="0.2">
      <c r="A94" s="61" t="s">
        <v>142</v>
      </c>
      <c r="B94" s="60"/>
      <c r="C94" s="93" t="str">
        <f ca="1">I92</f>
        <v>Excavation work Completed. Footing work is process</v>
      </c>
      <c r="D94" s="93"/>
      <c r="E94" s="93"/>
      <c r="F94" s="93"/>
      <c r="G94" s="93"/>
      <c r="H94" s="94"/>
      <c r="I94" s="45" t="s">
        <v>143</v>
      </c>
      <c r="J94" s="46"/>
      <c r="K94" s="82"/>
      <c r="L94" s="83"/>
      <c r="M94" s="83"/>
      <c r="N94" s="83"/>
      <c r="O94" s="83"/>
    </row>
    <row r="95" spans="1:15" x14ac:dyDescent="0.2">
      <c r="A95" s="75" t="s">
        <v>62</v>
      </c>
      <c r="B95" s="76"/>
      <c r="C95" s="95" t="s">
        <v>144</v>
      </c>
      <c r="D95" s="95"/>
      <c r="E95" s="47" t="s">
        <v>63</v>
      </c>
      <c r="F95" s="47" t="s">
        <v>64</v>
      </c>
      <c r="G95" s="96" t="s">
        <v>57</v>
      </c>
      <c r="H95" s="97"/>
      <c r="I95" s="1" t="s">
        <v>65</v>
      </c>
      <c r="J95" s="48">
        <f ca="1">H93*25%</f>
        <v>7.5</v>
      </c>
    </row>
    <row r="96" spans="1:15" ht="15" customHeight="1" x14ac:dyDescent="0.2">
      <c r="A96" s="75" t="s">
        <v>66</v>
      </c>
      <c r="B96" s="76"/>
      <c r="C96" s="77">
        <v>0</v>
      </c>
      <c r="D96" s="77"/>
      <c r="E96" s="49">
        <f ca="1">J97</f>
        <v>30</v>
      </c>
      <c r="F96" s="50">
        <f ca="1">((100/H93)*E96)/100</f>
        <v>1</v>
      </c>
      <c r="G96" s="78">
        <f ca="1">(((E97/H93*10)+(40/(F93+G93+H93)*E98)+(15/(H93)*E99)+(5/(H93)*E100)+(5/H93*E101)+(10/H93*E102)+(5/H93*E103)+(5/H93*E104)+(5/H93*E105))/100)</f>
        <v>2.5000000000000001E-2</v>
      </c>
      <c r="H96" s="79"/>
      <c r="I96" s="1" t="s">
        <v>67</v>
      </c>
      <c r="J96" s="51">
        <f ca="1">H93*50%</f>
        <v>15</v>
      </c>
    </row>
    <row r="97" spans="1:10" ht="15" customHeight="1" x14ac:dyDescent="0.2">
      <c r="A97" s="75" t="s">
        <v>68</v>
      </c>
      <c r="B97" s="76"/>
      <c r="C97" s="77">
        <v>0.1</v>
      </c>
      <c r="D97" s="77"/>
      <c r="E97" s="52">
        <f ca="1">J98</f>
        <v>7.5</v>
      </c>
      <c r="F97" s="50">
        <f ca="1">((100/H93)*E97)/100</f>
        <v>0.25</v>
      </c>
      <c r="G97" s="78"/>
      <c r="H97" s="79"/>
      <c r="I97" s="1" t="s">
        <v>69</v>
      </c>
      <c r="J97" s="51">
        <f ca="1">H93</f>
        <v>30</v>
      </c>
    </row>
    <row r="98" spans="1:10" ht="15" customHeight="1" x14ac:dyDescent="0.2">
      <c r="A98" s="75" t="s">
        <v>70</v>
      </c>
      <c r="B98" s="76"/>
      <c r="C98" s="77">
        <v>0.4</v>
      </c>
      <c r="D98" s="77"/>
      <c r="E98" s="52">
        <v>0</v>
      </c>
      <c r="F98" s="50">
        <f ca="1">((100/(F93+G93+H93))*E98)/100</f>
        <v>0</v>
      </c>
      <c r="G98" s="78"/>
      <c r="H98" s="79"/>
      <c r="I98" s="1" t="s">
        <v>71</v>
      </c>
      <c r="J98" s="53">
        <f ca="1">(IF(E93&gt;1,(H93/(E93+2)),H93/4))</f>
        <v>7.5</v>
      </c>
    </row>
    <row r="99" spans="1:10" ht="15" customHeight="1" x14ac:dyDescent="0.2">
      <c r="A99" s="75" t="s">
        <v>72</v>
      </c>
      <c r="B99" s="76"/>
      <c r="C99" s="77">
        <v>0.15</v>
      </c>
      <c r="D99" s="77"/>
      <c r="E99" s="49">
        <v>0</v>
      </c>
      <c r="F99" s="50">
        <f ca="1">((100/H93)*E99)/100</f>
        <v>0</v>
      </c>
      <c r="G99" s="78"/>
      <c r="H99" s="79"/>
      <c r="I99" s="1" t="s">
        <v>73</v>
      </c>
      <c r="J99" s="53">
        <f ca="1">(IF(E93&gt;1,(H93/(E93+2)+J98),H93/4+J98))</f>
        <v>15</v>
      </c>
    </row>
    <row r="100" spans="1:10" ht="15" customHeight="1" x14ac:dyDescent="0.2">
      <c r="A100" s="75" t="s">
        <v>74</v>
      </c>
      <c r="B100" s="76"/>
      <c r="C100" s="77">
        <v>0.05</v>
      </c>
      <c r="D100" s="77"/>
      <c r="E100" s="49">
        <v>0</v>
      </c>
      <c r="F100" s="50">
        <f ca="1">((100/H93)*E100)/100</f>
        <v>0</v>
      </c>
      <c r="G100" s="78"/>
      <c r="H100" s="79"/>
      <c r="I100" s="1" t="s">
        <v>75</v>
      </c>
      <c r="J100" s="53">
        <f>(IF(E93&gt;1,(H93/(E93+2)+J99),0))</f>
        <v>0</v>
      </c>
    </row>
    <row r="101" spans="1:10" ht="15" customHeight="1" x14ac:dyDescent="0.2">
      <c r="A101" s="75" t="s">
        <v>76</v>
      </c>
      <c r="B101" s="76"/>
      <c r="C101" s="77">
        <v>0.05</v>
      </c>
      <c r="D101" s="77"/>
      <c r="E101" s="49">
        <v>0</v>
      </c>
      <c r="F101" s="50">
        <f ca="1">((100/(H93))*E101)/100</f>
        <v>0</v>
      </c>
      <c r="G101" s="78"/>
      <c r="H101" s="79"/>
      <c r="I101" s="1" t="s">
        <v>77</v>
      </c>
      <c r="J101" s="53">
        <f>(IF(E93&gt;2,(H93/(E93+2)+J100),0))</f>
        <v>0</v>
      </c>
    </row>
    <row r="102" spans="1:10" ht="15" customHeight="1" x14ac:dyDescent="0.2">
      <c r="A102" s="75" t="s">
        <v>78</v>
      </c>
      <c r="B102" s="76"/>
      <c r="C102" s="77">
        <v>0.1</v>
      </c>
      <c r="D102" s="77"/>
      <c r="E102" s="49">
        <v>0</v>
      </c>
      <c r="F102" s="50">
        <f ca="1">((100/H93)*E102)/100</f>
        <v>0</v>
      </c>
      <c r="G102" s="78"/>
      <c r="H102" s="79"/>
      <c r="I102" s="1" t="s">
        <v>79</v>
      </c>
      <c r="J102" s="54">
        <f>(IF(E93&gt;3,(H93/(E93+2)+J101),0))</f>
        <v>0</v>
      </c>
    </row>
    <row r="103" spans="1:10" ht="15" customHeight="1" x14ac:dyDescent="0.2">
      <c r="A103" s="75" t="s">
        <v>80</v>
      </c>
      <c r="B103" s="76"/>
      <c r="C103" s="77">
        <v>0.05</v>
      </c>
      <c r="D103" s="77"/>
      <c r="E103" s="49">
        <v>0</v>
      </c>
      <c r="F103" s="50">
        <f ca="1">((100/H93)*E103)/100</f>
        <v>0</v>
      </c>
      <c r="G103" s="78"/>
      <c r="H103" s="79"/>
      <c r="I103" s="1" t="s">
        <v>81</v>
      </c>
      <c r="J103" s="53">
        <f>(IF(E93&gt;4,(H93/(E93+2)+J102),0))</f>
        <v>0</v>
      </c>
    </row>
    <row r="104" spans="1:10" ht="15" customHeight="1" x14ac:dyDescent="0.2">
      <c r="A104" s="75" t="s">
        <v>82</v>
      </c>
      <c r="B104" s="76"/>
      <c r="C104" s="77">
        <v>0.05</v>
      </c>
      <c r="D104" s="77"/>
      <c r="E104" s="49">
        <v>0</v>
      </c>
      <c r="F104" s="50">
        <f ca="1">((100/(H93))*E104)/100</f>
        <v>0</v>
      </c>
      <c r="G104" s="78"/>
      <c r="H104" s="79"/>
      <c r="I104" s="1" t="s">
        <v>83</v>
      </c>
      <c r="J104" s="53">
        <f ca="1">(IF(E93=1,(H93/(E93+3)+J99),IF(E93=0,(H93/4+J99),IF(E93&gt;1,0))))</f>
        <v>22.5</v>
      </c>
    </row>
    <row r="105" spans="1:10" ht="15.75" customHeight="1" thickBot="1" x14ac:dyDescent="0.25">
      <c r="A105" s="84" t="s">
        <v>84</v>
      </c>
      <c r="B105" s="85"/>
      <c r="C105" s="86">
        <v>0.05</v>
      </c>
      <c r="D105" s="86"/>
      <c r="E105" s="55">
        <v>0</v>
      </c>
      <c r="F105" s="56">
        <f ca="1">((100/(H93))*E105)/100</f>
        <v>0</v>
      </c>
      <c r="G105" s="80"/>
      <c r="H105" s="81"/>
      <c r="I105" s="57" t="s">
        <v>85</v>
      </c>
      <c r="J105" s="58">
        <f ca="1">(IF(E93&gt;1.5,(H93/(E93+2)+J99+MAX(0,J100-J99)+MAX(0,J101-J100)+MAX(0,J102-J101)+MAX(0,J103-J102)+MAX(0,J104-J103)),IF(E93=1,(H93/(E93+3)+J104),IF(E93=0,H93/4+J104))))</f>
        <v>30</v>
      </c>
    </row>
    <row r="106" spans="1:10" ht="12.75" customHeight="1" x14ac:dyDescent="0.2">
      <c r="A106" s="87" t="s">
        <v>277</v>
      </c>
      <c r="B106" s="88"/>
      <c r="C106" s="88"/>
      <c r="D106" s="89"/>
      <c r="E106" s="39" t="s">
        <v>59</v>
      </c>
      <c r="F106" s="39" t="s">
        <v>60</v>
      </c>
      <c r="G106" s="39" t="s">
        <v>61</v>
      </c>
      <c r="H106" s="40" t="s">
        <v>47</v>
      </c>
      <c r="I106" s="41" t="str">
        <f ca="1">(IF(G110&gt;99%,"All work completed. Please provide OC.",IF(G110&gt;89.8%,"Plinth, RCC, Brick, Plaster, Flooring, Painting work Completed. Finishing work is in process.",IF(G110&lt;94%,(IF(E110=0,"Work not yet Started.",IF(F110=25%,"Piling work in process",IF(F110=50%,"Excavation work in process",IF(F110=100%,"Excavation work Completed. ","0")))&amp;(IF(E111=0%,"",IF(E111=J112,"Footing work is process",IF(E111=J113,"Footing work Completed",IF(E111=J114,"1st Basement Completed",IF(E111=J115,"1st &amp; 2nd Basement Completed",IF(E111=J116,"1st to 3rd Basement Completed",IF(E111=J117,"1st to 4th Basement Completed",IF(E111=J118,"Plinth work is process",IF(E111=J119,"Plinth work completed","0")))))))))))&amp;(IF(E112=(F107+G107+H107),", RCC Slab",IF(E112&gt;0,", RCC upto "&amp;E112&amp;" Slab",""))&amp;(IF(E113=H107,", Brickwork",IF(E113&gt;0,", Brickwork upto "&amp;E113&amp;" Floor",""))&amp;(IF(E114=H107,", Internal Plaster",IF(E114&gt;0,", Internal Plaster upto "&amp;E114&amp;" Floor",""))&amp;(IF(E115=H107,", External Plaster",IF(E115&gt;0,", External Plaster upto "&amp;E115&amp;" Floor",""))&amp;(IF(E116=H107,", Flooring",IF(E116&gt;0,", Flooring upto "&amp;E116&amp;" Floor",""))&amp;(IF(E117=H107,", Painting",IF(E117&gt;0,", Painting upto "&amp;E117&amp;" Floor",""))&amp;(IF(E118&gt;0,", Finishing upto "&amp;E118&amp;" Floor","")&amp;(IF(E112&gt;0.5," Completed",""))))))))))))))</f>
        <v>Excavation work Completed. Footing work is process</v>
      </c>
      <c r="J106" s="42"/>
    </row>
    <row r="107" spans="1:10" x14ac:dyDescent="0.2">
      <c r="A107" s="90"/>
      <c r="B107" s="91"/>
      <c r="C107" s="91"/>
      <c r="D107" s="92"/>
      <c r="E107" s="43">
        <v>0</v>
      </c>
      <c r="F107" s="43">
        <v>1</v>
      </c>
      <c r="G107" s="43">
        <v>0</v>
      </c>
      <c r="H107" s="44">
        <f ca="1">--TRIM(RIGHT(SUBSTITUTE(LEFT(A106,_xlfn.AGGREGATE(16,6,FIND({0,1,2,3,4,5,6,7,8,9},A106,ROW(INDIRECT("1:"&amp;LEN(A106)))),1))," ",REPT(" ",LEN(A106))),LEN(A106)))</f>
        <v>30</v>
      </c>
      <c r="I107" s="45"/>
      <c r="J107" s="46"/>
    </row>
    <row r="108" spans="1:10" x14ac:dyDescent="0.2">
      <c r="A108" s="61" t="s">
        <v>142</v>
      </c>
      <c r="B108" s="60"/>
      <c r="C108" s="93" t="str">
        <f ca="1">I106</f>
        <v>Excavation work Completed. Footing work is process</v>
      </c>
      <c r="D108" s="93"/>
      <c r="E108" s="93"/>
      <c r="F108" s="93"/>
      <c r="G108" s="93"/>
      <c r="H108" s="94"/>
      <c r="I108" s="45" t="s">
        <v>143</v>
      </c>
      <c r="J108" s="46"/>
    </row>
    <row r="109" spans="1:10" x14ac:dyDescent="0.2">
      <c r="A109" s="75" t="s">
        <v>62</v>
      </c>
      <c r="B109" s="76"/>
      <c r="C109" s="95" t="s">
        <v>144</v>
      </c>
      <c r="D109" s="95"/>
      <c r="E109" s="47" t="s">
        <v>63</v>
      </c>
      <c r="F109" s="47" t="s">
        <v>64</v>
      </c>
      <c r="G109" s="96" t="s">
        <v>57</v>
      </c>
      <c r="H109" s="97"/>
      <c r="I109" s="1" t="s">
        <v>65</v>
      </c>
      <c r="J109" s="48">
        <f ca="1">H107*25%</f>
        <v>7.5</v>
      </c>
    </row>
    <row r="110" spans="1:10" ht="15" customHeight="1" x14ac:dyDescent="0.2">
      <c r="A110" s="75" t="s">
        <v>66</v>
      </c>
      <c r="B110" s="76"/>
      <c r="C110" s="77">
        <v>0</v>
      </c>
      <c r="D110" s="77"/>
      <c r="E110" s="52">
        <f ca="1">J111</f>
        <v>30</v>
      </c>
      <c r="F110" s="50">
        <f ca="1">((100/H107)*E110)/100</f>
        <v>1</v>
      </c>
      <c r="G110" s="78">
        <f ca="1">(((E111/H107*10)+(40/(F107+G107+H107)*E112)+(15/(H107)*E113)+(5/(H107)*E114)+(5/H107*E115)+(10/H107*E116)+(5/H107*E117)+(5/H107*E118)+(5/H107*E119))/100)</f>
        <v>2.5000000000000001E-2</v>
      </c>
      <c r="H110" s="79"/>
      <c r="I110" s="1" t="s">
        <v>67</v>
      </c>
      <c r="J110" s="51">
        <f ca="1">H107*50%</f>
        <v>15</v>
      </c>
    </row>
    <row r="111" spans="1:10" ht="15" customHeight="1" x14ac:dyDescent="0.2">
      <c r="A111" s="75" t="s">
        <v>68</v>
      </c>
      <c r="B111" s="76"/>
      <c r="C111" s="77">
        <v>0.1</v>
      </c>
      <c r="D111" s="77"/>
      <c r="E111" s="52">
        <f ca="1">J112</f>
        <v>7.5</v>
      </c>
      <c r="F111" s="50">
        <f ca="1">((100/H107)*E111)/100</f>
        <v>0.25</v>
      </c>
      <c r="G111" s="78"/>
      <c r="H111" s="79"/>
      <c r="I111" s="1" t="s">
        <v>69</v>
      </c>
      <c r="J111" s="51">
        <f ca="1">H107</f>
        <v>30</v>
      </c>
    </row>
    <row r="112" spans="1:10" ht="15" customHeight="1" x14ac:dyDescent="0.2">
      <c r="A112" s="75" t="s">
        <v>70</v>
      </c>
      <c r="B112" s="76"/>
      <c r="C112" s="77">
        <v>0.4</v>
      </c>
      <c r="D112" s="77"/>
      <c r="E112" s="52">
        <v>0</v>
      </c>
      <c r="F112" s="50">
        <f ca="1">((100/(F107+G107+H107))*E112)/100</f>
        <v>0</v>
      </c>
      <c r="G112" s="78"/>
      <c r="H112" s="79"/>
      <c r="I112" s="1" t="s">
        <v>71</v>
      </c>
      <c r="J112" s="53">
        <f ca="1">(IF(E107&gt;1,(H107/(E107+2)),H107/4))</f>
        <v>7.5</v>
      </c>
    </row>
    <row r="113" spans="1:10" ht="15" customHeight="1" x14ac:dyDescent="0.2">
      <c r="A113" s="75" t="s">
        <v>72</v>
      </c>
      <c r="B113" s="76"/>
      <c r="C113" s="77">
        <v>0.15</v>
      </c>
      <c r="D113" s="77"/>
      <c r="E113" s="49">
        <v>0</v>
      </c>
      <c r="F113" s="50">
        <f ca="1">((100/H107)*E113)/100</f>
        <v>0</v>
      </c>
      <c r="G113" s="78"/>
      <c r="H113" s="79"/>
      <c r="I113" s="1" t="s">
        <v>73</v>
      </c>
      <c r="J113" s="53">
        <f ca="1">(IF(E107&gt;1,(H107/(E107+2)+J112),H107/4+J112))</f>
        <v>15</v>
      </c>
    </row>
    <row r="114" spans="1:10" ht="15" customHeight="1" x14ac:dyDescent="0.2">
      <c r="A114" s="75" t="s">
        <v>74</v>
      </c>
      <c r="B114" s="76"/>
      <c r="C114" s="77">
        <v>0.05</v>
      </c>
      <c r="D114" s="77"/>
      <c r="E114" s="49">
        <v>0</v>
      </c>
      <c r="F114" s="50">
        <f ca="1">((100/H107)*E114)/100</f>
        <v>0</v>
      </c>
      <c r="G114" s="78"/>
      <c r="H114" s="79"/>
      <c r="I114" s="1" t="s">
        <v>75</v>
      </c>
      <c r="J114" s="53">
        <f>(IF(E107&gt;1,(H107/(E107+2)+J113),0))</f>
        <v>0</v>
      </c>
    </row>
    <row r="115" spans="1:10" ht="15" customHeight="1" x14ac:dyDescent="0.2">
      <c r="A115" s="75" t="s">
        <v>76</v>
      </c>
      <c r="B115" s="76"/>
      <c r="C115" s="77">
        <v>0.05</v>
      </c>
      <c r="D115" s="77"/>
      <c r="E115" s="49">
        <v>0</v>
      </c>
      <c r="F115" s="50">
        <f ca="1">((100/(H107))*E115)/100</f>
        <v>0</v>
      </c>
      <c r="G115" s="78"/>
      <c r="H115" s="79"/>
      <c r="I115" s="1" t="s">
        <v>77</v>
      </c>
      <c r="J115" s="53">
        <f>(IF(E107&gt;2,(H107/(E107+2)+J114),0))</f>
        <v>0</v>
      </c>
    </row>
    <row r="116" spans="1:10" ht="15" customHeight="1" x14ac:dyDescent="0.2">
      <c r="A116" s="75" t="s">
        <v>78</v>
      </c>
      <c r="B116" s="76"/>
      <c r="C116" s="77">
        <v>0.1</v>
      </c>
      <c r="D116" s="77"/>
      <c r="E116" s="49">
        <v>0</v>
      </c>
      <c r="F116" s="50">
        <f ca="1">((100/H107)*E116)/100</f>
        <v>0</v>
      </c>
      <c r="G116" s="78"/>
      <c r="H116" s="79"/>
      <c r="I116" s="1" t="s">
        <v>79</v>
      </c>
      <c r="J116" s="54">
        <f>(IF(E107&gt;3,(H107/(E107+2)+J115),0))</f>
        <v>0</v>
      </c>
    </row>
    <row r="117" spans="1:10" ht="15" customHeight="1" x14ac:dyDescent="0.2">
      <c r="A117" s="75" t="s">
        <v>80</v>
      </c>
      <c r="B117" s="76"/>
      <c r="C117" s="77">
        <v>0.05</v>
      </c>
      <c r="D117" s="77"/>
      <c r="E117" s="49">
        <v>0</v>
      </c>
      <c r="F117" s="50">
        <f ca="1">((100/H107)*E117)/100</f>
        <v>0</v>
      </c>
      <c r="G117" s="78"/>
      <c r="H117" s="79"/>
      <c r="I117" s="1" t="s">
        <v>81</v>
      </c>
      <c r="J117" s="53">
        <f>(IF(E107&gt;4,(H107/(E107+2)+J116),0))</f>
        <v>0</v>
      </c>
    </row>
    <row r="118" spans="1:10" ht="15" customHeight="1" x14ac:dyDescent="0.2">
      <c r="A118" s="75" t="s">
        <v>82</v>
      </c>
      <c r="B118" s="76"/>
      <c r="C118" s="77">
        <v>0.05</v>
      </c>
      <c r="D118" s="77"/>
      <c r="E118" s="49">
        <v>0</v>
      </c>
      <c r="F118" s="50">
        <f ca="1">((100/(H107))*E118)/100</f>
        <v>0</v>
      </c>
      <c r="G118" s="78"/>
      <c r="H118" s="79"/>
      <c r="I118" s="1" t="s">
        <v>83</v>
      </c>
      <c r="J118" s="53">
        <f ca="1">(IF(E107=1,(H107/(E107+3)+J113),IF(E107=0,(H107/4+J113),IF(E107&gt;1,0))))</f>
        <v>22.5</v>
      </c>
    </row>
    <row r="119" spans="1:10" ht="15.75" customHeight="1" thickBot="1" x14ac:dyDescent="0.25">
      <c r="A119" s="84" t="s">
        <v>84</v>
      </c>
      <c r="B119" s="85"/>
      <c r="C119" s="86">
        <v>0.05</v>
      </c>
      <c r="D119" s="86"/>
      <c r="E119" s="55">
        <v>0</v>
      </c>
      <c r="F119" s="56">
        <f ca="1">((100/(H107))*E119)/100</f>
        <v>0</v>
      </c>
      <c r="G119" s="80"/>
      <c r="H119" s="81"/>
      <c r="I119" s="57" t="s">
        <v>85</v>
      </c>
      <c r="J119" s="58">
        <f ca="1">(IF(E107&gt;1.5,(H107/(E107+2)+J113+MAX(0,J114-J113)+MAX(0,J115-J114)+MAX(0,J116-J115)+MAX(0,J117-J116)+MAX(0,J118-J117)),IF(E107=1,(H107/(E107+3)+J118),IF(E107=0,H107/4+J118))))</f>
        <v>30</v>
      </c>
    </row>
    <row r="120" spans="1:10" ht="12.75" customHeight="1" x14ac:dyDescent="0.2">
      <c r="A120" s="87" t="s">
        <v>278</v>
      </c>
      <c r="B120" s="88"/>
      <c r="C120" s="88"/>
      <c r="D120" s="89"/>
      <c r="E120" s="39" t="s">
        <v>59</v>
      </c>
      <c r="F120" s="39" t="s">
        <v>60</v>
      </c>
      <c r="G120" s="39" t="s">
        <v>61</v>
      </c>
      <c r="H120" s="40" t="s">
        <v>47</v>
      </c>
      <c r="I120" s="41" t="str">
        <f ca="1">(IF(G124&gt;99%,"All work completed. Please provide OC.",IF(G124&gt;89.8%,"Plinth, RCC, Brick, Plaster, Flooring, Painting work Completed. Finishing work is in process.",IF(G124&lt;94%,(IF(E124=0,"Work not yet Started.",IF(F124=25%,"Piling work in process",IF(F124=50%,"Excavation work in process",IF(F124=100%,"Excavation work Completed. ","0")))&amp;(IF(E125=0%,"",IF(E125=J126,"Footing work is process",IF(E125=J127,"Footing work Completed",IF(E125=J128,"1st Basement Completed",IF(E125=J129,"1st &amp; 2nd Basement Completed",IF(E125=J130,"1st to 3rd Basement Completed",IF(E125=J131,"1st to 4th Basement Completed",IF(E125=J132,"Plinth work is process",IF(E125=J133,"Plinth work completed","0")))))))))))&amp;(IF(E126=(F121+G121+H121),", RCC Slab",IF(E126&gt;0,", RCC upto "&amp;E126&amp;" Slab",""))&amp;(IF(E127=H121,", Brickwork",IF(E127&gt;0,", Brickwork upto "&amp;E127&amp;" Floor",""))&amp;(IF(E128=H121,", Internal Plaster",IF(E128&gt;0,", Internal Plaster upto "&amp;E128&amp;" Floor",""))&amp;(IF(E129=H121,", External Plaster",IF(E129&gt;0,", External Plaster upto "&amp;E129&amp;" Floor",""))&amp;(IF(E130=H121,", Flooring",IF(E130&gt;0,", Flooring upto "&amp;E130&amp;" Floor",""))&amp;(IF(E131=H121,", Painting",IF(E131&gt;0,", Painting upto "&amp;E131&amp;" Floor",""))&amp;(IF(E132&gt;0,", Finishing upto "&amp;E132&amp;" Floor","")&amp;(IF(E126&gt;0.5," Completed",""))))))))))))))</f>
        <v>Excavation work in process</v>
      </c>
      <c r="J120" s="42"/>
    </row>
    <row r="121" spans="1:10" x14ac:dyDescent="0.2">
      <c r="A121" s="90"/>
      <c r="B121" s="91"/>
      <c r="C121" s="91"/>
      <c r="D121" s="92"/>
      <c r="E121" s="43">
        <v>0</v>
      </c>
      <c r="F121" s="43">
        <v>1</v>
      </c>
      <c r="G121" s="43">
        <v>0</v>
      </c>
      <c r="H121" s="44">
        <f ca="1">--TRIM(RIGHT(SUBSTITUTE(LEFT(A120,_xlfn.AGGREGATE(16,6,FIND({0,1,2,3,4,5,6,7,8,9},A120,ROW(INDIRECT("1:"&amp;LEN(A120)))),1))," ",REPT(" ",LEN(A120))),LEN(A120)))</f>
        <v>30</v>
      </c>
      <c r="I121" s="45"/>
      <c r="J121" s="46"/>
    </row>
    <row r="122" spans="1:10" x14ac:dyDescent="0.2">
      <c r="A122" s="61" t="s">
        <v>142</v>
      </c>
      <c r="B122" s="60"/>
      <c r="C122" s="93" t="str">
        <f ca="1">I120</f>
        <v>Excavation work in process</v>
      </c>
      <c r="D122" s="93"/>
      <c r="E122" s="93"/>
      <c r="F122" s="93"/>
      <c r="G122" s="93"/>
      <c r="H122" s="94"/>
      <c r="I122" s="45" t="s">
        <v>143</v>
      </c>
      <c r="J122" s="46"/>
    </row>
    <row r="123" spans="1:10" x14ac:dyDescent="0.2">
      <c r="A123" s="75" t="s">
        <v>62</v>
      </c>
      <c r="B123" s="76"/>
      <c r="C123" s="95" t="s">
        <v>144</v>
      </c>
      <c r="D123" s="95"/>
      <c r="E123" s="47" t="s">
        <v>63</v>
      </c>
      <c r="F123" s="47" t="s">
        <v>64</v>
      </c>
      <c r="G123" s="96" t="s">
        <v>57</v>
      </c>
      <c r="H123" s="97"/>
      <c r="I123" s="1" t="s">
        <v>65</v>
      </c>
      <c r="J123" s="48">
        <f ca="1">H121*25%</f>
        <v>7.5</v>
      </c>
    </row>
    <row r="124" spans="1:10" ht="15" customHeight="1" x14ac:dyDescent="0.2">
      <c r="A124" s="75" t="s">
        <v>66</v>
      </c>
      <c r="B124" s="76"/>
      <c r="C124" s="77">
        <v>0</v>
      </c>
      <c r="D124" s="77"/>
      <c r="E124" s="52">
        <f ca="1">J124</f>
        <v>15</v>
      </c>
      <c r="F124" s="50">
        <f ca="1">((100/H121)*E124)/100</f>
        <v>0.5</v>
      </c>
      <c r="G124" s="78">
        <f ca="1">(((E125/H121*10)+(40/(F121+G121+H121)*E126)+(15/(H121)*E127)+(5/(H121)*E128)+(5/H121*E129)+(10/H121*E130)+(5/H121*E131)+(5/H121*E132)+(5/H121*E133))/100)</f>
        <v>0</v>
      </c>
      <c r="H124" s="79"/>
      <c r="I124" s="1" t="s">
        <v>67</v>
      </c>
      <c r="J124" s="51">
        <f ca="1">H121*50%</f>
        <v>15</v>
      </c>
    </row>
    <row r="125" spans="1:10" ht="15" customHeight="1" x14ac:dyDescent="0.2">
      <c r="A125" s="75" t="s">
        <v>68</v>
      </c>
      <c r="B125" s="76"/>
      <c r="C125" s="77">
        <v>0.1</v>
      </c>
      <c r="D125" s="77"/>
      <c r="E125" s="52">
        <v>0</v>
      </c>
      <c r="F125" s="50">
        <f ca="1">((100/H121)*E125)/100</f>
        <v>0</v>
      </c>
      <c r="G125" s="78"/>
      <c r="H125" s="79"/>
      <c r="I125" s="1" t="s">
        <v>69</v>
      </c>
      <c r="J125" s="51">
        <f ca="1">H121</f>
        <v>30</v>
      </c>
    </row>
    <row r="126" spans="1:10" ht="15" customHeight="1" x14ac:dyDescent="0.2">
      <c r="A126" s="75" t="s">
        <v>70</v>
      </c>
      <c r="B126" s="76"/>
      <c r="C126" s="77">
        <v>0.4</v>
      </c>
      <c r="D126" s="77"/>
      <c r="E126" s="52">
        <v>0</v>
      </c>
      <c r="F126" s="50">
        <f ca="1">((100/(F121+G121+H121))*E126)/100</f>
        <v>0</v>
      </c>
      <c r="G126" s="78"/>
      <c r="H126" s="79"/>
      <c r="I126" s="1" t="s">
        <v>71</v>
      </c>
      <c r="J126" s="53">
        <f ca="1">(IF(E121&gt;1,(H121/(E121+2)),H121/4))</f>
        <v>7.5</v>
      </c>
    </row>
    <row r="127" spans="1:10" ht="15" customHeight="1" x14ac:dyDescent="0.2">
      <c r="A127" s="75" t="s">
        <v>72</v>
      </c>
      <c r="B127" s="76"/>
      <c r="C127" s="77">
        <v>0.15</v>
      </c>
      <c r="D127" s="77"/>
      <c r="E127" s="49">
        <v>0</v>
      </c>
      <c r="F127" s="50">
        <f ca="1">((100/H121)*E127)/100</f>
        <v>0</v>
      </c>
      <c r="G127" s="78"/>
      <c r="H127" s="79"/>
      <c r="I127" s="1" t="s">
        <v>73</v>
      </c>
      <c r="J127" s="53">
        <f ca="1">(IF(E121&gt;1,(H121/(E121+2)+J126),H121/4+J126))</f>
        <v>15</v>
      </c>
    </row>
    <row r="128" spans="1:10" ht="15" customHeight="1" x14ac:dyDescent="0.2">
      <c r="A128" s="75" t="s">
        <v>74</v>
      </c>
      <c r="B128" s="76"/>
      <c r="C128" s="77">
        <v>0.05</v>
      </c>
      <c r="D128" s="77"/>
      <c r="E128" s="49">
        <v>0</v>
      </c>
      <c r="F128" s="50">
        <f ca="1">((100/H121)*E128)/100</f>
        <v>0</v>
      </c>
      <c r="G128" s="78"/>
      <c r="H128" s="79"/>
      <c r="I128" s="1" t="s">
        <v>75</v>
      </c>
      <c r="J128" s="53">
        <f>(IF(E121&gt;1,(H121/(E121+2)+J127),0))</f>
        <v>0</v>
      </c>
    </row>
    <row r="129" spans="1:10" ht="15" customHeight="1" x14ac:dyDescent="0.2">
      <c r="A129" s="75" t="s">
        <v>76</v>
      </c>
      <c r="B129" s="76"/>
      <c r="C129" s="77">
        <v>0.05</v>
      </c>
      <c r="D129" s="77"/>
      <c r="E129" s="49">
        <v>0</v>
      </c>
      <c r="F129" s="50">
        <f ca="1">((100/(H121))*E129)/100</f>
        <v>0</v>
      </c>
      <c r="G129" s="78"/>
      <c r="H129" s="79"/>
      <c r="I129" s="1" t="s">
        <v>77</v>
      </c>
      <c r="J129" s="53">
        <f>(IF(E121&gt;2,(H121/(E121+2)+J128),0))</f>
        <v>0</v>
      </c>
    </row>
    <row r="130" spans="1:10" ht="15" customHeight="1" x14ac:dyDescent="0.2">
      <c r="A130" s="75" t="s">
        <v>78</v>
      </c>
      <c r="B130" s="76"/>
      <c r="C130" s="77">
        <v>0.1</v>
      </c>
      <c r="D130" s="77"/>
      <c r="E130" s="49">
        <v>0</v>
      </c>
      <c r="F130" s="50">
        <f ca="1">((100/H121)*E130)/100</f>
        <v>0</v>
      </c>
      <c r="G130" s="78"/>
      <c r="H130" s="79"/>
      <c r="I130" s="1" t="s">
        <v>79</v>
      </c>
      <c r="J130" s="54">
        <f>(IF(E121&gt;3,(H121/(E121+2)+J129),0))</f>
        <v>0</v>
      </c>
    </row>
    <row r="131" spans="1:10" ht="15" customHeight="1" x14ac:dyDescent="0.2">
      <c r="A131" s="75" t="s">
        <v>80</v>
      </c>
      <c r="B131" s="76"/>
      <c r="C131" s="77">
        <v>0.05</v>
      </c>
      <c r="D131" s="77"/>
      <c r="E131" s="49">
        <v>0</v>
      </c>
      <c r="F131" s="50">
        <f ca="1">((100/H121)*E131)/100</f>
        <v>0</v>
      </c>
      <c r="G131" s="78"/>
      <c r="H131" s="79"/>
      <c r="I131" s="1" t="s">
        <v>81</v>
      </c>
      <c r="J131" s="53">
        <f>(IF(E121&gt;4,(H121/(E121+2)+J130),0))</f>
        <v>0</v>
      </c>
    </row>
    <row r="132" spans="1:10" ht="15" customHeight="1" x14ac:dyDescent="0.2">
      <c r="A132" s="75" t="s">
        <v>82</v>
      </c>
      <c r="B132" s="76"/>
      <c r="C132" s="77">
        <v>0.05</v>
      </c>
      <c r="D132" s="77"/>
      <c r="E132" s="49">
        <v>0</v>
      </c>
      <c r="F132" s="50">
        <f ca="1">((100/(H121))*E132)/100</f>
        <v>0</v>
      </c>
      <c r="G132" s="78"/>
      <c r="H132" s="79"/>
      <c r="I132" s="1" t="s">
        <v>83</v>
      </c>
      <c r="J132" s="53">
        <f ca="1">(IF(E121=1,(H121/(E121+3)+J127),IF(E121=0,(H121/4+J127),IF(E121&gt;1,0))))</f>
        <v>22.5</v>
      </c>
    </row>
    <row r="133" spans="1:10" ht="15.75" customHeight="1" thickBot="1" x14ac:dyDescent="0.25">
      <c r="A133" s="84" t="s">
        <v>84</v>
      </c>
      <c r="B133" s="85"/>
      <c r="C133" s="86">
        <v>0.05</v>
      </c>
      <c r="D133" s="86"/>
      <c r="E133" s="55">
        <v>0</v>
      </c>
      <c r="F133" s="56">
        <f ca="1">((100/(H121))*E133)/100</f>
        <v>0</v>
      </c>
      <c r="G133" s="80"/>
      <c r="H133" s="81"/>
      <c r="I133" s="57" t="s">
        <v>85</v>
      </c>
      <c r="J133" s="58">
        <f ca="1">(IF(E121&gt;1.5,(H121/(E121+2)+J127+MAX(0,J128-J127)+MAX(0,J129-J128)+MAX(0,J130-J129)+MAX(0,J131-J130)+MAX(0,J132-J131)),IF(E121=1,(H121/(E121+3)+J132),IF(E121=0,H121/4+J132))))</f>
        <v>30</v>
      </c>
    </row>
    <row r="134" spans="1:10" ht="28.5" customHeight="1" x14ac:dyDescent="0.2">
      <c r="A134" s="202" t="s">
        <v>26</v>
      </c>
      <c r="B134" s="203"/>
      <c r="C134" s="227" t="s">
        <v>117</v>
      </c>
      <c r="D134" s="227"/>
      <c r="E134" s="227"/>
      <c r="F134" s="227"/>
      <c r="G134" s="227"/>
      <c r="H134" s="227"/>
    </row>
    <row r="135" spans="1:10" x14ac:dyDescent="0.2">
      <c r="A135" s="228" t="s">
        <v>27</v>
      </c>
      <c r="B135" s="228"/>
      <c r="C135" s="228"/>
      <c r="D135" s="228"/>
      <c r="E135" s="228"/>
      <c r="F135" s="228"/>
      <c r="G135" s="228"/>
      <c r="H135" s="228"/>
    </row>
    <row r="136" spans="1:10" x14ac:dyDescent="0.2">
      <c r="A136" s="204" t="s">
        <v>28</v>
      </c>
      <c r="B136" s="205"/>
      <c r="C136" s="207" t="s">
        <v>51</v>
      </c>
      <c r="D136" s="208"/>
      <c r="E136" s="229" t="s">
        <v>29</v>
      </c>
      <c r="F136" s="229"/>
      <c r="G136" s="71" t="s">
        <v>18</v>
      </c>
      <c r="H136" s="71" t="s">
        <v>53</v>
      </c>
    </row>
    <row r="137" spans="1:10" x14ac:dyDescent="0.2">
      <c r="A137" s="204" t="s">
        <v>30</v>
      </c>
      <c r="B137" s="205"/>
      <c r="C137" s="207" t="s">
        <v>50</v>
      </c>
      <c r="D137" s="208"/>
      <c r="E137" s="229" t="s">
        <v>31</v>
      </c>
      <c r="F137" s="229"/>
      <c r="G137" s="71" t="s">
        <v>18</v>
      </c>
      <c r="H137" s="71" t="s">
        <v>53</v>
      </c>
    </row>
    <row r="138" spans="1:10" x14ac:dyDescent="0.2">
      <c r="A138" s="204" t="s">
        <v>32</v>
      </c>
      <c r="B138" s="205"/>
      <c r="C138" s="207" t="s">
        <v>145</v>
      </c>
      <c r="D138" s="208"/>
      <c r="E138" s="229" t="s">
        <v>33</v>
      </c>
      <c r="F138" s="229"/>
      <c r="G138" s="71" t="s">
        <v>18</v>
      </c>
      <c r="H138" s="71" t="s">
        <v>53</v>
      </c>
    </row>
    <row r="139" spans="1:10" x14ac:dyDescent="0.2">
      <c r="A139" s="204" t="s">
        <v>34</v>
      </c>
      <c r="B139" s="205"/>
      <c r="C139" s="207" t="s">
        <v>125</v>
      </c>
      <c r="D139" s="208"/>
      <c r="E139" s="229" t="s">
        <v>35</v>
      </c>
      <c r="F139" s="229"/>
      <c r="G139" s="71" t="s">
        <v>18</v>
      </c>
      <c r="H139" s="71" t="s">
        <v>52</v>
      </c>
    </row>
    <row r="140" spans="1:10" x14ac:dyDescent="0.2">
      <c r="A140" s="204" t="s">
        <v>36</v>
      </c>
      <c r="B140" s="205"/>
      <c r="C140" s="207" t="s">
        <v>131</v>
      </c>
      <c r="D140" s="208"/>
      <c r="E140" s="229" t="s">
        <v>37</v>
      </c>
      <c r="F140" s="229"/>
      <c r="G140" s="71" t="s">
        <v>18</v>
      </c>
      <c r="H140" s="71" t="s">
        <v>53</v>
      </c>
    </row>
    <row r="141" spans="1:10" x14ac:dyDescent="0.2">
      <c r="A141" s="204" t="s">
        <v>38</v>
      </c>
      <c r="B141" s="205"/>
      <c r="C141" s="207" t="s">
        <v>146</v>
      </c>
      <c r="D141" s="208"/>
      <c r="E141" s="229" t="s">
        <v>39</v>
      </c>
      <c r="F141" s="229"/>
      <c r="G141" s="71" t="s">
        <v>18</v>
      </c>
      <c r="H141" s="71" t="s">
        <v>53</v>
      </c>
    </row>
    <row r="142" spans="1:10" x14ac:dyDescent="0.2">
      <c r="A142" s="204" t="s">
        <v>40</v>
      </c>
      <c r="B142" s="205"/>
      <c r="C142" s="207" t="s">
        <v>126</v>
      </c>
      <c r="D142" s="208"/>
      <c r="E142" s="229" t="s">
        <v>41</v>
      </c>
      <c r="F142" s="229"/>
      <c r="G142" s="71" t="s">
        <v>18</v>
      </c>
      <c r="H142" s="71" t="s">
        <v>53</v>
      </c>
    </row>
    <row r="143" spans="1:10" ht="38.25" customHeight="1" x14ac:dyDescent="0.2">
      <c r="A143" s="176" t="s">
        <v>42</v>
      </c>
      <c r="B143" s="178"/>
      <c r="C143" s="207" t="s">
        <v>130</v>
      </c>
      <c r="D143" s="208"/>
      <c r="E143" s="228" t="s">
        <v>43</v>
      </c>
      <c r="F143" s="228"/>
      <c r="G143" s="229" t="s">
        <v>53</v>
      </c>
      <c r="H143" s="229"/>
    </row>
    <row r="144" spans="1:10" x14ac:dyDescent="0.2">
      <c r="A144" s="111" t="s">
        <v>44</v>
      </c>
      <c r="B144" s="112"/>
      <c r="C144" s="250" t="s">
        <v>55</v>
      </c>
      <c r="D144" s="251"/>
      <c r="E144" s="181" t="s">
        <v>45</v>
      </c>
      <c r="F144" s="181"/>
      <c r="G144" s="153" t="s">
        <v>54</v>
      </c>
      <c r="H144" s="153"/>
    </row>
    <row r="145" spans="1:10" hidden="1" x14ac:dyDescent="0.2">
      <c r="A145" s="176" t="s">
        <v>202</v>
      </c>
      <c r="B145" s="177"/>
      <c r="C145" s="177"/>
      <c r="D145" s="177"/>
      <c r="E145" s="177"/>
      <c r="F145" s="177"/>
      <c r="G145" s="177"/>
      <c r="H145" s="178"/>
    </row>
    <row r="146" spans="1:10" ht="25.5" hidden="1" customHeight="1" x14ac:dyDescent="0.2">
      <c r="A146" s="181" t="s">
        <v>203</v>
      </c>
      <c r="B146" s="181"/>
      <c r="C146" s="111" t="s">
        <v>204</v>
      </c>
      <c r="D146" s="112"/>
      <c r="E146" s="181" t="s">
        <v>205</v>
      </c>
      <c r="F146" s="181"/>
      <c r="G146" s="181" t="s">
        <v>206</v>
      </c>
      <c r="H146" s="181"/>
    </row>
    <row r="147" spans="1:10" hidden="1" x14ac:dyDescent="0.2">
      <c r="A147" s="108" t="s">
        <v>207</v>
      </c>
      <c r="B147" s="108"/>
      <c r="C147" s="121"/>
      <c r="D147" s="122"/>
      <c r="E147" s="248"/>
      <c r="F147" s="249"/>
      <c r="G147" s="248"/>
      <c r="H147" s="249"/>
    </row>
    <row r="148" spans="1:10" hidden="1" x14ac:dyDescent="0.2">
      <c r="A148" s="181" t="s">
        <v>208</v>
      </c>
      <c r="B148" s="181"/>
      <c r="C148" s="123">
        <f>SUM(C147)</f>
        <v>0</v>
      </c>
      <c r="D148" s="124"/>
      <c r="E148" s="215">
        <f>SUM(E147)</f>
        <v>0</v>
      </c>
      <c r="F148" s="216"/>
      <c r="G148" s="215">
        <f>SUM(G147)</f>
        <v>0</v>
      </c>
      <c r="H148" s="216"/>
    </row>
    <row r="149" spans="1:10" x14ac:dyDescent="0.2">
      <c r="A149" s="181" t="s">
        <v>209</v>
      </c>
      <c r="B149" s="181"/>
      <c r="C149" s="181"/>
      <c r="D149" s="181"/>
      <c r="E149" s="181"/>
      <c r="F149" s="181"/>
      <c r="G149" s="181"/>
      <c r="H149" s="181"/>
    </row>
    <row r="150" spans="1:10" x14ac:dyDescent="0.2">
      <c r="A150" s="181" t="s">
        <v>203</v>
      </c>
      <c r="B150" s="181"/>
      <c r="C150" s="111" t="s">
        <v>204</v>
      </c>
      <c r="D150" s="112"/>
      <c r="E150" s="181" t="s">
        <v>205</v>
      </c>
      <c r="F150" s="181"/>
      <c r="G150" s="181" t="s">
        <v>206</v>
      </c>
      <c r="H150" s="181"/>
    </row>
    <row r="151" spans="1:10" x14ac:dyDescent="0.2">
      <c r="A151" s="108" t="s">
        <v>250</v>
      </c>
      <c r="B151" s="108"/>
      <c r="C151" s="109">
        <f>COUNT(D185:D190)*2+COUNT(D192:D203)*23+COUNT(D205:D209,D211:D216)*5</f>
        <v>343</v>
      </c>
      <c r="D151" s="110"/>
      <c r="E151" s="109">
        <f t="shared" ref="E151" si="0">SUM(F185:F190)*2+SUM(F192:F203)*23+SUM(F205:F209,F211:F216)*5</f>
        <v>128943.78588000001</v>
      </c>
      <c r="F151" s="110"/>
      <c r="G151" s="109">
        <f t="shared" ref="G151" si="1">SUM(H185:H190)*2+SUM(H192:H203)*23+SUM(H205:H209,H211:H216)*5</f>
        <v>193415.67882</v>
      </c>
      <c r="H151" s="110"/>
      <c r="J151" s="6">
        <f>112+574</f>
        <v>686</v>
      </c>
    </row>
    <row r="152" spans="1:10" x14ac:dyDescent="0.2">
      <c r="A152" s="108" t="s">
        <v>252</v>
      </c>
      <c r="B152" s="108"/>
      <c r="C152" s="109">
        <f>COUNT(D220:D223)*2+COUNT(D225:D236)*23+COUNT(D238:D240,D242:D249)*5</f>
        <v>339</v>
      </c>
      <c r="D152" s="110"/>
      <c r="E152" s="109">
        <f t="shared" ref="E152" si="2">SUM(F220:F223)*2+SUM(F225:F236)*23+SUM(F238:F240,F242:F249)*5</f>
        <v>165305.43899999998</v>
      </c>
      <c r="F152" s="110"/>
      <c r="G152" s="109">
        <f t="shared" ref="G152" si="3">SUM(H220:H223)*2+SUM(H225:H236)*23+SUM(H238:H240,H242:H249)*5</f>
        <v>247958.15850000002</v>
      </c>
      <c r="H152" s="110"/>
    </row>
    <row r="153" spans="1:10" x14ac:dyDescent="0.2">
      <c r="A153" s="108" t="s">
        <v>251</v>
      </c>
      <c r="B153" s="108"/>
      <c r="C153" s="109">
        <f>COUNT(D253:D258)*2+COUNT(D260:D271)*23+COUNT(D273:D277,D279:D284)*5</f>
        <v>343</v>
      </c>
      <c r="D153" s="110"/>
      <c r="E153" s="109">
        <f t="shared" ref="E153" si="4">SUM(F253:F258)*2+SUM(F260:F271)*23+SUM(F273:F277,F279:F284)*5</f>
        <v>128943.78588000001</v>
      </c>
      <c r="F153" s="110"/>
      <c r="G153" s="109">
        <f t="shared" ref="G153" si="5">SUM(H253:H258)*2+SUM(H260:H271)*23+SUM(H273:H277,H279:H284)*5</f>
        <v>193415.67882</v>
      </c>
      <c r="H153" s="110"/>
    </row>
    <row r="154" spans="1:10" x14ac:dyDescent="0.2">
      <c r="A154" s="108" t="s">
        <v>255</v>
      </c>
      <c r="B154" s="108"/>
      <c r="C154" s="109">
        <f>COUNT(D289:D292)*2+COUNT(D294:D305)*23+COUNT(D307:D309,D311:D318)*5</f>
        <v>339</v>
      </c>
      <c r="D154" s="110"/>
      <c r="E154" s="109">
        <f t="shared" ref="E154" si="6">SUM(F289:F292)*2+SUM(F294:F305)*23+SUM(F307:F309,F311:F318)*5</f>
        <v>165305.43899999998</v>
      </c>
      <c r="F154" s="110"/>
      <c r="G154" s="109">
        <f t="shared" ref="G154" si="7">SUM(H289:H292)*2+SUM(H294:H305)*23+SUM(H307:H309,H311:H318)*5</f>
        <v>247958.15850000002</v>
      </c>
      <c r="H154" s="110"/>
    </row>
    <row r="155" spans="1:10" x14ac:dyDescent="0.2">
      <c r="A155" s="108" t="s">
        <v>256</v>
      </c>
      <c r="B155" s="108"/>
      <c r="C155" s="109">
        <f>COUNT(D323:D328)*2+COUNT(D330:D341)*23+COUNT(D343:D347,D349:D354)*5</f>
        <v>343</v>
      </c>
      <c r="D155" s="110"/>
      <c r="E155" s="109">
        <f t="shared" ref="E155" si="8">SUM(F323:F328)*2+SUM(F330:F341)*23+SUM(F343:F347,F349:F354)*5</f>
        <v>129124.62108000003</v>
      </c>
      <c r="F155" s="110"/>
      <c r="G155" s="109">
        <f t="shared" ref="G155" si="9">SUM(H323:H328)*2+SUM(H330:H341)*23+SUM(H343:H347,H349:H354)*5</f>
        <v>193686.93162000002</v>
      </c>
      <c r="H155" s="110"/>
    </row>
    <row r="156" spans="1:10" x14ac:dyDescent="0.2">
      <c r="A156" s="108" t="s">
        <v>257</v>
      </c>
      <c r="B156" s="108"/>
      <c r="C156" s="109">
        <f>COUNT(D358:D361)*2+COUNT(D363:D374)*17+COUNT(D376:D378,D380:D387)*3</f>
        <v>245</v>
      </c>
      <c r="D156" s="110"/>
      <c r="E156" s="109">
        <f t="shared" ref="E156" si="10">SUM(F358:F361)*2+SUM(F363:F374)*17+SUM(F376:F378,F380:F387)*3</f>
        <v>119669.30819999997</v>
      </c>
      <c r="F156" s="110"/>
      <c r="G156" s="109">
        <f t="shared" ref="G156" si="11">SUM(H358:H361)*2+SUM(H363:H374)*17+SUM(H376:H378,H380:H387)*3</f>
        <v>179503.96230000001</v>
      </c>
      <c r="H156" s="110"/>
    </row>
    <row r="157" spans="1:10" x14ac:dyDescent="0.2">
      <c r="A157" s="181" t="s">
        <v>208</v>
      </c>
      <c r="B157" s="181"/>
      <c r="C157" s="125">
        <f>SUM(C151:D156)</f>
        <v>1952</v>
      </c>
      <c r="D157" s="124"/>
      <c r="E157" s="215">
        <f>SUM(E151:F156)</f>
        <v>837292.37904000003</v>
      </c>
      <c r="F157" s="216"/>
      <c r="G157" s="215">
        <f>SUM(G151:H156)</f>
        <v>1255938.56856</v>
      </c>
      <c r="H157" s="216"/>
      <c r="J157" s="6">
        <f>0.5*686</f>
        <v>343</v>
      </c>
    </row>
    <row r="158" spans="1:10" hidden="1" x14ac:dyDescent="0.2">
      <c r="A158" s="181" t="s">
        <v>210</v>
      </c>
      <c r="B158" s="181"/>
      <c r="C158" s="111">
        <f>C148+C157</f>
        <v>1952</v>
      </c>
      <c r="D158" s="112"/>
      <c r="E158" s="206">
        <f>E148+E157</f>
        <v>837292.37904000003</v>
      </c>
      <c r="F158" s="206"/>
      <c r="G158" s="206">
        <f>G148+G157</f>
        <v>1255938.56856</v>
      </c>
      <c r="H158" s="206"/>
    </row>
    <row r="159" spans="1:10" ht="15.75" customHeight="1" x14ac:dyDescent="0.2">
      <c r="A159" s="181" t="s">
        <v>46</v>
      </c>
      <c r="B159" s="181"/>
      <c r="C159" s="181"/>
      <c r="D159" s="181"/>
      <c r="E159" s="181"/>
      <c r="F159" s="181"/>
      <c r="G159" s="181"/>
      <c r="H159" s="181"/>
    </row>
    <row r="160" spans="1:10" x14ac:dyDescent="0.2">
      <c r="A160" s="181" t="s">
        <v>221</v>
      </c>
      <c r="B160" s="181"/>
      <c r="C160" s="181"/>
      <c r="D160" s="181"/>
      <c r="E160" s="181"/>
      <c r="F160" s="181"/>
      <c r="G160" s="181"/>
      <c r="H160" s="181"/>
    </row>
    <row r="161" spans="1:8" ht="39" hidden="1" customHeight="1" x14ac:dyDescent="0.2">
      <c r="A161" s="213" t="s">
        <v>222</v>
      </c>
      <c r="B161" s="209" t="s">
        <v>223</v>
      </c>
      <c r="C161" s="213" t="s">
        <v>133</v>
      </c>
      <c r="D161" s="209" t="s">
        <v>216</v>
      </c>
      <c r="E161" s="209" t="s">
        <v>219</v>
      </c>
      <c r="F161" s="213" t="s">
        <v>217</v>
      </c>
      <c r="G161" s="19" t="s">
        <v>218</v>
      </c>
      <c r="H161" s="19" t="s">
        <v>147</v>
      </c>
    </row>
    <row r="162" spans="1:8" hidden="1" x14ac:dyDescent="0.2">
      <c r="A162" s="214"/>
      <c r="B162" s="210"/>
      <c r="C162" s="214"/>
      <c r="D162" s="210"/>
      <c r="E162" s="210"/>
      <c r="F162" s="214"/>
      <c r="G162" s="20"/>
      <c r="H162" s="20">
        <v>0.45</v>
      </c>
    </row>
    <row r="163" spans="1:8" hidden="1" x14ac:dyDescent="0.2">
      <c r="A163" s="103" t="s">
        <v>137</v>
      </c>
      <c r="B163" s="103"/>
      <c r="C163" s="103"/>
      <c r="D163" s="103"/>
      <c r="E163" s="103"/>
      <c r="F163" s="103"/>
      <c r="G163" s="103"/>
      <c r="H163" s="103"/>
    </row>
    <row r="164" spans="1:8" hidden="1" x14ac:dyDescent="0.2">
      <c r="A164" s="103" t="s">
        <v>213</v>
      </c>
      <c r="B164" s="103"/>
      <c r="C164" s="103"/>
      <c r="D164" s="103"/>
      <c r="E164" s="103"/>
      <c r="F164" s="103"/>
      <c r="G164" s="103"/>
      <c r="H164" s="103"/>
    </row>
    <row r="165" spans="1:8" hidden="1" x14ac:dyDescent="0.2">
      <c r="A165" s="98">
        <v>1</v>
      </c>
      <c r="B165" s="99"/>
      <c r="C165" s="16" t="s">
        <v>220</v>
      </c>
      <c r="D165" s="16"/>
      <c r="E165" s="16"/>
      <c r="F165" s="17">
        <f>D165+(IF(E165&lt;201,E165,IF(E165&lt;301,E165/2,E165/3)))</f>
        <v>0</v>
      </c>
      <c r="G165" s="17"/>
      <c r="H165" s="16">
        <f t="shared" ref="H165:H176" si="12">F165*(($H$162)+1)+(IF(G165&lt;101,G165,IF(G165&lt;201,G165/2,IF(G165&lt;=301,G165/3,G165/4))))</f>
        <v>0</v>
      </c>
    </row>
    <row r="166" spans="1:8" hidden="1" x14ac:dyDescent="0.2">
      <c r="A166" s="98">
        <f>A165+1</f>
        <v>2</v>
      </c>
      <c r="B166" s="99"/>
      <c r="C166" s="16" t="s">
        <v>220</v>
      </c>
      <c r="D166" s="16"/>
      <c r="E166" s="16"/>
      <c r="F166" s="17">
        <f t="shared" ref="F166:F176" si="13">D166+(IF(E166&lt;201,E166,IF(E166&lt;301,E166/2,E166/3)))</f>
        <v>0</v>
      </c>
      <c r="G166" s="17"/>
      <c r="H166" s="16">
        <f t="shared" si="12"/>
        <v>0</v>
      </c>
    </row>
    <row r="167" spans="1:8" hidden="1" x14ac:dyDescent="0.2">
      <c r="A167" s="98">
        <f t="shared" ref="A167:A176" si="14">A166+1</f>
        <v>3</v>
      </c>
      <c r="B167" s="99"/>
      <c r="C167" s="16" t="s">
        <v>220</v>
      </c>
      <c r="D167" s="16"/>
      <c r="E167" s="16"/>
      <c r="F167" s="17">
        <f t="shared" si="13"/>
        <v>0</v>
      </c>
      <c r="G167" s="17"/>
      <c r="H167" s="16">
        <f t="shared" si="12"/>
        <v>0</v>
      </c>
    </row>
    <row r="168" spans="1:8" hidden="1" x14ac:dyDescent="0.2">
      <c r="A168" s="98">
        <f t="shared" si="14"/>
        <v>4</v>
      </c>
      <c r="B168" s="99"/>
      <c r="C168" s="16" t="s">
        <v>220</v>
      </c>
      <c r="D168" s="16"/>
      <c r="E168" s="16"/>
      <c r="F168" s="17">
        <f t="shared" si="13"/>
        <v>0</v>
      </c>
      <c r="G168" s="17"/>
      <c r="H168" s="16">
        <f t="shared" si="12"/>
        <v>0</v>
      </c>
    </row>
    <row r="169" spans="1:8" hidden="1" x14ac:dyDescent="0.2">
      <c r="A169" s="98">
        <f t="shared" si="14"/>
        <v>5</v>
      </c>
      <c r="B169" s="99"/>
      <c r="C169" s="16" t="s">
        <v>220</v>
      </c>
      <c r="D169" s="16"/>
      <c r="E169" s="16"/>
      <c r="F169" s="17">
        <f t="shared" si="13"/>
        <v>0</v>
      </c>
      <c r="G169" s="17"/>
      <c r="H169" s="16">
        <f t="shared" si="12"/>
        <v>0</v>
      </c>
    </row>
    <row r="170" spans="1:8" hidden="1" x14ac:dyDescent="0.2">
      <c r="A170" s="98">
        <f t="shared" si="14"/>
        <v>6</v>
      </c>
      <c r="B170" s="99"/>
      <c r="C170" s="16" t="s">
        <v>220</v>
      </c>
      <c r="D170" s="16"/>
      <c r="E170" s="16"/>
      <c r="F170" s="17">
        <f t="shared" si="13"/>
        <v>0</v>
      </c>
      <c r="G170" s="17"/>
      <c r="H170" s="16">
        <f t="shared" si="12"/>
        <v>0</v>
      </c>
    </row>
    <row r="171" spans="1:8" hidden="1" x14ac:dyDescent="0.2">
      <c r="A171" s="98">
        <f t="shared" si="14"/>
        <v>7</v>
      </c>
      <c r="B171" s="99"/>
      <c r="C171" s="16" t="s">
        <v>220</v>
      </c>
      <c r="D171" s="16"/>
      <c r="E171" s="16"/>
      <c r="F171" s="17">
        <f t="shared" si="13"/>
        <v>0</v>
      </c>
      <c r="G171" s="17"/>
      <c r="H171" s="16">
        <f t="shared" si="12"/>
        <v>0</v>
      </c>
    </row>
    <row r="172" spans="1:8" hidden="1" x14ac:dyDescent="0.2">
      <c r="A172" s="98">
        <f t="shared" si="14"/>
        <v>8</v>
      </c>
      <c r="B172" s="99"/>
      <c r="C172" s="16" t="s">
        <v>220</v>
      </c>
      <c r="D172" s="16"/>
      <c r="E172" s="16"/>
      <c r="F172" s="17">
        <f t="shared" si="13"/>
        <v>0</v>
      </c>
      <c r="G172" s="17"/>
      <c r="H172" s="16">
        <f t="shared" si="12"/>
        <v>0</v>
      </c>
    </row>
    <row r="173" spans="1:8" hidden="1" x14ac:dyDescent="0.2">
      <c r="A173" s="98">
        <f t="shared" si="14"/>
        <v>9</v>
      </c>
      <c r="B173" s="99"/>
      <c r="C173" s="16" t="s">
        <v>220</v>
      </c>
      <c r="D173" s="16"/>
      <c r="E173" s="16"/>
      <c r="F173" s="17">
        <f t="shared" si="13"/>
        <v>0</v>
      </c>
      <c r="G173" s="17"/>
      <c r="H173" s="16">
        <f t="shared" si="12"/>
        <v>0</v>
      </c>
    </row>
    <row r="174" spans="1:8" hidden="1" x14ac:dyDescent="0.2">
      <c r="A174" s="98">
        <f t="shared" si="14"/>
        <v>10</v>
      </c>
      <c r="B174" s="99"/>
      <c r="C174" s="16" t="s">
        <v>220</v>
      </c>
      <c r="D174" s="16"/>
      <c r="E174" s="16"/>
      <c r="F174" s="17">
        <f t="shared" si="13"/>
        <v>0</v>
      </c>
      <c r="G174" s="17"/>
      <c r="H174" s="16">
        <f t="shared" si="12"/>
        <v>0</v>
      </c>
    </row>
    <row r="175" spans="1:8" hidden="1" x14ac:dyDescent="0.2">
      <c r="A175" s="98">
        <f t="shared" si="14"/>
        <v>11</v>
      </c>
      <c r="B175" s="99"/>
      <c r="C175" s="16" t="s">
        <v>220</v>
      </c>
      <c r="D175" s="16"/>
      <c r="E175" s="16"/>
      <c r="F175" s="17">
        <f t="shared" si="13"/>
        <v>0</v>
      </c>
      <c r="G175" s="17"/>
      <c r="H175" s="16">
        <f t="shared" si="12"/>
        <v>0</v>
      </c>
    </row>
    <row r="176" spans="1:8" hidden="1" x14ac:dyDescent="0.2">
      <c r="A176" s="98">
        <f t="shared" si="14"/>
        <v>12</v>
      </c>
      <c r="B176" s="99"/>
      <c r="C176" s="16" t="s">
        <v>220</v>
      </c>
      <c r="D176" s="16"/>
      <c r="E176" s="16"/>
      <c r="F176" s="17">
        <f t="shared" si="13"/>
        <v>0</v>
      </c>
      <c r="G176" s="17"/>
      <c r="H176" s="16">
        <f t="shared" si="12"/>
        <v>0</v>
      </c>
    </row>
    <row r="177" spans="1:10" hidden="1" x14ac:dyDescent="0.2">
      <c r="A177" s="98"/>
      <c r="B177" s="104"/>
      <c r="C177" s="104"/>
      <c r="D177" s="104"/>
      <c r="E177" s="104"/>
      <c r="F177" s="104"/>
      <c r="G177" s="104"/>
      <c r="H177" s="99"/>
    </row>
    <row r="178" spans="1:10" ht="39" customHeight="1" x14ac:dyDescent="0.2">
      <c r="A178" s="211" t="s">
        <v>214</v>
      </c>
      <c r="B178" s="211" t="s">
        <v>215</v>
      </c>
      <c r="C178" s="211" t="s">
        <v>316</v>
      </c>
      <c r="D178" s="211" t="s">
        <v>275</v>
      </c>
      <c r="E178" s="211" t="s">
        <v>267</v>
      </c>
      <c r="F178" s="211" t="s">
        <v>217</v>
      </c>
      <c r="G178" s="72" t="s">
        <v>218</v>
      </c>
      <c r="H178" s="72" t="s">
        <v>147</v>
      </c>
      <c r="J178" s="17">
        <v>10.763999999999999</v>
      </c>
    </row>
    <row r="179" spans="1:10" x14ac:dyDescent="0.2">
      <c r="A179" s="212"/>
      <c r="B179" s="212"/>
      <c r="C179" s="212"/>
      <c r="D179" s="212"/>
      <c r="E179" s="212"/>
      <c r="F179" s="212"/>
      <c r="G179" s="73"/>
      <c r="H179" s="73">
        <v>0.5</v>
      </c>
    </row>
    <row r="180" spans="1:10" x14ac:dyDescent="0.2">
      <c r="A180" s="103" t="s">
        <v>263</v>
      </c>
      <c r="B180" s="103"/>
      <c r="C180" s="103"/>
      <c r="D180" s="103"/>
      <c r="E180" s="103"/>
      <c r="F180" s="103"/>
      <c r="G180" s="103"/>
      <c r="H180" s="103"/>
    </row>
    <row r="181" spans="1:10" x14ac:dyDescent="0.2">
      <c r="A181" s="103" t="s">
        <v>264</v>
      </c>
      <c r="B181" s="103"/>
      <c r="C181" s="103"/>
      <c r="D181" s="103"/>
      <c r="E181" s="103"/>
      <c r="F181" s="103"/>
      <c r="G181" s="103"/>
      <c r="H181" s="103"/>
    </row>
    <row r="182" spans="1:10" x14ac:dyDescent="0.2">
      <c r="A182" s="103" t="s">
        <v>271</v>
      </c>
      <c r="B182" s="103"/>
      <c r="C182" s="103"/>
      <c r="D182" s="103"/>
      <c r="E182" s="103"/>
      <c r="F182" s="103"/>
      <c r="G182" s="103"/>
      <c r="H182" s="103"/>
    </row>
    <row r="183" spans="1:10" x14ac:dyDescent="0.2">
      <c r="A183" s="103" t="s">
        <v>244</v>
      </c>
      <c r="B183" s="103"/>
      <c r="C183" s="103"/>
      <c r="D183" s="103"/>
      <c r="E183" s="103"/>
      <c r="F183" s="103"/>
      <c r="G183" s="103"/>
      <c r="H183" s="103"/>
    </row>
    <row r="184" spans="1:10" x14ac:dyDescent="0.2">
      <c r="A184" s="103" t="s">
        <v>245</v>
      </c>
      <c r="B184" s="103"/>
      <c r="C184" s="103"/>
      <c r="D184" s="103"/>
      <c r="E184" s="103"/>
      <c r="F184" s="103"/>
      <c r="G184" s="103"/>
      <c r="H184" s="103"/>
      <c r="I184" s="65">
        <v>2</v>
      </c>
    </row>
    <row r="185" spans="1:10" x14ac:dyDescent="0.2">
      <c r="A185" s="98">
        <v>1</v>
      </c>
      <c r="B185" s="99"/>
      <c r="C185" s="16" t="s">
        <v>56</v>
      </c>
      <c r="D185" s="17">
        <f t="shared" ref="D185:D190" si="15">(34.45)*10.764</f>
        <v>370.81979999999999</v>
      </c>
      <c r="E185" s="17">
        <f>(1.5*1)*10.764</f>
        <v>16.146000000000001</v>
      </c>
      <c r="F185" s="17">
        <f>D185+E185</f>
        <v>386.9658</v>
      </c>
      <c r="G185" s="17">
        <v>0</v>
      </c>
      <c r="H185" s="17">
        <f>F185*(($H$179)+1)+(IF(G185&lt;101,G185,IF(G185&lt;201,G185/2,IF(G185&lt;=301,G185/3,G185/4))))</f>
        <v>580.44870000000003</v>
      </c>
      <c r="I185" s="64">
        <f>2.75*4.35+2*2.45+2.75*3.45+1.65*1.05+1.12*1.79+2.25*0.9+1.5</f>
        <v>33.612299999999998</v>
      </c>
    </row>
    <row r="186" spans="1:10" x14ac:dyDescent="0.2">
      <c r="A186" s="98">
        <f>A185+1</f>
        <v>2</v>
      </c>
      <c r="B186" s="99"/>
      <c r="C186" s="16" t="s">
        <v>56</v>
      </c>
      <c r="D186" s="17">
        <f t="shared" si="15"/>
        <v>370.81979999999999</v>
      </c>
      <c r="E186" s="17">
        <f t="shared" ref="E186:E199" si="16">(1.5*1)*10.764</f>
        <v>16.146000000000001</v>
      </c>
      <c r="F186" s="17">
        <f t="shared" ref="F186:F190" si="17">D186+E186</f>
        <v>386.9658</v>
      </c>
      <c r="G186" s="17">
        <v>0</v>
      </c>
      <c r="H186" s="17">
        <f t="shared" ref="H186:H190" si="18">F186*(($H$179)+1)+(IF(G186&lt;101,G186,IF(G186&lt;201,G186/2,IF(G186&lt;=301,G186/3,G186/4))))</f>
        <v>580.44870000000003</v>
      </c>
    </row>
    <row r="187" spans="1:10" x14ac:dyDescent="0.2">
      <c r="A187" s="98">
        <f t="shared" ref="A187:A190" si="19">A186+1</f>
        <v>3</v>
      </c>
      <c r="B187" s="99"/>
      <c r="C187" s="16" t="s">
        <v>56</v>
      </c>
      <c r="D187" s="17">
        <f t="shared" si="15"/>
        <v>370.81979999999999</v>
      </c>
      <c r="E187" s="17">
        <f t="shared" si="16"/>
        <v>16.146000000000001</v>
      </c>
      <c r="F187" s="17">
        <f t="shared" si="17"/>
        <v>386.9658</v>
      </c>
      <c r="G187" s="17">
        <v>0</v>
      </c>
      <c r="H187" s="17">
        <f t="shared" si="18"/>
        <v>580.44870000000003</v>
      </c>
    </row>
    <row r="188" spans="1:10" x14ac:dyDescent="0.2">
      <c r="A188" s="98">
        <f t="shared" si="19"/>
        <v>4</v>
      </c>
      <c r="B188" s="99"/>
      <c r="C188" s="16" t="s">
        <v>56</v>
      </c>
      <c r="D188" s="17">
        <f t="shared" si="15"/>
        <v>370.81979999999999</v>
      </c>
      <c r="E188" s="17">
        <f t="shared" si="16"/>
        <v>16.146000000000001</v>
      </c>
      <c r="F188" s="17">
        <f t="shared" si="17"/>
        <v>386.9658</v>
      </c>
      <c r="G188" s="17">
        <v>0</v>
      </c>
      <c r="H188" s="17">
        <f t="shared" si="18"/>
        <v>580.44870000000003</v>
      </c>
    </row>
    <row r="189" spans="1:10" x14ac:dyDescent="0.2">
      <c r="A189" s="98">
        <f t="shared" si="19"/>
        <v>5</v>
      </c>
      <c r="B189" s="99"/>
      <c r="C189" s="16" t="s">
        <v>56</v>
      </c>
      <c r="D189" s="17">
        <f t="shared" si="15"/>
        <v>370.81979999999999</v>
      </c>
      <c r="E189" s="17">
        <f t="shared" si="16"/>
        <v>16.146000000000001</v>
      </c>
      <c r="F189" s="17">
        <f t="shared" si="17"/>
        <v>386.9658</v>
      </c>
      <c r="G189" s="17">
        <v>0</v>
      </c>
      <c r="H189" s="17">
        <f t="shared" si="18"/>
        <v>580.44870000000003</v>
      </c>
    </row>
    <row r="190" spans="1:10" x14ac:dyDescent="0.2">
      <c r="A190" s="98">
        <f t="shared" si="19"/>
        <v>6</v>
      </c>
      <c r="B190" s="99"/>
      <c r="C190" s="16" t="s">
        <v>56</v>
      </c>
      <c r="D190" s="17">
        <f t="shared" si="15"/>
        <v>370.81979999999999</v>
      </c>
      <c r="E190" s="17">
        <f t="shared" si="16"/>
        <v>16.146000000000001</v>
      </c>
      <c r="F190" s="17">
        <f t="shared" si="17"/>
        <v>386.9658</v>
      </c>
      <c r="G190" s="17">
        <v>0</v>
      </c>
      <c r="H190" s="17">
        <f t="shared" si="18"/>
        <v>580.44870000000003</v>
      </c>
    </row>
    <row r="191" spans="1:10" x14ac:dyDescent="0.2">
      <c r="A191" s="103" t="s">
        <v>246</v>
      </c>
      <c r="B191" s="103"/>
      <c r="C191" s="103"/>
      <c r="D191" s="103"/>
      <c r="E191" s="103"/>
      <c r="F191" s="103"/>
      <c r="G191" s="103"/>
      <c r="H191" s="103"/>
      <c r="I191" s="65">
        <f>5+4+4+4+4+2</f>
        <v>23</v>
      </c>
    </row>
    <row r="192" spans="1:10" x14ac:dyDescent="0.2">
      <c r="A192" s="98">
        <v>1</v>
      </c>
      <c r="B192" s="99"/>
      <c r="C192" s="16" t="s">
        <v>56</v>
      </c>
      <c r="D192" s="17">
        <f t="shared" ref="D192:D198" si="20">(34.45)*10.764</f>
        <v>370.81979999999999</v>
      </c>
      <c r="E192" s="17">
        <f t="shared" si="16"/>
        <v>16.146000000000001</v>
      </c>
      <c r="F192" s="17">
        <f>D192+E192</f>
        <v>386.9658</v>
      </c>
      <c r="G192" s="17">
        <v>0</v>
      </c>
      <c r="H192" s="17">
        <f>F192*(($H$179)+1)+(IF(G192&lt;101,G192,IF(G192&lt;201,G192/2,IF(G192&lt;=301,G192/3,G192/4))))</f>
        <v>580.44870000000003</v>
      </c>
    </row>
    <row r="193" spans="1:8" x14ac:dyDescent="0.2">
      <c r="A193" s="98">
        <f>A192+1</f>
        <v>2</v>
      </c>
      <c r="B193" s="99"/>
      <c r="C193" s="16" t="s">
        <v>56</v>
      </c>
      <c r="D193" s="17">
        <f t="shared" si="20"/>
        <v>370.81979999999999</v>
      </c>
      <c r="E193" s="17">
        <f t="shared" si="16"/>
        <v>16.146000000000001</v>
      </c>
      <c r="F193" s="17">
        <f t="shared" ref="F193:F203" si="21">D193+E193</f>
        <v>386.9658</v>
      </c>
      <c r="G193" s="17">
        <v>0</v>
      </c>
      <c r="H193" s="17">
        <f t="shared" ref="H193:H203" si="22">F193*(($H$179)+1)+(IF(G193&lt;101,G193,IF(G193&lt;201,G193/2,IF(G193&lt;=301,G193/3,G193/4))))</f>
        <v>580.44870000000003</v>
      </c>
    </row>
    <row r="194" spans="1:8" x14ac:dyDescent="0.2">
      <c r="A194" s="98">
        <f t="shared" ref="A194:A203" si="23">A193+1</f>
        <v>3</v>
      </c>
      <c r="B194" s="99"/>
      <c r="C194" s="16" t="s">
        <v>56</v>
      </c>
      <c r="D194" s="17">
        <f t="shared" si="20"/>
        <v>370.81979999999999</v>
      </c>
      <c r="E194" s="17">
        <f t="shared" si="16"/>
        <v>16.146000000000001</v>
      </c>
      <c r="F194" s="17">
        <f t="shared" si="21"/>
        <v>386.9658</v>
      </c>
      <c r="G194" s="17">
        <v>0</v>
      </c>
      <c r="H194" s="17">
        <f t="shared" si="22"/>
        <v>580.44870000000003</v>
      </c>
    </row>
    <row r="195" spans="1:8" x14ac:dyDescent="0.2">
      <c r="A195" s="98">
        <f t="shared" si="23"/>
        <v>4</v>
      </c>
      <c r="B195" s="99"/>
      <c r="C195" s="16" t="s">
        <v>56</v>
      </c>
      <c r="D195" s="17">
        <f t="shared" si="20"/>
        <v>370.81979999999999</v>
      </c>
      <c r="E195" s="17">
        <f t="shared" si="16"/>
        <v>16.146000000000001</v>
      </c>
      <c r="F195" s="17">
        <f t="shared" si="21"/>
        <v>386.9658</v>
      </c>
      <c r="G195" s="17">
        <v>0</v>
      </c>
      <c r="H195" s="17">
        <f t="shared" si="22"/>
        <v>580.44870000000003</v>
      </c>
    </row>
    <row r="196" spans="1:8" x14ac:dyDescent="0.2">
      <c r="A196" s="98">
        <f t="shared" si="23"/>
        <v>5</v>
      </c>
      <c r="B196" s="99"/>
      <c r="C196" s="16" t="s">
        <v>56</v>
      </c>
      <c r="D196" s="17">
        <f t="shared" si="20"/>
        <v>370.81979999999999</v>
      </c>
      <c r="E196" s="17">
        <f t="shared" si="16"/>
        <v>16.146000000000001</v>
      </c>
      <c r="F196" s="17">
        <f t="shared" si="21"/>
        <v>386.9658</v>
      </c>
      <c r="G196" s="17">
        <v>0</v>
      </c>
      <c r="H196" s="17">
        <f t="shared" si="22"/>
        <v>580.44870000000003</v>
      </c>
    </row>
    <row r="197" spans="1:8" x14ac:dyDescent="0.2">
      <c r="A197" s="98">
        <f t="shared" si="23"/>
        <v>6</v>
      </c>
      <c r="B197" s="99"/>
      <c r="C197" s="16" t="s">
        <v>56</v>
      </c>
      <c r="D197" s="17">
        <f t="shared" si="20"/>
        <v>370.81979999999999</v>
      </c>
      <c r="E197" s="17">
        <f t="shared" si="16"/>
        <v>16.146000000000001</v>
      </c>
      <c r="F197" s="17">
        <f t="shared" si="21"/>
        <v>386.9658</v>
      </c>
      <c r="G197" s="17">
        <v>0</v>
      </c>
      <c r="H197" s="17">
        <f t="shared" si="22"/>
        <v>580.44870000000003</v>
      </c>
    </row>
    <row r="198" spans="1:8" x14ac:dyDescent="0.2">
      <c r="A198" s="98">
        <f t="shared" si="23"/>
        <v>7</v>
      </c>
      <c r="B198" s="99"/>
      <c r="C198" s="16" t="s">
        <v>56</v>
      </c>
      <c r="D198" s="17">
        <f t="shared" si="20"/>
        <v>370.81979999999999</v>
      </c>
      <c r="E198" s="17">
        <f t="shared" si="16"/>
        <v>16.146000000000001</v>
      </c>
      <c r="F198" s="17">
        <f t="shared" si="21"/>
        <v>386.9658</v>
      </c>
      <c r="G198" s="17">
        <v>0</v>
      </c>
      <c r="H198" s="17">
        <f t="shared" si="22"/>
        <v>580.44870000000003</v>
      </c>
    </row>
    <row r="199" spans="1:8" x14ac:dyDescent="0.2">
      <c r="A199" s="98">
        <f t="shared" si="23"/>
        <v>8</v>
      </c>
      <c r="B199" s="99"/>
      <c r="C199" s="16" t="s">
        <v>56</v>
      </c>
      <c r="D199" s="17">
        <f>(34.45)*10.764</f>
        <v>370.81979999999999</v>
      </c>
      <c r="E199" s="17">
        <f t="shared" si="16"/>
        <v>16.146000000000001</v>
      </c>
      <c r="F199" s="17">
        <f t="shared" si="21"/>
        <v>386.9658</v>
      </c>
      <c r="G199" s="17">
        <v>0</v>
      </c>
      <c r="H199" s="17">
        <f t="shared" si="22"/>
        <v>580.44870000000003</v>
      </c>
    </row>
    <row r="200" spans="1:8" x14ac:dyDescent="0.2">
      <c r="A200" s="98">
        <f t="shared" si="23"/>
        <v>9</v>
      </c>
      <c r="B200" s="99"/>
      <c r="C200" s="16" t="s">
        <v>56</v>
      </c>
      <c r="D200" s="17">
        <f>(29.67)*10.764</f>
        <v>319.36788000000001</v>
      </c>
      <c r="E200" s="16">
        <v>0</v>
      </c>
      <c r="F200" s="17">
        <f t="shared" si="21"/>
        <v>319.36788000000001</v>
      </c>
      <c r="G200" s="17">
        <v>0</v>
      </c>
      <c r="H200" s="17">
        <f t="shared" si="22"/>
        <v>479.05182000000002</v>
      </c>
    </row>
    <row r="201" spans="1:8" x14ac:dyDescent="0.2">
      <c r="A201" s="98">
        <f t="shared" si="23"/>
        <v>10</v>
      </c>
      <c r="B201" s="99"/>
      <c r="C201" s="16" t="s">
        <v>56</v>
      </c>
      <c r="D201" s="17">
        <f>(29.67)*10.764</f>
        <v>319.36788000000001</v>
      </c>
      <c r="E201" s="16">
        <v>0</v>
      </c>
      <c r="F201" s="17">
        <f t="shared" si="21"/>
        <v>319.36788000000001</v>
      </c>
      <c r="G201" s="17">
        <v>0</v>
      </c>
      <c r="H201" s="17">
        <f t="shared" si="22"/>
        <v>479.05182000000002</v>
      </c>
    </row>
    <row r="202" spans="1:8" x14ac:dyDescent="0.2">
      <c r="A202" s="98">
        <f t="shared" si="23"/>
        <v>11</v>
      </c>
      <c r="B202" s="99"/>
      <c r="C202" s="16" t="s">
        <v>56</v>
      </c>
      <c r="D202" s="17">
        <f>(34.45)*10.764</f>
        <v>370.81979999999999</v>
      </c>
      <c r="E202" s="17">
        <f t="shared" ref="E202:E203" si="24">(1.5*1)*10.764</f>
        <v>16.146000000000001</v>
      </c>
      <c r="F202" s="17">
        <f t="shared" si="21"/>
        <v>386.9658</v>
      </c>
      <c r="G202" s="17">
        <v>0</v>
      </c>
      <c r="H202" s="17">
        <f t="shared" si="22"/>
        <v>580.44870000000003</v>
      </c>
    </row>
    <row r="203" spans="1:8" x14ac:dyDescent="0.2">
      <c r="A203" s="98">
        <f t="shared" si="23"/>
        <v>12</v>
      </c>
      <c r="B203" s="99"/>
      <c r="C203" s="16" t="s">
        <v>56</v>
      </c>
      <c r="D203" s="17">
        <f>(34.45)*10.764</f>
        <v>370.81979999999999</v>
      </c>
      <c r="E203" s="17">
        <f t="shared" si="24"/>
        <v>16.146000000000001</v>
      </c>
      <c r="F203" s="17">
        <f t="shared" si="21"/>
        <v>386.9658</v>
      </c>
      <c r="G203" s="17">
        <v>0</v>
      </c>
      <c r="H203" s="17">
        <f t="shared" si="22"/>
        <v>580.44870000000003</v>
      </c>
    </row>
    <row r="204" spans="1:8" x14ac:dyDescent="0.2">
      <c r="A204" s="103" t="s">
        <v>247</v>
      </c>
      <c r="B204" s="103"/>
      <c r="C204" s="103"/>
      <c r="D204" s="103"/>
      <c r="E204" s="103"/>
      <c r="F204" s="103"/>
      <c r="G204" s="103"/>
      <c r="H204" s="103"/>
    </row>
    <row r="205" spans="1:8" x14ac:dyDescent="0.2">
      <c r="A205" s="98">
        <v>1</v>
      </c>
      <c r="B205" s="99"/>
      <c r="C205" s="16" t="s">
        <v>56</v>
      </c>
      <c r="D205" s="17">
        <f t="shared" ref="D205:D209" si="25">(34.45)*10.764</f>
        <v>370.81979999999999</v>
      </c>
      <c r="E205" s="17">
        <f t="shared" ref="E205:E212" si="26">(1.5*1)*10.764</f>
        <v>16.146000000000001</v>
      </c>
      <c r="F205" s="17">
        <f>D205+E205</f>
        <v>386.9658</v>
      </c>
      <c r="G205" s="17">
        <v>0</v>
      </c>
      <c r="H205" s="17">
        <f>F205*(($H$179)+1)+(IF(G205&lt;101,G205,IF(G205&lt;201,G205/2,IF(G205&lt;=301,G205/3,G205/4))))</f>
        <v>580.44870000000003</v>
      </c>
    </row>
    <row r="206" spans="1:8" x14ac:dyDescent="0.2">
      <c r="A206" s="98">
        <f>A205+1</f>
        <v>2</v>
      </c>
      <c r="B206" s="99"/>
      <c r="C206" s="16" t="s">
        <v>56</v>
      </c>
      <c r="D206" s="17">
        <f t="shared" si="25"/>
        <v>370.81979999999999</v>
      </c>
      <c r="E206" s="17">
        <f t="shared" si="26"/>
        <v>16.146000000000001</v>
      </c>
      <c r="F206" s="17">
        <f t="shared" ref="F206:F216" si="27">D206+E206</f>
        <v>386.9658</v>
      </c>
      <c r="G206" s="17">
        <v>0</v>
      </c>
      <c r="H206" s="17">
        <f t="shared" ref="H206:H216" si="28">F206*(($H$179)+1)+(IF(G206&lt;101,G206,IF(G206&lt;201,G206/2,IF(G206&lt;=301,G206/3,G206/4))))</f>
        <v>580.44870000000003</v>
      </c>
    </row>
    <row r="207" spans="1:8" x14ac:dyDescent="0.2">
      <c r="A207" s="98">
        <f t="shared" ref="A207:A216" si="29">A206+1</f>
        <v>3</v>
      </c>
      <c r="B207" s="99"/>
      <c r="C207" s="16" t="s">
        <v>56</v>
      </c>
      <c r="D207" s="17">
        <f t="shared" si="25"/>
        <v>370.81979999999999</v>
      </c>
      <c r="E207" s="17">
        <f t="shared" si="26"/>
        <v>16.146000000000001</v>
      </c>
      <c r="F207" s="17">
        <f t="shared" si="27"/>
        <v>386.9658</v>
      </c>
      <c r="G207" s="17">
        <v>0</v>
      </c>
      <c r="H207" s="17">
        <f t="shared" si="28"/>
        <v>580.44870000000003</v>
      </c>
    </row>
    <row r="208" spans="1:8" x14ac:dyDescent="0.2">
      <c r="A208" s="98">
        <f t="shared" si="29"/>
        <v>4</v>
      </c>
      <c r="B208" s="99"/>
      <c r="C208" s="16" t="s">
        <v>56</v>
      </c>
      <c r="D208" s="17">
        <f t="shared" si="25"/>
        <v>370.81979999999999</v>
      </c>
      <c r="E208" s="17">
        <f t="shared" si="26"/>
        <v>16.146000000000001</v>
      </c>
      <c r="F208" s="17">
        <f t="shared" si="27"/>
        <v>386.9658</v>
      </c>
      <c r="G208" s="17">
        <v>0</v>
      </c>
      <c r="H208" s="17">
        <f t="shared" si="28"/>
        <v>580.44870000000003</v>
      </c>
    </row>
    <row r="209" spans="1:9" x14ac:dyDescent="0.2">
      <c r="A209" s="98">
        <f t="shared" si="29"/>
        <v>5</v>
      </c>
      <c r="B209" s="99"/>
      <c r="C209" s="16" t="s">
        <v>56</v>
      </c>
      <c r="D209" s="17">
        <f t="shared" si="25"/>
        <v>370.81979999999999</v>
      </c>
      <c r="E209" s="17">
        <f t="shared" si="26"/>
        <v>16.146000000000001</v>
      </c>
      <c r="F209" s="17">
        <f t="shared" si="27"/>
        <v>386.9658</v>
      </c>
      <c r="G209" s="17">
        <v>0</v>
      </c>
      <c r="H209" s="17">
        <f t="shared" si="28"/>
        <v>580.44870000000003</v>
      </c>
    </row>
    <row r="210" spans="1:9" ht="15" customHeight="1" x14ac:dyDescent="0.2">
      <c r="A210" s="98">
        <f t="shared" si="29"/>
        <v>6</v>
      </c>
      <c r="B210" s="99"/>
      <c r="C210" s="16" t="s">
        <v>248</v>
      </c>
      <c r="D210" s="100" t="s">
        <v>249</v>
      </c>
      <c r="E210" s="101"/>
      <c r="F210" s="101"/>
      <c r="G210" s="102"/>
      <c r="H210" s="16" t="s">
        <v>248</v>
      </c>
    </row>
    <row r="211" spans="1:9" x14ac:dyDescent="0.2">
      <c r="A211" s="98">
        <f t="shared" si="29"/>
        <v>7</v>
      </c>
      <c r="B211" s="99"/>
      <c r="C211" s="16" t="s">
        <v>56</v>
      </c>
      <c r="D211" s="17">
        <f t="shared" ref="D211:D212" si="30">(34.45)*10.764</f>
        <v>370.81979999999999</v>
      </c>
      <c r="E211" s="17">
        <f t="shared" si="26"/>
        <v>16.146000000000001</v>
      </c>
      <c r="F211" s="17">
        <f t="shared" si="27"/>
        <v>386.9658</v>
      </c>
      <c r="G211" s="17">
        <v>0</v>
      </c>
      <c r="H211" s="17">
        <f t="shared" si="28"/>
        <v>580.44870000000003</v>
      </c>
    </row>
    <row r="212" spans="1:9" x14ac:dyDescent="0.2">
      <c r="A212" s="98">
        <f t="shared" si="29"/>
        <v>8</v>
      </c>
      <c r="B212" s="99"/>
      <c r="C212" s="16" t="s">
        <v>56</v>
      </c>
      <c r="D212" s="17">
        <f t="shared" si="30"/>
        <v>370.81979999999999</v>
      </c>
      <c r="E212" s="17">
        <f t="shared" si="26"/>
        <v>16.146000000000001</v>
      </c>
      <c r="F212" s="17">
        <f t="shared" si="27"/>
        <v>386.9658</v>
      </c>
      <c r="G212" s="17">
        <v>0</v>
      </c>
      <c r="H212" s="17">
        <f t="shared" si="28"/>
        <v>580.44870000000003</v>
      </c>
    </row>
    <row r="213" spans="1:9" x14ac:dyDescent="0.2">
      <c r="A213" s="98">
        <f t="shared" si="29"/>
        <v>9</v>
      </c>
      <c r="B213" s="99"/>
      <c r="C213" s="16" t="s">
        <v>56</v>
      </c>
      <c r="D213" s="17">
        <f>(29.67)*10.764</f>
        <v>319.36788000000001</v>
      </c>
      <c r="E213" s="16">
        <v>0</v>
      </c>
      <c r="F213" s="17">
        <f t="shared" si="27"/>
        <v>319.36788000000001</v>
      </c>
      <c r="G213" s="17">
        <v>0</v>
      </c>
      <c r="H213" s="17">
        <f t="shared" si="28"/>
        <v>479.05182000000002</v>
      </c>
    </row>
    <row r="214" spans="1:9" x14ac:dyDescent="0.2">
      <c r="A214" s="98">
        <f t="shared" si="29"/>
        <v>10</v>
      </c>
      <c r="B214" s="99"/>
      <c r="C214" s="16" t="s">
        <v>56</v>
      </c>
      <c r="D214" s="17">
        <f>(29.67)*10.764</f>
        <v>319.36788000000001</v>
      </c>
      <c r="E214" s="16">
        <v>0</v>
      </c>
      <c r="F214" s="17">
        <f t="shared" si="27"/>
        <v>319.36788000000001</v>
      </c>
      <c r="G214" s="17">
        <v>0</v>
      </c>
      <c r="H214" s="17">
        <f t="shared" si="28"/>
        <v>479.05182000000002</v>
      </c>
    </row>
    <row r="215" spans="1:9" x14ac:dyDescent="0.2">
      <c r="A215" s="98">
        <f t="shared" si="29"/>
        <v>11</v>
      </c>
      <c r="B215" s="99"/>
      <c r="C215" s="16" t="s">
        <v>56</v>
      </c>
      <c r="D215" s="17">
        <f t="shared" ref="D215:D216" si="31">(34.45)*10.764</f>
        <v>370.81979999999999</v>
      </c>
      <c r="E215" s="17">
        <f t="shared" ref="E215:E216" si="32">(1.5*1)*10.764</f>
        <v>16.146000000000001</v>
      </c>
      <c r="F215" s="17">
        <f t="shared" si="27"/>
        <v>386.9658</v>
      </c>
      <c r="G215" s="17">
        <v>0</v>
      </c>
      <c r="H215" s="17">
        <f t="shared" si="28"/>
        <v>580.44870000000003</v>
      </c>
    </row>
    <row r="216" spans="1:9" x14ac:dyDescent="0.2">
      <c r="A216" s="98">
        <f t="shared" si="29"/>
        <v>12</v>
      </c>
      <c r="B216" s="99"/>
      <c r="C216" s="16" t="s">
        <v>56</v>
      </c>
      <c r="D216" s="17">
        <f t="shared" si="31"/>
        <v>370.81979999999999</v>
      </c>
      <c r="E216" s="17">
        <f t="shared" si="32"/>
        <v>16.146000000000001</v>
      </c>
      <c r="F216" s="17">
        <f t="shared" si="27"/>
        <v>386.9658</v>
      </c>
      <c r="G216" s="17">
        <v>0</v>
      </c>
      <c r="H216" s="17">
        <f t="shared" si="28"/>
        <v>580.44870000000003</v>
      </c>
    </row>
    <row r="217" spans="1:9" x14ac:dyDescent="0.2">
      <c r="A217" s="103" t="s">
        <v>270</v>
      </c>
      <c r="B217" s="103"/>
      <c r="C217" s="103"/>
      <c r="D217" s="103"/>
      <c r="E217" s="103"/>
      <c r="F217" s="103"/>
      <c r="G217" s="103"/>
      <c r="H217" s="103"/>
    </row>
    <row r="218" spans="1:9" x14ac:dyDescent="0.2">
      <c r="A218" s="103" t="s">
        <v>244</v>
      </c>
      <c r="B218" s="103"/>
      <c r="C218" s="103"/>
      <c r="D218" s="103"/>
      <c r="E218" s="103"/>
      <c r="F218" s="103"/>
      <c r="G218" s="103"/>
      <c r="H218" s="103"/>
    </row>
    <row r="219" spans="1:9" x14ac:dyDescent="0.2">
      <c r="A219" s="103" t="s">
        <v>245</v>
      </c>
      <c r="B219" s="103"/>
      <c r="C219" s="103"/>
      <c r="D219" s="103"/>
      <c r="E219" s="103"/>
      <c r="F219" s="103"/>
      <c r="G219" s="103"/>
      <c r="H219" s="103"/>
      <c r="I219" s="6">
        <f>2</f>
        <v>2</v>
      </c>
    </row>
    <row r="220" spans="1:9" x14ac:dyDescent="0.2">
      <c r="A220" s="98">
        <v>1</v>
      </c>
      <c r="B220" s="99"/>
      <c r="C220" s="16" t="s">
        <v>253</v>
      </c>
      <c r="D220" s="17">
        <f>(49.7)*10.764</f>
        <v>534.97080000000005</v>
      </c>
      <c r="E220" s="17">
        <f>(2.13*1)*10.764</f>
        <v>22.927319999999998</v>
      </c>
      <c r="F220" s="17">
        <f>D220+E220</f>
        <v>557.89812000000006</v>
      </c>
      <c r="G220" s="17">
        <v>0</v>
      </c>
      <c r="H220" s="17">
        <f>F220*(($H$179)+1)+(IF(G220&lt;101,G220,IF(G220&lt;201,G220/2,IF(G220&lt;=301,G220/3,G220/4))))</f>
        <v>836.84718000000009</v>
      </c>
    </row>
    <row r="221" spans="1:9" x14ac:dyDescent="0.2">
      <c r="A221" s="98">
        <f>A220+1</f>
        <v>2</v>
      </c>
      <c r="B221" s="99"/>
      <c r="C221" s="16" t="s">
        <v>253</v>
      </c>
      <c r="D221" s="17">
        <f t="shared" ref="D221:D223" si="33">(49.7)*10.764</f>
        <v>534.97080000000005</v>
      </c>
      <c r="E221" s="17">
        <f t="shared" ref="E221:E223" si="34">(2.13*1)*10.764</f>
        <v>22.927319999999998</v>
      </c>
      <c r="F221" s="17">
        <f t="shared" ref="F221:F223" si="35">D221+E221</f>
        <v>557.89812000000006</v>
      </c>
      <c r="G221" s="17">
        <v>0</v>
      </c>
      <c r="H221" s="17">
        <f t="shared" ref="H221:H223" si="36">F221*(($H$179)+1)+(IF(G221&lt;101,G221,IF(G221&lt;201,G221/2,IF(G221&lt;=301,G221/3,G221/4))))</f>
        <v>836.84718000000009</v>
      </c>
    </row>
    <row r="222" spans="1:9" x14ac:dyDescent="0.2">
      <c r="A222" s="98">
        <f t="shared" ref="A222:A223" si="37">A221+1</f>
        <v>3</v>
      </c>
      <c r="B222" s="99"/>
      <c r="C222" s="16" t="s">
        <v>253</v>
      </c>
      <c r="D222" s="17">
        <f t="shared" si="33"/>
        <v>534.97080000000005</v>
      </c>
      <c r="E222" s="17">
        <f t="shared" si="34"/>
        <v>22.927319999999998</v>
      </c>
      <c r="F222" s="17">
        <f t="shared" si="35"/>
        <v>557.89812000000006</v>
      </c>
      <c r="G222" s="17">
        <v>0</v>
      </c>
      <c r="H222" s="17">
        <f t="shared" si="36"/>
        <v>836.84718000000009</v>
      </c>
    </row>
    <row r="223" spans="1:9" x14ac:dyDescent="0.2">
      <c r="A223" s="98">
        <f t="shared" si="37"/>
        <v>4</v>
      </c>
      <c r="B223" s="99"/>
      <c r="C223" s="16" t="s">
        <v>253</v>
      </c>
      <c r="D223" s="17">
        <f t="shared" si="33"/>
        <v>534.97080000000005</v>
      </c>
      <c r="E223" s="17">
        <f t="shared" si="34"/>
        <v>22.927319999999998</v>
      </c>
      <c r="F223" s="17">
        <f t="shared" si="35"/>
        <v>557.89812000000006</v>
      </c>
      <c r="G223" s="17">
        <v>0</v>
      </c>
      <c r="H223" s="17">
        <f t="shared" si="36"/>
        <v>836.84718000000009</v>
      </c>
    </row>
    <row r="224" spans="1:9" x14ac:dyDescent="0.2">
      <c r="A224" s="103" t="s">
        <v>246</v>
      </c>
      <c r="B224" s="103"/>
      <c r="C224" s="103"/>
      <c r="D224" s="103"/>
      <c r="E224" s="103"/>
      <c r="F224" s="103"/>
      <c r="G224" s="103"/>
      <c r="H224" s="103"/>
      <c r="I224" s="6">
        <f>23</f>
        <v>23</v>
      </c>
    </row>
    <row r="225" spans="1:8" x14ac:dyDescent="0.2">
      <c r="A225" s="98">
        <v>1</v>
      </c>
      <c r="B225" s="99"/>
      <c r="C225" s="16" t="s">
        <v>253</v>
      </c>
      <c r="D225" s="17">
        <f t="shared" ref="D225:D228" si="38">(49.7)*10.764</f>
        <v>534.97080000000005</v>
      </c>
      <c r="E225" s="17">
        <f>(2.13*1)*10.764</f>
        <v>22.927319999999998</v>
      </c>
      <c r="F225" s="17">
        <f>D225+E225</f>
        <v>557.89812000000006</v>
      </c>
      <c r="G225" s="17">
        <v>0</v>
      </c>
      <c r="H225" s="17">
        <f>F225*(($H$179)+1)+(IF(G225&lt;101,G225,IF(G225&lt;201,G225/2,IF(G225&lt;=301,G225/3,G225/4))))</f>
        <v>836.84718000000009</v>
      </c>
    </row>
    <row r="226" spans="1:8" x14ac:dyDescent="0.2">
      <c r="A226" s="98">
        <f>A225+1</f>
        <v>2</v>
      </c>
      <c r="B226" s="99"/>
      <c r="C226" s="16" t="s">
        <v>253</v>
      </c>
      <c r="D226" s="17">
        <f t="shared" si="38"/>
        <v>534.97080000000005</v>
      </c>
      <c r="E226" s="17">
        <f t="shared" ref="E226:E228" si="39">(2.13*1)*10.764</f>
        <v>22.927319999999998</v>
      </c>
      <c r="F226" s="17">
        <f t="shared" ref="F226:F236" si="40">D226+E226</f>
        <v>557.89812000000006</v>
      </c>
      <c r="G226" s="17">
        <v>0</v>
      </c>
      <c r="H226" s="17">
        <f t="shared" ref="H226:H236" si="41">F226*(($H$179)+1)+(IF(G226&lt;101,G226,IF(G226&lt;201,G226/2,IF(G226&lt;=301,G226/3,G226/4))))</f>
        <v>836.84718000000009</v>
      </c>
    </row>
    <row r="227" spans="1:8" x14ac:dyDescent="0.2">
      <c r="A227" s="98">
        <f t="shared" ref="A227:A236" si="42">A226+1</f>
        <v>3</v>
      </c>
      <c r="B227" s="99"/>
      <c r="C227" s="16" t="s">
        <v>253</v>
      </c>
      <c r="D227" s="17">
        <f t="shared" si="38"/>
        <v>534.97080000000005</v>
      </c>
      <c r="E227" s="17">
        <f t="shared" si="39"/>
        <v>22.927319999999998</v>
      </c>
      <c r="F227" s="17">
        <f t="shared" si="40"/>
        <v>557.89812000000006</v>
      </c>
      <c r="G227" s="17">
        <v>0</v>
      </c>
      <c r="H227" s="17">
        <f t="shared" si="41"/>
        <v>836.84718000000009</v>
      </c>
    </row>
    <row r="228" spans="1:8" x14ac:dyDescent="0.2">
      <c r="A228" s="98">
        <f t="shared" si="42"/>
        <v>4</v>
      </c>
      <c r="B228" s="99"/>
      <c r="C228" s="16" t="s">
        <v>253</v>
      </c>
      <c r="D228" s="17">
        <f t="shared" si="38"/>
        <v>534.97080000000005</v>
      </c>
      <c r="E228" s="17">
        <f t="shared" si="39"/>
        <v>22.927319999999998</v>
      </c>
      <c r="F228" s="17">
        <f t="shared" si="40"/>
        <v>557.89812000000006</v>
      </c>
      <c r="G228" s="17">
        <v>0</v>
      </c>
      <c r="H228" s="17">
        <f t="shared" si="41"/>
        <v>836.84718000000009</v>
      </c>
    </row>
    <row r="229" spans="1:8" x14ac:dyDescent="0.2">
      <c r="A229" s="98">
        <f t="shared" si="42"/>
        <v>5</v>
      </c>
      <c r="B229" s="99"/>
      <c r="C229" s="16" t="s">
        <v>253</v>
      </c>
      <c r="D229" s="17">
        <f>(41.95)*10.764</f>
        <v>451.5498</v>
      </c>
      <c r="E229" s="16">
        <v>0</v>
      </c>
      <c r="F229" s="17">
        <f t="shared" si="40"/>
        <v>451.5498</v>
      </c>
      <c r="G229" s="17">
        <v>0</v>
      </c>
      <c r="H229" s="17">
        <f t="shared" si="41"/>
        <v>677.32470000000001</v>
      </c>
    </row>
    <row r="230" spans="1:8" x14ac:dyDescent="0.2">
      <c r="A230" s="98">
        <f t="shared" si="42"/>
        <v>6</v>
      </c>
      <c r="B230" s="99"/>
      <c r="C230" s="16" t="s">
        <v>253</v>
      </c>
      <c r="D230" s="17">
        <f>(41.95)*10.764</f>
        <v>451.5498</v>
      </c>
      <c r="E230" s="16">
        <v>0</v>
      </c>
      <c r="F230" s="17">
        <f t="shared" si="40"/>
        <v>451.5498</v>
      </c>
      <c r="G230" s="17">
        <v>0</v>
      </c>
      <c r="H230" s="17">
        <f t="shared" si="41"/>
        <v>677.32470000000001</v>
      </c>
    </row>
    <row r="231" spans="1:8" x14ac:dyDescent="0.2">
      <c r="A231" s="98">
        <f t="shared" si="42"/>
        <v>7</v>
      </c>
      <c r="B231" s="99"/>
      <c r="C231" s="16" t="s">
        <v>253</v>
      </c>
      <c r="D231" s="17">
        <f t="shared" ref="D231:D236" si="43">(41.95)*10.764</f>
        <v>451.5498</v>
      </c>
      <c r="E231" s="16">
        <v>0</v>
      </c>
      <c r="F231" s="17">
        <f t="shared" si="40"/>
        <v>451.5498</v>
      </c>
      <c r="G231" s="17">
        <v>0</v>
      </c>
      <c r="H231" s="17">
        <f t="shared" si="41"/>
        <v>677.32470000000001</v>
      </c>
    </row>
    <row r="232" spans="1:8" x14ac:dyDescent="0.2">
      <c r="A232" s="98">
        <f t="shared" si="42"/>
        <v>8</v>
      </c>
      <c r="B232" s="99"/>
      <c r="C232" s="16" t="s">
        <v>253</v>
      </c>
      <c r="D232" s="17">
        <f t="shared" si="43"/>
        <v>451.5498</v>
      </c>
      <c r="E232" s="16">
        <v>0</v>
      </c>
      <c r="F232" s="17">
        <f t="shared" si="40"/>
        <v>451.5498</v>
      </c>
      <c r="G232" s="17">
        <v>0</v>
      </c>
      <c r="H232" s="17">
        <f t="shared" si="41"/>
        <v>677.32470000000001</v>
      </c>
    </row>
    <row r="233" spans="1:8" x14ac:dyDescent="0.2">
      <c r="A233" s="98">
        <f t="shared" si="42"/>
        <v>9</v>
      </c>
      <c r="B233" s="99"/>
      <c r="C233" s="16" t="s">
        <v>253</v>
      </c>
      <c r="D233" s="17">
        <f t="shared" si="43"/>
        <v>451.5498</v>
      </c>
      <c r="E233" s="16">
        <v>0</v>
      </c>
      <c r="F233" s="17">
        <f t="shared" si="40"/>
        <v>451.5498</v>
      </c>
      <c r="G233" s="17">
        <v>0</v>
      </c>
      <c r="H233" s="17">
        <f t="shared" si="41"/>
        <v>677.32470000000001</v>
      </c>
    </row>
    <row r="234" spans="1:8" x14ac:dyDescent="0.2">
      <c r="A234" s="98">
        <f t="shared" si="42"/>
        <v>10</v>
      </c>
      <c r="B234" s="99"/>
      <c r="C234" s="16" t="s">
        <v>253</v>
      </c>
      <c r="D234" s="17">
        <f t="shared" si="43"/>
        <v>451.5498</v>
      </c>
      <c r="E234" s="16">
        <v>0</v>
      </c>
      <c r="F234" s="17">
        <f t="shared" si="40"/>
        <v>451.5498</v>
      </c>
      <c r="G234" s="17">
        <v>0</v>
      </c>
      <c r="H234" s="17">
        <f t="shared" si="41"/>
        <v>677.32470000000001</v>
      </c>
    </row>
    <row r="235" spans="1:8" x14ac:dyDescent="0.2">
      <c r="A235" s="98">
        <f t="shared" si="42"/>
        <v>11</v>
      </c>
      <c r="B235" s="99"/>
      <c r="C235" s="16" t="s">
        <v>253</v>
      </c>
      <c r="D235" s="17">
        <f t="shared" si="43"/>
        <v>451.5498</v>
      </c>
      <c r="E235" s="16">
        <v>0</v>
      </c>
      <c r="F235" s="17">
        <f t="shared" si="40"/>
        <v>451.5498</v>
      </c>
      <c r="G235" s="17">
        <v>0</v>
      </c>
      <c r="H235" s="17">
        <f t="shared" si="41"/>
        <v>677.32470000000001</v>
      </c>
    </row>
    <row r="236" spans="1:8" x14ac:dyDescent="0.2">
      <c r="A236" s="98">
        <f t="shared" si="42"/>
        <v>12</v>
      </c>
      <c r="B236" s="99"/>
      <c r="C236" s="16" t="s">
        <v>253</v>
      </c>
      <c r="D236" s="17">
        <f t="shared" si="43"/>
        <v>451.5498</v>
      </c>
      <c r="E236" s="16">
        <v>0</v>
      </c>
      <c r="F236" s="17">
        <f t="shared" si="40"/>
        <v>451.5498</v>
      </c>
      <c r="G236" s="17">
        <v>0</v>
      </c>
      <c r="H236" s="17">
        <f t="shared" si="41"/>
        <v>677.32470000000001</v>
      </c>
    </row>
    <row r="237" spans="1:8" x14ac:dyDescent="0.2">
      <c r="A237" s="103" t="s">
        <v>254</v>
      </c>
      <c r="B237" s="103"/>
      <c r="C237" s="103"/>
      <c r="D237" s="103"/>
      <c r="E237" s="103"/>
      <c r="F237" s="103"/>
      <c r="G237" s="103"/>
      <c r="H237" s="103"/>
    </row>
    <row r="238" spans="1:8" x14ac:dyDescent="0.2">
      <c r="A238" s="98">
        <v>1</v>
      </c>
      <c r="B238" s="99"/>
      <c r="C238" s="16" t="s">
        <v>253</v>
      </c>
      <c r="D238" s="17">
        <f t="shared" ref="D238:D240" si="44">(49.7)*10.764</f>
        <v>534.97080000000005</v>
      </c>
      <c r="E238" s="17">
        <f t="shared" ref="E238:E240" si="45">(2.13*1)*10.764</f>
        <v>22.927319999999998</v>
      </c>
      <c r="F238" s="17">
        <f>D238+E238</f>
        <v>557.89812000000006</v>
      </c>
      <c r="G238" s="16">
        <v>0</v>
      </c>
      <c r="H238" s="17">
        <f>F238*(($H$179)+1)+(IF(G238&lt;101,G238,IF(G238&lt;201,G238/2,IF(G238&lt;=301,G238/3,G238/4))))</f>
        <v>836.84718000000009</v>
      </c>
    </row>
    <row r="239" spans="1:8" x14ac:dyDescent="0.2">
      <c r="A239" s="98">
        <f>A238+1</f>
        <v>2</v>
      </c>
      <c r="B239" s="99"/>
      <c r="C239" s="16" t="s">
        <v>253</v>
      </c>
      <c r="D239" s="17">
        <f t="shared" si="44"/>
        <v>534.97080000000005</v>
      </c>
      <c r="E239" s="17">
        <f t="shared" si="45"/>
        <v>22.927319999999998</v>
      </c>
      <c r="F239" s="17">
        <f t="shared" ref="F239:F249" si="46">D239+E239</f>
        <v>557.89812000000006</v>
      </c>
      <c r="G239" s="16">
        <v>0</v>
      </c>
      <c r="H239" s="17">
        <f t="shared" ref="H239:H249" si="47">F239*(($H$179)+1)+(IF(G239&lt;101,G239,IF(G239&lt;201,G239/2,IF(G239&lt;=301,G239/3,G239/4))))</f>
        <v>836.84718000000009</v>
      </c>
    </row>
    <row r="240" spans="1:8" x14ac:dyDescent="0.2">
      <c r="A240" s="98">
        <f t="shared" ref="A240:A249" si="48">A239+1</f>
        <v>3</v>
      </c>
      <c r="B240" s="99"/>
      <c r="C240" s="16" t="s">
        <v>253</v>
      </c>
      <c r="D240" s="17">
        <f t="shared" si="44"/>
        <v>534.97080000000005</v>
      </c>
      <c r="E240" s="17">
        <f t="shared" si="45"/>
        <v>22.927319999999998</v>
      </c>
      <c r="F240" s="17">
        <f t="shared" si="46"/>
        <v>557.89812000000006</v>
      </c>
      <c r="G240" s="16">
        <v>0</v>
      </c>
      <c r="H240" s="17">
        <f t="shared" si="47"/>
        <v>836.84718000000009</v>
      </c>
    </row>
    <row r="241" spans="1:9" x14ac:dyDescent="0.2">
      <c r="A241" s="98">
        <f t="shared" si="48"/>
        <v>4</v>
      </c>
      <c r="B241" s="99"/>
      <c r="C241" s="16" t="s">
        <v>248</v>
      </c>
      <c r="D241" s="98" t="s">
        <v>249</v>
      </c>
      <c r="E241" s="104"/>
      <c r="F241" s="104"/>
      <c r="G241" s="99"/>
      <c r="H241" s="16" t="s">
        <v>248</v>
      </c>
    </row>
    <row r="242" spans="1:9" x14ac:dyDescent="0.2">
      <c r="A242" s="98">
        <f t="shared" si="48"/>
        <v>5</v>
      </c>
      <c r="B242" s="99"/>
      <c r="C242" s="16" t="s">
        <v>253</v>
      </c>
      <c r="D242" s="17">
        <f>(41.95)*10.764</f>
        <v>451.5498</v>
      </c>
      <c r="E242" s="16">
        <v>0</v>
      </c>
      <c r="F242" s="17">
        <f t="shared" si="46"/>
        <v>451.5498</v>
      </c>
      <c r="G242" s="16">
        <v>0</v>
      </c>
      <c r="H242" s="17">
        <f t="shared" si="47"/>
        <v>677.32470000000001</v>
      </c>
    </row>
    <row r="243" spans="1:9" x14ac:dyDescent="0.2">
      <c r="A243" s="98">
        <f t="shared" si="48"/>
        <v>6</v>
      </c>
      <c r="B243" s="99"/>
      <c r="C243" s="16" t="s">
        <v>253</v>
      </c>
      <c r="D243" s="17">
        <f>(41.95)*10.764</f>
        <v>451.5498</v>
      </c>
      <c r="E243" s="16">
        <v>0</v>
      </c>
      <c r="F243" s="17">
        <f t="shared" si="46"/>
        <v>451.5498</v>
      </c>
      <c r="G243" s="16">
        <v>0</v>
      </c>
      <c r="H243" s="17">
        <f t="shared" si="47"/>
        <v>677.32470000000001</v>
      </c>
    </row>
    <row r="244" spans="1:9" x14ac:dyDescent="0.2">
      <c r="A244" s="98">
        <f t="shared" si="48"/>
        <v>7</v>
      </c>
      <c r="B244" s="99"/>
      <c r="C244" s="16" t="s">
        <v>253</v>
      </c>
      <c r="D244" s="17">
        <f t="shared" ref="D244:D249" si="49">(41.95)*10.764</f>
        <v>451.5498</v>
      </c>
      <c r="E244" s="16">
        <v>0</v>
      </c>
      <c r="F244" s="17">
        <f t="shared" si="46"/>
        <v>451.5498</v>
      </c>
      <c r="G244" s="16">
        <v>0</v>
      </c>
      <c r="H244" s="17">
        <f t="shared" si="47"/>
        <v>677.32470000000001</v>
      </c>
    </row>
    <row r="245" spans="1:9" x14ac:dyDescent="0.2">
      <c r="A245" s="98">
        <f t="shared" si="48"/>
        <v>8</v>
      </c>
      <c r="B245" s="99"/>
      <c r="C245" s="16" t="s">
        <v>253</v>
      </c>
      <c r="D245" s="17">
        <f t="shared" si="49"/>
        <v>451.5498</v>
      </c>
      <c r="E245" s="16">
        <v>0</v>
      </c>
      <c r="F245" s="17">
        <f t="shared" si="46"/>
        <v>451.5498</v>
      </c>
      <c r="G245" s="16">
        <v>0</v>
      </c>
      <c r="H245" s="17">
        <f t="shared" si="47"/>
        <v>677.32470000000001</v>
      </c>
    </row>
    <row r="246" spans="1:9" x14ac:dyDescent="0.2">
      <c r="A246" s="98">
        <f t="shared" si="48"/>
        <v>9</v>
      </c>
      <c r="B246" s="99"/>
      <c r="C246" s="16" t="s">
        <v>253</v>
      </c>
      <c r="D246" s="17">
        <f t="shared" si="49"/>
        <v>451.5498</v>
      </c>
      <c r="E246" s="16">
        <v>0</v>
      </c>
      <c r="F246" s="17">
        <f t="shared" si="46"/>
        <v>451.5498</v>
      </c>
      <c r="G246" s="16">
        <v>0</v>
      </c>
      <c r="H246" s="17">
        <f t="shared" si="47"/>
        <v>677.32470000000001</v>
      </c>
    </row>
    <row r="247" spans="1:9" x14ac:dyDescent="0.2">
      <c r="A247" s="98">
        <f t="shared" si="48"/>
        <v>10</v>
      </c>
      <c r="B247" s="99"/>
      <c r="C247" s="16" t="s">
        <v>253</v>
      </c>
      <c r="D247" s="17">
        <f t="shared" si="49"/>
        <v>451.5498</v>
      </c>
      <c r="E247" s="16">
        <v>0</v>
      </c>
      <c r="F247" s="17">
        <f t="shared" si="46"/>
        <v>451.5498</v>
      </c>
      <c r="G247" s="16">
        <v>0</v>
      </c>
      <c r="H247" s="17">
        <f t="shared" si="47"/>
        <v>677.32470000000001</v>
      </c>
    </row>
    <row r="248" spans="1:9" x14ac:dyDescent="0.2">
      <c r="A248" s="98">
        <f t="shared" si="48"/>
        <v>11</v>
      </c>
      <c r="B248" s="99"/>
      <c r="C248" s="16" t="s">
        <v>253</v>
      </c>
      <c r="D248" s="17">
        <f t="shared" si="49"/>
        <v>451.5498</v>
      </c>
      <c r="E248" s="16">
        <v>0</v>
      </c>
      <c r="F248" s="17">
        <f t="shared" si="46"/>
        <v>451.5498</v>
      </c>
      <c r="G248" s="16">
        <v>0</v>
      </c>
      <c r="H248" s="17">
        <f t="shared" si="47"/>
        <v>677.32470000000001</v>
      </c>
    </row>
    <row r="249" spans="1:9" x14ac:dyDescent="0.2">
      <c r="A249" s="98">
        <f t="shared" si="48"/>
        <v>12</v>
      </c>
      <c r="B249" s="99"/>
      <c r="C249" s="16" t="s">
        <v>253</v>
      </c>
      <c r="D249" s="17">
        <f t="shared" si="49"/>
        <v>451.5498</v>
      </c>
      <c r="E249" s="16">
        <v>0</v>
      </c>
      <c r="F249" s="17">
        <f t="shared" si="46"/>
        <v>451.5498</v>
      </c>
      <c r="G249" s="16">
        <v>0</v>
      </c>
      <c r="H249" s="17">
        <f t="shared" si="47"/>
        <v>677.32470000000001</v>
      </c>
    </row>
    <row r="250" spans="1:9" x14ac:dyDescent="0.2">
      <c r="A250" s="103" t="s">
        <v>269</v>
      </c>
      <c r="B250" s="103"/>
      <c r="C250" s="103"/>
      <c r="D250" s="103"/>
      <c r="E250" s="103"/>
      <c r="F250" s="103"/>
      <c r="G250" s="103"/>
      <c r="H250" s="103"/>
    </row>
    <row r="251" spans="1:9" x14ac:dyDescent="0.2">
      <c r="A251" s="103" t="s">
        <v>244</v>
      </c>
      <c r="B251" s="103"/>
      <c r="C251" s="103"/>
      <c r="D251" s="103"/>
      <c r="E251" s="103"/>
      <c r="F251" s="103"/>
      <c r="G251" s="103"/>
      <c r="H251" s="103"/>
    </row>
    <row r="252" spans="1:9" x14ac:dyDescent="0.2">
      <c r="A252" s="103" t="s">
        <v>245</v>
      </c>
      <c r="B252" s="103"/>
      <c r="C252" s="103"/>
      <c r="D252" s="103"/>
      <c r="E252" s="103"/>
      <c r="F252" s="103"/>
      <c r="G252" s="103"/>
      <c r="H252" s="103"/>
      <c r="I252" s="65">
        <v>2</v>
      </c>
    </row>
    <row r="253" spans="1:9" x14ac:dyDescent="0.2">
      <c r="A253" s="98">
        <v>1</v>
      </c>
      <c r="B253" s="99"/>
      <c r="C253" s="16" t="s">
        <v>56</v>
      </c>
      <c r="D253" s="17">
        <f t="shared" ref="D253:D258" si="50">(34.45)*10.764</f>
        <v>370.81979999999999</v>
      </c>
      <c r="E253" s="17">
        <f t="shared" ref="E253:E258" si="51">(1.5*1)*10.764</f>
        <v>16.146000000000001</v>
      </c>
      <c r="F253" s="17">
        <f>D253+E253</f>
        <v>386.9658</v>
      </c>
      <c r="G253" s="17">
        <v>0</v>
      </c>
      <c r="H253" s="17">
        <f>F253*(($H$179)+1)+(IF(G253&lt;101,G253,IF(G253&lt;201,G253/2,IF(G253&lt;=301,G253/3,G253/4))))</f>
        <v>580.44870000000003</v>
      </c>
      <c r="I253" s="64">
        <f>2.75*4.35+2*2.45+2.75*3.45+1.65*1.05+1.12*1.79+2.25*0.9+1.5</f>
        <v>33.612299999999998</v>
      </c>
    </row>
    <row r="254" spans="1:9" x14ac:dyDescent="0.2">
      <c r="A254" s="98">
        <f>A253+1</f>
        <v>2</v>
      </c>
      <c r="B254" s="99"/>
      <c r="C254" s="16" t="s">
        <v>56</v>
      </c>
      <c r="D254" s="17">
        <f t="shared" si="50"/>
        <v>370.81979999999999</v>
      </c>
      <c r="E254" s="17">
        <f t="shared" si="51"/>
        <v>16.146000000000001</v>
      </c>
      <c r="F254" s="17">
        <f t="shared" ref="F254:F258" si="52">D254+E254</f>
        <v>386.9658</v>
      </c>
      <c r="G254" s="17">
        <v>0</v>
      </c>
      <c r="H254" s="17">
        <f t="shared" ref="H254:H258" si="53">F254*(($H$179)+1)+(IF(G254&lt;101,G254,IF(G254&lt;201,G254/2,IF(G254&lt;=301,G254/3,G254/4))))</f>
        <v>580.44870000000003</v>
      </c>
    </row>
    <row r="255" spans="1:9" x14ac:dyDescent="0.2">
      <c r="A255" s="98">
        <f t="shared" ref="A255:A258" si="54">A254+1</f>
        <v>3</v>
      </c>
      <c r="B255" s="99"/>
      <c r="C255" s="16" t="s">
        <v>56</v>
      </c>
      <c r="D255" s="17">
        <f t="shared" si="50"/>
        <v>370.81979999999999</v>
      </c>
      <c r="E255" s="17">
        <f t="shared" si="51"/>
        <v>16.146000000000001</v>
      </c>
      <c r="F255" s="17">
        <f t="shared" si="52"/>
        <v>386.9658</v>
      </c>
      <c r="G255" s="17">
        <v>0</v>
      </c>
      <c r="H255" s="17">
        <f t="shared" si="53"/>
        <v>580.44870000000003</v>
      </c>
    </row>
    <row r="256" spans="1:9" x14ac:dyDescent="0.2">
      <c r="A256" s="98">
        <f t="shared" si="54"/>
        <v>4</v>
      </c>
      <c r="B256" s="99"/>
      <c r="C256" s="16" t="s">
        <v>56</v>
      </c>
      <c r="D256" s="17">
        <f t="shared" si="50"/>
        <v>370.81979999999999</v>
      </c>
      <c r="E256" s="17">
        <f t="shared" si="51"/>
        <v>16.146000000000001</v>
      </c>
      <c r="F256" s="17">
        <f t="shared" si="52"/>
        <v>386.9658</v>
      </c>
      <c r="G256" s="17">
        <v>0</v>
      </c>
      <c r="H256" s="17">
        <f t="shared" si="53"/>
        <v>580.44870000000003</v>
      </c>
    </row>
    <row r="257" spans="1:9" x14ac:dyDescent="0.2">
      <c r="A257" s="98">
        <f t="shared" si="54"/>
        <v>5</v>
      </c>
      <c r="B257" s="99"/>
      <c r="C257" s="16" t="s">
        <v>56</v>
      </c>
      <c r="D257" s="17">
        <f t="shared" si="50"/>
        <v>370.81979999999999</v>
      </c>
      <c r="E257" s="17">
        <f t="shared" si="51"/>
        <v>16.146000000000001</v>
      </c>
      <c r="F257" s="17">
        <f t="shared" si="52"/>
        <v>386.9658</v>
      </c>
      <c r="G257" s="17">
        <v>0</v>
      </c>
      <c r="H257" s="17">
        <f t="shared" si="53"/>
        <v>580.44870000000003</v>
      </c>
    </row>
    <row r="258" spans="1:9" x14ac:dyDescent="0.2">
      <c r="A258" s="98">
        <f t="shared" si="54"/>
        <v>6</v>
      </c>
      <c r="B258" s="99"/>
      <c r="C258" s="16" t="s">
        <v>56</v>
      </c>
      <c r="D258" s="17">
        <f t="shared" si="50"/>
        <v>370.81979999999999</v>
      </c>
      <c r="E258" s="17">
        <f t="shared" si="51"/>
        <v>16.146000000000001</v>
      </c>
      <c r="F258" s="17">
        <f t="shared" si="52"/>
        <v>386.9658</v>
      </c>
      <c r="G258" s="17">
        <v>0</v>
      </c>
      <c r="H258" s="17">
        <f t="shared" si="53"/>
        <v>580.44870000000003</v>
      </c>
    </row>
    <row r="259" spans="1:9" x14ac:dyDescent="0.2">
      <c r="A259" s="103" t="s">
        <v>246</v>
      </c>
      <c r="B259" s="103"/>
      <c r="C259" s="103"/>
      <c r="D259" s="103"/>
      <c r="E259" s="103"/>
      <c r="F259" s="103"/>
      <c r="G259" s="103"/>
      <c r="H259" s="103"/>
      <c r="I259" s="65">
        <f>5+4+4+4+4+2</f>
        <v>23</v>
      </c>
    </row>
    <row r="260" spans="1:9" x14ac:dyDescent="0.2">
      <c r="A260" s="98">
        <v>1</v>
      </c>
      <c r="B260" s="99"/>
      <c r="C260" s="16" t="s">
        <v>56</v>
      </c>
      <c r="D260" s="17">
        <f t="shared" ref="D260:D266" si="55">(34.45)*10.764</f>
        <v>370.81979999999999</v>
      </c>
      <c r="E260" s="17">
        <v>16.146000000000001</v>
      </c>
      <c r="F260" s="17">
        <f>D260+E260</f>
        <v>386.9658</v>
      </c>
      <c r="G260" s="17">
        <v>0</v>
      </c>
      <c r="H260" s="17">
        <f>F260*(($H$179)+1)+(IF(G260&lt;101,G260,IF(G260&lt;201,G260/2,IF(G260&lt;=301,G260/3,G260/4))))</f>
        <v>580.44870000000003</v>
      </c>
    </row>
    <row r="261" spans="1:9" x14ac:dyDescent="0.2">
      <c r="A261" s="98">
        <f>A260+1</f>
        <v>2</v>
      </c>
      <c r="B261" s="99"/>
      <c r="C261" s="16" t="s">
        <v>56</v>
      </c>
      <c r="D261" s="17">
        <f t="shared" si="55"/>
        <v>370.81979999999999</v>
      </c>
      <c r="E261" s="17">
        <v>16.146000000000001</v>
      </c>
      <c r="F261" s="17">
        <f t="shared" ref="F261:F271" si="56">D261+E261</f>
        <v>386.9658</v>
      </c>
      <c r="G261" s="17">
        <v>0</v>
      </c>
      <c r="H261" s="17">
        <f t="shared" ref="H261:H271" si="57">F261*(($H$179)+1)+(IF(G261&lt;101,G261,IF(G261&lt;201,G261/2,IF(G261&lt;=301,G261/3,G261/4))))</f>
        <v>580.44870000000003</v>
      </c>
    </row>
    <row r="262" spans="1:9" x14ac:dyDescent="0.2">
      <c r="A262" s="98">
        <f t="shared" ref="A262:A271" si="58">A261+1</f>
        <v>3</v>
      </c>
      <c r="B262" s="99"/>
      <c r="C262" s="16" t="s">
        <v>56</v>
      </c>
      <c r="D262" s="17">
        <f t="shared" si="55"/>
        <v>370.81979999999999</v>
      </c>
      <c r="E262" s="17">
        <v>16.146000000000001</v>
      </c>
      <c r="F262" s="17">
        <f t="shared" si="56"/>
        <v>386.9658</v>
      </c>
      <c r="G262" s="17">
        <v>0</v>
      </c>
      <c r="H262" s="17">
        <f t="shared" si="57"/>
        <v>580.44870000000003</v>
      </c>
    </row>
    <row r="263" spans="1:9" x14ac:dyDescent="0.2">
      <c r="A263" s="98">
        <f t="shared" si="58"/>
        <v>4</v>
      </c>
      <c r="B263" s="99"/>
      <c r="C263" s="16" t="s">
        <v>56</v>
      </c>
      <c r="D263" s="17">
        <f t="shared" si="55"/>
        <v>370.81979999999999</v>
      </c>
      <c r="E263" s="17">
        <v>16.146000000000001</v>
      </c>
      <c r="F263" s="17">
        <f t="shared" si="56"/>
        <v>386.9658</v>
      </c>
      <c r="G263" s="17">
        <v>0</v>
      </c>
      <c r="H263" s="17">
        <f t="shared" si="57"/>
        <v>580.44870000000003</v>
      </c>
    </row>
    <row r="264" spans="1:9" x14ac:dyDescent="0.2">
      <c r="A264" s="98">
        <f t="shared" si="58"/>
        <v>5</v>
      </c>
      <c r="B264" s="99"/>
      <c r="C264" s="16" t="s">
        <v>56</v>
      </c>
      <c r="D264" s="17">
        <f t="shared" si="55"/>
        <v>370.81979999999999</v>
      </c>
      <c r="E264" s="17">
        <v>16.146000000000001</v>
      </c>
      <c r="F264" s="17">
        <f t="shared" si="56"/>
        <v>386.9658</v>
      </c>
      <c r="G264" s="17">
        <v>0</v>
      </c>
      <c r="H264" s="17">
        <f t="shared" si="57"/>
        <v>580.44870000000003</v>
      </c>
    </row>
    <row r="265" spans="1:9" x14ac:dyDescent="0.2">
      <c r="A265" s="98">
        <f t="shared" si="58"/>
        <v>6</v>
      </c>
      <c r="B265" s="99"/>
      <c r="C265" s="16" t="s">
        <v>56</v>
      </c>
      <c r="D265" s="17">
        <f t="shared" si="55"/>
        <v>370.81979999999999</v>
      </c>
      <c r="E265" s="17">
        <v>16.146000000000001</v>
      </c>
      <c r="F265" s="17">
        <f t="shared" si="56"/>
        <v>386.9658</v>
      </c>
      <c r="G265" s="17">
        <v>0</v>
      </c>
      <c r="H265" s="17">
        <f t="shared" si="57"/>
        <v>580.44870000000003</v>
      </c>
    </row>
    <row r="266" spans="1:9" x14ac:dyDescent="0.2">
      <c r="A266" s="98">
        <f t="shared" si="58"/>
        <v>7</v>
      </c>
      <c r="B266" s="99"/>
      <c r="C266" s="16" t="s">
        <v>56</v>
      </c>
      <c r="D266" s="17">
        <f t="shared" si="55"/>
        <v>370.81979999999999</v>
      </c>
      <c r="E266" s="17">
        <v>16.146000000000001</v>
      </c>
      <c r="F266" s="17">
        <f t="shared" si="56"/>
        <v>386.9658</v>
      </c>
      <c r="G266" s="17">
        <v>0</v>
      </c>
      <c r="H266" s="17">
        <f t="shared" si="57"/>
        <v>580.44870000000003</v>
      </c>
    </row>
    <row r="267" spans="1:9" x14ac:dyDescent="0.2">
      <c r="A267" s="98">
        <f t="shared" si="58"/>
        <v>8</v>
      </c>
      <c r="B267" s="99"/>
      <c r="C267" s="16" t="s">
        <v>56</v>
      </c>
      <c r="D267" s="17">
        <f>(34.45)*10.764</f>
        <v>370.81979999999999</v>
      </c>
      <c r="E267" s="17">
        <v>16.146000000000001</v>
      </c>
      <c r="F267" s="17">
        <f t="shared" si="56"/>
        <v>386.9658</v>
      </c>
      <c r="G267" s="17">
        <v>0</v>
      </c>
      <c r="H267" s="17">
        <f t="shared" si="57"/>
        <v>580.44870000000003</v>
      </c>
    </row>
    <row r="268" spans="1:9" x14ac:dyDescent="0.2">
      <c r="A268" s="98">
        <f t="shared" si="58"/>
        <v>9</v>
      </c>
      <c r="B268" s="99"/>
      <c r="C268" s="16" t="s">
        <v>56</v>
      </c>
      <c r="D268" s="17">
        <f>(29.67)*10.764</f>
        <v>319.36788000000001</v>
      </c>
      <c r="E268" s="16">
        <v>0</v>
      </c>
      <c r="F268" s="17">
        <f t="shared" si="56"/>
        <v>319.36788000000001</v>
      </c>
      <c r="G268" s="17">
        <v>0</v>
      </c>
      <c r="H268" s="17">
        <f t="shared" si="57"/>
        <v>479.05182000000002</v>
      </c>
    </row>
    <row r="269" spans="1:9" x14ac:dyDescent="0.2">
      <c r="A269" s="98">
        <f t="shared" si="58"/>
        <v>10</v>
      </c>
      <c r="B269" s="99"/>
      <c r="C269" s="16" t="s">
        <v>56</v>
      </c>
      <c r="D269" s="17">
        <f>(29.67)*10.764</f>
        <v>319.36788000000001</v>
      </c>
      <c r="E269" s="16">
        <v>0</v>
      </c>
      <c r="F269" s="17">
        <f t="shared" si="56"/>
        <v>319.36788000000001</v>
      </c>
      <c r="G269" s="17">
        <v>0</v>
      </c>
      <c r="H269" s="17">
        <f t="shared" si="57"/>
        <v>479.05182000000002</v>
      </c>
    </row>
    <row r="270" spans="1:9" x14ac:dyDescent="0.2">
      <c r="A270" s="98">
        <f t="shared" si="58"/>
        <v>11</v>
      </c>
      <c r="B270" s="99"/>
      <c r="C270" s="16" t="s">
        <v>56</v>
      </c>
      <c r="D270" s="17">
        <f>(34.45)*10.764</f>
        <v>370.81979999999999</v>
      </c>
      <c r="E270" s="17">
        <v>16.146000000000001</v>
      </c>
      <c r="F270" s="17">
        <f t="shared" si="56"/>
        <v>386.9658</v>
      </c>
      <c r="G270" s="17">
        <v>0</v>
      </c>
      <c r="H270" s="17">
        <f t="shared" si="57"/>
        <v>580.44870000000003</v>
      </c>
    </row>
    <row r="271" spans="1:9" x14ac:dyDescent="0.2">
      <c r="A271" s="98">
        <f t="shared" si="58"/>
        <v>12</v>
      </c>
      <c r="B271" s="99"/>
      <c r="C271" s="16" t="s">
        <v>56</v>
      </c>
      <c r="D271" s="17">
        <f>(34.45)*10.764</f>
        <v>370.81979999999999</v>
      </c>
      <c r="E271" s="17">
        <v>16.146000000000001</v>
      </c>
      <c r="F271" s="17">
        <f t="shared" si="56"/>
        <v>386.9658</v>
      </c>
      <c r="G271" s="17">
        <v>0</v>
      </c>
      <c r="H271" s="17">
        <f t="shared" si="57"/>
        <v>580.44870000000003</v>
      </c>
    </row>
    <row r="272" spans="1:9" x14ac:dyDescent="0.2">
      <c r="A272" s="103" t="s">
        <v>247</v>
      </c>
      <c r="B272" s="103"/>
      <c r="C272" s="103"/>
      <c r="D272" s="103"/>
      <c r="E272" s="103"/>
      <c r="F272" s="103"/>
      <c r="G272" s="103"/>
      <c r="H272" s="103"/>
    </row>
    <row r="273" spans="1:9" x14ac:dyDescent="0.2">
      <c r="A273" s="98">
        <v>1</v>
      </c>
      <c r="B273" s="99"/>
      <c r="C273" s="16" t="s">
        <v>56</v>
      </c>
      <c r="D273" s="17">
        <f t="shared" ref="D273:D277" si="59">(34.45)*10.764</f>
        <v>370.81979999999999</v>
      </c>
      <c r="E273" s="17">
        <v>16.146000000000001</v>
      </c>
      <c r="F273" s="17">
        <f>D273+E273</f>
        <v>386.9658</v>
      </c>
      <c r="G273" s="17">
        <v>0</v>
      </c>
      <c r="H273" s="17">
        <f>F273*(($H$179)+1)+(IF(G273&lt;101,G273,IF(G273&lt;201,G273/2,IF(G273&lt;=301,G273/3,G273/4))))</f>
        <v>580.44870000000003</v>
      </c>
    </row>
    <row r="274" spans="1:9" x14ac:dyDescent="0.2">
      <c r="A274" s="98">
        <f>A273+1</f>
        <v>2</v>
      </c>
      <c r="B274" s="99"/>
      <c r="C274" s="16" t="s">
        <v>56</v>
      </c>
      <c r="D274" s="17">
        <f t="shared" si="59"/>
        <v>370.81979999999999</v>
      </c>
      <c r="E274" s="17">
        <v>16.146000000000001</v>
      </c>
      <c r="F274" s="17">
        <f t="shared" ref="F274:F277" si="60">D274+E274</f>
        <v>386.9658</v>
      </c>
      <c r="G274" s="17">
        <v>0</v>
      </c>
      <c r="H274" s="17">
        <f t="shared" ref="H274:H277" si="61">F274*(($H$179)+1)+(IF(G274&lt;101,G274,IF(G274&lt;201,G274/2,IF(G274&lt;=301,G274/3,G274/4))))</f>
        <v>580.44870000000003</v>
      </c>
    </row>
    <row r="275" spans="1:9" x14ac:dyDescent="0.2">
      <c r="A275" s="98">
        <f t="shared" ref="A275:A284" si="62">A274+1</f>
        <v>3</v>
      </c>
      <c r="B275" s="99"/>
      <c r="C275" s="16" t="s">
        <v>56</v>
      </c>
      <c r="D275" s="17">
        <f t="shared" si="59"/>
        <v>370.81979999999999</v>
      </c>
      <c r="E275" s="17">
        <v>16.146000000000001</v>
      </c>
      <c r="F275" s="17">
        <f t="shared" si="60"/>
        <v>386.9658</v>
      </c>
      <c r="G275" s="17">
        <v>0</v>
      </c>
      <c r="H275" s="17">
        <f t="shared" si="61"/>
        <v>580.44870000000003</v>
      </c>
    </row>
    <row r="276" spans="1:9" x14ac:dyDescent="0.2">
      <c r="A276" s="98">
        <f t="shared" si="62"/>
        <v>4</v>
      </c>
      <c r="B276" s="99"/>
      <c r="C276" s="16" t="s">
        <v>56</v>
      </c>
      <c r="D276" s="17">
        <f t="shared" si="59"/>
        <v>370.81979999999999</v>
      </c>
      <c r="E276" s="17">
        <v>16.146000000000001</v>
      </c>
      <c r="F276" s="17">
        <f t="shared" si="60"/>
        <v>386.9658</v>
      </c>
      <c r="G276" s="17">
        <v>0</v>
      </c>
      <c r="H276" s="17">
        <f t="shared" si="61"/>
        <v>580.44870000000003</v>
      </c>
    </row>
    <row r="277" spans="1:9" x14ac:dyDescent="0.2">
      <c r="A277" s="98">
        <f t="shared" si="62"/>
        <v>5</v>
      </c>
      <c r="B277" s="99"/>
      <c r="C277" s="16" t="s">
        <v>56</v>
      </c>
      <c r="D277" s="17">
        <f t="shared" si="59"/>
        <v>370.81979999999999</v>
      </c>
      <c r="E277" s="17">
        <v>16.146000000000001</v>
      </c>
      <c r="F277" s="17">
        <f t="shared" si="60"/>
        <v>386.9658</v>
      </c>
      <c r="G277" s="17">
        <v>0</v>
      </c>
      <c r="H277" s="17">
        <f t="shared" si="61"/>
        <v>580.44870000000003</v>
      </c>
    </row>
    <row r="278" spans="1:9" ht="15" customHeight="1" x14ac:dyDescent="0.2">
      <c r="A278" s="98">
        <f t="shared" si="62"/>
        <v>6</v>
      </c>
      <c r="B278" s="99"/>
      <c r="C278" s="16" t="s">
        <v>248</v>
      </c>
      <c r="D278" s="100" t="s">
        <v>249</v>
      </c>
      <c r="E278" s="101"/>
      <c r="F278" s="101"/>
      <c r="G278" s="102"/>
      <c r="H278" s="16" t="s">
        <v>248</v>
      </c>
    </row>
    <row r="279" spans="1:9" x14ac:dyDescent="0.2">
      <c r="A279" s="98">
        <f t="shared" si="62"/>
        <v>7</v>
      </c>
      <c r="B279" s="99"/>
      <c r="C279" s="16" t="s">
        <v>56</v>
      </c>
      <c r="D279" s="17">
        <f t="shared" ref="D279:D280" si="63">(34.45)*10.764</f>
        <v>370.81979999999999</v>
      </c>
      <c r="E279" s="17">
        <v>16.146000000000001</v>
      </c>
      <c r="F279" s="17">
        <f t="shared" ref="F279:F284" si="64">D279+E279</f>
        <v>386.9658</v>
      </c>
      <c r="G279" s="17">
        <v>0</v>
      </c>
      <c r="H279" s="17">
        <f t="shared" ref="H279:H284" si="65">F279*(($H$179)+1)+(IF(G279&lt;101,G279,IF(G279&lt;201,G279/2,IF(G279&lt;=301,G279/3,G279/4))))</f>
        <v>580.44870000000003</v>
      </c>
    </row>
    <row r="280" spans="1:9" x14ac:dyDescent="0.2">
      <c r="A280" s="98">
        <f t="shared" si="62"/>
        <v>8</v>
      </c>
      <c r="B280" s="99"/>
      <c r="C280" s="16" t="s">
        <v>56</v>
      </c>
      <c r="D280" s="17">
        <f t="shared" si="63"/>
        <v>370.81979999999999</v>
      </c>
      <c r="E280" s="17">
        <v>16.146000000000001</v>
      </c>
      <c r="F280" s="17">
        <f t="shared" si="64"/>
        <v>386.9658</v>
      </c>
      <c r="G280" s="17">
        <v>0</v>
      </c>
      <c r="H280" s="17">
        <f t="shared" si="65"/>
        <v>580.44870000000003</v>
      </c>
    </row>
    <row r="281" spans="1:9" x14ac:dyDescent="0.2">
      <c r="A281" s="98">
        <f t="shared" si="62"/>
        <v>9</v>
      </c>
      <c r="B281" s="99"/>
      <c r="C281" s="16" t="s">
        <v>56</v>
      </c>
      <c r="D281" s="17">
        <f>(29.67)*10.764</f>
        <v>319.36788000000001</v>
      </c>
      <c r="E281" s="16">
        <v>0</v>
      </c>
      <c r="F281" s="17">
        <f t="shared" si="64"/>
        <v>319.36788000000001</v>
      </c>
      <c r="G281" s="17">
        <v>0</v>
      </c>
      <c r="H281" s="17">
        <f t="shared" si="65"/>
        <v>479.05182000000002</v>
      </c>
    </row>
    <row r="282" spans="1:9" x14ac:dyDescent="0.2">
      <c r="A282" s="98">
        <f t="shared" si="62"/>
        <v>10</v>
      </c>
      <c r="B282" s="99"/>
      <c r="C282" s="16" t="s">
        <v>56</v>
      </c>
      <c r="D282" s="17">
        <f>(29.67)*10.764</f>
        <v>319.36788000000001</v>
      </c>
      <c r="E282" s="16">
        <v>0</v>
      </c>
      <c r="F282" s="17">
        <f t="shared" si="64"/>
        <v>319.36788000000001</v>
      </c>
      <c r="G282" s="17">
        <v>0</v>
      </c>
      <c r="H282" s="17">
        <f t="shared" si="65"/>
        <v>479.05182000000002</v>
      </c>
    </row>
    <row r="283" spans="1:9" x14ac:dyDescent="0.2">
      <c r="A283" s="98">
        <f t="shared" si="62"/>
        <v>11</v>
      </c>
      <c r="B283" s="99"/>
      <c r="C283" s="16" t="s">
        <v>56</v>
      </c>
      <c r="D283" s="17">
        <f t="shared" ref="D283:D284" si="66">(34.45)*10.764</f>
        <v>370.81979999999999</v>
      </c>
      <c r="E283" s="17">
        <v>16.146000000000001</v>
      </c>
      <c r="F283" s="17">
        <f t="shared" si="64"/>
        <v>386.9658</v>
      </c>
      <c r="G283" s="17">
        <v>0</v>
      </c>
      <c r="H283" s="17">
        <f t="shared" si="65"/>
        <v>580.44870000000003</v>
      </c>
    </row>
    <row r="284" spans="1:9" x14ac:dyDescent="0.2">
      <c r="A284" s="98">
        <f t="shared" si="62"/>
        <v>12</v>
      </c>
      <c r="B284" s="99"/>
      <c r="C284" s="16" t="s">
        <v>56</v>
      </c>
      <c r="D284" s="17">
        <f t="shared" si="66"/>
        <v>370.81979999999999</v>
      </c>
      <c r="E284" s="17">
        <v>16.146000000000001</v>
      </c>
      <c r="F284" s="17">
        <f t="shared" si="64"/>
        <v>386.9658</v>
      </c>
      <c r="G284" s="17">
        <v>0</v>
      </c>
      <c r="H284" s="17">
        <f t="shared" si="65"/>
        <v>580.44870000000003</v>
      </c>
    </row>
    <row r="285" spans="1:9" x14ac:dyDescent="0.2">
      <c r="A285" s="103" t="s">
        <v>265</v>
      </c>
      <c r="B285" s="103"/>
      <c r="C285" s="103"/>
      <c r="D285" s="103"/>
      <c r="E285" s="103"/>
      <c r="F285" s="103"/>
      <c r="G285" s="103"/>
      <c r="H285" s="103"/>
    </row>
    <row r="286" spans="1:9" x14ac:dyDescent="0.2">
      <c r="A286" s="103" t="s">
        <v>268</v>
      </c>
      <c r="B286" s="103"/>
      <c r="C286" s="103"/>
      <c r="D286" s="103"/>
      <c r="E286" s="103"/>
      <c r="F286" s="103"/>
      <c r="G286" s="103"/>
      <c r="H286" s="103"/>
    </row>
    <row r="287" spans="1:9" x14ac:dyDescent="0.2">
      <c r="A287" s="103" t="s">
        <v>244</v>
      </c>
      <c r="B287" s="103"/>
      <c r="C287" s="103"/>
      <c r="D287" s="103"/>
      <c r="E287" s="103"/>
      <c r="F287" s="103"/>
      <c r="G287" s="103"/>
      <c r="H287" s="103"/>
    </row>
    <row r="288" spans="1:9" x14ac:dyDescent="0.2">
      <c r="A288" s="103" t="s">
        <v>245</v>
      </c>
      <c r="B288" s="103"/>
      <c r="C288" s="103"/>
      <c r="D288" s="103"/>
      <c r="E288" s="103"/>
      <c r="F288" s="103"/>
      <c r="G288" s="103"/>
      <c r="H288" s="103"/>
      <c r="I288" s="6">
        <f>2</f>
        <v>2</v>
      </c>
    </row>
    <row r="289" spans="1:10" x14ac:dyDescent="0.2">
      <c r="A289" s="98">
        <v>1</v>
      </c>
      <c r="B289" s="99"/>
      <c r="C289" s="16" t="s">
        <v>253</v>
      </c>
      <c r="D289" s="17">
        <f>(49.7)*10.764</f>
        <v>534.97080000000005</v>
      </c>
      <c r="E289" s="17">
        <f>(2.13*1)*10.764</f>
        <v>22.927319999999998</v>
      </c>
      <c r="F289" s="17">
        <f>D289+E289</f>
        <v>557.89812000000006</v>
      </c>
      <c r="G289" s="17">
        <v>0</v>
      </c>
      <c r="H289" s="17">
        <f>F289*(($H$179)+1)+(IF(G289&lt;101,G289,IF(G289&lt;201,G289/2,IF(G289&lt;=301,G289/3,G289/4))))</f>
        <v>836.84718000000009</v>
      </c>
      <c r="I289" s="6">
        <f>2.75*4.98+2.05*2.7+3.65*(2.9+2.75)+1.23*(1.98+2.05)</f>
        <v>44.809400000000004</v>
      </c>
      <c r="J289" s="6">
        <f>2.13</f>
        <v>2.13</v>
      </c>
    </row>
    <row r="290" spans="1:10" x14ac:dyDescent="0.2">
      <c r="A290" s="98">
        <f>A289+1</f>
        <v>2</v>
      </c>
      <c r="B290" s="99"/>
      <c r="C290" s="16" t="s">
        <v>253</v>
      </c>
      <c r="D290" s="17">
        <f t="shared" ref="D290:D292" si="67">(49.7)*10.764</f>
        <v>534.97080000000005</v>
      </c>
      <c r="E290" s="17">
        <f t="shared" ref="E290:E292" si="68">(2.13*1)*10.764</f>
        <v>22.927319999999998</v>
      </c>
      <c r="F290" s="17">
        <f t="shared" ref="F290:F292" si="69">D290+E290</f>
        <v>557.89812000000006</v>
      </c>
      <c r="G290" s="17">
        <v>0</v>
      </c>
      <c r="H290" s="17">
        <f t="shared" ref="H290:H292" si="70">F290*(($H$179)+1)+(IF(G290&lt;101,G290,IF(G290&lt;201,G290/2,IF(G290&lt;=301,G290/3,G290/4))))</f>
        <v>836.84718000000009</v>
      </c>
    </row>
    <row r="291" spans="1:10" x14ac:dyDescent="0.2">
      <c r="A291" s="98">
        <f t="shared" ref="A291:A292" si="71">A290+1</f>
        <v>3</v>
      </c>
      <c r="B291" s="99"/>
      <c r="C291" s="16" t="s">
        <v>253</v>
      </c>
      <c r="D291" s="17">
        <f t="shared" si="67"/>
        <v>534.97080000000005</v>
      </c>
      <c r="E291" s="17">
        <f t="shared" si="68"/>
        <v>22.927319999999998</v>
      </c>
      <c r="F291" s="17">
        <f t="shared" si="69"/>
        <v>557.89812000000006</v>
      </c>
      <c r="G291" s="17">
        <v>0</v>
      </c>
      <c r="H291" s="17">
        <f t="shared" si="70"/>
        <v>836.84718000000009</v>
      </c>
    </row>
    <row r="292" spans="1:10" x14ac:dyDescent="0.2">
      <c r="A292" s="98">
        <f t="shared" si="71"/>
        <v>4</v>
      </c>
      <c r="B292" s="99"/>
      <c r="C292" s="16" t="s">
        <v>253</v>
      </c>
      <c r="D292" s="17">
        <f t="shared" si="67"/>
        <v>534.97080000000005</v>
      </c>
      <c r="E292" s="17">
        <f t="shared" si="68"/>
        <v>22.927319999999998</v>
      </c>
      <c r="F292" s="17">
        <f t="shared" si="69"/>
        <v>557.89812000000006</v>
      </c>
      <c r="G292" s="17">
        <v>0</v>
      </c>
      <c r="H292" s="17">
        <f t="shared" si="70"/>
        <v>836.84718000000009</v>
      </c>
    </row>
    <row r="293" spans="1:10" x14ac:dyDescent="0.2">
      <c r="A293" s="103" t="s">
        <v>246</v>
      </c>
      <c r="B293" s="103"/>
      <c r="C293" s="103"/>
      <c r="D293" s="103"/>
      <c r="E293" s="103"/>
      <c r="F293" s="103"/>
      <c r="G293" s="103"/>
      <c r="H293" s="103"/>
      <c r="I293" s="6">
        <f>23</f>
        <v>23</v>
      </c>
    </row>
    <row r="294" spans="1:10" x14ac:dyDescent="0.2">
      <c r="A294" s="98">
        <v>1</v>
      </c>
      <c r="B294" s="99"/>
      <c r="C294" s="16" t="s">
        <v>253</v>
      </c>
      <c r="D294" s="17">
        <f>(49.7)*10.764</f>
        <v>534.97080000000005</v>
      </c>
      <c r="E294" s="17">
        <f>(2.13*1)*10.764</f>
        <v>22.927319999999998</v>
      </c>
      <c r="F294" s="17">
        <f>D294+E294</f>
        <v>557.89812000000006</v>
      </c>
      <c r="G294" s="17">
        <v>0</v>
      </c>
      <c r="H294" s="17">
        <f>F294*(($H$179)+1)+(IF(G294&lt;101,G294,IF(G294&lt;201,G294/2,IF(G294&lt;=301,G294/3,G294/4))))</f>
        <v>836.84718000000009</v>
      </c>
    </row>
    <row r="295" spans="1:10" x14ac:dyDescent="0.2">
      <c r="A295" s="98">
        <f>A294+1</f>
        <v>2</v>
      </c>
      <c r="B295" s="99"/>
      <c r="C295" s="16" t="s">
        <v>253</v>
      </c>
      <c r="D295" s="17">
        <f t="shared" ref="D295:D297" si="72">(49.7)*10.764</f>
        <v>534.97080000000005</v>
      </c>
      <c r="E295" s="17">
        <f t="shared" ref="E295:E297" si="73">(2.13*1)*10.764</f>
        <v>22.927319999999998</v>
      </c>
      <c r="F295" s="17">
        <f t="shared" ref="F295:F305" si="74">D295+E295</f>
        <v>557.89812000000006</v>
      </c>
      <c r="G295" s="17">
        <v>0</v>
      </c>
      <c r="H295" s="17">
        <f t="shared" ref="H295:H305" si="75">F295*(($H$179)+1)+(IF(G295&lt;101,G295,IF(G295&lt;201,G295/2,IF(G295&lt;=301,G295/3,G295/4))))</f>
        <v>836.84718000000009</v>
      </c>
    </row>
    <row r="296" spans="1:10" x14ac:dyDescent="0.2">
      <c r="A296" s="98">
        <f t="shared" ref="A296:A305" si="76">A295+1</f>
        <v>3</v>
      </c>
      <c r="B296" s="99"/>
      <c r="C296" s="16" t="s">
        <v>253</v>
      </c>
      <c r="D296" s="17">
        <f t="shared" si="72"/>
        <v>534.97080000000005</v>
      </c>
      <c r="E296" s="17">
        <f t="shared" si="73"/>
        <v>22.927319999999998</v>
      </c>
      <c r="F296" s="17">
        <f t="shared" si="74"/>
        <v>557.89812000000006</v>
      </c>
      <c r="G296" s="17">
        <v>0</v>
      </c>
      <c r="H296" s="17">
        <f t="shared" si="75"/>
        <v>836.84718000000009</v>
      </c>
    </row>
    <row r="297" spans="1:10" x14ac:dyDescent="0.2">
      <c r="A297" s="98">
        <f t="shared" si="76"/>
        <v>4</v>
      </c>
      <c r="B297" s="99"/>
      <c r="C297" s="16" t="s">
        <v>253</v>
      </c>
      <c r="D297" s="17">
        <f t="shared" si="72"/>
        <v>534.97080000000005</v>
      </c>
      <c r="E297" s="17">
        <f t="shared" si="73"/>
        <v>22.927319999999998</v>
      </c>
      <c r="F297" s="17">
        <f t="shared" si="74"/>
        <v>557.89812000000006</v>
      </c>
      <c r="G297" s="17">
        <v>0</v>
      </c>
      <c r="H297" s="17">
        <f t="shared" si="75"/>
        <v>836.84718000000009</v>
      </c>
    </row>
    <row r="298" spans="1:10" x14ac:dyDescent="0.2">
      <c r="A298" s="98">
        <f t="shared" si="76"/>
        <v>5</v>
      </c>
      <c r="B298" s="99"/>
      <c r="C298" s="16" t="s">
        <v>253</v>
      </c>
      <c r="D298" s="17">
        <f>(41.95)*10.764</f>
        <v>451.5498</v>
      </c>
      <c r="E298" s="16">
        <v>0</v>
      </c>
      <c r="F298" s="17">
        <f t="shared" si="74"/>
        <v>451.5498</v>
      </c>
      <c r="G298" s="17">
        <v>0</v>
      </c>
      <c r="H298" s="17">
        <f t="shared" si="75"/>
        <v>677.32470000000001</v>
      </c>
    </row>
    <row r="299" spans="1:10" x14ac:dyDescent="0.2">
      <c r="A299" s="98">
        <f t="shared" si="76"/>
        <v>6</v>
      </c>
      <c r="B299" s="99"/>
      <c r="C299" s="16" t="s">
        <v>253</v>
      </c>
      <c r="D299" s="17">
        <f>(41.95)*10.764</f>
        <v>451.5498</v>
      </c>
      <c r="E299" s="16">
        <v>0</v>
      </c>
      <c r="F299" s="17">
        <f t="shared" si="74"/>
        <v>451.5498</v>
      </c>
      <c r="G299" s="17">
        <v>0</v>
      </c>
      <c r="H299" s="17">
        <f t="shared" si="75"/>
        <v>677.32470000000001</v>
      </c>
    </row>
    <row r="300" spans="1:10" x14ac:dyDescent="0.2">
      <c r="A300" s="98">
        <f t="shared" si="76"/>
        <v>7</v>
      </c>
      <c r="B300" s="99"/>
      <c r="C300" s="16" t="s">
        <v>253</v>
      </c>
      <c r="D300" s="17">
        <f t="shared" ref="D300:D305" si="77">(41.95)*10.764</f>
        <v>451.5498</v>
      </c>
      <c r="E300" s="16">
        <v>0</v>
      </c>
      <c r="F300" s="17">
        <f t="shared" si="74"/>
        <v>451.5498</v>
      </c>
      <c r="G300" s="17">
        <v>0</v>
      </c>
      <c r="H300" s="17">
        <f t="shared" si="75"/>
        <v>677.32470000000001</v>
      </c>
    </row>
    <row r="301" spans="1:10" x14ac:dyDescent="0.2">
      <c r="A301" s="98">
        <f t="shared" si="76"/>
        <v>8</v>
      </c>
      <c r="B301" s="99"/>
      <c r="C301" s="16" t="s">
        <v>253</v>
      </c>
      <c r="D301" s="17">
        <f t="shared" si="77"/>
        <v>451.5498</v>
      </c>
      <c r="E301" s="16">
        <v>0</v>
      </c>
      <c r="F301" s="17">
        <f t="shared" si="74"/>
        <v>451.5498</v>
      </c>
      <c r="G301" s="17">
        <v>0</v>
      </c>
      <c r="H301" s="17">
        <f t="shared" si="75"/>
        <v>677.32470000000001</v>
      </c>
    </row>
    <row r="302" spans="1:10" x14ac:dyDescent="0.2">
      <c r="A302" s="98">
        <f t="shared" si="76"/>
        <v>9</v>
      </c>
      <c r="B302" s="99"/>
      <c r="C302" s="16" t="s">
        <v>253</v>
      </c>
      <c r="D302" s="17">
        <f t="shared" si="77"/>
        <v>451.5498</v>
      </c>
      <c r="E302" s="16">
        <v>0</v>
      </c>
      <c r="F302" s="17">
        <f t="shared" si="74"/>
        <v>451.5498</v>
      </c>
      <c r="G302" s="17">
        <v>0</v>
      </c>
      <c r="H302" s="17">
        <f t="shared" si="75"/>
        <v>677.32470000000001</v>
      </c>
    </row>
    <row r="303" spans="1:10" x14ac:dyDescent="0.2">
      <c r="A303" s="98">
        <f t="shared" si="76"/>
        <v>10</v>
      </c>
      <c r="B303" s="99"/>
      <c r="C303" s="16" t="s">
        <v>253</v>
      </c>
      <c r="D303" s="17">
        <f t="shared" si="77"/>
        <v>451.5498</v>
      </c>
      <c r="E303" s="16">
        <v>0</v>
      </c>
      <c r="F303" s="17">
        <f t="shared" si="74"/>
        <v>451.5498</v>
      </c>
      <c r="G303" s="17">
        <v>0</v>
      </c>
      <c r="H303" s="17">
        <f t="shared" si="75"/>
        <v>677.32470000000001</v>
      </c>
    </row>
    <row r="304" spans="1:10" x14ac:dyDescent="0.2">
      <c r="A304" s="98">
        <f t="shared" si="76"/>
        <v>11</v>
      </c>
      <c r="B304" s="99"/>
      <c r="C304" s="16" t="s">
        <v>253</v>
      </c>
      <c r="D304" s="17">
        <f t="shared" si="77"/>
        <v>451.5498</v>
      </c>
      <c r="E304" s="16">
        <v>0</v>
      </c>
      <c r="F304" s="17">
        <f t="shared" si="74"/>
        <v>451.5498</v>
      </c>
      <c r="G304" s="17">
        <v>0</v>
      </c>
      <c r="H304" s="17">
        <f t="shared" si="75"/>
        <v>677.32470000000001</v>
      </c>
    </row>
    <row r="305" spans="1:9" x14ac:dyDescent="0.2">
      <c r="A305" s="98">
        <f t="shared" si="76"/>
        <v>12</v>
      </c>
      <c r="B305" s="99"/>
      <c r="C305" s="16" t="s">
        <v>253</v>
      </c>
      <c r="D305" s="17">
        <f t="shared" si="77"/>
        <v>451.5498</v>
      </c>
      <c r="E305" s="16">
        <v>0</v>
      </c>
      <c r="F305" s="17">
        <f t="shared" si="74"/>
        <v>451.5498</v>
      </c>
      <c r="G305" s="17">
        <v>0</v>
      </c>
      <c r="H305" s="17">
        <f t="shared" si="75"/>
        <v>677.32470000000001</v>
      </c>
    </row>
    <row r="306" spans="1:9" x14ac:dyDescent="0.2">
      <c r="A306" s="103" t="s">
        <v>254</v>
      </c>
      <c r="B306" s="103"/>
      <c r="C306" s="103"/>
      <c r="D306" s="103"/>
      <c r="E306" s="103"/>
      <c r="F306" s="103"/>
      <c r="G306" s="103"/>
      <c r="H306" s="103"/>
      <c r="I306" s="6">
        <v>5</v>
      </c>
    </row>
    <row r="307" spans="1:9" x14ac:dyDescent="0.2">
      <c r="A307" s="98">
        <v>1</v>
      </c>
      <c r="B307" s="99"/>
      <c r="C307" s="16" t="s">
        <v>253</v>
      </c>
      <c r="D307" s="17">
        <f t="shared" ref="D307:D309" si="78">(49.7)*10.764</f>
        <v>534.97080000000005</v>
      </c>
      <c r="E307" s="17">
        <f t="shared" ref="E307:E309" si="79">(2.13*1)*10.764</f>
        <v>22.927319999999998</v>
      </c>
      <c r="F307" s="17">
        <f>D307+E307</f>
        <v>557.89812000000006</v>
      </c>
      <c r="G307" s="16">
        <v>0</v>
      </c>
      <c r="H307" s="17">
        <f>F307*(($H$179)+1)+(IF(G307&lt;101,G307,IF(G307&lt;201,G307/2,IF(G307&lt;=301,G307/3,G307/4))))</f>
        <v>836.84718000000009</v>
      </c>
    </row>
    <row r="308" spans="1:9" x14ac:dyDescent="0.2">
      <c r="A308" s="98">
        <f>A307+1</f>
        <v>2</v>
      </c>
      <c r="B308" s="99"/>
      <c r="C308" s="16" t="s">
        <v>253</v>
      </c>
      <c r="D308" s="17">
        <f t="shared" si="78"/>
        <v>534.97080000000005</v>
      </c>
      <c r="E308" s="17">
        <f t="shared" si="79"/>
        <v>22.927319999999998</v>
      </c>
      <c r="F308" s="17">
        <f t="shared" ref="F308:F309" si="80">D308+E308</f>
        <v>557.89812000000006</v>
      </c>
      <c r="G308" s="16">
        <v>0</v>
      </c>
      <c r="H308" s="17">
        <f t="shared" ref="H308:H309" si="81">F308*(($H$179)+1)+(IF(G308&lt;101,G308,IF(G308&lt;201,G308/2,IF(G308&lt;=301,G308/3,G308/4))))</f>
        <v>836.84718000000009</v>
      </c>
    </row>
    <row r="309" spans="1:9" x14ac:dyDescent="0.2">
      <c r="A309" s="98">
        <f t="shared" ref="A309:A318" si="82">A308+1</f>
        <v>3</v>
      </c>
      <c r="B309" s="99"/>
      <c r="C309" s="16" t="s">
        <v>253</v>
      </c>
      <c r="D309" s="17">
        <f t="shared" si="78"/>
        <v>534.97080000000005</v>
      </c>
      <c r="E309" s="17">
        <f t="shared" si="79"/>
        <v>22.927319999999998</v>
      </c>
      <c r="F309" s="17">
        <f t="shared" si="80"/>
        <v>557.89812000000006</v>
      </c>
      <c r="G309" s="16">
        <v>0</v>
      </c>
      <c r="H309" s="17">
        <f t="shared" si="81"/>
        <v>836.84718000000009</v>
      </c>
    </row>
    <row r="310" spans="1:9" x14ac:dyDescent="0.2">
      <c r="A310" s="98">
        <f t="shared" si="82"/>
        <v>4</v>
      </c>
      <c r="B310" s="99"/>
      <c r="C310" s="16" t="s">
        <v>248</v>
      </c>
      <c r="D310" s="98" t="s">
        <v>249</v>
      </c>
      <c r="E310" s="104"/>
      <c r="F310" s="104"/>
      <c r="G310" s="99"/>
      <c r="H310" s="16" t="s">
        <v>248</v>
      </c>
    </row>
    <row r="311" spans="1:9" x14ac:dyDescent="0.2">
      <c r="A311" s="98">
        <f t="shared" si="82"/>
        <v>5</v>
      </c>
      <c r="B311" s="99"/>
      <c r="C311" s="16" t="s">
        <v>253</v>
      </c>
      <c r="D311" s="17">
        <f>(41.95)*10.764</f>
        <v>451.5498</v>
      </c>
      <c r="E311" s="16">
        <v>0</v>
      </c>
      <c r="F311" s="17">
        <f t="shared" ref="F311:F318" si="83">D311+E311</f>
        <v>451.5498</v>
      </c>
      <c r="G311" s="16">
        <v>0</v>
      </c>
      <c r="H311" s="17">
        <f t="shared" ref="H311:H318" si="84">F311*(($H$179)+1)+(IF(G311&lt;101,G311,IF(G311&lt;201,G311/2,IF(G311&lt;=301,G311/3,G311/4))))</f>
        <v>677.32470000000001</v>
      </c>
    </row>
    <row r="312" spans="1:9" x14ac:dyDescent="0.2">
      <c r="A312" s="98">
        <f t="shared" si="82"/>
        <v>6</v>
      </c>
      <c r="B312" s="99"/>
      <c r="C312" s="16" t="s">
        <v>253</v>
      </c>
      <c r="D312" s="17">
        <f>(41.95)*10.764</f>
        <v>451.5498</v>
      </c>
      <c r="E312" s="16">
        <v>0</v>
      </c>
      <c r="F312" s="17">
        <f t="shared" si="83"/>
        <v>451.5498</v>
      </c>
      <c r="G312" s="16">
        <v>0</v>
      </c>
      <c r="H312" s="17">
        <f t="shared" si="84"/>
        <v>677.32470000000001</v>
      </c>
    </row>
    <row r="313" spans="1:9" x14ac:dyDescent="0.2">
      <c r="A313" s="98">
        <f t="shared" si="82"/>
        <v>7</v>
      </c>
      <c r="B313" s="99"/>
      <c r="C313" s="16" t="s">
        <v>253</v>
      </c>
      <c r="D313" s="17">
        <f t="shared" ref="D313:D318" si="85">(41.95)*10.764</f>
        <v>451.5498</v>
      </c>
      <c r="E313" s="16">
        <v>0</v>
      </c>
      <c r="F313" s="17">
        <f t="shared" si="83"/>
        <v>451.5498</v>
      </c>
      <c r="G313" s="16">
        <v>0</v>
      </c>
      <c r="H313" s="17">
        <f t="shared" si="84"/>
        <v>677.32470000000001</v>
      </c>
    </row>
    <row r="314" spans="1:9" x14ac:dyDescent="0.2">
      <c r="A314" s="98">
        <f t="shared" si="82"/>
        <v>8</v>
      </c>
      <c r="B314" s="99"/>
      <c r="C314" s="16" t="s">
        <v>253</v>
      </c>
      <c r="D314" s="17">
        <f t="shared" si="85"/>
        <v>451.5498</v>
      </c>
      <c r="E314" s="16">
        <v>0</v>
      </c>
      <c r="F314" s="17">
        <f t="shared" si="83"/>
        <v>451.5498</v>
      </c>
      <c r="G314" s="16">
        <v>0</v>
      </c>
      <c r="H314" s="17">
        <f t="shared" si="84"/>
        <v>677.32470000000001</v>
      </c>
    </row>
    <row r="315" spans="1:9" x14ac:dyDescent="0.2">
      <c r="A315" s="98">
        <f t="shared" si="82"/>
        <v>9</v>
      </c>
      <c r="B315" s="99"/>
      <c r="C315" s="16" t="s">
        <v>253</v>
      </c>
      <c r="D315" s="17">
        <f t="shared" si="85"/>
        <v>451.5498</v>
      </c>
      <c r="E315" s="16">
        <v>0</v>
      </c>
      <c r="F315" s="17">
        <f t="shared" si="83"/>
        <v>451.5498</v>
      </c>
      <c r="G315" s="16">
        <v>0</v>
      </c>
      <c r="H315" s="17">
        <f t="shared" si="84"/>
        <v>677.32470000000001</v>
      </c>
    </row>
    <row r="316" spans="1:9" x14ac:dyDescent="0.2">
      <c r="A316" s="98">
        <f t="shared" si="82"/>
        <v>10</v>
      </c>
      <c r="B316" s="99"/>
      <c r="C316" s="16" t="s">
        <v>253</v>
      </c>
      <c r="D316" s="17">
        <f t="shared" si="85"/>
        <v>451.5498</v>
      </c>
      <c r="E316" s="16">
        <v>0</v>
      </c>
      <c r="F316" s="17">
        <f t="shared" si="83"/>
        <v>451.5498</v>
      </c>
      <c r="G316" s="16">
        <v>0</v>
      </c>
      <c r="H316" s="17">
        <f t="shared" si="84"/>
        <v>677.32470000000001</v>
      </c>
    </row>
    <row r="317" spans="1:9" x14ac:dyDescent="0.2">
      <c r="A317" s="98">
        <f t="shared" si="82"/>
        <v>11</v>
      </c>
      <c r="B317" s="99"/>
      <c r="C317" s="16" t="s">
        <v>253</v>
      </c>
      <c r="D317" s="17">
        <f t="shared" si="85"/>
        <v>451.5498</v>
      </c>
      <c r="E317" s="16">
        <v>0</v>
      </c>
      <c r="F317" s="17">
        <f t="shared" si="83"/>
        <v>451.5498</v>
      </c>
      <c r="G317" s="16">
        <v>0</v>
      </c>
      <c r="H317" s="17">
        <f t="shared" si="84"/>
        <v>677.32470000000001</v>
      </c>
    </row>
    <row r="318" spans="1:9" x14ac:dyDescent="0.2">
      <c r="A318" s="98">
        <f t="shared" si="82"/>
        <v>12</v>
      </c>
      <c r="B318" s="99"/>
      <c r="C318" s="16" t="s">
        <v>253</v>
      </c>
      <c r="D318" s="17">
        <f t="shared" si="85"/>
        <v>451.5498</v>
      </c>
      <c r="E318" s="16">
        <v>0</v>
      </c>
      <c r="F318" s="17">
        <f t="shared" si="83"/>
        <v>451.5498</v>
      </c>
      <c r="G318" s="16">
        <v>0</v>
      </c>
      <c r="H318" s="17">
        <f t="shared" si="84"/>
        <v>677.32470000000001</v>
      </c>
    </row>
    <row r="319" spans="1:9" x14ac:dyDescent="0.2">
      <c r="A319" s="103" t="s">
        <v>266</v>
      </c>
      <c r="B319" s="103"/>
      <c r="C319" s="103"/>
      <c r="D319" s="103"/>
      <c r="E319" s="103"/>
      <c r="F319" s="103"/>
      <c r="G319" s="103"/>
      <c r="H319" s="103"/>
    </row>
    <row r="320" spans="1:9" x14ac:dyDescent="0.2">
      <c r="A320" s="103" t="s">
        <v>272</v>
      </c>
      <c r="B320" s="103"/>
      <c r="C320" s="103"/>
      <c r="D320" s="103"/>
      <c r="E320" s="103"/>
      <c r="F320" s="103"/>
      <c r="G320" s="103"/>
      <c r="H320" s="103"/>
    </row>
    <row r="321" spans="1:9" x14ac:dyDescent="0.2">
      <c r="A321" s="103" t="s">
        <v>244</v>
      </c>
      <c r="B321" s="103"/>
      <c r="C321" s="103"/>
      <c r="D321" s="103"/>
      <c r="E321" s="103"/>
      <c r="F321" s="103"/>
      <c r="G321" s="103"/>
      <c r="H321" s="103"/>
    </row>
    <row r="322" spans="1:9" x14ac:dyDescent="0.2">
      <c r="A322" s="103" t="s">
        <v>245</v>
      </c>
      <c r="B322" s="103"/>
      <c r="C322" s="103"/>
      <c r="D322" s="103"/>
      <c r="E322" s="103"/>
      <c r="F322" s="103"/>
      <c r="G322" s="103"/>
      <c r="H322" s="103"/>
      <c r="I322" s="65">
        <v>2</v>
      </c>
    </row>
    <row r="323" spans="1:9" x14ac:dyDescent="0.2">
      <c r="A323" s="98">
        <v>1</v>
      </c>
      <c r="B323" s="99"/>
      <c r="C323" s="16" t="s">
        <v>56</v>
      </c>
      <c r="D323" s="17">
        <f t="shared" ref="D323:D328" si="86">(34.45)*10.764</f>
        <v>370.81979999999999</v>
      </c>
      <c r="E323" s="17">
        <f>(1.5*1)*10.764</f>
        <v>16.146000000000001</v>
      </c>
      <c r="F323" s="17">
        <f>D323+E323</f>
        <v>386.9658</v>
      </c>
      <c r="G323" s="17">
        <v>0</v>
      </c>
      <c r="H323" s="17">
        <f>F323*(($H$179)+1)+(IF(G323&lt;101,G323,IF(G323&lt;201,G323/2,IF(G323&lt;=301,G323/3,G323/4))))</f>
        <v>580.44870000000003</v>
      </c>
      <c r="I323" s="64">
        <f>2.75*4.35+2*2.45+2.75*3.45+1.65*1.05+1.12*1.79+2.25*0.9+1.5</f>
        <v>33.612299999999998</v>
      </c>
    </row>
    <row r="324" spans="1:9" x14ac:dyDescent="0.2">
      <c r="A324" s="98">
        <f>A323+1</f>
        <v>2</v>
      </c>
      <c r="B324" s="99"/>
      <c r="C324" s="16" t="s">
        <v>56</v>
      </c>
      <c r="D324" s="17">
        <f t="shared" si="86"/>
        <v>370.81979999999999</v>
      </c>
      <c r="E324" s="17">
        <f t="shared" ref="E324:E328" si="87">(1.5*1)*10.764</f>
        <v>16.146000000000001</v>
      </c>
      <c r="F324" s="17">
        <f t="shared" ref="F324:F328" si="88">D324+E324</f>
        <v>386.9658</v>
      </c>
      <c r="G324" s="17">
        <v>0</v>
      </c>
      <c r="H324" s="17">
        <f t="shared" ref="H324:H328" si="89">F324*(($H$179)+1)+(IF(G324&lt;101,G324,IF(G324&lt;201,G324/2,IF(G324&lt;=301,G324/3,G324/4))))</f>
        <v>580.44870000000003</v>
      </c>
    </row>
    <row r="325" spans="1:9" x14ac:dyDescent="0.2">
      <c r="A325" s="98">
        <f t="shared" ref="A325:A328" si="90">A324+1</f>
        <v>3</v>
      </c>
      <c r="B325" s="99"/>
      <c r="C325" s="16" t="s">
        <v>56</v>
      </c>
      <c r="D325" s="17">
        <f t="shared" si="86"/>
        <v>370.81979999999999</v>
      </c>
      <c r="E325" s="17">
        <f t="shared" si="87"/>
        <v>16.146000000000001</v>
      </c>
      <c r="F325" s="17">
        <f t="shared" si="88"/>
        <v>386.9658</v>
      </c>
      <c r="G325" s="17">
        <v>0</v>
      </c>
      <c r="H325" s="17">
        <f t="shared" si="89"/>
        <v>580.44870000000003</v>
      </c>
    </row>
    <row r="326" spans="1:9" x14ac:dyDescent="0.2">
      <c r="A326" s="98">
        <f t="shared" si="90"/>
        <v>4</v>
      </c>
      <c r="B326" s="99"/>
      <c r="C326" s="16" t="s">
        <v>56</v>
      </c>
      <c r="D326" s="17">
        <f t="shared" si="86"/>
        <v>370.81979999999999</v>
      </c>
      <c r="E326" s="17">
        <f t="shared" si="87"/>
        <v>16.146000000000001</v>
      </c>
      <c r="F326" s="17">
        <f t="shared" si="88"/>
        <v>386.9658</v>
      </c>
      <c r="G326" s="17">
        <v>0</v>
      </c>
      <c r="H326" s="17">
        <f t="shared" si="89"/>
        <v>580.44870000000003</v>
      </c>
    </row>
    <row r="327" spans="1:9" x14ac:dyDescent="0.2">
      <c r="A327" s="98">
        <f t="shared" si="90"/>
        <v>5</v>
      </c>
      <c r="B327" s="99"/>
      <c r="C327" s="16" t="s">
        <v>56</v>
      </c>
      <c r="D327" s="17">
        <f t="shared" si="86"/>
        <v>370.81979999999999</v>
      </c>
      <c r="E327" s="17">
        <f t="shared" si="87"/>
        <v>16.146000000000001</v>
      </c>
      <c r="F327" s="17">
        <f t="shared" si="88"/>
        <v>386.9658</v>
      </c>
      <c r="G327" s="17">
        <v>0</v>
      </c>
      <c r="H327" s="17">
        <f t="shared" si="89"/>
        <v>580.44870000000003</v>
      </c>
    </row>
    <row r="328" spans="1:9" x14ac:dyDescent="0.2">
      <c r="A328" s="98">
        <f t="shared" si="90"/>
        <v>6</v>
      </c>
      <c r="B328" s="99"/>
      <c r="C328" s="16" t="s">
        <v>56</v>
      </c>
      <c r="D328" s="17">
        <f t="shared" si="86"/>
        <v>370.81979999999999</v>
      </c>
      <c r="E328" s="17">
        <f t="shared" si="87"/>
        <v>16.146000000000001</v>
      </c>
      <c r="F328" s="17">
        <f t="shared" si="88"/>
        <v>386.9658</v>
      </c>
      <c r="G328" s="17">
        <v>0</v>
      </c>
      <c r="H328" s="17">
        <f t="shared" si="89"/>
        <v>580.44870000000003</v>
      </c>
    </row>
    <row r="329" spans="1:9" x14ac:dyDescent="0.2">
      <c r="A329" s="103" t="s">
        <v>246</v>
      </c>
      <c r="B329" s="103"/>
      <c r="C329" s="103"/>
      <c r="D329" s="103"/>
      <c r="E329" s="103"/>
      <c r="F329" s="103"/>
      <c r="G329" s="103"/>
      <c r="H329" s="103"/>
      <c r="I329" s="65">
        <f>5+4+4+4+4+2</f>
        <v>23</v>
      </c>
    </row>
    <row r="330" spans="1:9" x14ac:dyDescent="0.2">
      <c r="A330" s="98">
        <v>1</v>
      </c>
      <c r="B330" s="99"/>
      <c r="C330" s="16" t="s">
        <v>56</v>
      </c>
      <c r="D330" s="17">
        <f t="shared" ref="D330:D336" si="91">(34.45)*10.764</f>
        <v>370.81979999999999</v>
      </c>
      <c r="E330" s="17">
        <v>16.146000000000001</v>
      </c>
      <c r="F330" s="17">
        <f>D330+E330</f>
        <v>386.9658</v>
      </c>
      <c r="G330" s="17">
        <v>0</v>
      </c>
      <c r="H330" s="17">
        <f>F330*(($H$179)+1)+(IF(G330&lt;101,G330,IF(G330&lt;201,G330/2,IF(G330&lt;=301,G330/3,G330/4))))</f>
        <v>580.44870000000003</v>
      </c>
    </row>
    <row r="331" spans="1:9" x14ac:dyDescent="0.2">
      <c r="A331" s="98">
        <f>A330+1</f>
        <v>2</v>
      </c>
      <c r="B331" s="99"/>
      <c r="C331" s="16" t="s">
        <v>56</v>
      </c>
      <c r="D331" s="17">
        <f t="shared" si="91"/>
        <v>370.81979999999999</v>
      </c>
      <c r="E331" s="17">
        <v>16.146000000000001</v>
      </c>
      <c r="F331" s="17">
        <f t="shared" ref="F331:F341" si="92">D331+E331</f>
        <v>386.9658</v>
      </c>
      <c r="G331" s="17">
        <v>0</v>
      </c>
      <c r="H331" s="17">
        <f t="shared" ref="H331:H341" si="93">F331*(($H$179)+1)+(IF(G331&lt;101,G331,IF(G331&lt;201,G331/2,IF(G331&lt;=301,G331/3,G331/4))))</f>
        <v>580.44870000000003</v>
      </c>
    </row>
    <row r="332" spans="1:9" x14ac:dyDescent="0.2">
      <c r="A332" s="98">
        <f t="shared" ref="A332:A341" si="94">A331+1</f>
        <v>3</v>
      </c>
      <c r="B332" s="99"/>
      <c r="C332" s="16" t="s">
        <v>56</v>
      </c>
      <c r="D332" s="17">
        <f t="shared" si="91"/>
        <v>370.81979999999999</v>
      </c>
      <c r="E332" s="17">
        <v>16.146000000000001</v>
      </c>
      <c r="F332" s="17">
        <f t="shared" si="92"/>
        <v>386.9658</v>
      </c>
      <c r="G332" s="17">
        <v>0</v>
      </c>
      <c r="H332" s="17">
        <f t="shared" si="93"/>
        <v>580.44870000000003</v>
      </c>
    </row>
    <row r="333" spans="1:9" x14ac:dyDescent="0.2">
      <c r="A333" s="98">
        <f t="shared" si="94"/>
        <v>4</v>
      </c>
      <c r="B333" s="99"/>
      <c r="C333" s="16" t="s">
        <v>56</v>
      </c>
      <c r="D333" s="17">
        <f t="shared" si="91"/>
        <v>370.81979999999999</v>
      </c>
      <c r="E333" s="17">
        <v>16.146000000000001</v>
      </c>
      <c r="F333" s="17">
        <f t="shared" si="92"/>
        <v>386.9658</v>
      </c>
      <c r="G333" s="17">
        <v>0</v>
      </c>
      <c r="H333" s="17">
        <f t="shared" si="93"/>
        <v>580.44870000000003</v>
      </c>
    </row>
    <row r="334" spans="1:9" x14ac:dyDescent="0.2">
      <c r="A334" s="98">
        <f t="shared" si="94"/>
        <v>5</v>
      </c>
      <c r="B334" s="99"/>
      <c r="C334" s="16" t="s">
        <v>56</v>
      </c>
      <c r="D334" s="17">
        <f t="shared" si="91"/>
        <v>370.81979999999999</v>
      </c>
      <c r="E334" s="17">
        <v>16.146000000000001</v>
      </c>
      <c r="F334" s="17">
        <f t="shared" si="92"/>
        <v>386.9658</v>
      </c>
      <c r="G334" s="17">
        <v>0</v>
      </c>
      <c r="H334" s="17">
        <f t="shared" si="93"/>
        <v>580.44870000000003</v>
      </c>
    </row>
    <row r="335" spans="1:9" x14ac:dyDescent="0.2">
      <c r="A335" s="98">
        <f t="shared" si="94"/>
        <v>6</v>
      </c>
      <c r="B335" s="99"/>
      <c r="C335" s="16" t="s">
        <v>56</v>
      </c>
      <c r="D335" s="17">
        <f t="shared" si="91"/>
        <v>370.81979999999999</v>
      </c>
      <c r="E335" s="17">
        <v>16.146000000000001</v>
      </c>
      <c r="F335" s="17">
        <f t="shared" si="92"/>
        <v>386.9658</v>
      </c>
      <c r="G335" s="17">
        <v>0</v>
      </c>
      <c r="H335" s="17">
        <f t="shared" si="93"/>
        <v>580.44870000000003</v>
      </c>
    </row>
    <row r="336" spans="1:9" x14ac:dyDescent="0.2">
      <c r="A336" s="98">
        <f t="shared" si="94"/>
        <v>7</v>
      </c>
      <c r="B336" s="99"/>
      <c r="C336" s="16" t="s">
        <v>56</v>
      </c>
      <c r="D336" s="17">
        <f t="shared" si="91"/>
        <v>370.81979999999999</v>
      </c>
      <c r="E336" s="17">
        <v>16.146000000000001</v>
      </c>
      <c r="F336" s="17">
        <f t="shared" si="92"/>
        <v>386.9658</v>
      </c>
      <c r="G336" s="17">
        <v>0</v>
      </c>
      <c r="H336" s="17">
        <f t="shared" si="93"/>
        <v>580.44870000000003</v>
      </c>
    </row>
    <row r="337" spans="1:8" x14ac:dyDescent="0.2">
      <c r="A337" s="98">
        <f t="shared" si="94"/>
        <v>8</v>
      </c>
      <c r="B337" s="99"/>
      <c r="C337" s="16" t="s">
        <v>56</v>
      </c>
      <c r="D337" s="17">
        <f>(34.45)*10.764</f>
        <v>370.81979999999999</v>
      </c>
      <c r="E337" s="17">
        <v>16.146000000000001</v>
      </c>
      <c r="F337" s="17">
        <f t="shared" si="92"/>
        <v>386.9658</v>
      </c>
      <c r="G337" s="17">
        <v>0</v>
      </c>
      <c r="H337" s="17">
        <f t="shared" si="93"/>
        <v>580.44870000000003</v>
      </c>
    </row>
    <row r="338" spans="1:8" x14ac:dyDescent="0.2">
      <c r="A338" s="98">
        <f t="shared" si="94"/>
        <v>9</v>
      </c>
      <c r="B338" s="99"/>
      <c r="C338" s="16" t="s">
        <v>56</v>
      </c>
      <c r="D338" s="17">
        <f>(29.97)*10.764</f>
        <v>322.59707999999995</v>
      </c>
      <c r="E338" s="16">
        <v>0</v>
      </c>
      <c r="F338" s="17">
        <f t="shared" si="92"/>
        <v>322.59707999999995</v>
      </c>
      <c r="G338" s="17">
        <v>0</v>
      </c>
      <c r="H338" s="17">
        <f t="shared" si="93"/>
        <v>483.89561999999989</v>
      </c>
    </row>
    <row r="339" spans="1:8" x14ac:dyDescent="0.2">
      <c r="A339" s="98">
        <f t="shared" si="94"/>
        <v>10</v>
      </c>
      <c r="B339" s="99"/>
      <c r="C339" s="16" t="s">
        <v>56</v>
      </c>
      <c r="D339" s="17">
        <f>(29.97)*10.764</f>
        <v>322.59707999999995</v>
      </c>
      <c r="E339" s="16">
        <v>0</v>
      </c>
      <c r="F339" s="17">
        <f t="shared" si="92"/>
        <v>322.59707999999995</v>
      </c>
      <c r="G339" s="17">
        <v>0</v>
      </c>
      <c r="H339" s="17">
        <f t="shared" si="93"/>
        <v>483.89561999999989</v>
      </c>
    </row>
    <row r="340" spans="1:8" x14ac:dyDescent="0.2">
      <c r="A340" s="98">
        <f t="shared" si="94"/>
        <v>11</v>
      </c>
      <c r="B340" s="99"/>
      <c r="C340" s="16" t="s">
        <v>56</v>
      </c>
      <c r="D340" s="17">
        <f>(34.45)*10.764</f>
        <v>370.81979999999999</v>
      </c>
      <c r="E340" s="17">
        <v>16.146000000000001</v>
      </c>
      <c r="F340" s="17">
        <f t="shared" si="92"/>
        <v>386.9658</v>
      </c>
      <c r="G340" s="17">
        <v>0</v>
      </c>
      <c r="H340" s="17">
        <f t="shared" si="93"/>
        <v>580.44870000000003</v>
      </c>
    </row>
    <row r="341" spans="1:8" x14ac:dyDescent="0.2">
      <c r="A341" s="98">
        <f t="shared" si="94"/>
        <v>12</v>
      </c>
      <c r="B341" s="99"/>
      <c r="C341" s="16" t="s">
        <v>56</v>
      </c>
      <c r="D341" s="17">
        <f>(34.45)*10.764</f>
        <v>370.81979999999999</v>
      </c>
      <c r="E341" s="17">
        <v>16.146000000000001</v>
      </c>
      <c r="F341" s="17">
        <f t="shared" si="92"/>
        <v>386.9658</v>
      </c>
      <c r="G341" s="17">
        <v>0</v>
      </c>
      <c r="H341" s="17">
        <f t="shared" si="93"/>
        <v>580.44870000000003</v>
      </c>
    </row>
    <row r="342" spans="1:8" x14ac:dyDescent="0.2">
      <c r="A342" s="103" t="s">
        <v>247</v>
      </c>
      <c r="B342" s="103"/>
      <c r="C342" s="103"/>
      <c r="D342" s="103"/>
      <c r="E342" s="103"/>
      <c r="F342" s="103"/>
      <c r="G342" s="103"/>
      <c r="H342" s="103"/>
    </row>
    <row r="343" spans="1:8" x14ac:dyDescent="0.2">
      <c r="A343" s="98">
        <v>1</v>
      </c>
      <c r="B343" s="99"/>
      <c r="C343" s="16" t="s">
        <v>56</v>
      </c>
      <c r="D343" s="17">
        <f t="shared" ref="D343:D347" si="95">(34.45)*10.764</f>
        <v>370.81979999999999</v>
      </c>
      <c r="E343" s="17">
        <v>16.146000000000001</v>
      </c>
      <c r="F343" s="17">
        <f>D343+E343</f>
        <v>386.9658</v>
      </c>
      <c r="G343" s="17">
        <v>0</v>
      </c>
      <c r="H343" s="17">
        <f>F343*(($H$179)+1)+(IF(G343&lt;101,G343,IF(G343&lt;201,G343/2,IF(G343&lt;=301,G343/3,G343/4))))</f>
        <v>580.44870000000003</v>
      </c>
    </row>
    <row r="344" spans="1:8" x14ac:dyDescent="0.2">
      <c r="A344" s="98">
        <f>A343+1</f>
        <v>2</v>
      </c>
      <c r="B344" s="99"/>
      <c r="C344" s="16" t="s">
        <v>56</v>
      </c>
      <c r="D344" s="17">
        <f t="shared" si="95"/>
        <v>370.81979999999999</v>
      </c>
      <c r="E344" s="17">
        <v>16.146000000000001</v>
      </c>
      <c r="F344" s="17">
        <f t="shared" ref="F344:F347" si="96">D344+E344</f>
        <v>386.9658</v>
      </c>
      <c r="G344" s="17">
        <v>0</v>
      </c>
      <c r="H344" s="17">
        <f t="shared" ref="H344:H347" si="97">F344*(($H$179)+1)+(IF(G344&lt;101,G344,IF(G344&lt;201,G344/2,IF(G344&lt;=301,G344/3,G344/4))))</f>
        <v>580.44870000000003</v>
      </c>
    </row>
    <row r="345" spans="1:8" x14ac:dyDescent="0.2">
      <c r="A345" s="98">
        <f t="shared" ref="A345:A354" si="98">A344+1</f>
        <v>3</v>
      </c>
      <c r="B345" s="99"/>
      <c r="C345" s="16" t="s">
        <v>56</v>
      </c>
      <c r="D345" s="17">
        <f t="shared" si="95"/>
        <v>370.81979999999999</v>
      </c>
      <c r="E345" s="17">
        <v>16.146000000000001</v>
      </c>
      <c r="F345" s="17">
        <f t="shared" si="96"/>
        <v>386.9658</v>
      </c>
      <c r="G345" s="17">
        <v>0</v>
      </c>
      <c r="H345" s="17">
        <f t="shared" si="97"/>
        <v>580.44870000000003</v>
      </c>
    </row>
    <row r="346" spans="1:8" x14ac:dyDescent="0.2">
      <c r="A346" s="98">
        <f t="shared" si="98"/>
        <v>4</v>
      </c>
      <c r="B346" s="99"/>
      <c r="C346" s="16" t="s">
        <v>56</v>
      </c>
      <c r="D346" s="17">
        <f t="shared" si="95"/>
        <v>370.81979999999999</v>
      </c>
      <c r="E346" s="17">
        <v>16.146000000000001</v>
      </c>
      <c r="F346" s="17">
        <f t="shared" si="96"/>
        <v>386.9658</v>
      </c>
      <c r="G346" s="17">
        <v>0</v>
      </c>
      <c r="H346" s="17">
        <f t="shared" si="97"/>
        <v>580.44870000000003</v>
      </c>
    </row>
    <row r="347" spans="1:8" x14ac:dyDescent="0.2">
      <c r="A347" s="98">
        <f t="shared" si="98"/>
        <v>5</v>
      </c>
      <c r="B347" s="99"/>
      <c r="C347" s="16" t="s">
        <v>56</v>
      </c>
      <c r="D347" s="17">
        <f t="shared" si="95"/>
        <v>370.81979999999999</v>
      </c>
      <c r="E347" s="17">
        <v>16.146000000000001</v>
      </c>
      <c r="F347" s="17">
        <f t="shared" si="96"/>
        <v>386.9658</v>
      </c>
      <c r="G347" s="17">
        <v>0</v>
      </c>
      <c r="H347" s="17">
        <f t="shared" si="97"/>
        <v>580.44870000000003</v>
      </c>
    </row>
    <row r="348" spans="1:8" ht="15" customHeight="1" x14ac:dyDescent="0.2">
      <c r="A348" s="98">
        <f t="shared" si="98"/>
        <v>6</v>
      </c>
      <c r="B348" s="99"/>
      <c r="C348" s="16" t="s">
        <v>248</v>
      </c>
      <c r="D348" s="100" t="s">
        <v>249</v>
      </c>
      <c r="E348" s="101"/>
      <c r="F348" s="101"/>
      <c r="G348" s="102"/>
      <c r="H348" s="16" t="s">
        <v>248</v>
      </c>
    </row>
    <row r="349" spans="1:8" x14ac:dyDescent="0.2">
      <c r="A349" s="98">
        <f t="shared" si="98"/>
        <v>7</v>
      </c>
      <c r="B349" s="99"/>
      <c r="C349" s="16" t="s">
        <v>56</v>
      </c>
      <c r="D349" s="17">
        <f t="shared" ref="D349:D350" si="99">(34.45)*10.764</f>
        <v>370.81979999999999</v>
      </c>
      <c r="E349" s="17">
        <v>16.146000000000001</v>
      </c>
      <c r="F349" s="17">
        <f t="shared" ref="F349:F354" si="100">D349+E349</f>
        <v>386.9658</v>
      </c>
      <c r="G349" s="17">
        <v>0</v>
      </c>
      <c r="H349" s="17">
        <f t="shared" ref="H349:H354" si="101">F349*(($H$179)+1)+(IF(G349&lt;101,G349,IF(G349&lt;201,G349/2,IF(G349&lt;=301,G349/3,G349/4))))</f>
        <v>580.44870000000003</v>
      </c>
    </row>
    <row r="350" spans="1:8" x14ac:dyDescent="0.2">
      <c r="A350" s="98">
        <f t="shared" si="98"/>
        <v>8</v>
      </c>
      <c r="B350" s="99"/>
      <c r="C350" s="16" t="s">
        <v>56</v>
      </c>
      <c r="D350" s="17">
        <f t="shared" si="99"/>
        <v>370.81979999999999</v>
      </c>
      <c r="E350" s="17">
        <v>16.146000000000001</v>
      </c>
      <c r="F350" s="17">
        <f t="shared" si="100"/>
        <v>386.9658</v>
      </c>
      <c r="G350" s="17">
        <v>0</v>
      </c>
      <c r="H350" s="17">
        <f t="shared" si="101"/>
        <v>580.44870000000003</v>
      </c>
    </row>
    <row r="351" spans="1:8" x14ac:dyDescent="0.2">
      <c r="A351" s="98">
        <f t="shared" si="98"/>
        <v>9</v>
      </c>
      <c r="B351" s="99"/>
      <c r="C351" s="16" t="s">
        <v>56</v>
      </c>
      <c r="D351" s="17">
        <f>(29.97)*10.764</f>
        <v>322.59707999999995</v>
      </c>
      <c r="E351" s="16">
        <v>0</v>
      </c>
      <c r="F351" s="17">
        <f t="shared" si="100"/>
        <v>322.59707999999995</v>
      </c>
      <c r="G351" s="17">
        <v>0</v>
      </c>
      <c r="H351" s="17">
        <f t="shared" si="101"/>
        <v>483.89561999999989</v>
      </c>
    </row>
    <row r="352" spans="1:8" x14ac:dyDescent="0.2">
      <c r="A352" s="98">
        <f t="shared" si="98"/>
        <v>10</v>
      </c>
      <c r="B352" s="99"/>
      <c r="C352" s="16" t="s">
        <v>56</v>
      </c>
      <c r="D352" s="17">
        <f>(29.97)*10.764</f>
        <v>322.59707999999995</v>
      </c>
      <c r="E352" s="16">
        <v>0</v>
      </c>
      <c r="F352" s="17">
        <f t="shared" si="100"/>
        <v>322.59707999999995</v>
      </c>
      <c r="G352" s="17">
        <v>0</v>
      </c>
      <c r="H352" s="17">
        <f t="shared" si="101"/>
        <v>483.89561999999989</v>
      </c>
    </row>
    <row r="353" spans="1:11" x14ac:dyDescent="0.2">
      <c r="A353" s="98">
        <f t="shared" si="98"/>
        <v>11</v>
      </c>
      <c r="B353" s="99"/>
      <c r="C353" s="16" t="s">
        <v>56</v>
      </c>
      <c r="D353" s="17">
        <f t="shared" ref="D353:D354" si="102">(34.45)*10.764</f>
        <v>370.81979999999999</v>
      </c>
      <c r="E353" s="17">
        <v>16.146000000000001</v>
      </c>
      <c r="F353" s="17">
        <f t="shared" si="100"/>
        <v>386.9658</v>
      </c>
      <c r="G353" s="17">
        <v>0</v>
      </c>
      <c r="H353" s="17">
        <f t="shared" si="101"/>
        <v>580.44870000000003</v>
      </c>
    </row>
    <row r="354" spans="1:11" x14ac:dyDescent="0.2">
      <c r="A354" s="98">
        <f t="shared" si="98"/>
        <v>12</v>
      </c>
      <c r="B354" s="99"/>
      <c r="C354" s="16" t="s">
        <v>56</v>
      </c>
      <c r="D354" s="17">
        <f t="shared" si="102"/>
        <v>370.81979999999999</v>
      </c>
      <c r="E354" s="17">
        <v>16.146000000000001</v>
      </c>
      <c r="F354" s="17">
        <f t="shared" si="100"/>
        <v>386.9658</v>
      </c>
      <c r="G354" s="17">
        <v>0</v>
      </c>
      <c r="H354" s="17">
        <f t="shared" si="101"/>
        <v>580.44870000000003</v>
      </c>
      <c r="J354" s="6">
        <f>4*2+12*23+11*5</f>
        <v>339</v>
      </c>
      <c r="K354" s="6">
        <f>12*(7+4+4+4)+11*3</f>
        <v>261</v>
      </c>
    </row>
    <row r="355" spans="1:11" x14ac:dyDescent="0.2">
      <c r="A355" s="103" t="s">
        <v>273</v>
      </c>
      <c r="B355" s="103"/>
      <c r="C355" s="103"/>
      <c r="D355" s="103"/>
      <c r="E355" s="103"/>
      <c r="F355" s="103"/>
      <c r="G355" s="103"/>
      <c r="H355" s="103"/>
    </row>
    <row r="356" spans="1:11" x14ac:dyDescent="0.2">
      <c r="A356" s="103" t="s">
        <v>244</v>
      </c>
      <c r="B356" s="103"/>
      <c r="C356" s="103"/>
      <c r="D356" s="103"/>
      <c r="E356" s="103"/>
      <c r="F356" s="103"/>
      <c r="G356" s="103"/>
      <c r="H356" s="103"/>
    </row>
    <row r="357" spans="1:11" x14ac:dyDescent="0.2">
      <c r="A357" s="103" t="s">
        <v>245</v>
      </c>
      <c r="B357" s="103"/>
      <c r="C357" s="103"/>
      <c r="D357" s="103"/>
      <c r="E357" s="103"/>
      <c r="F357" s="103"/>
      <c r="G357" s="103"/>
      <c r="H357" s="103"/>
    </row>
    <row r="358" spans="1:11" x14ac:dyDescent="0.2">
      <c r="A358" s="98">
        <v>1</v>
      </c>
      <c r="B358" s="99"/>
      <c r="C358" s="16" t="s">
        <v>253</v>
      </c>
      <c r="D358" s="17">
        <f t="shared" ref="D358:D366" si="103">(49.7)*10.764</f>
        <v>534.97080000000005</v>
      </c>
      <c r="E358" s="17">
        <f t="shared" ref="E358:E366" si="104">(2.13*1)*10.764</f>
        <v>22.927319999999998</v>
      </c>
      <c r="F358" s="17">
        <f>D358+E358</f>
        <v>557.89812000000006</v>
      </c>
      <c r="G358" s="17">
        <v>0</v>
      </c>
      <c r="H358" s="17">
        <f>F358*(($H$179)+1)+(IF(G358&lt;101,G358,IF(G358&lt;201,G358/2,IF(G358&lt;=301,G358/3,G358/4))))</f>
        <v>836.84718000000009</v>
      </c>
    </row>
    <row r="359" spans="1:11" x14ac:dyDescent="0.2">
      <c r="A359" s="98">
        <f>A358+1</f>
        <v>2</v>
      </c>
      <c r="B359" s="99"/>
      <c r="C359" s="16" t="s">
        <v>253</v>
      </c>
      <c r="D359" s="17">
        <f t="shared" si="103"/>
        <v>534.97080000000005</v>
      </c>
      <c r="E359" s="17">
        <f t="shared" si="104"/>
        <v>22.927319999999998</v>
      </c>
      <c r="F359" s="17">
        <f t="shared" ref="F359:F361" si="105">D359+E359</f>
        <v>557.89812000000006</v>
      </c>
      <c r="G359" s="17">
        <v>0</v>
      </c>
      <c r="H359" s="17">
        <f t="shared" ref="H359:H361" si="106">F359*(($H$179)+1)+(IF(G359&lt;101,G359,IF(G359&lt;201,G359/2,IF(G359&lt;=301,G359/3,G359/4))))</f>
        <v>836.84718000000009</v>
      </c>
    </row>
    <row r="360" spans="1:11" x14ac:dyDescent="0.2">
      <c r="A360" s="98">
        <f t="shared" ref="A360:A361" si="107">A359+1</f>
        <v>3</v>
      </c>
      <c r="B360" s="99"/>
      <c r="C360" s="16" t="s">
        <v>253</v>
      </c>
      <c r="D360" s="17">
        <f t="shared" si="103"/>
        <v>534.97080000000005</v>
      </c>
      <c r="E360" s="17">
        <f t="shared" si="104"/>
        <v>22.927319999999998</v>
      </c>
      <c r="F360" s="17">
        <f t="shared" si="105"/>
        <v>557.89812000000006</v>
      </c>
      <c r="G360" s="17">
        <v>0</v>
      </c>
      <c r="H360" s="17">
        <f t="shared" si="106"/>
        <v>836.84718000000009</v>
      </c>
    </row>
    <row r="361" spans="1:11" x14ac:dyDescent="0.2">
      <c r="A361" s="98">
        <f t="shared" si="107"/>
        <v>4</v>
      </c>
      <c r="B361" s="99"/>
      <c r="C361" s="16" t="s">
        <v>253</v>
      </c>
      <c r="D361" s="17">
        <f t="shared" si="103"/>
        <v>534.97080000000005</v>
      </c>
      <c r="E361" s="17">
        <f t="shared" si="104"/>
        <v>22.927319999999998</v>
      </c>
      <c r="F361" s="17">
        <f t="shared" si="105"/>
        <v>557.89812000000006</v>
      </c>
      <c r="G361" s="17">
        <v>0</v>
      </c>
      <c r="H361" s="17">
        <f t="shared" si="106"/>
        <v>836.84718000000009</v>
      </c>
    </row>
    <row r="362" spans="1:11" x14ac:dyDescent="0.2">
      <c r="A362" s="103" t="s">
        <v>261</v>
      </c>
      <c r="B362" s="103"/>
      <c r="C362" s="103"/>
      <c r="D362" s="103"/>
      <c r="E362" s="103"/>
      <c r="F362" s="103"/>
      <c r="G362" s="103"/>
      <c r="H362" s="103"/>
    </row>
    <row r="363" spans="1:11" x14ac:dyDescent="0.2">
      <c r="A363" s="98">
        <v>1</v>
      </c>
      <c r="B363" s="99"/>
      <c r="C363" s="16" t="s">
        <v>253</v>
      </c>
      <c r="D363" s="17">
        <f t="shared" si="103"/>
        <v>534.97080000000005</v>
      </c>
      <c r="E363" s="17">
        <f t="shared" si="104"/>
        <v>22.927319999999998</v>
      </c>
      <c r="F363" s="17">
        <f>D363+E363</f>
        <v>557.89812000000006</v>
      </c>
      <c r="G363" s="17">
        <v>0</v>
      </c>
      <c r="H363" s="17">
        <f>F363*(($H$179)+1)+(IF(G363&lt;101,G363,IF(G363&lt;201,G363/2,IF(G363&lt;=301,G363/3,G363/4))))</f>
        <v>836.84718000000009</v>
      </c>
    </row>
    <row r="364" spans="1:11" x14ac:dyDescent="0.2">
      <c r="A364" s="98">
        <f>A363+1</f>
        <v>2</v>
      </c>
      <c r="B364" s="99"/>
      <c r="C364" s="16" t="s">
        <v>253</v>
      </c>
      <c r="D364" s="17">
        <f t="shared" si="103"/>
        <v>534.97080000000005</v>
      </c>
      <c r="E364" s="17">
        <f t="shared" si="104"/>
        <v>22.927319999999998</v>
      </c>
      <c r="F364" s="17">
        <f t="shared" ref="F364:F374" si="108">D364+E364</f>
        <v>557.89812000000006</v>
      </c>
      <c r="G364" s="17">
        <v>0</v>
      </c>
      <c r="H364" s="17">
        <f t="shared" ref="H364:H374" si="109">F364*(($H$179)+1)+(IF(G364&lt;101,G364,IF(G364&lt;201,G364/2,IF(G364&lt;=301,G364/3,G364/4))))</f>
        <v>836.84718000000009</v>
      </c>
    </row>
    <row r="365" spans="1:11" x14ac:dyDescent="0.2">
      <c r="A365" s="98">
        <f t="shared" ref="A365:A374" si="110">A364+1</f>
        <v>3</v>
      </c>
      <c r="B365" s="99"/>
      <c r="C365" s="16" t="s">
        <v>253</v>
      </c>
      <c r="D365" s="17">
        <f t="shared" si="103"/>
        <v>534.97080000000005</v>
      </c>
      <c r="E365" s="17">
        <f t="shared" si="104"/>
        <v>22.927319999999998</v>
      </c>
      <c r="F365" s="17">
        <f t="shared" si="108"/>
        <v>557.89812000000006</v>
      </c>
      <c r="G365" s="17">
        <v>0</v>
      </c>
      <c r="H365" s="17">
        <f t="shared" si="109"/>
        <v>836.84718000000009</v>
      </c>
    </row>
    <row r="366" spans="1:11" x14ac:dyDescent="0.2">
      <c r="A366" s="98">
        <f t="shared" si="110"/>
        <v>4</v>
      </c>
      <c r="B366" s="99"/>
      <c r="C366" s="16" t="s">
        <v>253</v>
      </c>
      <c r="D366" s="17">
        <f t="shared" si="103"/>
        <v>534.97080000000005</v>
      </c>
      <c r="E366" s="17">
        <f t="shared" si="104"/>
        <v>22.927319999999998</v>
      </c>
      <c r="F366" s="17">
        <f t="shared" si="108"/>
        <v>557.89812000000006</v>
      </c>
      <c r="G366" s="17">
        <v>0</v>
      </c>
      <c r="H366" s="17">
        <f t="shared" si="109"/>
        <v>836.84718000000009</v>
      </c>
    </row>
    <row r="367" spans="1:11" x14ac:dyDescent="0.2">
      <c r="A367" s="98">
        <f t="shared" si="110"/>
        <v>5</v>
      </c>
      <c r="B367" s="99"/>
      <c r="C367" s="16" t="s">
        <v>253</v>
      </c>
      <c r="D367" s="17">
        <f>(41.95)*10.764</f>
        <v>451.5498</v>
      </c>
      <c r="E367" s="16">
        <v>0</v>
      </c>
      <c r="F367" s="17">
        <f t="shared" si="108"/>
        <v>451.5498</v>
      </c>
      <c r="G367" s="17">
        <v>0</v>
      </c>
      <c r="H367" s="17">
        <f t="shared" si="109"/>
        <v>677.32470000000001</v>
      </c>
    </row>
    <row r="368" spans="1:11" x14ac:dyDescent="0.2">
      <c r="A368" s="98">
        <f t="shared" si="110"/>
        <v>6</v>
      </c>
      <c r="B368" s="99"/>
      <c r="C368" s="16" t="s">
        <v>253</v>
      </c>
      <c r="D368" s="17">
        <f t="shared" ref="D368:D374" si="111">(41.95)*10.764</f>
        <v>451.5498</v>
      </c>
      <c r="E368" s="16">
        <v>0</v>
      </c>
      <c r="F368" s="17">
        <f t="shared" si="108"/>
        <v>451.5498</v>
      </c>
      <c r="G368" s="17">
        <v>0</v>
      </c>
      <c r="H368" s="17">
        <f t="shared" si="109"/>
        <v>677.32470000000001</v>
      </c>
    </row>
    <row r="369" spans="1:8" x14ac:dyDescent="0.2">
      <c r="A369" s="98">
        <f t="shared" si="110"/>
        <v>7</v>
      </c>
      <c r="B369" s="99"/>
      <c r="C369" s="16" t="s">
        <v>253</v>
      </c>
      <c r="D369" s="17">
        <f t="shared" si="111"/>
        <v>451.5498</v>
      </c>
      <c r="E369" s="16">
        <v>0</v>
      </c>
      <c r="F369" s="17">
        <f t="shared" si="108"/>
        <v>451.5498</v>
      </c>
      <c r="G369" s="17">
        <v>0</v>
      </c>
      <c r="H369" s="17">
        <f t="shared" si="109"/>
        <v>677.32470000000001</v>
      </c>
    </row>
    <row r="370" spans="1:8" x14ac:dyDescent="0.2">
      <c r="A370" s="98">
        <f t="shared" si="110"/>
        <v>8</v>
      </c>
      <c r="B370" s="99"/>
      <c r="C370" s="16" t="s">
        <v>253</v>
      </c>
      <c r="D370" s="17">
        <f t="shared" si="111"/>
        <v>451.5498</v>
      </c>
      <c r="E370" s="16">
        <v>0</v>
      </c>
      <c r="F370" s="17">
        <f t="shared" si="108"/>
        <v>451.5498</v>
      </c>
      <c r="G370" s="17">
        <v>0</v>
      </c>
      <c r="H370" s="17">
        <f t="shared" si="109"/>
        <v>677.32470000000001</v>
      </c>
    </row>
    <row r="371" spans="1:8" x14ac:dyDescent="0.2">
      <c r="A371" s="98">
        <f t="shared" si="110"/>
        <v>9</v>
      </c>
      <c r="B371" s="99"/>
      <c r="C371" s="16" t="s">
        <v>253</v>
      </c>
      <c r="D371" s="17">
        <f t="shared" si="111"/>
        <v>451.5498</v>
      </c>
      <c r="E371" s="16">
        <v>0</v>
      </c>
      <c r="F371" s="17">
        <f t="shared" si="108"/>
        <v>451.5498</v>
      </c>
      <c r="G371" s="17">
        <v>0</v>
      </c>
      <c r="H371" s="17">
        <f t="shared" si="109"/>
        <v>677.32470000000001</v>
      </c>
    </row>
    <row r="372" spans="1:8" x14ac:dyDescent="0.2">
      <c r="A372" s="98">
        <f t="shared" si="110"/>
        <v>10</v>
      </c>
      <c r="B372" s="99"/>
      <c r="C372" s="16" t="s">
        <v>253</v>
      </c>
      <c r="D372" s="17">
        <f t="shared" si="111"/>
        <v>451.5498</v>
      </c>
      <c r="E372" s="16">
        <v>0</v>
      </c>
      <c r="F372" s="17">
        <f t="shared" si="108"/>
        <v>451.5498</v>
      </c>
      <c r="G372" s="17">
        <v>0</v>
      </c>
      <c r="H372" s="17">
        <f t="shared" si="109"/>
        <v>677.32470000000001</v>
      </c>
    </row>
    <row r="373" spans="1:8" x14ac:dyDescent="0.2">
      <c r="A373" s="98">
        <f t="shared" si="110"/>
        <v>11</v>
      </c>
      <c r="B373" s="99"/>
      <c r="C373" s="16" t="s">
        <v>253</v>
      </c>
      <c r="D373" s="17">
        <f t="shared" si="111"/>
        <v>451.5498</v>
      </c>
      <c r="E373" s="16">
        <v>0</v>
      </c>
      <c r="F373" s="17">
        <f t="shared" si="108"/>
        <v>451.5498</v>
      </c>
      <c r="G373" s="17">
        <v>0</v>
      </c>
      <c r="H373" s="17">
        <f t="shared" si="109"/>
        <v>677.32470000000001</v>
      </c>
    </row>
    <row r="374" spans="1:8" x14ac:dyDescent="0.2">
      <c r="A374" s="98">
        <f t="shared" si="110"/>
        <v>12</v>
      </c>
      <c r="B374" s="99"/>
      <c r="C374" s="16" t="s">
        <v>253</v>
      </c>
      <c r="D374" s="17">
        <f t="shared" si="111"/>
        <v>451.5498</v>
      </c>
      <c r="E374" s="16">
        <v>0</v>
      </c>
      <c r="F374" s="17">
        <f t="shared" si="108"/>
        <v>451.5498</v>
      </c>
      <c r="G374" s="17">
        <v>0</v>
      </c>
      <c r="H374" s="17">
        <f t="shared" si="109"/>
        <v>677.32470000000001</v>
      </c>
    </row>
    <row r="375" spans="1:8" x14ac:dyDescent="0.2">
      <c r="A375" s="103" t="s">
        <v>262</v>
      </c>
      <c r="B375" s="103"/>
      <c r="C375" s="103"/>
      <c r="D375" s="103"/>
      <c r="E375" s="103"/>
      <c r="F375" s="103"/>
      <c r="G375" s="103"/>
      <c r="H375" s="103"/>
    </row>
    <row r="376" spans="1:8" x14ac:dyDescent="0.2">
      <c r="A376" s="98">
        <v>1</v>
      </c>
      <c r="B376" s="99"/>
      <c r="C376" s="16" t="s">
        <v>253</v>
      </c>
      <c r="D376" s="17">
        <f t="shared" ref="D376:D378" si="112">(49.7)*10.764</f>
        <v>534.97080000000005</v>
      </c>
      <c r="E376" s="17">
        <f t="shared" ref="E376:E378" si="113">(2.13*1)*10.764</f>
        <v>22.927319999999998</v>
      </c>
      <c r="F376" s="17">
        <f>D376+E376</f>
        <v>557.89812000000006</v>
      </c>
      <c r="G376" s="17">
        <v>0</v>
      </c>
      <c r="H376" s="17">
        <f>F376*(($H$179)+1)+(IF(G376&lt;101,G376,IF(G376&lt;201,G376/2,IF(G376&lt;=301,G376/3,G376/4))))</f>
        <v>836.84718000000009</v>
      </c>
    </row>
    <row r="377" spans="1:8" x14ac:dyDescent="0.2">
      <c r="A377" s="98">
        <f>A376+1</f>
        <v>2</v>
      </c>
      <c r="B377" s="99"/>
      <c r="C377" s="16" t="s">
        <v>253</v>
      </c>
      <c r="D377" s="17">
        <f t="shared" si="112"/>
        <v>534.97080000000005</v>
      </c>
      <c r="E377" s="17">
        <f t="shared" si="113"/>
        <v>22.927319999999998</v>
      </c>
      <c r="F377" s="17">
        <f t="shared" ref="F377:F387" si="114">D377+E377</f>
        <v>557.89812000000006</v>
      </c>
      <c r="G377" s="17">
        <v>0</v>
      </c>
      <c r="H377" s="17">
        <f t="shared" ref="H377:H387" si="115">F377*(($H$179)+1)+(IF(G377&lt;101,G377,IF(G377&lt;201,G377/2,IF(G377&lt;=301,G377/3,G377/4))))</f>
        <v>836.84718000000009</v>
      </c>
    </row>
    <row r="378" spans="1:8" x14ac:dyDescent="0.2">
      <c r="A378" s="98">
        <f t="shared" ref="A378:A387" si="116">A377+1</f>
        <v>3</v>
      </c>
      <c r="B378" s="99"/>
      <c r="C378" s="16" t="s">
        <v>253</v>
      </c>
      <c r="D378" s="17">
        <f t="shared" si="112"/>
        <v>534.97080000000005</v>
      </c>
      <c r="E378" s="17">
        <f t="shared" si="113"/>
        <v>22.927319999999998</v>
      </c>
      <c r="F378" s="17">
        <f t="shared" si="114"/>
        <v>557.89812000000006</v>
      </c>
      <c r="G378" s="17">
        <v>0</v>
      </c>
      <c r="H378" s="17">
        <f t="shared" si="115"/>
        <v>836.84718000000009</v>
      </c>
    </row>
    <row r="379" spans="1:8" x14ac:dyDescent="0.2">
      <c r="A379" s="98">
        <f t="shared" si="116"/>
        <v>4</v>
      </c>
      <c r="B379" s="99"/>
      <c r="C379" s="16" t="s">
        <v>248</v>
      </c>
      <c r="D379" s="98" t="s">
        <v>249</v>
      </c>
      <c r="E379" s="104"/>
      <c r="F379" s="104"/>
      <c r="G379" s="99"/>
      <c r="H379" s="16" t="s">
        <v>248</v>
      </c>
    </row>
    <row r="380" spans="1:8" x14ac:dyDescent="0.2">
      <c r="A380" s="98">
        <f t="shared" si="116"/>
        <v>5</v>
      </c>
      <c r="B380" s="99"/>
      <c r="C380" s="16" t="s">
        <v>253</v>
      </c>
      <c r="D380" s="17">
        <f>(41.95)*10.764</f>
        <v>451.5498</v>
      </c>
      <c r="E380" s="16">
        <v>0</v>
      </c>
      <c r="F380" s="17">
        <f t="shared" si="114"/>
        <v>451.5498</v>
      </c>
      <c r="G380" s="17">
        <v>0</v>
      </c>
      <c r="H380" s="17">
        <f t="shared" si="115"/>
        <v>677.32470000000001</v>
      </c>
    </row>
    <row r="381" spans="1:8" x14ac:dyDescent="0.2">
      <c r="A381" s="98">
        <f t="shared" si="116"/>
        <v>6</v>
      </c>
      <c r="B381" s="99"/>
      <c r="C381" s="16" t="s">
        <v>253</v>
      </c>
      <c r="D381" s="17">
        <f t="shared" ref="D381:D387" si="117">(41.95)*10.764</f>
        <v>451.5498</v>
      </c>
      <c r="E381" s="16">
        <v>0</v>
      </c>
      <c r="F381" s="17">
        <f t="shared" si="114"/>
        <v>451.5498</v>
      </c>
      <c r="G381" s="17">
        <v>0</v>
      </c>
      <c r="H381" s="17">
        <f t="shared" si="115"/>
        <v>677.32470000000001</v>
      </c>
    </row>
    <row r="382" spans="1:8" x14ac:dyDescent="0.2">
      <c r="A382" s="98">
        <f t="shared" si="116"/>
        <v>7</v>
      </c>
      <c r="B382" s="99"/>
      <c r="C382" s="16" t="s">
        <v>253</v>
      </c>
      <c r="D382" s="17">
        <f t="shared" si="117"/>
        <v>451.5498</v>
      </c>
      <c r="E382" s="16">
        <v>0</v>
      </c>
      <c r="F382" s="17">
        <f t="shared" si="114"/>
        <v>451.5498</v>
      </c>
      <c r="G382" s="17">
        <v>0</v>
      </c>
      <c r="H382" s="17">
        <f t="shared" si="115"/>
        <v>677.32470000000001</v>
      </c>
    </row>
    <row r="383" spans="1:8" x14ac:dyDescent="0.2">
      <c r="A383" s="98">
        <f t="shared" si="116"/>
        <v>8</v>
      </c>
      <c r="B383" s="99"/>
      <c r="C383" s="16" t="s">
        <v>253</v>
      </c>
      <c r="D383" s="17">
        <f t="shared" si="117"/>
        <v>451.5498</v>
      </c>
      <c r="E383" s="16">
        <v>0</v>
      </c>
      <c r="F383" s="17">
        <f t="shared" si="114"/>
        <v>451.5498</v>
      </c>
      <c r="G383" s="17">
        <v>0</v>
      </c>
      <c r="H383" s="17">
        <f t="shared" si="115"/>
        <v>677.32470000000001</v>
      </c>
    </row>
    <row r="384" spans="1:8" x14ac:dyDescent="0.2">
      <c r="A384" s="98">
        <f t="shared" si="116"/>
        <v>9</v>
      </c>
      <c r="B384" s="99"/>
      <c r="C384" s="16" t="s">
        <v>253</v>
      </c>
      <c r="D384" s="17">
        <f t="shared" si="117"/>
        <v>451.5498</v>
      </c>
      <c r="E384" s="16">
        <v>0</v>
      </c>
      <c r="F384" s="17">
        <f t="shared" si="114"/>
        <v>451.5498</v>
      </c>
      <c r="G384" s="17">
        <v>0</v>
      </c>
      <c r="H384" s="17">
        <f t="shared" si="115"/>
        <v>677.32470000000001</v>
      </c>
    </row>
    <row r="385" spans="1:8" x14ac:dyDescent="0.2">
      <c r="A385" s="98">
        <f t="shared" si="116"/>
        <v>10</v>
      </c>
      <c r="B385" s="99"/>
      <c r="C385" s="16" t="s">
        <v>253</v>
      </c>
      <c r="D385" s="17">
        <f t="shared" si="117"/>
        <v>451.5498</v>
      </c>
      <c r="E385" s="16">
        <v>0</v>
      </c>
      <c r="F385" s="17">
        <f t="shared" si="114"/>
        <v>451.5498</v>
      </c>
      <c r="G385" s="17">
        <v>0</v>
      </c>
      <c r="H385" s="17">
        <f t="shared" si="115"/>
        <v>677.32470000000001</v>
      </c>
    </row>
    <row r="386" spans="1:8" x14ac:dyDescent="0.2">
      <c r="A386" s="98">
        <f t="shared" si="116"/>
        <v>11</v>
      </c>
      <c r="B386" s="99"/>
      <c r="C386" s="16" t="s">
        <v>253</v>
      </c>
      <c r="D386" s="17">
        <f t="shared" si="117"/>
        <v>451.5498</v>
      </c>
      <c r="E386" s="16">
        <v>0</v>
      </c>
      <c r="F386" s="17">
        <f t="shared" si="114"/>
        <v>451.5498</v>
      </c>
      <c r="G386" s="17">
        <v>0</v>
      </c>
      <c r="H386" s="17">
        <f t="shared" si="115"/>
        <v>677.32470000000001</v>
      </c>
    </row>
    <row r="387" spans="1:8" x14ac:dyDescent="0.2">
      <c r="A387" s="98">
        <f t="shared" si="116"/>
        <v>12</v>
      </c>
      <c r="B387" s="99"/>
      <c r="C387" s="16" t="s">
        <v>253</v>
      </c>
      <c r="D387" s="17">
        <f t="shared" si="117"/>
        <v>451.5498</v>
      </c>
      <c r="E387" s="16">
        <v>0</v>
      </c>
      <c r="F387" s="17">
        <f t="shared" si="114"/>
        <v>451.5498</v>
      </c>
      <c r="G387" s="17">
        <v>0</v>
      </c>
      <c r="H387" s="17">
        <f t="shared" si="115"/>
        <v>677.32470000000001</v>
      </c>
    </row>
    <row r="388" spans="1:8" hidden="1" x14ac:dyDescent="0.2">
      <c r="A388" s="103" t="s">
        <v>129</v>
      </c>
      <c r="B388" s="103"/>
      <c r="C388" s="103"/>
      <c r="D388" s="103"/>
      <c r="E388" s="103"/>
      <c r="F388" s="103"/>
      <c r="G388" s="103"/>
      <c r="H388" s="103"/>
    </row>
    <row r="389" spans="1:8" hidden="1" x14ac:dyDescent="0.2">
      <c r="A389" s="98">
        <v>1</v>
      </c>
      <c r="B389" s="99"/>
      <c r="C389" s="16" t="s">
        <v>56</v>
      </c>
      <c r="D389" s="16"/>
      <c r="E389" s="16"/>
      <c r="F389" s="17">
        <f>D389+E389</f>
        <v>0</v>
      </c>
      <c r="G389" s="17"/>
      <c r="H389" s="16">
        <f>F389*(($H$179)+1)+(IF(G389&lt;101,G389,IF(G389&lt;201,G389/2,IF(G389&lt;=301,G389/3,G389/4))))</f>
        <v>0</v>
      </c>
    </row>
    <row r="390" spans="1:8" hidden="1" x14ac:dyDescent="0.2">
      <c r="A390" s="98">
        <f>A389+1</f>
        <v>2</v>
      </c>
      <c r="B390" s="99"/>
      <c r="C390" s="16" t="s">
        <v>56</v>
      </c>
      <c r="D390" s="16"/>
      <c r="E390" s="16"/>
      <c r="F390" s="17">
        <f t="shared" ref="F390:F400" si="118">D390+E390</f>
        <v>0</v>
      </c>
      <c r="G390" s="17"/>
      <c r="H390" s="16">
        <f t="shared" ref="H390:H400" si="119">F390*(($H$179)+1)+(IF(G390&lt;101,G390,IF(G390&lt;201,G390/2,IF(G390&lt;=301,G390/3,G390/4))))</f>
        <v>0</v>
      </c>
    </row>
    <row r="391" spans="1:8" hidden="1" x14ac:dyDescent="0.2">
      <c r="A391" s="98">
        <f t="shared" ref="A391:A400" si="120">A390+1</f>
        <v>3</v>
      </c>
      <c r="B391" s="99"/>
      <c r="C391" s="16" t="s">
        <v>56</v>
      </c>
      <c r="D391" s="16"/>
      <c r="E391" s="16"/>
      <c r="F391" s="17">
        <f t="shared" si="118"/>
        <v>0</v>
      </c>
      <c r="G391" s="17"/>
      <c r="H391" s="16">
        <f t="shared" si="119"/>
        <v>0</v>
      </c>
    </row>
    <row r="392" spans="1:8" hidden="1" x14ac:dyDescent="0.2">
      <c r="A392" s="98">
        <f t="shared" si="120"/>
        <v>4</v>
      </c>
      <c r="B392" s="99"/>
      <c r="C392" s="16" t="s">
        <v>56</v>
      </c>
      <c r="D392" s="16"/>
      <c r="E392" s="16"/>
      <c r="F392" s="17">
        <f t="shared" si="118"/>
        <v>0</v>
      </c>
      <c r="G392" s="17"/>
      <c r="H392" s="16">
        <f t="shared" si="119"/>
        <v>0</v>
      </c>
    </row>
    <row r="393" spans="1:8" hidden="1" x14ac:dyDescent="0.2">
      <c r="A393" s="98">
        <f t="shared" si="120"/>
        <v>5</v>
      </c>
      <c r="B393" s="99"/>
      <c r="C393" s="16" t="s">
        <v>56</v>
      </c>
      <c r="D393" s="16"/>
      <c r="E393" s="16"/>
      <c r="F393" s="17">
        <f t="shared" si="118"/>
        <v>0</v>
      </c>
      <c r="G393" s="17"/>
      <c r="H393" s="16">
        <f t="shared" si="119"/>
        <v>0</v>
      </c>
    </row>
    <row r="394" spans="1:8" hidden="1" x14ac:dyDescent="0.2">
      <c r="A394" s="98">
        <f t="shared" si="120"/>
        <v>6</v>
      </c>
      <c r="B394" s="99"/>
      <c r="C394" s="16" t="s">
        <v>56</v>
      </c>
      <c r="D394" s="16"/>
      <c r="E394" s="16"/>
      <c r="F394" s="17">
        <f t="shared" si="118"/>
        <v>0</v>
      </c>
      <c r="G394" s="17"/>
      <c r="H394" s="16">
        <f t="shared" si="119"/>
        <v>0</v>
      </c>
    </row>
    <row r="395" spans="1:8" hidden="1" x14ac:dyDescent="0.2">
      <c r="A395" s="98">
        <f t="shared" si="120"/>
        <v>7</v>
      </c>
      <c r="B395" s="99"/>
      <c r="C395" s="16" t="s">
        <v>56</v>
      </c>
      <c r="D395" s="16"/>
      <c r="E395" s="16"/>
      <c r="F395" s="17">
        <f t="shared" si="118"/>
        <v>0</v>
      </c>
      <c r="G395" s="17"/>
      <c r="H395" s="16">
        <f t="shared" si="119"/>
        <v>0</v>
      </c>
    </row>
    <row r="396" spans="1:8" hidden="1" x14ac:dyDescent="0.2">
      <c r="A396" s="98">
        <f t="shared" si="120"/>
        <v>8</v>
      </c>
      <c r="B396" s="99"/>
      <c r="C396" s="16" t="s">
        <v>56</v>
      </c>
      <c r="D396" s="16"/>
      <c r="E396" s="16"/>
      <c r="F396" s="17">
        <f t="shared" si="118"/>
        <v>0</v>
      </c>
      <c r="G396" s="17"/>
      <c r="H396" s="16">
        <f t="shared" si="119"/>
        <v>0</v>
      </c>
    </row>
    <row r="397" spans="1:8" hidden="1" x14ac:dyDescent="0.2">
      <c r="A397" s="98">
        <f t="shared" si="120"/>
        <v>9</v>
      </c>
      <c r="B397" s="99"/>
      <c r="C397" s="16" t="s">
        <v>56</v>
      </c>
      <c r="D397" s="16"/>
      <c r="E397" s="16"/>
      <c r="F397" s="17">
        <f t="shared" si="118"/>
        <v>0</v>
      </c>
      <c r="G397" s="17"/>
      <c r="H397" s="16">
        <f t="shared" si="119"/>
        <v>0</v>
      </c>
    </row>
    <row r="398" spans="1:8" hidden="1" x14ac:dyDescent="0.2">
      <c r="A398" s="98">
        <f t="shared" si="120"/>
        <v>10</v>
      </c>
      <c r="B398" s="99"/>
      <c r="C398" s="16" t="s">
        <v>56</v>
      </c>
      <c r="D398" s="16"/>
      <c r="E398" s="16"/>
      <c r="F398" s="17">
        <f t="shared" si="118"/>
        <v>0</v>
      </c>
      <c r="G398" s="17"/>
      <c r="H398" s="16">
        <f t="shared" si="119"/>
        <v>0</v>
      </c>
    </row>
    <row r="399" spans="1:8" hidden="1" x14ac:dyDescent="0.2">
      <c r="A399" s="98">
        <f t="shared" si="120"/>
        <v>11</v>
      </c>
      <c r="B399" s="99"/>
      <c r="C399" s="16" t="s">
        <v>56</v>
      </c>
      <c r="D399" s="16"/>
      <c r="E399" s="16"/>
      <c r="F399" s="17">
        <f t="shared" si="118"/>
        <v>0</v>
      </c>
      <c r="G399" s="17"/>
      <c r="H399" s="16">
        <f t="shared" si="119"/>
        <v>0</v>
      </c>
    </row>
    <row r="400" spans="1:8" hidden="1" x14ac:dyDescent="0.2">
      <c r="A400" s="98">
        <f t="shared" si="120"/>
        <v>12</v>
      </c>
      <c r="B400" s="99"/>
      <c r="C400" s="16" t="s">
        <v>56</v>
      </c>
      <c r="D400" s="16"/>
      <c r="E400" s="16"/>
      <c r="F400" s="17">
        <f t="shared" si="118"/>
        <v>0</v>
      </c>
      <c r="G400" s="17"/>
      <c r="H400" s="16">
        <f t="shared" si="119"/>
        <v>0</v>
      </c>
    </row>
    <row r="401" spans="1:8" ht="12.75" customHeight="1" x14ac:dyDescent="0.2">
      <c r="A401" s="181" t="s">
        <v>118</v>
      </c>
      <c r="B401" s="181"/>
      <c r="C401" s="181"/>
      <c r="D401" s="181"/>
      <c r="E401" s="181"/>
      <c r="F401" s="181"/>
      <c r="G401" s="181"/>
      <c r="H401" s="181"/>
    </row>
    <row r="402" spans="1:8" ht="14.25" customHeight="1" x14ac:dyDescent="0.2">
      <c r="A402" s="196" t="s">
        <v>119</v>
      </c>
      <c r="B402" s="197"/>
      <c r="C402" s="197"/>
      <c r="D402" s="197"/>
      <c r="E402" s="198"/>
      <c r="F402" s="196">
        <v>7000</v>
      </c>
      <c r="G402" s="197"/>
      <c r="H402" s="198"/>
    </row>
    <row r="403" spans="1:8" ht="14.25" customHeight="1" x14ac:dyDescent="0.2">
      <c r="A403" s="196" t="s">
        <v>120</v>
      </c>
      <c r="B403" s="197"/>
      <c r="C403" s="197"/>
      <c r="D403" s="197"/>
      <c r="E403" s="198"/>
      <c r="F403" s="217" t="s">
        <v>318</v>
      </c>
      <c r="G403" s="218"/>
      <c r="H403" s="219"/>
    </row>
    <row r="404" spans="1:8" x14ac:dyDescent="0.2">
      <c r="A404" s="181" t="s">
        <v>48</v>
      </c>
      <c r="B404" s="181"/>
      <c r="C404" s="181"/>
      <c r="D404" s="181"/>
      <c r="E404" s="181"/>
      <c r="F404" s="181"/>
      <c r="G404" s="181"/>
      <c r="H404" s="181"/>
    </row>
    <row r="405" spans="1:8" x14ac:dyDescent="0.2">
      <c r="A405" s="18">
        <v>1</v>
      </c>
      <c r="B405" s="115" t="s">
        <v>323</v>
      </c>
      <c r="C405" s="116"/>
      <c r="D405" s="116"/>
      <c r="E405" s="116"/>
      <c r="F405" s="116"/>
      <c r="G405" s="116"/>
      <c r="H405" s="117"/>
    </row>
    <row r="406" spans="1:8" x14ac:dyDescent="0.2">
      <c r="A406" s="18">
        <f t="shared" ref="A406:A415" si="121">A405+1</f>
        <v>2</v>
      </c>
      <c r="B406" s="115" t="s">
        <v>224</v>
      </c>
      <c r="C406" s="116"/>
      <c r="D406" s="116"/>
      <c r="E406" s="116"/>
      <c r="F406" s="116"/>
      <c r="G406" s="116"/>
      <c r="H406" s="117"/>
    </row>
    <row r="407" spans="1:8" x14ac:dyDescent="0.2">
      <c r="A407" s="18">
        <f t="shared" si="121"/>
        <v>3</v>
      </c>
      <c r="B407" s="115" t="s">
        <v>225</v>
      </c>
      <c r="C407" s="116"/>
      <c r="D407" s="116"/>
      <c r="E407" s="116"/>
      <c r="F407" s="116"/>
      <c r="G407" s="116"/>
      <c r="H407" s="117"/>
    </row>
    <row r="408" spans="1:8" x14ac:dyDescent="0.2">
      <c r="A408" s="18">
        <f t="shared" si="121"/>
        <v>4</v>
      </c>
      <c r="B408" s="115" t="s">
        <v>226</v>
      </c>
      <c r="C408" s="116"/>
      <c r="D408" s="116"/>
      <c r="E408" s="116"/>
      <c r="F408" s="116"/>
      <c r="G408" s="116"/>
      <c r="H408" s="117"/>
    </row>
    <row r="409" spans="1:8" x14ac:dyDescent="0.2">
      <c r="A409" s="18">
        <f t="shared" si="121"/>
        <v>5</v>
      </c>
      <c r="B409" s="115" t="s">
        <v>274</v>
      </c>
      <c r="C409" s="116"/>
      <c r="D409" s="116"/>
      <c r="E409" s="116"/>
      <c r="F409" s="116"/>
      <c r="G409" s="116"/>
      <c r="H409" s="117"/>
    </row>
    <row r="410" spans="1:8" ht="12.75" customHeight="1" x14ac:dyDescent="0.2">
      <c r="A410" s="18">
        <f t="shared" si="121"/>
        <v>6</v>
      </c>
      <c r="B410" s="115" t="s">
        <v>230</v>
      </c>
      <c r="C410" s="116"/>
      <c r="D410" s="116"/>
      <c r="E410" s="116"/>
      <c r="F410" s="74">
        <f>H179</f>
        <v>0.5</v>
      </c>
      <c r="G410" s="62"/>
      <c r="H410" s="63"/>
    </row>
    <row r="411" spans="1:8" x14ac:dyDescent="0.2">
      <c r="A411" s="18">
        <f t="shared" si="121"/>
        <v>7</v>
      </c>
      <c r="B411" s="115" t="s">
        <v>227</v>
      </c>
      <c r="C411" s="116"/>
      <c r="D411" s="116"/>
      <c r="E411" s="116"/>
      <c r="F411" s="116"/>
      <c r="G411" s="116"/>
      <c r="H411" s="117"/>
    </row>
    <row r="412" spans="1:8" ht="30" customHeight="1" x14ac:dyDescent="0.2">
      <c r="A412" s="18">
        <f t="shared" si="121"/>
        <v>8</v>
      </c>
      <c r="B412" s="115" t="s">
        <v>228</v>
      </c>
      <c r="C412" s="116"/>
      <c r="D412" s="116"/>
      <c r="E412" s="116"/>
      <c r="F412" s="116"/>
      <c r="G412" s="116"/>
      <c r="H412" s="117"/>
    </row>
    <row r="413" spans="1:8" x14ac:dyDescent="0.2">
      <c r="A413" s="18">
        <f t="shared" si="121"/>
        <v>9</v>
      </c>
      <c r="B413" s="115" t="s">
        <v>229</v>
      </c>
      <c r="C413" s="116"/>
      <c r="D413" s="116"/>
      <c r="E413" s="116"/>
      <c r="F413" s="116"/>
      <c r="G413" s="116"/>
      <c r="H413" s="117"/>
    </row>
    <row r="414" spans="1:8" x14ac:dyDescent="0.2">
      <c r="A414" s="18">
        <f t="shared" si="121"/>
        <v>10</v>
      </c>
      <c r="B414" s="115" t="s">
        <v>324</v>
      </c>
      <c r="C414" s="116"/>
      <c r="D414" s="116"/>
      <c r="E414" s="116"/>
      <c r="F414" s="116"/>
      <c r="G414" s="116"/>
      <c r="H414" s="117"/>
    </row>
    <row r="415" spans="1:8" x14ac:dyDescent="0.2">
      <c r="A415" s="18">
        <f t="shared" si="121"/>
        <v>11</v>
      </c>
      <c r="B415" s="115" t="s">
        <v>317</v>
      </c>
      <c r="C415" s="116"/>
      <c r="D415" s="116"/>
      <c r="E415" s="116"/>
      <c r="F415" s="116"/>
      <c r="G415" s="116"/>
      <c r="H415" s="117"/>
    </row>
    <row r="416" spans="1:8" ht="25.5" customHeight="1" x14ac:dyDescent="0.2">
      <c r="A416" s="111" t="s">
        <v>123</v>
      </c>
      <c r="B416" s="112"/>
      <c r="C416" s="199" t="str">
        <f>C7</f>
        <v>Dosti Greater Thane ­ Sector 3A ­ Cluster 1B ­ Phase 1, 2 &amp; 3</v>
      </c>
      <c r="D416" s="200"/>
      <c r="E416" s="200"/>
      <c r="F416" s="200"/>
      <c r="G416" s="200"/>
      <c r="H416" s="201"/>
    </row>
    <row r="417" spans="1:8" x14ac:dyDescent="0.2">
      <c r="A417" s="105"/>
      <c r="B417" s="106"/>
      <c r="C417" s="106"/>
      <c r="D417" s="106"/>
      <c r="E417" s="106"/>
      <c r="F417" s="106"/>
      <c r="G417" s="106"/>
      <c r="H417" s="107"/>
    </row>
    <row r="418" spans="1:8" x14ac:dyDescent="0.2">
      <c r="A418" s="105"/>
      <c r="B418" s="106"/>
      <c r="C418" s="106"/>
      <c r="D418" s="106"/>
      <c r="E418" s="106"/>
      <c r="F418" s="106"/>
      <c r="G418" s="106"/>
      <c r="H418" s="107"/>
    </row>
    <row r="419" spans="1:8" x14ac:dyDescent="0.2">
      <c r="A419" s="105"/>
      <c r="B419" s="106"/>
      <c r="C419" s="106"/>
      <c r="D419" s="106"/>
      <c r="E419" s="106"/>
      <c r="F419" s="106"/>
      <c r="G419" s="106"/>
      <c r="H419" s="107"/>
    </row>
    <row r="420" spans="1:8" x14ac:dyDescent="0.2">
      <c r="A420" s="105"/>
      <c r="B420" s="106"/>
      <c r="C420" s="106"/>
      <c r="D420" s="106"/>
      <c r="E420" s="106"/>
      <c r="F420" s="106"/>
      <c r="G420" s="106"/>
      <c r="H420" s="107"/>
    </row>
    <row r="421" spans="1:8" x14ac:dyDescent="0.2">
      <c r="A421" s="105"/>
      <c r="B421" s="106"/>
      <c r="C421" s="106"/>
      <c r="D421" s="106"/>
      <c r="E421" s="106"/>
      <c r="F421" s="106"/>
      <c r="G421" s="106"/>
      <c r="H421" s="107"/>
    </row>
    <row r="422" spans="1:8" x14ac:dyDescent="0.2">
      <c r="A422" s="105"/>
      <c r="B422" s="106"/>
      <c r="C422" s="106"/>
      <c r="D422" s="106"/>
      <c r="E422" s="106"/>
      <c r="F422" s="106"/>
      <c r="G422" s="106"/>
      <c r="H422" s="107"/>
    </row>
    <row r="423" spans="1:8" x14ac:dyDescent="0.2">
      <c r="A423" s="105"/>
      <c r="B423" s="106"/>
      <c r="C423" s="106"/>
      <c r="D423" s="106"/>
      <c r="E423" s="106"/>
      <c r="F423" s="106"/>
      <c r="G423" s="106"/>
      <c r="H423" s="107"/>
    </row>
    <row r="424" spans="1:8" x14ac:dyDescent="0.2">
      <c r="A424" s="105"/>
      <c r="B424" s="106"/>
      <c r="C424" s="106"/>
      <c r="D424" s="106"/>
      <c r="E424" s="106"/>
      <c r="F424" s="106"/>
      <c r="G424" s="106"/>
      <c r="H424" s="107"/>
    </row>
    <row r="425" spans="1:8" x14ac:dyDescent="0.2">
      <c r="A425" s="105"/>
      <c r="B425" s="106"/>
      <c r="C425" s="106"/>
      <c r="D425" s="106"/>
      <c r="E425" s="106"/>
      <c r="F425" s="106"/>
      <c r="G425" s="106"/>
      <c r="H425" s="107"/>
    </row>
    <row r="426" spans="1:8" x14ac:dyDescent="0.2">
      <c r="A426" s="105"/>
      <c r="B426" s="106"/>
      <c r="C426" s="106"/>
      <c r="D426" s="106"/>
      <c r="E426" s="106"/>
      <c r="F426" s="106"/>
      <c r="G426" s="106"/>
      <c r="H426" s="107"/>
    </row>
    <row r="427" spans="1:8" x14ac:dyDescent="0.2">
      <c r="A427" s="105"/>
      <c r="B427" s="106"/>
      <c r="C427" s="106"/>
      <c r="D427" s="106"/>
      <c r="E427" s="106"/>
      <c r="F427" s="106"/>
      <c r="G427" s="106"/>
      <c r="H427" s="107"/>
    </row>
    <row r="428" spans="1:8" x14ac:dyDescent="0.2">
      <c r="A428" s="105"/>
      <c r="B428" s="106"/>
      <c r="C428" s="106"/>
      <c r="D428" s="106"/>
      <c r="E428" s="106"/>
      <c r="F428" s="106"/>
      <c r="G428" s="106"/>
      <c r="H428" s="107"/>
    </row>
    <row r="429" spans="1:8" x14ac:dyDescent="0.2">
      <c r="A429" s="105"/>
      <c r="B429" s="106"/>
      <c r="C429" s="106"/>
      <c r="D429" s="106"/>
      <c r="E429" s="106"/>
      <c r="F429" s="106"/>
      <c r="G429" s="106"/>
      <c r="H429" s="107"/>
    </row>
    <row r="430" spans="1:8" x14ac:dyDescent="0.2">
      <c r="A430" s="105"/>
      <c r="B430" s="106"/>
      <c r="C430" s="106"/>
      <c r="D430" s="106"/>
      <c r="E430" s="106"/>
      <c r="F430" s="106"/>
      <c r="G430" s="106"/>
      <c r="H430" s="107"/>
    </row>
    <row r="431" spans="1:8" x14ac:dyDescent="0.2">
      <c r="A431" s="105"/>
      <c r="B431" s="106"/>
      <c r="C431" s="106"/>
      <c r="D431" s="106"/>
      <c r="E431" s="106"/>
      <c r="F431" s="106"/>
      <c r="G431" s="106"/>
      <c r="H431" s="107"/>
    </row>
    <row r="432" spans="1:8" x14ac:dyDescent="0.2">
      <c r="A432" s="105"/>
      <c r="B432" s="106"/>
      <c r="C432" s="106"/>
      <c r="D432" s="106"/>
      <c r="E432" s="106"/>
      <c r="F432" s="106"/>
      <c r="G432" s="106"/>
      <c r="H432" s="107"/>
    </row>
    <row r="433" spans="1:8" x14ac:dyDescent="0.2">
      <c r="A433" s="105"/>
      <c r="B433" s="106"/>
      <c r="C433" s="106"/>
      <c r="D433" s="106"/>
      <c r="E433" s="106"/>
      <c r="F433" s="106"/>
      <c r="G433" s="106"/>
      <c r="H433" s="107"/>
    </row>
    <row r="434" spans="1:8" x14ac:dyDescent="0.2">
      <c r="A434" s="105"/>
      <c r="B434" s="106"/>
      <c r="C434" s="106"/>
      <c r="D434" s="106"/>
      <c r="E434" s="106"/>
      <c r="F434" s="106"/>
      <c r="G434" s="106"/>
      <c r="H434" s="107"/>
    </row>
    <row r="435" spans="1:8" x14ac:dyDescent="0.2">
      <c r="A435" s="105"/>
      <c r="B435" s="106"/>
      <c r="C435" s="106"/>
      <c r="D435" s="106"/>
      <c r="E435" s="106"/>
      <c r="F435" s="106"/>
      <c r="G435" s="106"/>
      <c r="H435" s="107"/>
    </row>
    <row r="436" spans="1:8" x14ac:dyDescent="0.2">
      <c r="A436" s="105"/>
      <c r="B436" s="106"/>
      <c r="C436" s="106"/>
      <c r="D436" s="106"/>
      <c r="E436" s="106"/>
      <c r="F436" s="106"/>
      <c r="G436" s="106"/>
      <c r="H436" s="107"/>
    </row>
    <row r="437" spans="1:8" x14ac:dyDescent="0.2">
      <c r="A437" s="105"/>
      <c r="B437" s="106"/>
      <c r="C437" s="106"/>
      <c r="D437" s="106"/>
      <c r="E437" s="106"/>
      <c r="F437" s="106"/>
      <c r="G437" s="106"/>
      <c r="H437" s="107"/>
    </row>
    <row r="438" spans="1:8" x14ac:dyDescent="0.2">
      <c r="A438" s="105"/>
      <c r="B438" s="106"/>
      <c r="C438" s="106"/>
      <c r="D438" s="106"/>
      <c r="E438" s="106"/>
      <c r="F438" s="106"/>
      <c r="G438" s="106"/>
      <c r="H438" s="107"/>
    </row>
    <row r="439" spans="1:8" x14ac:dyDescent="0.2">
      <c r="A439" s="105"/>
      <c r="B439" s="106"/>
      <c r="C439" s="106"/>
      <c r="D439" s="106"/>
      <c r="E439" s="106"/>
      <c r="F439" s="106"/>
      <c r="G439" s="106"/>
      <c r="H439" s="107"/>
    </row>
    <row r="440" spans="1:8" x14ac:dyDescent="0.2">
      <c r="A440" s="105"/>
      <c r="B440" s="106"/>
      <c r="C440" s="106"/>
      <c r="D440" s="106"/>
      <c r="E440" s="106"/>
      <c r="F440" s="106"/>
      <c r="G440" s="106"/>
      <c r="H440" s="107"/>
    </row>
    <row r="441" spans="1:8" x14ac:dyDescent="0.2">
      <c r="A441" s="105"/>
      <c r="B441" s="106"/>
      <c r="C441" s="106"/>
      <c r="D441" s="106"/>
      <c r="E441" s="106"/>
      <c r="F441" s="106"/>
      <c r="G441" s="106"/>
      <c r="H441" s="107"/>
    </row>
    <row r="442" spans="1:8" x14ac:dyDescent="0.2">
      <c r="A442" s="105"/>
      <c r="B442" s="106"/>
      <c r="C442" s="106"/>
      <c r="D442" s="106"/>
      <c r="E442" s="106"/>
      <c r="F442" s="106"/>
      <c r="G442" s="106"/>
      <c r="H442" s="107"/>
    </row>
    <row r="443" spans="1:8" x14ac:dyDescent="0.2">
      <c r="A443" s="105"/>
      <c r="B443" s="106"/>
      <c r="C443" s="106"/>
      <c r="D443" s="106"/>
      <c r="E443" s="106"/>
      <c r="F443" s="106"/>
      <c r="G443" s="106"/>
      <c r="H443" s="107"/>
    </row>
    <row r="444" spans="1:8" x14ac:dyDescent="0.2">
      <c r="A444" s="105"/>
      <c r="B444" s="106"/>
      <c r="C444" s="106"/>
      <c r="D444" s="106"/>
      <c r="E444" s="106"/>
      <c r="F444" s="106"/>
      <c r="G444" s="106"/>
      <c r="H444" s="107"/>
    </row>
    <row r="445" spans="1:8" x14ac:dyDescent="0.2">
      <c r="A445" s="105"/>
      <c r="B445" s="106"/>
      <c r="C445" s="106"/>
      <c r="D445" s="106"/>
      <c r="E445" s="106"/>
      <c r="F445" s="106"/>
      <c r="G445" s="106"/>
      <c r="H445" s="107"/>
    </row>
    <row r="446" spans="1:8" x14ac:dyDescent="0.2">
      <c r="A446" s="105"/>
      <c r="B446" s="106"/>
      <c r="C446" s="106"/>
      <c r="D446" s="106"/>
      <c r="E446" s="106"/>
      <c r="F446" s="106"/>
      <c r="G446" s="106"/>
      <c r="H446" s="107"/>
    </row>
    <row r="447" spans="1:8" x14ac:dyDescent="0.2">
      <c r="A447" s="105"/>
      <c r="B447" s="106"/>
      <c r="C447" s="106"/>
      <c r="D447" s="106"/>
      <c r="E447" s="106"/>
      <c r="F447" s="106"/>
      <c r="G447" s="106"/>
      <c r="H447" s="107"/>
    </row>
    <row r="448" spans="1:8" x14ac:dyDescent="0.2">
      <c r="A448" s="105"/>
      <c r="B448" s="106"/>
      <c r="C448" s="106"/>
      <c r="D448" s="106"/>
      <c r="E448" s="106"/>
      <c r="F448" s="106"/>
      <c r="G448" s="106"/>
      <c r="H448" s="107"/>
    </row>
    <row r="449" spans="1:8" x14ac:dyDescent="0.2">
      <c r="A449" s="105"/>
      <c r="B449" s="106"/>
      <c r="C449" s="106"/>
      <c r="D449" s="106"/>
      <c r="E449" s="106"/>
      <c r="F449" s="106"/>
      <c r="G449" s="106"/>
      <c r="H449" s="107"/>
    </row>
    <row r="450" spans="1:8" x14ac:dyDescent="0.2">
      <c r="A450" s="105"/>
      <c r="B450" s="106"/>
      <c r="C450" s="106"/>
      <c r="D450" s="106"/>
      <c r="E450" s="106"/>
      <c r="F450" s="106"/>
      <c r="G450" s="106"/>
      <c r="H450" s="107"/>
    </row>
    <row r="451" spans="1:8" x14ac:dyDescent="0.2">
      <c r="A451" s="105"/>
      <c r="B451" s="106"/>
      <c r="C451" s="106"/>
      <c r="D451" s="106"/>
      <c r="E451" s="106"/>
      <c r="F451" s="106"/>
      <c r="G451" s="106"/>
      <c r="H451" s="107"/>
    </row>
    <row r="452" spans="1:8" x14ac:dyDescent="0.2">
      <c r="A452" s="105"/>
      <c r="B452" s="106"/>
      <c r="C452" s="106"/>
      <c r="D452" s="106"/>
      <c r="E452" s="106"/>
      <c r="F452" s="106"/>
      <c r="G452" s="106"/>
      <c r="H452" s="107"/>
    </row>
    <row r="453" spans="1:8" x14ac:dyDescent="0.2">
      <c r="A453" s="105"/>
      <c r="B453" s="106"/>
      <c r="C453" s="106"/>
      <c r="D453" s="106"/>
      <c r="E453" s="106"/>
      <c r="F453" s="106"/>
      <c r="G453" s="106"/>
      <c r="H453" s="107"/>
    </row>
    <row r="454" spans="1:8" x14ac:dyDescent="0.2">
      <c r="A454" s="105"/>
      <c r="B454" s="106"/>
      <c r="C454" s="106"/>
      <c r="D454" s="106"/>
      <c r="E454" s="106"/>
      <c r="F454" s="106"/>
      <c r="G454" s="106"/>
      <c r="H454" s="107"/>
    </row>
    <row r="455" spans="1:8" x14ac:dyDescent="0.2">
      <c r="A455" s="105"/>
      <c r="B455" s="106"/>
      <c r="C455" s="106"/>
      <c r="D455" s="106"/>
      <c r="E455" s="106"/>
      <c r="F455" s="106"/>
      <c r="G455" s="106"/>
      <c r="H455" s="107"/>
    </row>
    <row r="456" spans="1:8" x14ac:dyDescent="0.2">
      <c r="A456" s="105"/>
      <c r="B456" s="106"/>
      <c r="C456" s="106"/>
      <c r="D456" s="106"/>
      <c r="E456" s="106"/>
      <c r="F456" s="106"/>
      <c r="G456" s="106"/>
      <c r="H456" s="107"/>
    </row>
    <row r="457" spans="1:8" x14ac:dyDescent="0.2">
      <c r="A457" s="105"/>
      <c r="B457" s="106"/>
      <c r="C457" s="106"/>
      <c r="D457" s="106"/>
      <c r="E457" s="106"/>
      <c r="F457" s="106"/>
      <c r="G457" s="106"/>
      <c r="H457" s="107"/>
    </row>
    <row r="458" spans="1:8" x14ac:dyDescent="0.2">
      <c r="A458" s="105"/>
      <c r="B458" s="106"/>
      <c r="C458" s="106"/>
      <c r="D458" s="106"/>
      <c r="E458" s="106"/>
      <c r="F458" s="106"/>
      <c r="G458" s="106"/>
      <c r="H458" s="107"/>
    </row>
    <row r="459" spans="1:8" x14ac:dyDescent="0.2">
      <c r="A459" s="105"/>
      <c r="B459" s="106"/>
      <c r="C459" s="106"/>
      <c r="D459" s="106"/>
      <c r="E459" s="106"/>
      <c r="F459" s="106"/>
      <c r="G459" s="106"/>
      <c r="H459" s="107"/>
    </row>
    <row r="460" spans="1:8" x14ac:dyDescent="0.2">
      <c r="A460" s="105"/>
      <c r="B460" s="106"/>
      <c r="C460" s="106"/>
      <c r="D460" s="106"/>
      <c r="E460" s="106"/>
      <c r="F460" s="106"/>
      <c r="G460" s="106"/>
      <c r="H460" s="107"/>
    </row>
    <row r="461" spans="1:8" x14ac:dyDescent="0.2">
      <c r="A461" s="105"/>
      <c r="B461" s="106"/>
      <c r="C461" s="106"/>
      <c r="D461" s="106"/>
      <c r="E461" s="106"/>
      <c r="F461" s="106"/>
      <c r="G461" s="106"/>
      <c r="H461" s="107"/>
    </row>
    <row r="462" spans="1:8" x14ac:dyDescent="0.2">
      <c r="A462" s="105"/>
      <c r="B462" s="106"/>
      <c r="C462" s="106"/>
      <c r="D462" s="106"/>
      <c r="E462" s="106"/>
      <c r="F462" s="106"/>
      <c r="G462" s="106"/>
      <c r="H462" s="107"/>
    </row>
    <row r="463" spans="1:8" x14ac:dyDescent="0.2">
      <c r="A463" s="105"/>
      <c r="B463" s="106"/>
      <c r="C463" s="106"/>
      <c r="D463" s="106"/>
      <c r="E463" s="106"/>
      <c r="F463" s="106"/>
      <c r="G463" s="106"/>
      <c r="H463" s="107"/>
    </row>
    <row r="464" spans="1:8" x14ac:dyDescent="0.2">
      <c r="A464" s="105"/>
      <c r="B464" s="106"/>
      <c r="C464" s="106"/>
      <c r="D464" s="106"/>
      <c r="E464" s="106"/>
      <c r="F464" s="106"/>
      <c r="G464" s="106"/>
      <c r="H464" s="107"/>
    </row>
    <row r="465" spans="1:8" x14ac:dyDescent="0.2">
      <c r="A465" s="118"/>
      <c r="B465" s="119"/>
      <c r="C465" s="119"/>
      <c r="D465" s="119"/>
      <c r="E465" s="119"/>
      <c r="F465" s="119"/>
      <c r="G465" s="119"/>
      <c r="H465" s="120"/>
    </row>
    <row r="466" spans="1:8" ht="25.5" customHeight="1" x14ac:dyDescent="0.2">
      <c r="A466" s="111" t="s">
        <v>148</v>
      </c>
      <c r="B466" s="112"/>
      <c r="C466" s="199"/>
      <c r="D466" s="200"/>
      <c r="E466" s="200"/>
      <c r="F466" s="200"/>
      <c r="G466" s="200"/>
      <c r="H466" s="201"/>
    </row>
    <row r="467" spans="1:8" x14ac:dyDescent="0.2">
      <c r="A467" s="105"/>
      <c r="B467" s="106"/>
      <c r="C467" s="106"/>
      <c r="D467" s="106"/>
      <c r="E467" s="106"/>
      <c r="F467" s="106"/>
      <c r="G467" s="106"/>
      <c r="H467" s="107"/>
    </row>
    <row r="468" spans="1:8" x14ac:dyDescent="0.2">
      <c r="A468" s="105"/>
      <c r="B468" s="106"/>
      <c r="C468" s="106"/>
      <c r="D468" s="106"/>
      <c r="E468" s="106"/>
      <c r="F468" s="106"/>
      <c r="G468" s="106"/>
      <c r="H468" s="107"/>
    </row>
    <row r="469" spans="1:8" x14ac:dyDescent="0.2">
      <c r="A469" s="105"/>
      <c r="B469" s="106"/>
      <c r="C469" s="106"/>
      <c r="D469" s="106"/>
      <c r="E469" s="106"/>
      <c r="F469" s="106"/>
      <c r="G469" s="106"/>
      <c r="H469" s="107"/>
    </row>
    <row r="470" spans="1:8" x14ac:dyDescent="0.2">
      <c r="A470" s="105"/>
      <c r="B470" s="106"/>
      <c r="C470" s="106"/>
      <c r="D470" s="106"/>
      <c r="E470" s="106"/>
      <c r="F470" s="106"/>
      <c r="G470" s="106"/>
      <c r="H470" s="107"/>
    </row>
    <row r="471" spans="1:8" x14ac:dyDescent="0.2">
      <c r="A471" s="105"/>
      <c r="B471" s="106"/>
      <c r="C471" s="106"/>
      <c r="D471" s="106"/>
      <c r="E471" s="106"/>
      <c r="F471" s="106"/>
      <c r="G471" s="106"/>
      <c r="H471" s="107"/>
    </row>
    <row r="472" spans="1:8" x14ac:dyDescent="0.2">
      <c r="A472" s="105"/>
      <c r="B472" s="106"/>
      <c r="C472" s="106"/>
      <c r="D472" s="106"/>
      <c r="E472" s="106"/>
      <c r="F472" s="106"/>
      <c r="G472" s="106"/>
      <c r="H472" s="107"/>
    </row>
    <row r="473" spans="1:8" x14ac:dyDescent="0.2">
      <c r="A473" s="105"/>
      <c r="B473" s="106"/>
      <c r="C473" s="106"/>
      <c r="D473" s="106"/>
      <c r="E473" s="106"/>
      <c r="F473" s="106"/>
      <c r="G473" s="106"/>
      <c r="H473" s="107"/>
    </row>
    <row r="474" spans="1:8" x14ac:dyDescent="0.2">
      <c r="A474" s="105"/>
      <c r="B474" s="106"/>
      <c r="C474" s="106"/>
      <c r="D474" s="106"/>
      <c r="E474" s="106"/>
      <c r="F474" s="106"/>
      <c r="G474" s="106"/>
      <c r="H474" s="107"/>
    </row>
    <row r="475" spans="1:8" x14ac:dyDescent="0.2">
      <c r="A475" s="105"/>
      <c r="B475" s="106"/>
      <c r="C475" s="106"/>
      <c r="D475" s="106"/>
      <c r="E475" s="106"/>
      <c r="F475" s="106"/>
      <c r="G475" s="106"/>
      <c r="H475" s="107"/>
    </row>
    <row r="476" spans="1:8" x14ac:dyDescent="0.2">
      <c r="A476" s="105"/>
      <c r="B476" s="106"/>
      <c r="C476" s="106"/>
      <c r="D476" s="106"/>
      <c r="E476" s="106"/>
      <c r="F476" s="106"/>
      <c r="G476" s="106"/>
      <c r="H476" s="107"/>
    </row>
    <row r="477" spans="1:8" x14ac:dyDescent="0.2">
      <c r="A477" s="105"/>
      <c r="B477" s="106"/>
      <c r="C477" s="106"/>
      <c r="D477" s="106"/>
      <c r="E477" s="106"/>
      <c r="F477" s="106"/>
      <c r="G477" s="106"/>
      <c r="H477" s="107"/>
    </row>
    <row r="478" spans="1:8" x14ac:dyDescent="0.2">
      <c r="A478" s="105"/>
      <c r="B478" s="106"/>
      <c r="C478" s="106"/>
      <c r="D478" s="106"/>
      <c r="E478" s="106"/>
      <c r="F478" s="106"/>
      <c r="G478" s="106"/>
      <c r="H478" s="107"/>
    </row>
    <row r="479" spans="1:8" x14ac:dyDescent="0.2">
      <c r="A479" s="105"/>
      <c r="B479" s="106"/>
      <c r="C479" s="106"/>
      <c r="D479" s="106"/>
      <c r="E479" s="106"/>
      <c r="F479" s="106"/>
      <c r="G479" s="106"/>
      <c r="H479" s="107"/>
    </row>
    <row r="480" spans="1:8" x14ac:dyDescent="0.2">
      <c r="A480" s="105"/>
      <c r="B480" s="106"/>
      <c r="C480" s="106"/>
      <c r="D480" s="106"/>
      <c r="E480" s="106"/>
      <c r="F480" s="106"/>
      <c r="G480" s="106"/>
      <c r="H480" s="107"/>
    </row>
    <row r="481" spans="1:8" x14ac:dyDescent="0.2">
      <c r="A481" s="105"/>
      <c r="B481" s="106"/>
      <c r="C481" s="106"/>
      <c r="D481" s="106"/>
      <c r="E481" s="106"/>
      <c r="F481" s="106"/>
      <c r="G481" s="106"/>
      <c r="H481" s="107"/>
    </row>
    <row r="482" spans="1:8" x14ac:dyDescent="0.2">
      <c r="A482" s="105"/>
      <c r="B482" s="106"/>
      <c r="C482" s="106"/>
      <c r="D482" s="106"/>
      <c r="E482" s="106"/>
      <c r="F482" s="106"/>
      <c r="G482" s="106"/>
      <c r="H482" s="107"/>
    </row>
    <row r="483" spans="1:8" x14ac:dyDescent="0.2">
      <c r="A483" s="105"/>
      <c r="B483" s="106"/>
      <c r="C483" s="106"/>
      <c r="D483" s="106"/>
      <c r="E483" s="106"/>
      <c r="F483" s="106"/>
      <c r="G483" s="106"/>
      <c r="H483" s="107"/>
    </row>
    <row r="484" spans="1:8" x14ac:dyDescent="0.2">
      <c r="A484" s="105"/>
      <c r="B484" s="106"/>
      <c r="C484" s="106"/>
      <c r="D484" s="106"/>
      <c r="E484" s="106"/>
      <c r="F484" s="106"/>
      <c r="G484" s="106"/>
      <c r="H484" s="107"/>
    </row>
    <row r="485" spans="1:8" x14ac:dyDescent="0.2">
      <c r="A485" s="105"/>
      <c r="B485" s="106"/>
      <c r="C485" s="106"/>
      <c r="D485" s="106"/>
      <c r="E485" s="106"/>
      <c r="F485" s="106"/>
      <c r="G485" s="106"/>
      <c r="H485" s="107"/>
    </row>
    <row r="486" spans="1:8" x14ac:dyDescent="0.2">
      <c r="A486" s="105"/>
      <c r="B486" s="106"/>
      <c r="C486" s="106"/>
      <c r="D486" s="106"/>
      <c r="E486" s="106"/>
      <c r="F486" s="106"/>
      <c r="G486" s="106"/>
      <c r="H486" s="107"/>
    </row>
    <row r="487" spans="1:8" x14ac:dyDescent="0.2">
      <c r="A487" s="105"/>
      <c r="B487" s="106"/>
      <c r="C487" s="106"/>
      <c r="D487" s="106"/>
      <c r="E487" s="106"/>
      <c r="F487" s="106"/>
      <c r="G487" s="106"/>
      <c r="H487" s="107"/>
    </row>
    <row r="488" spans="1:8" x14ac:dyDescent="0.2">
      <c r="A488" s="105"/>
      <c r="B488" s="106"/>
      <c r="C488" s="106"/>
      <c r="D488" s="106"/>
      <c r="E488" s="106"/>
      <c r="F488" s="106"/>
      <c r="G488" s="106"/>
      <c r="H488" s="107"/>
    </row>
    <row r="489" spans="1:8" x14ac:dyDescent="0.2">
      <c r="A489" s="105"/>
      <c r="B489" s="106"/>
      <c r="C489" s="106"/>
      <c r="D489" s="106"/>
      <c r="E489" s="106"/>
      <c r="F489" s="106"/>
      <c r="G489" s="106"/>
      <c r="H489" s="107"/>
    </row>
    <row r="490" spans="1:8" x14ac:dyDescent="0.2">
      <c r="A490" s="105"/>
      <c r="B490" s="106"/>
      <c r="C490" s="106"/>
      <c r="D490" s="106"/>
      <c r="E490" s="106"/>
      <c r="F490" s="106"/>
      <c r="G490" s="106"/>
      <c r="H490" s="107"/>
    </row>
    <row r="491" spans="1:8" x14ac:dyDescent="0.2">
      <c r="A491" s="105"/>
      <c r="B491" s="106"/>
      <c r="C491" s="106"/>
      <c r="D491" s="106"/>
      <c r="E491" s="106"/>
      <c r="F491" s="106"/>
      <c r="G491" s="106"/>
      <c r="H491" s="107"/>
    </row>
    <row r="492" spans="1:8" x14ac:dyDescent="0.2">
      <c r="A492" s="105"/>
      <c r="B492" s="106"/>
      <c r="C492" s="106"/>
      <c r="D492" s="106"/>
      <c r="E492" s="106"/>
      <c r="F492" s="106"/>
      <c r="G492" s="106"/>
      <c r="H492" s="107"/>
    </row>
    <row r="493" spans="1:8" x14ac:dyDescent="0.2">
      <c r="A493" s="105"/>
      <c r="B493" s="106"/>
      <c r="C493" s="106"/>
      <c r="D493" s="106"/>
      <c r="E493" s="106"/>
      <c r="F493" s="106"/>
      <c r="G493" s="106"/>
      <c r="H493" s="107"/>
    </row>
    <row r="494" spans="1:8" x14ac:dyDescent="0.2">
      <c r="A494" s="105"/>
      <c r="B494" s="106"/>
      <c r="C494" s="106"/>
      <c r="D494" s="106"/>
      <c r="E494" s="106"/>
      <c r="F494" s="106"/>
      <c r="G494" s="106"/>
      <c r="H494" s="107"/>
    </row>
    <row r="495" spans="1:8" x14ac:dyDescent="0.2">
      <c r="A495" s="105"/>
      <c r="B495" s="106"/>
      <c r="C495" s="106"/>
      <c r="D495" s="106"/>
      <c r="E495" s="106"/>
      <c r="F495" s="106"/>
      <c r="G495" s="106"/>
      <c r="H495" s="107"/>
    </row>
    <row r="496" spans="1:8" x14ac:dyDescent="0.2">
      <c r="A496" s="105"/>
      <c r="B496" s="106"/>
      <c r="C496" s="106"/>
      <c r="D496" s="106"/>
      <c r="E496" s="106"/>
      <c r="F496" s="106"/>
      <c r="G496" s="106"/>
      <c r="H496" s="107"/>
    </row>
    <row r="497" spans="1:8" x14ac:dyDescent="0.2">
      <c r="A497" s="105"/>
      <c r="B497" s="106"/>
      <c r="C497" s="106"/>
      <c r="D497" s="106"/>
      <c r="E497" s="106"/>
      <c r="F497" s="106"/>
      <c r="G497" s="106"/>
      <c r="H497" s="107"/>
    </row>
    <row r="498" spans="1:8" x14ac:dyDescent="0.2">
      <c r="A498" s="105"/>
      <c r="B498" s="106"/>
      <c r="C498" s="106"/>
      <c r="D498" s="106"/>
      <c r="E498" s="106"/>
      <c r="F498" s="106"/>
      <c r="G498" s="106"/>
      <c r="H498" s="107"/>
    </row>
    <row r="499" spans="1:8" x14ac:dyDescent="0.2">
      <c r="A499" s="105"/>
      <c r="B499" s="106"/>
      <c r="C499" s="106"/>
      <c r="D499" s="106"/>
      <c r="E499" s="106"/>
      <c r="F499" s="106"/>
      <c r="G499" s="106"/>
      <c r="H499" s="107"/>
    </row>
    <row r="500" spans="1:8" x14ac:dyDescent="0.2">
      <c r="A500" s="105"/>
      <c r="B500" s="106"/>
      <c r="C500" s="106"/>
      <c r="D500" s="106"/>
      <c r="E500" s="106"/>
      <c r="F500" s="106"/>
      <c r="G500" s="106"/>
      <c r="H500" s="107"/>
    </row>
    <row r="501" spans="1:8" x14ac:dyDescent="0.2">
      <c r="A501" s="105"/>
      <c r="B501" s="106"/>
      <c r="C501" s="106"/>
      <c r="D501" s="106"/>
      <c r="E501" s="106"/>
      <c r="F501" s="106"/>
      <c r="G501" s="106"/>
      <c r="H501" s="107"/>
    </row>
    <row r="502" spans="1:8" x14ac:dyDescent="0.2">
      <c r="A502" s="105"/>
      <c r="B502" s="106"/>
      <c r="C502" s="106"/>
      <c r="D502" s="106"/>
      <c r="E502" s="106"/>
      <c r="F502" s="106"/>
      <c r="G502" s="106"/>
      <c r="H502" s="107"/>
    </row>
    <row r="503" spans="1:8" x14ac:dyDescent="0.2">
      <c r="A503" s="105"/>
      <c r="B503" s="106"/>
      <c r="C503" s="106"/>
      <c r="D503" s="106"/>
      <c r="E503" s="106"/>
      <c r="F503" s="106"/>
      <c r="G503" s="106"/>
      <c r="H503" s="107"/>
    </row>
    <row r="504" spans="1:8" x14ac:dyDescent="0.2">
      <c r="A504" s="105"/>
      <c r="B504" s="106"/>
      <c r="C504" s="106"/>
      <c r="D504" s="106"/>
      <c r="E504" s="106"/>
      <c r="F504" s="106"/>
      <c r="G504" s="106"/>
      <c r="H504" s="107"/>
    </row>
    <row r="505" spans="1:8" x14ac:dyDescent="0.2">
      <c r="A505" s="105"/>
      <c r="B505" s="106"/>
      <c r="C505" s="106"/>
      <c r="D505" s="106"/>
      <c r="E505" s="106"/>
      <c r="F505" s="106"/>
      <c r="G505" s="106"/>
      <c r="H505" s="107"/>
    </row>
    <row r="506" spans="1:8" x14ac:dyDescent="0.2">
      <c r="A506" s="105"/>
      <c r="B506" s="106"/>
      <c r="C506" s="106"/>
      <c r="D506" s="106"/>
      <c r="E506" s="106"/>
      <c r="F506" s="106"/>
      <c r="G506" s="106"/>
      <c r="H506" s="107"/>
    </row>
    <row r="507" spans="1:8" x14ac:dyDescent="0.2">
      <c r="A507" s="105"/>
      <c r="B507" s="106"/>
      <c r="C507" s="106"/>
      <c r="D507" s="106"/>
      <c r="E507" s="106"/>
      <c r="F507" s="106"/>
      <c r="G507" s="106"/>
      <c r="H507" s="107"/>
    </row>
    <row r="508" spans="1:8" x14ac:dyDescent="0.2">
      <c r="A508" s="105"/>
      <c r="B508" s="106"/>
      <c r="C508" s="106"/>
      <c r="D508" s="106"/>
      <c r="E508" s="106"/>
      <c r="F508" s="106"/>
      <c r="G508" s="106"/>
      <c r="H508" s="107"/>
    </row>
    <row r="509" spans="1:8" x14ac:dyDescent="0.2">
      <c r="A509" s="105"/>
      <c r="B509" s="106"/>
      <c r="C509" s="106"/>
      <c r="D509" s="106"/>
      <c r="E509" s="106"/>
      <c r="F509" s="106"/>
      <c r="G509" s="106"/>
      <c r="H509" s="107"/>
    </row>
    <row r="510" spans="1:8" x14ac:dyDescent="0.2">
      <c r="A510" s="105"/>
      <c r="B510" s="106"/>
      <c r="C510" s="106"/>
      <c r="D510" s="106"/>
      <c r="E510" s="106"/>
      <c r="F510" s="106"/>
      <c r="G510" s="106"/>
      <c r="H510" s="107"/>
    </row>
    <row r="511" spans="1:8" x14ac:dyDescent="0.2">
      <c r="A511" s="105"/>
      <c r="B511" s="106"/>
      <c r="C511" s="106"/>
      <c r="D511" s="106"/>
      <c r="E511" s="106"/>
      <c r="F511" s="106"/>
      <c r="G511" s="106"/>
      <c r="H511" s="107"/>
    </row>
    <row r="512" spans="1:8" x14ac:dyDescent="0.2">
      <c r="A512" s="105"/>
      <c r="B512" s="106"/>
      <c r="C512" s="106"/>
      <c r="D512" s="106"/>
      <c r="E512" s="106"/>
      <c r="F512" s="106"/>
      <c r="G512" s="106"/>
      <c r="H512" s="107"/>
    </row>
    <row r="513" spans="1:8" x14ac:dyDescent="0.2">
      <c r="A513" s="105"/>
      <c r="B513" s="106"/>
      <c r="C513" s="106"/>
      <c r="D513" s="106"/>
      <c r="E513" s="106"/>
      <c r="F513" s="106"/>
      <c r="G513" s="106"/>
      <c r="H513" s="107"/>
    </row>
    <row r="514" spans="1:8" x14ac:dyDescent="0.2">
      <c r="A514" s="105"/>
      <c r="B514" s="106"/>
      <c r="C514" s="106"/>
      <c r="D514" s="106"/>
      <c r="E514" s="106"/>
      <c r="F514" s="106"/>
      <c r="G514" s="106"/>
      <c r="H514" s="107"/>
    </row>
    <row r="515" spans="1:8" x14ac:dyDescent="0.2">
      <c r="A515" s="118"/>
      <c r="B515" s="119"/>
      <c r="C515" s="119"/>
      <c r="D515" s="119"/>
      <c r="E515" s="119"/>
      <c r="F515" s="119"/>
      <c r="G515" s="119"/>
      <c r="H515" s="120"/>
    </row>
    <row r="516" spans="1:8" x14ac:dyDescent="0.2">
      <c r="A516" s="252" t="s">
        <v>124</v>
      </c>
      <c r="B516" s="252"/>
      <c r="C516" s="252"/>
      <c r="D516" s="252"/>
      <c r="E516" s="252"/>
      <c r="F516" s="252"/>
      <c r="G516" s="252"/>
      <c r="H516" s="252"/>
    </row>
    <row r="517" spans="1:8" x14ac:dyDescent="0.2">
      <c r="A517" s="105"/>
      <c r="B517" s="106"/>
      <c r="C517" s="106"/>
      <c r="D517" s="106"/>
      <c r="E517" s="106"/>
      <c r="F517" s="106"/>
      <c r="G517" s="106"/>
      <c r="H517" s="107"/>
    </row>
    <row r="518" spans="1:8" x14ac:dyDescent="0.2">
      <c r="A518" s="105"/>
      <c r="B518" s="106"/>
      <c r="C518" s="106"/>
      <c r="D518" s="106"/>
      <c r="E518" s="106"/>
      <c r="F518" s="106"/>
      <c r="G518" s="106"/>
      <c r="H518" s="107"/>
    </row>
    <row r="519" spans="1:8" x14ac:dyDescent="0.2">
      <c r="A519" s="105"/>
      <c r="B519" s="106"/>
      <c r="C519" s="106"/>
      <c r="D519" s="106"/>
      <c r="E519" s="106"/>
      <c r="F519" s="106"/>
      <c r="G519" s="106"/>
      <c r="H519" s="107"/>
    </row>
    <row r="520" spans="1:8" x14ac:dyDescent="0.2">
      <c r="A520" s="105"/>
      <c r="B520" s="106"/>
      <c r="C520" s="106"/>
      <c r="D520" s="106"/>
      <c r="E520" s="106"/>
      <c r="F520" s="106"/>
      <c r="G520" s="106"/>
      <c r="H520" s="107"/>
    </row>
    <row r="521" spans="1:8" x14ac:dyDescent="0.2">
      <c r="A521" s="105"/>
      <c r="B521" s="106"/>
      <c r="C521" s="106"/>
      <c r="D521" s="106"/>
      <c r="E521" s="106"/>
      <c r="F521" s="106"/>
      <c r="G521" s="106"/>
      <c r="H521" s="107"/>
    </row>
    <row r="522" spans="1:8" x14ac:dyDescent="0.2">
      <c r="A522" s="105"/>
      <c r="B522" s="106"/>
      <c r="C522" s="106"/>
      <c r="D522" s="106"/>
      <c r="E522" s="106"/>
      <c r="F522" s="106"/>
      <c r="G522" s="106"/>
      <c r="H522" s="107"/>
    </row>
    <row r="523" spans="1:8" x14ac:dyDescent="0.2">
      <c r="A523" s="105"/>
      <c r="B523" s="106"/>
      <c r="C523" s="106"/>
      <c r="D523" s="106"/>
      <c r="E523" s="106"/>
      <c r="F523" s="106"/>
      <c r="G523" s="106"/>
      <c r="H523" s="107"/>
    </row>
    <row r="524" spans="1:8" x14ac:dyDescent="0.2">
      <c r="A524" s="105"/>
      <c r="B524" s="106"/>
      <c r="C524" s="106"/>
      <c r="D524" s="106"/>
      <c r="E524" s="106"/>
      <c r="F524" s="106"/>
      <c r="G524" s="106"/>
      <c r="H524" s="107"/>
    </row>
    <row r="525" spans="1:8" x14ac:dyDescent="0.2">
      <c r="A525" s="105"/>
      <c r="B525" s="106"/>
      <c r="C525" s="106"/>
      <c r="D525" s="106"/>
      <c r="E525" s="106"/>
      <c r="F525" s="106"/>
      <c r="G525" s="106"/>
      <c r="H525" s="107"/>
    </row>
    <row r="526" spans="1:8" x14ac:dyDescent="0.2">
      <c r="A526" s="105"/>
      <c r="B526" s="106"/>
      <c r="C526" s="106"/>
      <c r="D526" s="106"/>
      <c r="E526" s="106"/>
      <c r="F526" s="106"/>
      <c r="G526" s="106"/>
      <c r="H526" s="107"/>
    </row>
    <row r="527" spans="1:8" x14ac:dyDescent="0.2">
      <c r="A527" s="105"/>
      <c r="B527" s="106"/>
      <c r="C527" s="106"/>
      <c r="D527" s="106"/>
      <c r="E527" s="106"/>
      <c r="F527" s="106"/>
      <c r="G527" s="106"/>
      <c r="H527" s="107"/>
    </row>
    <row r="528" spans="1:8" x14ac:dyDescent="0.2">
      <c r="A528" s="105"/>
      <c r="B528" s="106"/>
      <c r="C528" s="106"/>
      <c r="D528" s="106"/>
      <c r="E528" s="106"/>
      <c r="F528" s="106"/>
      <c r="G528" s="106"/>
      <c r="H528" s="107"/>
    </row>
    <row r="529" spans="1:8" x14ac:dyDescent="0.2">
      <c r="A529" s="105"/>
      <c r="B529" s="106"/>
      <c r="C529" s="106"/>
      <c r="D529" s="106"/>
      <c r="E529" s="106"/>
      <c r="F529" s="106"/>
      <c r="G529" s="106"/>
      <c r="H529" s="107"/>
    </row>
    <row r="530" spans="1:8" x14ac:dyDescent="0.2">
      <c r="A530" s="105"/>
      <c r="B530" s="106"/>
      <c r="C530" s="106"/>
      <c r="D530" s="106"/>
      <c r="E530" s="106"/>
      <c r="F530" s="106"/>
      <c r="G530" s="106"/>
      <c r="H530" s="107"/>
    </row>
    <row r="531" spans="1:8" x14ac:dyDescent="0.2">
      <c r="A531" s="105"/>
      <c r="B531" s="106"/>
      <c r="C531" s="106"/>
      <c r="D531" s="106"/>
      <c r="E531" s="106"/>
      <c r="F531" s="106"/>
      <c r="G531" s="106"/>
      <c r="H531" s="107"/>
    </row>
    <row r="532" spans="1:8" x14ac:dyDescent="0.2">
      <c r="A532" s="105"/>
      <c r="B532" s="106"/>
      <c r="C532" s="106"/>
      <c r="D532" s="106"/>
      <c r="E532" s="106"/>
      <c r="F532" s="106"/>
      <c r="G532" s="106"/>
      <c r="H532" s="107"/>
    </row>
    <row r="533" spans="1:8" x14ac:dyDescent="0.2">
      <c r="A533" s="105"/>
      <c r="B533" s="106"/>
      <c r="C533" s="106"/>
      <c r="D533" s="106"/>
      <c r="E533" s="106"/>
      <c r="F533" s="106"/>
      <c r="G533" s="106"/>
      <c r="H533" s="107"/>
    </row>
    <row r="534" spans="1:8" x14ac:dyDescent="0.2">
      <c r="A534" s="105"/>
      <c r="B534" s="106"/>
      <c r="C534" s="106"/>
      <c r="D534" s="106"/>
      <c r="E534" s="106"/>
      <c r="F534" s="106"/>
      <c r="G534" s="106"/>
      <c r="H534" s="107"/>
    </row>
    <row r="535" spans="1:8" x14ac:dyDescent="0.2">
      <c r="A535" s="105"/>
      <c r="B535" s="106"/>
      <c r="C535" s="106"/>
      <c r="D535" s="106"/>
      <c r="E535" s="106"/>
      <c r="F535" s="106"/>
      <c r="G535" s="106"/>
      <c r="H535" s="107"/>
    </row>
    <row r="536" spans="1:8" x14ac:dyDescent="0.2">
      <c r="A536" s="105"/>
      <c r="B536" s="106"/>
      <c r="C536" s="106"/>
      <c r="D536" s="106"/>
      <c r="E536" s="106"/>
      <c r="F536" s="106"/>
      <c r="G536" s="106"/>
      <c r="H536" s="107"/>
    </row>
    <row r="537" spans="1:8" x14ac:dyDescent="0.2">
      <c r="A537" s="105"/>
      <c r="B537" s="106"/>
      <c r="C537" s="106"/>
      <c r="D537" s="106"/>
      <c r="E537" s="106"/>
      <c r="F537" s="106"/>
      <c r="G537" s="106"/>
      <c r="H537" s="107"/>
    </row>
    <row r="538" spans="1:8" x14ac:dyDescent="0.2">
      <c r="A538" s="105"/>
      <c r="B538" s="106"/>
      <c r="C538" s="106"/>
      <c r="D538" s="106"/>
      <c r="E538" s="106"/>
      <c r="F538" s="106"/>
      <c r="G538" s="106"/>
      <c r="H538" s="107"/>
    </row>
    <row r="539" spans="1:8" x14ac:dyDescent="0.2">
      <c r="A539" s="105"/>
      <c r="B539" s="106"/>
      <c r="C539" s="106"/>
      <c r="D539" s="106"/>
      <c r="E539" s="106"/>
      <c r="F539" s="106"/>
      <c r="G539" s="106"/>
      <c r="H539" s="107"/>
    </row>
    <row r="540" spans="1:8" x14ac:dyDescent="0.2">
      <c r="A540" s="105"/>
      <c r="B540" s="106"/>
      <c r="C540" s="106"/>
      <c r="D540" s="106"/>
      <c r="E540" s="106"/>
      <c r="F540" s="106"/>
      <c r="G540" s="106"/>
      <c r="H540" s="107"/>
    </row>
    <row r="541" spans="1:8" x14ac:dyDescent="0.2">
      <c r="A541" s="105"/>
      <c r="B541" s="106"/>
      <c r="C541" s="106"/>
      <c r="D541" s="106"/>
      <c r="E541" s="106"/>
      <c r="F541" s="106"/>
      <c r="G541" s="106"/>
      <c r="H541" s="107"/>
    </row>
    <row r="542" spans="1:8" x14ac:dyDescent="0.2">
      <c r="A542" s="105"/>
      <c r="B542" s="106"/>
      <c r="C542" s="106"/>
      <c r="D542" s="106"/>
      <c r="E542" s="106"/>
      <c r="F542" s="106"/>
      <c r="G542" s="106"/>
      <c r="H542" s="107"/>
    </row>
    <row r="543" spans="1:8" x14ac:dyDescent="0.2">
      <c r="A543" s="105"/>
      <c r="B543" s="106"/>
      <c r="C543" s="106"/>
      <c r="D543" s="106"/>
      <c r="E543" s="106"/>
      <c r="F543" s="106"/>
      <c r="G543" s="106"/>
      <c r="H543" s="107"/>
    </row>
    <row r="544" spans="1:8" x14ac:dyDescent="0.2">
      <c r="A544" s="105"/>
      <c r="B544" s="106"/>
      <c r="C544" s="106"/>
      <c r="D544" s="106"/>
      <c r="E544" s="106"/>
      <c r="F544" s="106"/>
      <c r="G544" s="106"/>
      <c r="H544" s="107"/>
    </row>
    <row r="545" spans="1:8" x14ac:dyDescent="0.2">
      <c r="A545" s="105"/>
      <c r="B545" s="106"/>
      <c r="C545" s="106"/>
      <c r="D545" s="106"/>
      <c r="E545" s="106"/>
      <c r="F545" s="106"/>
      <c r="G545" s="106"/>
      <c r="H545" s="107"/>
    </row>
    <row r="546" spans="1:8" x14ac:dyDescent="0.2">
      <c r="A546" s="105"/>
      <c r="B546" s="106"/>
      <c r="C546" s="106"/>
      <c r="D546" s="106"/>
      <c r="E546" s="106"/>
      <c r="F546" s="106"/>
      <c r="G546" s="106"/>
      <c r="H546" s="107"/>
    </row>
    <row r="547" spans="1:8" x14ac:dyDescent="0.2">
      <c r="A547" s="105"/>
      <c r="B547" s="106"/>
      <c r="C547" s="106"/>
      <c r="D547" s="106"/>
      <c r="E547" s="106"/>
      <c r="F547" s="106"/>
      <c r="G547" s="106"/>
      <c r="H547" s="107"/>
    </row>
    <row r="548" spans="1:8" x14ac:dyDescent="0.2">
      <c r="A548" s="105"/>
      <c r="B548" s="106"/>
      <c r="C548" s="106"/>
      <c r="D548" s="106"/>
      <c r="E548" s="106"/>
      <c r="F548" s="106"/>
      <c r="G548" s="106"/>
      <c r="H548" s="107"/>
    </row>
    <row r="549" spans="1:8" x14ac:dyDescent="0.2">
      <c r="A549" s="105"/>
      <c r="B549" s="106"/>
      <c r="C549" s="106"/>
      <c r="D549" s="106"/>
      <c r="E549" s="106"/>
      <c r="F549" s="106"/>
      <c r="G549" s="106"/>
      <c r="H549" s="107"/>
    </row>
    <row r="550" spans="1:8" x14ac:dyDescent="0.2">
      <c r="A550" s="105"/>
      <c r="B550" s="106"/>
      <c r="C550" s="106"/>
      <c r="D550" s="106"/>
      <c r="E550" s="106"/>
      <c r="F550" s="106"/>
      <c r="G550" s="106"/>
      <c r="H550" s="107"/>
    </row>
    <row r="551" spans="1:8" x14ac:dyDescent="0.2">
      <c r="A551" s="105"/>
      <c r="B551" s="106"/>
      <c r="C551" s="106"/>
      <c r="D551" s="106"/>
      <c r="E551" s="106"/>
      <c r="F551" s="106"/>
      <c r="G551" s="106"/>
      <c r="H551" s="107"/>
    </row>
    <row r="552" spans="1:8" x14ac:dyDescent="0.2">
      <c r="A552" s="105"/>
      <c r="B552" s="106"/>
      <c r="C552" s="106"/>
      <c r="D552" s="106"/>
      <c r="E552" s="106"/>
      <c r="F552" s="106"/>
      <c r="G552" s="106"/>
      <c r="H552" s="107"/>
    </row>
    <row r="553" spans="1:8" x14ac:dyDescent="0.2">
      <c r="A553" s="105"/>
      <c r="B553" s="106"/>
      <c r="C553" s="106"/>
      <c r="D553" s="106"/>
      <c r="E553" s="106"/>
      <c r="F553" s="106"/>
      <c r="G553" s="106"/>
      <c r="H553" s="107"/>
    </row>
    <row r="554" spans="1:8" x14ac:dyDescent="0.2">
      <c r="A554" s="105"/>
      <c r="B554" s="106"/>
      <c r="C554" s="106"/>
      <c r="D554" s="106"/>
      <c r="E554" s="106"/>
      <c r="F554" s="106"/>
      <c r="G554" s="106"/>
      <c r="H554" s="107"/>
    </row>
    <row r="555" spans="1:8" x14ac:dyDescent="0.2">
      <c r="A555" s="105"/>
      <c r="B555" s="106"/>
      <c r="C555" s="106"/>
      <c r="D555" s="106"/>
      <c r="E555" s="106"/>
      <c r="F555" s="106"/>
      <c r="G555" s="106"/>
      <c r="H555" s="107"/>
    </row>
    <row r="556" spans="1:8" x14ac:dyDescent="0.2">
      <c r="A556" s="105"/>
      <c r="B556" s="106"/>
      <c r="C556" s="106"/>
      <c r="D556" s="106"/>
      <c r="E556" s="106"/>
      <c r="F556" s="106"/>
      <c r="G556" s="106"/>
      <c r="H556" s="107"/>
    </row>
    <row r="557" spans="1:8" x14ac:dyDescent="0.2">
      <c r="A557" s="105"/>
      <c r="B557" s="106"/>
      <c r="C557" s="106"/>
      <c r="D557" s="106"/>
      <c r="E557" s="106"/>
      <c r="F557" s="106"/>
      <c r="G557" s="106"/>
      <c r="H557" s="107"/>
    </row>
    <row r="558" spans="1:8" x14ac:dyDescent="0.2">
      <c r="A558" s="105"/>
      <c r="B558" s="106"/>
      <c r="C558" s="106"/>
      <c r="D558" s="106"/>
      <c r="E558" s="106"/>
      <c r="F558" s="106"/>
      <c r="G558" s="106"/>
      <c r="H558" s="107"/>
    </row>
    <row r="559" spans="1:8" x14ac:dyDescent="0.2">
      <c r="A559" s="105"/>
      <c r="B559" s="106"/>
      <c r="C559" s="106"/>
      <c r="D559" s="106"/>
      <c r="E559" s="106"/>
      <c r="F559" s="106"/>
      <c r="G559" s="106"/>
      <c r="H559" s="107"/>
    </row>
    <row r="560" spans="1:8" x14ac:dyDescent="0.2">
      <c r="A560" s="105"/>
      <c r="B560" s="106"/>
      <c r="C560" s="106"/>
      <c r="D560" s="106"/>
      <c r="E560" s="106"/>
      <c r="F560" s="106"/>
      <c r="G560" s="106"/>
      <c r="H560" s="107"/>
    </row>
    <row r="561" spans="1:8" ht="22.5" customHeight="1" x14ac:dyDescent="0.2">
      <c r="A561" s="105"/>
      <c r="B561" s="106"/>
      <c r="C561" s="106"/>
      <c r="D561" s="106"/>
      <c r="E561" s="106"/>
      <c r="F561" s="106"/>
      <c r="G561" s="106"/>
      <c r="H561" s="107"/>
    </row>
    <row r="562" spans="1:8" ht="55.5" customHeight="1" x14ac:dyDescent="0.2">
      <c r="A562" s="111" t="s">
        <v>121</v>
      </c>
      <c r="B562" s="112"/>
      <c r="C562" s="113" t="s">
        <v>296</v>
      </c>
      <c r="D562" s="114"/>
      <c r="E562" s="181" t="s">
        <v>122</v>
      </c>
      <c r="F562" s="181"/>
      <c r="G562" s="226"/>
      <c r="H562" s="226"/>
    </row>
  </sheetData>
  <mergeCells count="765">
    <mergeCell ref="D379:G379"/>
    <mergeCell ref="A180:H180"/>
    <mergeCell ref="A200:B200"/>
    <mergeCell ref="A201:B201"/>
    <mergeCell ref="A202:B202"/>
    <mergeCell ref="A203:B203"/>
    <mergeCell ref="A209:B209"/>
    <mergeCell ref="A210:B210"/>
    <mergeCell ref="A211:B211"/>
    <mergeCell ref="A212:B212"/>
    <mergeCell ref="A213:B213"/>
    <mergeCell ref="A214:B214"/>
    <mergeCell ref="D241:G241"/>
    <mergeCell ref="A250:H250"/>
    <mergeCell ref="A215:B215"/>
    <mergeCell ref="A216:B216"/>
    <mergeCell ref="A225:B225"/>
    <mergeCell ref="A226:B226"/>
    <mergeCell ref="A227:B227"/>
    <mergeCell ref="A220:B220"/>
    <mergeCell ref="A221:B221"/>
    <mergeCell ref="A222:B222"/>
    <mergeCell ref="A223:B223"/>
    <mergeCell ref="D210:G210"/>
    <mergeCell ref="A561:H561"/>
    <mergeCell ref="A556:H556"/>
    <mergeCell ref="A557:H557"/>
    <mergeCell ref="A558:H558"/>
    <mergeCell ref="A559:H559"/>
    <mergeCell ref="A560:H560"/>
    <mergeCell ref="A547:H547"/>
    <mergeCell ref="A548:H548"/>
    <mergeCell ref="A549:H549"/>
    <mergeCell ref="A550:H550"/>
    <mergeCell ref="A551:H551"/>
    <mergeCell ref="A552:H552"/>
    <mergeCell ref="A553:H553"/>
    <mergeCell ref="A554:H554"/>
    <mergeCell ref="A555:H555"/>
    <mergeCell ref="A528:H528"/>
    <mergeCell ref="A540:H540"/>
    <mergeCell ref="A541:H541"/>
    <mergeCell ref="A542:H542"/>
    <mergeCell ref="A543:H543"/>
    <mergeCell ref="A544:H544"/>
    <mergeCell ref="A545:H545"/>
    <mergeCell ref="A546:H546"/>
    <mergeCell ref="A529:H529"/>
    <mergeCell ref="A530:H530"/>
    <mergeCell ref="A531:H531"/>
    <mergeCell ref="A532:H532"/>
    <mergeCell ref="A533:H533"/>
    <mergeCell ref="A534:H534"/>
    <mergeCell ref="A535:H535"/>
    <mergeCell ref="A536:H536"/>
    <mergeCell ref="A537:H537"/>
    <mergeCell ref="A538:H538"/>
    <mergeCell ref="A539:H539"/>
    <mergeCell ref="A504:H504"/>
    <mergeCell ref="A520:H520"/>
    <mergeCell ref="A521:H521"/>
    <mergeCell ref="A522:H522"/>
    <mergeCell ref="A523:H523"/>
    <mergeCell ref="A524:H524"/>
    <mergeCell ref="A525:H525"/>
    <mergeCell ref="A526:H526"/>
    <mergeCell ref="A527:H527"/>
    <mergeCell ref="A505:H505"/>
    <mergeCell ref="A506:H506"/>
    <mergeCell ref="A511:H511"/>
    <mergeCell ref="A512:H512"/>
    <mergeCell ref="A454:H454"/>
    <mergeCell ref="A455:H455"/>
    <mergeCell ref="A456:H456"/>
    <mergeCell ref="A457:H457"/>
    <mergeCell ref="A458:H458"/>
    <mergeCell ref="A516:H516"/>
    <mergeCell ref="A517:H517"/>
    <mergeCell ref="A518:H518"/>
    <mergeCell ref="A519:H519"/>
    <mergeCell ref="A464:H464"/>
    <mergeCell ref="A465:H465"/>
    <mergeCell ref="A459:H459"/>
    <mergeCell ref="A460:H460"/>
    <mergeCell ref="A461:H461"/>
    <mergeCell ref="A462:H462"/>
    <mergeCell ref="A463:H463"/>
    <mergeCell ref="A478:H478"/>
    <mergeCell ref="A479:H479"/>
    <mergeCell ref="A480:H480"/>
    <mergeCell ref="A481:H481"/>
    <mergeCell ref="A482:H482"/>
    <mergeCell ref="A483:H483"/>
    <mergeCell ref="A484:H484"/>
    <mergeCell ref="A485:H485"/>
    <mergeCell ref="A445:H445"/>
    <mergeCell ref="A446:H446"/>
    <mergeCell ref="A447:H447"/>
    <mergeCell ref="A448:H448"/>
    <mergeCell ref="A449:H449"/>
    <mergeCell ref="A450:H450"/>
    <mergeCell ref="A451:H451"/>
    <mergeCell ref="A452:H452"/>
    <mergeCell ref="A453:H453"/>
    <mergeCell ref="A436:H436"/>
    <mergeCell ref="A437:H437"/>
    <mergeCell ref="A438:H438"/>
    <mergeCell ref="A439:H439"/>
    <mergeCell ref="A440:H440"/>
    <mergeCell ref="A441:H441"/>
    <mergeCell ref="A442:H442"/>
    <mergeCell ref="A443:H443"/>
    <mergeCell ref="A444:H444"/>
    <mergeCell ref="A427:H427"/>
    <mergeCell ref="A428:H428"/>
    <mergeCell ref="A429:H429"/>
    <mergeCell ref="A430:H430"/>
    <mergeCell ref="A431:H431"/>
    <mergeCell ref="A432:H432"/>
    <mergeCell ref="A433:H433"/>
    <mergeCell ref="A434:H434"/>
    <mergeCell ref="A435:H435"/>
    <mergeCell ref="B413:H413"/>
    <mergeCell ref="B414:H414"/>
    <mergeCell ref="A416:B416"/>
    <mergeCell ref="B410:E410"/>
    <mergeCell ref="B415:H415"/>
    <mergeCell ref="A423:H423"/>
    <mergeCell ref="A424:H424"/>
    <mergeCell ref="A425:H425"/>
    <mergeCell ref="A426:H426"/>
    <mergeCell ref="A129:B129"/>
    <mergeCell ref="E139:F139"/>
    <mergeCell ref="E140:F140"/>
    <mergeCell ref="E141:F141"/>
    <mergeCell ref="E142:F142"/>
    <mergeCell ref="G143:H143"/>
    <mergeCell ref="G144:H144"/>
    <mergeCell ref="E143:F143"/>
    <mergeCell ref="A140:B140"/>
    <mergeCell ref="A141:B141"/>
    <mergeCell ref="A142:B142"/>
    <mergeCell ref="A143:B143"/>
    <mergeCell ref="A144:B144"/>
    <mergeCell ref="C139:D139"/>
    <mergeCell ref="C144:D144"/>
    <mergeCell ref="A132:B132"/>
    <mergeCell ref="C132:D132"/>
    <mergeCell ref="A133:B133"/>
    <mergeCell ref="C133:D133"/>
    <mergeCell ref="G109:H109"/>
    <mergeCell ref="A110:B110"/>
    <mergeCell ref="C110:D110"/>
    <mergeCell ref="G110:H119"/>
    <mergeCell ref="A111:B111"/>
    <mergeCell ref="C111:D111"/>
    <mergeCell ref="A112:B112"/>
    <mergeCell ref="C112:D112"/>
    <mergeCell ref="A113:B113"/>
    <mergeCell ref="C113:D113"/>
    <mergeCell ref="A114:B114"/>
    <mergeCell ref="C109:D109"/>
    <mergeCell ref="A59:B59"/>
    <mergeCell ref="C59:H59"/>
    <mergeCell ref="C62:D62"/>
    <mergeCell ref="C138:D138"/>
    <mergeCell ref="C108:H108"/>
    <mergeCell ref="G150:H150"/>
    <mergeCell ref="E151:F151"/>
    <mergeCell ref="G151:H151"/>
    <mergeCell ref="E152:F152"/>
    <mergeCell ref="G152:H152"/>
    <mergeCell ref="A69:B69"/>
    <mergeCell ref="A70:B70"/>
    <mergeCell ref="A71:B71"/>
    <mergeCell ref="C60:H60"/>
    <mergeCell ref="A63:H63"/>
    <mergeCell ref="E138:F138"/>
    <mergeCell ref="E146:F146"/>
    <mergeCell ref="G146:H146"/>
    <mergeCell ref="E147:F147"/>
    <mergeCell ref="G147:H147"/>
    <mergeCell ref="E148:F148"/>
    <mergeCell ref="G148:H148"/>
    <mergeCell ref="G67:H67"/>
    <mergeCell ref="G68:H77"/>
    <mergeCell ref="C69:D69"/>
    <mergeCell ref="C70:D70"/>
    <mergeCell ref="A68:B68"/>
    <mergeCell ref="A60:B60"/>
    <mergeCell ref="A62:B62"/>
    <mergeCell ref="A67:B67"/>
    <mergeCell ref="A72:B72"/>
    <mergeCell ref="A1:H1"/>
    <mergeCell ref="C23:H23"/>
    <mergeCell ref="C22:H22"/>
    <mergeCell ref="C17:H17"/>
    <mergeCell ref="C16:H16"/>
    <mergeCell ref="C25:H25"/>
    <mergeCell ref="C10:H10"/>
    <mergeCell ref="A6:H6"/>
    <mergeCell ref="C20:H20"/>
    <mergeCell ref="C21:H21"/>
    <mergeCell ref="C24:H24"/>
    <mergeCell ref="A2:H2"/>
    <mergeCell ref="C7:H7"/>
    <mergeCell ref="C8:H8"/>
    <mergeCell ref="C19:H19"/>
    <mergeCell ref="C9:H9"/>
    <mergeCell ref="C13:H13"/>
    <mergeCell ref="C14:H14"/>
    <mergeCell ref="C15:H15"/>
    <mergeCell ref="C18:E18"/>
    <mergeCell ref="C11:H11"/>
    <mergeCell ref="C12:H12"/>
    <mergeCell ref="A5:B5"/>
    <mergeCell ref="A15:B15"/>
    <mergeCell ref="E562:F562"/>
    <mergeCell ref="G562:H562"/>
    <mergeCell ref="C134:H134"/>
    <mergeCell ref="A135:H135"/>
    <mergeCell ref="E136:F136"/>
    <mergeCell ref="E137:F137"/>
    <mergeCell ref="E144:F144"/>
    <mergeCell ref="A159:H159"/>
    <mergeCell ref="A469:H469"/>
    <mergeCell ref="A470:H470"/>
    <mergeCell ref="A471:H471"/>
    <mergeCell ref="A472:H472"/>
    <mergeCell ref="A473:H473"/>
    <mergeCell ref="A474:H474"/>
    <mergeCell ref="A475:H475"/>
    <mergeCell ref="A476:H476"/>
    <mergeCell ref="A477:H477"/>
    <mergeCell ref="A401:H401"/>
    <mergeCell ref="A492:H492"/>
    <mergeCell ref="A493:H493"/>
    <mergeCell ref="A402:E402"/>
    <mergeCell ref="A163:H163"/>
    <mergeCell ref="A204:H204"/>
    <mergeCell ref="A224:H224"/>
    <mergeCell ref="A403:E403"/>
    <mergeCell ref="F403:H403"/>
    <mergeCell ref="A490:H490"/>
    <mergeCell ref="A491:H491"/>
    <mergeCell ref="A174:B174"/>
    <mergeCell ref="A175:B175"/>
    <mergeCell ref="A176:B176"/>
    <mergeCell ref="E178:E179"/>
    <mergeCell ref="F178:F179"/>
    <mergeCell ref="A181:H181"/>
    <mergeCell ref="A206:B206"/>
    <mergeCell ref="A208:B208"/>
    <mergeCell ref="A190:B190"/>
    <mergeCell ref="A191:H191"/>
    <mergeCell ref="B178:B179"/>
    <mergeCell ref="A205:B205"/>
    <mergeCell ref="A184:H184"/>
    <mergeCell ref="A146:B146"/>
    <mergeCell ref="A147:B147"/>
    <mergeCell ref="A148:B148"/>
    <mergeCell ref="C161:C162"/>
    <mergeCell ref="E161:E162"/>
    <mergeCell ref="A160:H160"/>
    <mergeCell ref="B161:B162"/>
    <mergeCell ref="E157:F157"/>
    <mergeCell ref="G157:H157"/>
    <mergeCell ref="F161:F162"/>
    <mergeCell ref="A161:A162"/>
    <mergeCell ref="C146:D146"/>
    <mergeCell ref="A153:B153"/>
    <mergeCell ref="C153:D153"/>
    <mergeCell ref="E153:F153"/>
    <mergeCell ref="G153:H153"/>
    <mergeCell ref="A154:B154"/>
    <mergeCell ref="C154:D154"/>
    <mergeCell ref="E154:F154"/>
    <mergeCell ref="G154:H154"/>
    <mergeCell ref="A156:B156"/>
    <mergeCell ref="C156:D156"/>
    <mergeCell ref="E156:F156"/>
    <mergeCell ref="G156:H156"/>
    <mergeCell ref="A486:H486"/>
    <mergeCell ref="A487:H487"/>
    <mergeCell ref="A488:H488"/>
    <mergeCell ref="A489:H489"/>
    <mergeCell ref="C178:C179"/>
    <mergeCell ref="D178:D179"/>
    <mergeCell ref="A150:B150"/>
    <mergeCell ref="A151:B151"/>
    <mergeCell ref="A152:B152"/>
    <mergeCell ref="A157:B157"/>
    <mergeCell ref="A158:B158"/>
    <mergeCell ref="A164:H164"/>
    <mergeCell ref="A165:B165"/>
    <mergeCell ref="A166:B166"/>
    <mergeCell ref="A167:B167"/>
    <mergeCell ref="A170:B170"/>
    <mergeCell ref="A171:B171"/>
    <mergeCell ref="A172:B172"/>
    <mergeCell ref="A173:B173"/>
    <mergeCell ref="A192:B192"/>
    <mergeCell ref="A193:B193"/>
    <mergeCell ref="A194:B194"/>
    <mergeCell ref="A195:B195"/>
    <mergeCell ref="A196:B196"/>
    <mergeCell ref="A494:H494"/>
    <mergeCell ref="A75:B75"/>
    <mergeCell ref="A76:B76"/>
    <mergeCell ref="A77:B77"/>
    <mergeCell ref="A134:B134"/>
    <mergeCell ref="A136:B136"/>
    <mergeCell ref="A137:B137"/>
    <mergeCell ref="A138:B138"/>
    <mergeCell ref="A139:B139"/>
    <mergeCell ref="C466:H466"/>
    <mergeCell ref="A467:H467"/>
    <mergeCell ref="A468:H468"/>
    <mergeCell ref="A149:H149"/>
    <mergeCell ref="E150:F150"/>
    <mergeCell ref="E158:F158"/>
    <mergeCell ref="G158:H158"/>
    <mergeCell ref="C136:D136"/>
    <mergeCell ref="C137:D137"/>
    <mergeCell ref="C140:D140"/>
    <mergeCell ref="C141:D141"/>
    <mergeCell ref="C142:D142"/>
    <mergeCell ref="C143:D143"/>
    <mergeCell ref="D161:D162"/>
    <mergeCell ref="A178:A179"/>
    <mergeCell ref="A500:H500"/>
    <mergeCell ref="A501:H501"/>
    <mergeCell ref="A502:H502"/>
    <mergeCell ref="A503:H503"/>
    <mergeCell ref="F402:H402"/>
    <mergeCell ref="A388:H388"/>
    <mergeCell ref="A168:B168"/>
    <mergeCell ref="A169:B169"/>
    <mergeCell ref="C416:H416"/>
    <mergeCell ref="A417:H417"/>
    <mergeCell ref="A418:H418"/>
    <mergeCell ref="A419:H419"/>
    <mergeCell ref="A420:H420"/>
    <mergeCell ref="A421:H421"/>
    <mergeCell ref="A422:H422"/>
    <mergeCell ref="A404:H404"/>
    <mergeCell ref="B406:H406"/>
    <mergeCell ref="B407:H407"/>
    <mergeCell ref="B408:H408"/>
    <mergeCell ref="B409:H409"/>
    <mergeCell ref="B411:H411"/>
    <mergeCell ref="B412:H412"/>
    <mergeCell ref="A177:H177"/>
    <mergeCell ref="A207:B207"/>
    <mergeCell ref="C54:H54"/>
    <mergeCell ref="C55:H55"/>
    <mergeCell ref="E56:H56"/>
    <mergeCell ref="E57:H57"/>
    <mergeCell ref="G48:H48"/>
    <mergeCell ref="C32:H32"/>
    <mergeCell ref="A53:B53"/>
    <mergeCell ref="A54:B54"/>
    <mergeCell ref="A55:B55"/>
    <mergeCell ref="A56:B58"/>
    <mergeCell ref="C44:H44"/>
    <mergeCell ref="C51:F51"/>
    <mergeCell ref="G51:H51"/>
    <mergeCell ref="G49:H49"/>
    <mergeCell ref="C49:F49"/>
    <mergeCell ref="C50:F50"/>
    <mergeCell ref="C56:D56"/>
    <mergeCell ref="C57:D57"/>
    <mergeCell ref="C58:D58"/>
    <mergeCell ref="E58:H58"/>
    <mergeCell ref="G50:H50"/>
    <mergeCell ref="C48:F48"/>
    <mergeCell ref="C45:H45"/>
    <mergeCell ref="C37:H37"/>
    <mergeCell ref="C43:D43"/>
    <mergeCell ref="G26:H26"/>
    <mergeCell ref="G27:H27"/>
    <mergeCell ref="E27:F27"/>
    <mergeCell ref="F18:H18"/>
    <mergeCell ref="C35:H35"/>
    <mergeCell ref="E43:F43"/>
    <mergeCell ref="A145:H145"/>
    <mergeCell ref="A42:B42"/>
    <mergeCell ref="A43:B43"/>
    <mergeCell ref="A20:B20"/>
    <mergeCell ref="A21:B21"/>
    <mergeCell ref="A22:B22"/>
    <mergeCell ref="A23:B23"/>
    <mergeCell ref="A24:B24"/>
    <mergeCell ref="A73:B73"/>
    <mergeCell ref="A74:B74"/>
    <mergeCell ref="A35:B37"/>
    <mergeCell ref="A64:D65"/>
    <mergeCell ref="C66:H66"/>
    <mergeCell ref="A61:H61"/>
    <mergeCell ref="F62:H62"/>
    <mergeCell ref="C53:H53"/>
    <mergeCell ref="A19:B19"/>
    <mergeCell ref="A27:B30"/>
    <mergeCell ref="A32:B34"/>
    <mergeCell ref="G31:H31"/>
    <mergeCell ref="C42:H42"/>
    <mergeCell ref="G43:H43"/>
    <mergeCell ref="A46:H46"/>
    <mergeCell ref="C47:F47"/>
    <mergeCell ref="G47:H47"/>
    <mergeCell ref="A44:B44"/>
    <mergeCell ref="A45:B45"/>
    <mergeCell ref="A47:B52"/>
    <mergeCell ref="C30:D30"/>
    <mergeCell ref="E30:F30"/>
    <mergeCell ref="G30:H30"/>
    <mergeCell ref="C33:H33"/>
    <mergeCell ref="C34:H34"/>
    <mergeCell ref="A25:B25"/>
    <mergeCell ref="A26:B26"/>
    <mergeCell ref="A31:B31"/>
    <mergeCell ref="A38:B41"/>
    <mergeCell ref="C52:F52"/>
    <mergeCell ref="G52:H52"/>
    <mergeCell ref="C36:H36"/>
    <mergeCell ref="A7:B7"/>
    <mergeCell ref="A8:B8"/>
    <mergeCell ref="A9:B9"/>
    <mergeCell ref="A10:B10"/>
    <mergeCell ref="A11:B11"/>
    <mergeCell ref="A12:B12"/>
    <mergeCell ref="A13:B13"/>
    <mergeCell ref="A14:B14"/>
    <mergeCell ref="A18:B18"/>
    <mergeCell ref="A16:B16"/>
    <mergeCell ref="A17:B17"/>
    <mergeCell ref="C80:H80"/>
    <mergeCell ref="A81:B81"/>
    <mergeCell ref="C81:D81"/>
    <mergeCell ref="G81:H81"/>
    <mergeCell ref="A82:B82"/>
    <mergeCell ref="G3:H3"/>
    <mergeCell ref="G4:H4"/>
    <mergeCell ref="G5:H5"/>
    <mergeCell ref="C38:D38"/>
    <mergeCell ref="C39:D39"/>
    <mergeCell ref="C40:D40"/>
    <mergeCell ref="C41:D41"/>
    <mergeCell ref="C3:E3"/>
    <mergeCell ref="C4:E4"/>
    <mergeCell ref="C5:E5"/>
    <mergeCell ref="C31:E31"/>
    <mergeCell ref="C26:E26"/>
    <mergeCell ref="C27:D27"/>
    <mergeCell ref="C28:D28"/>
    <mergeCell ref="E28:F28"/>
    <mergeCell ref="G28:H28"/>
    <mergeCell ref="C29:D29"/>
    <mergeCell ref="E29:F29"/>
    <mergeCell ref="G29:H29"/>
    <mergeCell ref="C147:D147"/>
    <mergeCell ref="C148:D148"/>
    <mergeCell ref="C150:D150"/>
    <mergeCell ref="C151:D151"/>
    <mergeCell ref="C152:D152"/>
    <mergeCell ref="C157:D157"/>
    <mergeCell ref="C158:D158"/>
    <mergeCell ref="C73:D73"/>
    <mergeCell ref="C74:D74"/>
    <mergeCell ref="C75:D75"/>
    <mergeCell ref="C76:D76"/>
    <mergeCell ref="C77:D77"/>
    <mergeCell ref="A106:D107"/>
    <mergeCell ref="A120:D12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9:B109"/>
    <mergeCell ref="C71:D71"/>
    <mergeCell ref="C72:D72"/>
    <mergeCell ref="C67:D67"/>
    <mergeCell ref="C68:D68"/>
    <mergeCell ref="A78:D79"/>
    <mergeCell ref="A389:B389"/>
    <mergeCell ref="A390:B390"/>
    <mergeCell ref="A391:B391"/>
    <mergeCell ref="A392:B392"/>
    <mergeCell ref="A237:H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355:H355"/>
    <mergeCell ref="A356:H356"/>
    <mergeCell ref="A358:B358"/>
    <mergeCell ref="A359:B359"/>
    <mergeCell ref="A360:B360"/>
    <mergeCell ref="A361:B361"/>
    <mergeCell ref="A362:H362"/>
    <mergeCell ref="A562:B562"/>
    <mergeCell ref="C562:D562"/>
    <mergeCell ref="A466:B466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B405:H405"/>
    <mergeCell ref="A513:H513"/>
    <mergeCell ref="A514:H514"/>
    <mergeCell ref="A515:H515"/>
    <mergeCell ref="A495:H495"/>
    <mergeCell ref="A496:H496"/>
    <mergeCell ref="A497:H497"/>
    <mergeCell ref="A498:H498"/>
    <mergeCell ref="A499:H499"/>
    <mergeCell ref="A507:H507"/>
    <mergeCell ref="A508:H508"/>
    <mergeCell ref="A509:H509"/>
    <mergeCell ref="A510:H510"/>
    <mergeCell ref="A155:B155"/>
    <mergeCell ref="C155:D155"/>
    <mergeCell ref="E155:F155"/>
    <mergeCell ref="G155:H155"/>
    <mergeCell ref="A182:H182"/>
    <mergeCell ref="A183:H183"/>
    <mergeCell ref="A185:B185"/>
    <mergeCell ref="A186:B186"/>
    <mergeCell ref="A187:B187"/>
    <mergeCell ref="A188:B188"/>
    <mergeCell ref="A189:B189"/>
    <mergeCell ref="A251:H251"/>
    <mergeCell ref="A252:H252"/>
    <mergeCell ref="A253:B253"/>
    <mergeCell ref="A254:B254"/>
    <mergeCell ref="A255:B255"/>
    <mergeCell ref="A256:B256"/>
    <mergeCell ref="A257:B257"/>
    <mergeCell ref="A232:B232"/>
    <mergeCell ref="A233:B233"/>
    <mergeCell ref="A234:B234"/>
    <mergeCell ref="A235:B235"/>
    <mergeCell ref="A236:B236"/>
    <mergeCell ref="A197:B197"/>
    <mergeCell ref="A198:B198"/>
    <mergeCell ref="A199:B199"/>
    <mergeCell ref="A228:B228"/>
    <mergeCell ref="A229:B229"/>
    <mergeCell ref="A230:B230"/>
    <mergeCell ref="A231:B231"/>
    <mergeCell ref="A217:H217"/>
    <mergeCell ref="A219:H219"/>
    <mergeCell ref="A218:H218"/>
    <mergeCell ref="A258:B258"/>
    <mergeCell ref="A259:H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99:B299"/>
    <mergeCell ref="A269:B269"/>
    <mergeCell ref="A270:B270"/>
    <mergeCell ref="A271:B271"/>
    <mergeCell ref="A272:H272"/>
    <mergeCell ref="A273:B273"/>
    <mergeCell ref="A274:B274"/>
    <mergeCell ref="A275:B275"/>
    <mergeCell ref="A276:B276"/>
    <mergeCell ref="A277:B277"/>
    <mergeCell ref="A384:B384"/>
    <mergeCell ref="A278:B278"/>
    <mergeCell ref="D278:G278"/>
    <mergeCell ref="A279:B279"/>
    <mergeCell ref="A280:B280"/>
    <mergeCell ref="A281:B281"/>
    <mergeCell ref="A282:B282"/>
    <mergeCell ref="A283:B283"/>
    <mergeCell ref="A284:B284"/>
    <mergeCell ref="A375:H375"/>
    <mergeCell ref="A285:H285"/>
    <mergeCell ref="A286:H286"/>
    <mergeCell ref="A287:H287"/>
    <mergeCell ref="A288:H288"/>
    <mergeCell ref="A289:B289"/>
    <mergeCell ref="A290:B290"/>
    <mergeCell ref="A291:B291"/>
    <mergeCell ref="A292:B292"/>
    <mergeCell ref="A293:H293"/>
    <mergeCell ref="A294:B294"/>
    <mergeCell ref="A295:B295"/>
    <mergeCell ref="A296:B296"/>
    <mergeCell ref="A297:B297"/>
    <mergeCell ref="A298:B298"/>
    <mergeCell ref="A385:B385"/>
    <mergeCell ref="A386:B386"/>
    <mergeCell ref="A387:B387"/>
    <mergeCell ref="A357:H357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00:B300"/>
    <mergeCell ref="A301:B301"/>
    <mergeCell ref="A302:B302"/>
    <mergeCell ref="A303:B303"/>
    <mergeCell ref="A304:B304"/>
    <mergeCell ref="A305:B305"/>
    <mergeCell ref="A306:H306"/>
    <mergeCell ref="A307:B307"/>
    <mergeCell ref="A308:B308"/>
    <mergeCell ref="A309:B309"/>
    <mergeCell ref="A310:B310"/>
    <mergeCell ref="D310:G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H319"/>
    <mergeCell ref="A320:H320"/>
    <mergeCell ref="A321:H321"/>
    <mergeCell ref="A322:H322"/>
    <mergeCell ref="A323:B323"/>
    <mergeCell ref="A324:B324"/>
    <mergeCell ref="A325:B325"/>
    <mergeCell ref="A326:B326"/>
    <mergeCell ref="A327:B327"/>
    <mergeCell ref="A328:B328"/>
    <mergeCell ref="A329:H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H342"/>
    <mergeCell ref="A343:B343"/>
    <mergeCell ref="A352:B352"/>
    <mergeCell ref="A353:B353"/>
    <mergeCell ref="A354:B354"/>
    <mergeCell ref="A344:B344"/>
    <mergeCell ref="A345:B345"/>
    <mergeCell ref="A346:B346"/>
    <mergeCell ref="A347:B347"/>
    <mergeCell ref="A348:B348"/>
    <mergeCell ref="D348:G348"/>
    <mergeCell ref="A349:B349"/>
    <mergeCell ref="A350:B350"/>
    <mergeCell ref="A351:B351"/>
    <mergeCell ref="A128:B128"/>
    <mergeCell ref="C128:D128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C122:H122"/>
    <mergeCell ref="A123:B123"/>
    <mergeCell ref="C123:D123"/>
    <mergeCell ref="G123:H123"/>
    <mergeCell ref="A124:B124"/>
    <mergeCell ref="C124:D124"/>
    <mergeCell ref="G124:H133"/>
    <mergeCell ref="A125:B125"/>
    <mergeCell ref="C125:D125"/>
    <mergeCell ref="A126:B126"/>
    <mergeCell ref="C126:D126"/>
    <mergeCell ref="A127:B127"/>
    <mergeCell ref="C127:D127"/>
    <mergeCell ref="C129:D129"/>
    <mergeCell ref="A130:B130"/>
    <mergeCell ref="C130:D130"/>
    <mergeCell ref="A131:B131"/>
    <mergeCell ref="C131:D131"/>
    <mergeCell ref="C82:D82"/>
    <mergeCell ref="G82:H91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A90:B90"/>
    <mergeCell ref="C90:D90"/>
    <mergeCell ref="C88:D88"/>
    <mergeCell ref="A89:B89"/>
    <mergeCell ref="C89:D89"/>
    <mergeCell ref="K93:O94"/>
    <mergeCell ref="A91:B91"/>
    <mergeCell ref="C91:D91"/>
    <mergeCell ref="A92:D93"/>
    <mergeCell ref="C94:H94"/>
    <mergeCell ref="A95:B95"/>
    <mergeCell ref="C95:D95"/>
    <mergeCell ref="G95:H95"/>
    <mergeCell ref="A96:B96"/>
    <mergeCell ref="C96:D96"/>
    <mergeCell ref="G96:H105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</mergeCells>
  <phoneticPr fontId="19" type="noConversion"/>
  <dataValidations count="7">
    <dataValidation type="list" allowBlank="1" showInputMessage="1" showErrorMessage="1" sqref="A9:B9">
      <formula1>"CTS No,Survey No,Plot No,Gut No,FP No,"</formula1>
    </dataValidation>
    <dataValidation type="list" allowBlank="1" showInputMessage="1" showErrorMessage="1" sqref="B178">
      <formula1>"Flat No. (Sale Plan),Sale / Rehab,Sale / Mhada"</formula1>
    </dataValidation>
    <dataValidation type="list" allowBlank="1" showInputMessage="1" showErrorMessage="1" sqref="D161">
      <formula1>"Carpet area,RERA Carpet area"</formula1>
    </dataValidation>
    <dataValidation type="list" allowBlank="1" showInputMessage="1" showErrorMessage="1" sqref="E178:E179">
      <formula1>"Fungible area,Balcony Area,Chajja Area,Cornice Area,AP Area,WS Area"</formula1>
    </dataValidation>
    <dataValidation type="list" allowBlank="1" showInputMessage="1" showErrorMessage="1" sqref="E161:E162">
      <formula1>"Attached Loft area,Attached Otla area,Attached Mezzanine area"</formula1>
    </dataValidation>
    <dataValidation type="list" allowBlank="1" showInputMessage="1" showErrorMessage="1" sqref="B161">
      <formula1>"Shop No. (Sale Plan),Sale / Rehab,Sale / Mhada"</formula1>
    </dataValidation>
    <dataValidation type="list" allowBlank="1" showInputMessage="1" showErrorMessage="1" sqref="D178:D179">
      <formula1>"Carpet area,RERA Carpet area + CB Area"</formula1>
    </dataValidation>
  </dataValidations>
  <hyperlinks>
    <hyperlink ref="C19" r:id="rId1"/>
  </hyperlinks>
  <printOptions horizontalCentered="1"/>
  <pageMargins left="0.23622047244094491" right="0.23622047244094491" top="0.78740157480314965" bottom="0.70866141732283472" header="0.19685039370078741" footer="0.19685039370078741"/>
  <pageSetup paperSize="2" orientation="portrait" r:id="rId2"/>
  <headerFooter>
    <oddHeader>&amp;C&amp;G</oddHeader>
    <oddFooter>&amp;L&amp;"Times New Roman,Bold"&amp;F&amp;R&amp;"Times New Roman,Bold"&amp;P</oddFooter>
  </headerFooter>
  <rowBreaks count="6" manualBreakCount="6">
    <brk id="62" max="16383" man="1"/>
    <brk id="105" max="16383" man="1"/>
    <brk id="403" max="16383" man="1"/>
    <brk id="415" max="16383" man="1"/>
    <brk id="465" max="16383" man="1"/>
    <brk id="51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15" zoomScaleNormal="115" workbookViewId="0">
      <selection activeCell="C1" sqref="A1:XFD13"/>
    </sheetView>
  </sheetViews>
  <sheetFormatPr defaultRowHeight="15" x14ac:dyDescent="0.25"/>
  <cols>
    <col min="1" max="1" width="24.140625" customWidth="1"/>
    <col min="2" max="6" width="17.5703125" customWidth="1"/>
    <col min="7" max="7" width="10.42578125" customWidth="1"/>
  </cols>
  <sheetData>
    <row r="1" spans="1:8" x14ac:dyDescent="0.25">
      <c r="A1" s="253" t="s">
        <v>116</v>
      </c>
      <c r="B1" s="254"/>
      <c r="C1" s="9" t="s">
        <v>59</v>
      </c>
      <c r="D1" s="9" t="s">
        <v>60</v>
      </c>
      <c r="E1" s="9" t="s">
        <v>61</v>
      </c>
      <c r="F1" s="10" t="s">
        <v>47</v>
      </c>
    </row>
    <row r="2" spans="1:8" x14ac:dyDescent="0.25">
      <c r="A2" s="255"/>
      <c r="B2" s="256"/>
      <c r="C2" s="7">
        <v>0</v>
      </c>
      <c r="D2" s="23">
        <v>1</v>
      </c>
      <c r="E2" s="7">
        <v>0</v>
      </c>
      <c r="F2" s="8">
        <f ca="1">--TRIM(RIGHT(SUBSTITUTE(LEFT(A1,_xlfn.AGGREGATE(16,6,FIND({0,1,2,3,4,5,6,7,8,9},A1,ROW(INDIRECT("1:"&amp;LEN(A1)))),1))," ",REPT(" ",LEN(A1))),LEN(A1)))</f>
        <v>3</v>
      </c>
    </row>
    <row r="3" spans="1:8" x14ac:dyDescent="0.25">
      <c r="A3" s="2" t="s">
        <v>62</v>
      </c>
      <c r="B3" s="3" t="s">
        <v>63</v>
      </c>
      <c r="C3" s="21" t="s">
        <v>64</v>
      </c>
      <c r="D3" s="24" t="s">
        <v>57</v>
      </c>
      <c r="E3" s="257" t="s">
        <v>136</v>
      </c>
      <c r="F3" s="258"/>
      <c r="G3" s="33" t="s">
        <v>65</v>
      </c>
      <c r="H3" s="28">
        <f ca="1">F2*25%</f>
        <v>0.75</v>
      </c>
    </row>
    <row r="4" spans="1:8" x14ac:dyDescent="0.25">
      <c r="A4" s="2" t="s">
        <v>66</v>
      </c>
      <c r="B4" s="4">
        <f ca="1">H5</f>
        <v>3</v>
      </c>
      <c r="C4" s="22">
        <f ca="1">((100/F2)*B4)/100</f>
        <v>1</v>
      </c>
      <c r="D4" s="26" t="str">
        <f ca="1">IF(C13=100%,"All work Completed. Possession granted to the Building.",IF(C12=100%,"All work Completed, Waiting for OC",D10&amp;""&amp;D11&amp;""&amp;D9&amp;""&amp;D12&amp;" "&amp;D13))</f>
        <v xml:space="preserve">Excavation, Plinth, RCC Slab, Brickwork Completed </v>
      </c>
      <c r="E4" s="259" t="str">
        <f ca="1">D4</f>
        <v xml:space="preserve">Excavation, Plinth, RCC Slab, Brickwork Completed </v>
      </c>
      <c r="F4" s="260"/>
      <c r="G4" s="1" t="s">
        <v>67</v>
      </c>
      <c r="H4" s="29">
        <f ca="1">F2*50%</f>
        <v>1.5</v>
      </c>
    </row>
    <row r="5" spans="1:8" x14ac:dyDescent="0.25">
      <c r="A5" s="2" t="s">
        <v>68</v>
      </c>
      <c r="B5" s="5">
        <f ca="1">H13</f>
        <v>3</v>
      </c>
      <c r="C5" s="22">
        <f ca="1">((100/F2)*B5)/100</f>
        <v>1</v>
      </c>
      <c r="D5" s="27"/>
      <c r="E5" s="261"/>
      <c r="F5" s="262"/>
      <c r="G5" s="1" t="s">
        <v>69</v>
      </c>
      <c r="H5" s="29">
        <f ca="1">F2</f>
        <v>3</v>
      </c>
    </row>
    <row r="6" spans="1:8" x14ac:dyDescent="0.25">
      <c r="A6" s="2" t="s">
        <v>70</v>
      </c>
      <c r="B6" s="5">
        <v>4</v>
      </c>
      <c r="C6" s="22">
        <f ca="1">((100/(D2+E2+F2))*B6)/100</f>
        <v>1</v>
      </c>
      <c r="D6" s="27"/>
      <c r="E6" s="261"/>
      <c r="F6" s="262"/>
      <c r="G6" s="1" t="s">
        <v>71</v>
      </c>
      <c r="H6" s="30">
        <f ca="1">(IF(C2&gt;1,(F2/(C2+2)),F2/4))</f>
        <v>0.75</v>
      </c>
    </row>
    <row r="7" spans="1:8" x14ac:dyDescent="0.25">
      <c r="A7" s="2" t="s">
        <v>72</v>
      </c>
      <c r="B7" s="4">
        <v>3</v>
      </c>
      <c r="C7" s="22">
        <f ca="1">((100/F2)*B7)/100</f>
        <v>1</v>
      </c>
      <c r="D7" s="27"/>
      <c r="E7" s="261"/>
      <c r="F7" s="262"/>
      <c r="G7" s="1" t="s">
        <v>73</v>
      </c>
      <c r="H7" s="30">
        <f ca="1">(IF(C2&gt;1,(F2/(C2+2)+H6),F2/4+H6))</f>
        <v>1.5</v>
      </c>
    </row>
    <row r="8" spans="1:8" x14ac:dyDescent="0.25">
      <c r="A8" s="2" t="s">
        <v>74</v>
      </c>
      <c r="B8" s="4">
        <v>0</v>
      </c>
      <c r="C8" s="22">
        <f ca="1">((100/F2)*B8)/100</f>
        <v>0</v>
      </c>
      <c r="D8" s="25">
        <f ca="1">(((B5/F2*10)+(40/(D2+E2+F2)*B6)+(15/(F2)*B7)+(5/(F2)*B8)+(5/F2*B9)+(10/F2*B10)+(5/F2*B11)+(5/F2*B12)+(5/F2*B13))/100)</f>
        <v>0.65</v>
      </c>
      <c r="E8" s="261"/>
      <c r="F8" s="262"/>
      <c r="G8" s="1" t="s">
        <v>75</v>
      </c>
      <c r="H8" s="30">
        <f>(IF(C2&gt;1,(F2/(C2+2)+H7),0))</f>
        <v>0</v>
      </c>
    </row>
    <row r="9" spans="1:8" x14ac:dyDescent="0.25">
      <c r="A9" s="2" t="s">
        <v>76</v>
      </c>
      <c r="B9" s="4">
        <v>0</v>
      </c>
      <c r="C9" s="22">
        <f ca="1">((100/(F2))*B9)/100</f>
        <v>0</v>
      </c>
      <c r="D9" s="27" t="str">
        <f ca="1">(IF(B4=0,"Work not yet Started.",IF(C4=25%,"Piling work in process",IF(C4=50%,"Excavation work in process",IF(C4=100%,"","0")))))&amp;(IF(B5=0%,"",IF(B5=H6,", Footing work is process",IF(B5=H7,", Footing work Completed",IF(B5=H8,", 1st Basement Completed",IF(B5=H9,", 1st &amp; 2nd Basement Completed",IF(B5=H10,", 1st to 3rd Basement Completed",IF(B5=H11,", 1st to 4th Basement Completed",IF(B5=H12,", Plinth work is process",IF(B5=H13,"","0"))))))))))</f>
        <v/>
      </c>
      <c r="E9" s="261"/>
      <c r="F9" s="262"/>
      <c r="G9" s="1" t="s">
        <v>77</v>
      </c>
      <c r="H9" s="30">
        <f>(IF(C2&gt;2,(F2/(C2+2)+H8),0))</f>
        <v>0</v>
      </c>
    </row>
    <row r="10" spans="1:8" x14ac:dyDescent="0.25">
      <c r="A10" s="2" t="s">
        <v>78</v>
      </c>
      <c r="B10" s="4">
        <v>0</v>
      </c>
      <c r="C10" s="22">
        <f ca="1">((100/F2)*B10)/100</f>
        <v>0</v>
      </c>
      <c r="D10" s="27" t="str">
        <f ca="1">IF(C4=100%,"Excavation","")&amp;IF(C5=100%,", Plinth","")&amp;IF(C6=100%,", RCC Slab","")&amp;IF(C7=100%,", Brickwork","")&amp;IF(C8=100%,", Internal Plaster","")&amp;IF(C9=100%,", External Plaster","")&amp;IF(C10=100%,", Flooring","")&amp;IF(C11=100%,", Painting","")&amp;IF(C12=100%,", Building common Amenities","")</f>
        <v>Excavation, Plinth, RCC Slab, Brickwork</v>
      </c>
      <c r="E10" s="261"/>
      <c r="F10" s="262"/>
      <c r="G10" s="1" t="s">
        <v>79</v>
      </c>
      <c r="H10" s="31">
        <f>(IF(C2&gt;3,(F2/(C2+2)+H9),0))</f>
        <v>0</v>
      </c>
    </row>
    <row r="11" spans="1:8" x14ac:dyDescent="0.25">
      <c r="A11" s="2" t="s">
        <v>80</v>
      </c>
      <c r="B11" s="4">
        <v>0</v>
      </c>
      <c r="C11" s="22">
        <f ca="1">((100/F2)*B11)/100</f>
        <v>0</v>
      </c>
      <c r="D11" s="27" t="str">
        <f ca="1">IF(D10&lt;&gt;""," Completed","")</f>
        <v xml:space="preserve"> Completed</v>
      </c>
      <c r="E11" s="261"/>
      <c r="F11" s="262"/>
      <c r="G11" s="1" t="s">
        <v>81</v>
      </c>
      <c r="H11" s="30">
        <f>(IF(C2&gt;4,(F2/(C2+2)+H10),0))</f>
        <v>0</v>
      </c>
    </row>
    <row r="12" spans="1:8" x14ac:dyDescent="0.25">
      <c r="A12" s="2" t="s">
        <v>82</v>
      </c>
      <c r="B12" s="4">
        <v>0</v>
      </c>
      <c r="C12" s="22">
        <f ca="1">((100/(F2))*B12)/100</f>
        <v>0</v>
      </c>
      <c r="D12" s="27" t="str">
        <f ca="1">(IF(B6=(D2+E2+F2),"",IF(B6&gt;0,", RCC upto "&amp;B6&amp;" Slab","")))&amp;(IF(B7=F2,"",IF(B7&gt;0,", Brickwork upto "&amp;B7&amp;" Floor","")))&amp;(IF(B8=F2,"",IF(B8&gt;0,", Internal Plaster upto "&amp;B8&amp;" Floor","")))&amp;(IF(B9=F2,"",IF(B9&gt;0,", External Plaster upto "&amp;B9&amp;" Floor","")))&amp;(IF(B10=F2,"",IF(B10&gt;0,", Flooring upto "&amp;B10&amp;" Floor","")))&amp;(IF(B11=F2,"",IF(B11&gt;0,", Painting upto "&amp;B11&amp;" Floor","")))&amp;(IF(B12=F2,"",IF(B12&gt;0,", Finishing upto "&amp;B12&amp;" Floor","")))&amp;(IF(B13=F2,"",IF(B13&gt;0,", Possession upto "&amp;B13&amp;" Floor","")))</f>
        <v/>
      </c>
      <c r="E12" s="261"/>
      <c r="F12" s="262"/>
      <c r="G12" s="1" t="s">
        <v>83</v>
      </c>
      <c r="H12" s="30">
        <f ca="1">(IF(C2=1,(F2/(C2+3)+H7),IF(C2=0,(F2/4+H7),IF(C2&gt;1,0))))</f>
        <v>2.25</v>
      </c>
    </row>
    <row r="13" spans="1:8" ht="15.75" thickBot="1" x14ac:dyDescent="0.3">
      <c r="A13" s="35" t="s">
        <v>84</v>
      </c>
      <c r="B13" s="36">
        <v>0</v>
      </c>
      <c r="C13" s="37">
        <f ca="1">((100/(F2))*B13)/100</f>
        <v>0</v>
      </c>
      <c r="D13" s="38" t="str">
        <f ca="1">IF(D12&lt;&gt;"","Completed","")</f>
        <v/>
      </c>
      <c r="E13" s="263"/>
      <c r="F13" s="264"/>
      <c r="G13" s="34" t="s">
        <v>85</v>
      </c>
      <c r="H13" s="32">
        <f ca="1">(IF(C2&gt;1.5,(F2/(C2+2)+H7+MAX(0,H8-H7)+MAX(0,H9-H8)+MAX(0,H10-H9)+MAX(0,H11-H10)+MAX(0,H12-H11)),IF(C2=1,(F2/(C2+3)+H12),IF(C2=0,F2/4+H12))))</f>
        <v>3</v>
      </c>
    </row>
  </sheetData>
  <mergeCells count="3">
    <mergeCell ref="A1:B2"/>
    <mergeCell ref="E3:F3"/>
    <mergeCell ref="E4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C%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AMDEKAR</dc:creator>
  <cp:lastModifiedBy>VSJC</cp:lastModifiedBy>
  <cp:lastPrinted>2025-09-11T12:01:28Z</cp:lastPrinted>
  <dcterms:created xsi:type="dcterms:W3CDTF">2019-01-21T04:29:02Z</dcterms:created>
  <dcterms:modified xsi:type="dcterms:W3CDTF">2025-09-11T12:02:49Z</dcterms:modified>
</cp:coreProperties>
</file>