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2" i="1" l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I195" i="1" s="1"/>
  <c r="J194" i="1" s="1"/>
  <c r="J195" i="1" s="1"/>
  <c r="I194" i="1"/>
  <c r="D194" i="1"/>
  <c r="F194" i="1" s="1"/>
  <c r="D193" i="1"/>
  <c r="F193" i="1" s="1"/>
  <c r="D192" i="1"/>
  <c r="G191" i="1"/>
  <c r="D191" i="1"/>
  <c r="F191" i="1" s="1"/>
  <c r="I181" i="1"/>
  <c r="C70" i="1" l="1"/>
  <c r="I62" i="1" l="1"/>
  <c r="C89" i="1" l="1"/>
  <c r="C75" i="1" l="1"/>
  <c r="D160" i="1" l="1"/>
  <c r="D150" i="1"/>
  <c r="F150" i="1" s="1"/>
  <c r="D124" i="1"/>
  <c r="F124" i="1" s="1"/>
  <c r="C82" i="1" l="1"/>
  <c r="J93" i="1"/>
  <c r="J92" i="1"/>
  <c r="J91" i="1"/>
  <c r="J90" i="1"/>
  <c r="I214" i="1" l="1"/>
  <c r="D214" i="1"/>
  <c r="F214" i="1" s="1"/>
  <c r="D213" i="1"/>
  <c r="F213" i="1" s="1"/>
  <c r="D212" i="1"/>
  <c r="F212" i="1" s="1"/>
  <c r="I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I206" i="1" s="1"/>
  <c r="D205" i="1"/>
  <c r="F205" i="1" s="1"/>
  <c r="I205" i="1" s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G204" i="1"/>
  <c r="D204" i="1"/>
  <c r="F204" i="1" s="1"/>
  <c r="I204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I182" i="1" s="1"/>
  <c r="J181" i="1" s="1"/>
  <c r="J182" i="1" s="1"/>
  <c r="D181" i="1"/>
  <c r="F181" i="1" s="1"/>
  <c r="D180" i="1"/>
  <c r="F180" i="1" s="1"/>
  <c r="D179" i="1"/>
  <c r="F179" i="1" s="1"/>
  <c r="D178" i="1"/>
  <c r="F17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66" i="1"/>
  <c r="F166" i="1" s="1"/>
  <c r="I166" i="1" s="1"/>
  <c r="D167" i="1"/>
  <c r="F167" i="1" s="1"/>
  <c r="I167" i="1" s="1"/>
  <c r="D168" i="1"/>
  <c r="F168" i="1" s="1"/>
  <c r="D165" i="1"/>
  <c r="G165" i="1"/>
  <c r="G178" i="1"/>
  <c r="A166" i="1"/>
  <c r="A167" i="1" s="1"/>
  <c r="A168" i="1" s="1"/>
  <c r="A169" i="1" s="1"/>
  <c r="A170" i="1" s="1"/>
  <c r="A171" i="1" s="1"/>
  <c r="A172" i="1" s="1"/>
  <c r="A173" i="1" s="1"/>
  <c r="A174" i="1" s="1"/>
  <c r="G50" i="1"/>
  <c r="G51" i="1" s="1"/>
  <c r="C50" i="1"/>
  <c r="F165" i="1" l="1"/>
  <c r="E113" i="1"/>
  <c r="C113" i="1"/>
  <c r="I211" i="1"/>
  <c r="I175" i="1"/>
  <c r="A175" i="1"/>
  <c r="A176" i="1" s="1"/>
  <c r="I173" i="1"/>
  <c r="I172" i="1"/>
  <c r="G124" i="1"/>
  <c r="I124" i="1"/>
  <c r="I165" i="1" l="1"/>
  <c r="G113" i="1"/>
  <c r="D138" i="1"/>
  <c r="D139" i="1"/>
  <c r="D140" i="1"/>
  <c r="D141" i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137" i="1"/>
  <c r="F137" i="1" s="1"/>
  <c r="F160" i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D151" i="1"/>
  <c r="F151" i="1" s="1"/>
  <c r="G150" i="1"/>
  <c r="D133" i="1"/>
  <c r="F133" i="1" s="1"/>
  <c r="I132" i="1" s="1"/>
  <c r="D126" i="1"/>
  <c r="D127" i="1"/>
  <c r="D128" i="1"/>
  <c r="D129" i="1"/>
  <c r="F129" i="1" s="1"/>
  <c r="D130" i="1"/>
  <c r="F130" i="1" s="1"/>
  <c r="D131" i="1"/>
  <c r="F131" i="1" s="1"/>
  <c r="D132" i="1"/>
  <c r="F132" i="1" s="1"/>
  <c r="D134" i="1"/>
  <c r="F134" i="1" s="1"/>
  <c r="D125" i="1"/>
  <c r="F152" i="1" l="1"/>
  <c r="C112" i="1"/>
  <c r="C114" i="1" s="1"/>
  <c r="E112" i="1"/>
  <c r="E114" i="1" s="1"/>
  <c r="I133" i="1"/>
  <c r="C14" i="1"/>
  <c r="E29" i="1" l="1"/>
  <c r="F126" i="1" l="1"/>
  <c r="I126" i="1" s="1"/>
  <c r="F127" i="1"/>
  <c r="I127" i="1" s="1"/>
  <c r="F128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I125" i="1" l="1"/>
  <c r="F109" i="1"/>
  <c r="B218" i="1" l="1"/>
  <c r="F141" i="1" l="1"/>
  <c r="F140" i="1"/>
  <c r="F139" i="1"/>
  <c r="F138" i="1"/>
  <c r="G112" i="1" l="1"/>
  <c r="G114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4" i="1"/>
  <c r="G137" i="1"/>
  <c r="J79" i="1"/>
  <c r="J78" i="1"/>
  <c r="J77" i="1"/>
  <c r="J76" i="1"/>
  <c r="C68" i="1"/>
  <c r="D56" i="1"/>
  <c r="E42" i="1"/>
  <c r="E43" i="1" s="1"/>
  <c r="E26" i="1"/>
  <c r="E24" i="1"/>
  <c r="E7" i="1"/>
  <c r="E3" i="1"/>
  <c r="D62" i="1" s="1"/>
  <c r="H69" i="1"/>
  <c r="D81" i="1" l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l="1"/>
  <c r="D74" i="1"/>
  <c r="J70" i="1"/>
  <c r="D72" i="1"/>
  <c r="J81" i="1" l="1"/>
  <c r="E72" i="1" l="1"/>
  <c r="D73" i="1"/>
  <c r="G72" i="1"/>
  <c r="J69" i="1"/>
  <c r="I69" i="1" l="1"/>
  <c r="I70" i="1" s="1"/>
  <c r="H83" i="1"/>
  <c r="D95" i="1" l="1"/>
  <c r="D93" i="1"/>
  <c r="D91" i="1"/>
  <c r="D89" i="1"/>
  <c r="J88" i="1"/>
  <c r="J86" i="1"/>
  <c r="J82" i="1"/>
  <c r="J84" i="1" s="1"/>
  <c r="D94" i="1"/>
  <c r="D92" i="1"/>
  <c r="D90" i="1"/>
  <c r="D88" i="1"/>
  <c r="J85" i="1"/>
  <c r="J87" i="1"/>
  <c r="C86" i="1" s="1"/>
  <c r="I68" i="1"/>
  <c r="J89" i="1" l="1"/>
  <c r="J94" i="1" s="1"/>
  <c r="J95" i="1" s="1"/>
  <c r="C87" i="1" s="1"/>
  <c r="G86" i="1" s="1"/>
  <c r="D66" i="1" s="1"/>
  <c r="D86" i="1"/>
  <c r="F67" i="1" l="1"/>
  <c r="D67" i="1"/>
  <c r="D87" i="1"/>
  <c r="I83" i="1" s="1"/>
  <c r="E86" i="1"/>
  <c r="J83" i="1"/>
  <c r="I84" i="1" l="1"/>
  <c r="I82" i="1" s="1"/>
</calcChain>
</file>

<file path=xl/sharedStrings.xml><?xml version="1.0" encoding="utf-8"?>
<sst xmlns="http://schemas.openxmlformats.org/spreadsheetml/2006/main" count="418" uniqueCount="243">
  <si>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</si>
  <si>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</si>
  <si>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</si>
  <si>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</si>
  <si>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</si>
  <si>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</si>
  <si>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</si>
  <si>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</si>
  <si>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</si>
  <si>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</si>
  <si>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</si>
  <si>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</si>
  <si>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</si>
  <si>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</si>
  <si>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</si>
  <si>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</si>
  <si>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</si>
  <si>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</si>
  <si>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</si>
  <si>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</si>
  <si>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</si>
  <si>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</si>
  <si>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</si>
  <si>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</si>
  <si>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</si>
  <si>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</si>
  <si>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</si>
  <si>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</si>
  <si>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</si>
  <si>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</si>
  <si>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</si>
  <si>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</si>
  <si>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</si>
  <si>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</si>
  <si>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</si>
  <si>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</si>
  <si>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</si>
  <si>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</si>
  <si>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</si>
  <si>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</si>
  <si>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</si>
  <si>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</si>
  <si>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</si>
  <si>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</si>
  <si>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</si>
  <si>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</si>
  <si>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</si>
  <si>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</si>
  <si>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</si>
  <si>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</si>
  <si>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</si>
  <si>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</si>
  <si>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</si>
  <si>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</si>
  <si>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</si>
  <si>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</si>
  <si>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</si>
  <si>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</si>
  <si>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</si>
  <si>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</si>
  <si>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</si>
  <si>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</si>
  <si>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</si>
  <si>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</si>
  <si>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</si>
  <si>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</si>
  <si>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</si>
  <si>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</si>
  <si>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</si>
  <si>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</si>
  <si>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</si>
  <si>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</si>
  <si>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</si>
  <si>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</si>
  <si>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</si>
  <si>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</si>
  <si>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</si>
  <si>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</si>
  <si>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</si>
  <si>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</si>
  <si>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</si>
  <si>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</si>
  <si>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</si>
  <si>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</si>
  <si>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</si>
  <si>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</si>
  <si>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</si>
  <si>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</si>
  <si>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</si>
  <si>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</si>
  <si>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</si>
  <si>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</si>
  <si>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</si>
  <si>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</si>
  <si>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</si>
  <si>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</si>
  <si>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</si>
  <si>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</si>
  <si>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</si>
  <si>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</si>
  <si>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</si>
  <si>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</si>
  <si>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</si>
  <si>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</si>
  <si>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</si>
  <si>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</si>
  <si>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</si>
  <si>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</si>
  <si>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</si>
  <si>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</si>
  <si>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</si>
  <si>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</si>
  <si>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</si>
  <si>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</si>
  <si>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</si>
  <si>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</si>
  <si>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</si>
  <si>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</si>
  <si>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</si>
  <si>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</si>
  <si>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</si>
  <si>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</si>
  <si>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</si>
  <si>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</si>
  <si>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</si>
  <si>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</si>
  <si>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</si>
  <si>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</si>
  <si>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</si>
  <si>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</si>
  <si>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</si>
  <si>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</si>
  <si>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</si>
  <si>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</si>
  <si>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</si>
  <si>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</si>
  <si>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</si>
  <si>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</si>
  <si>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</si>
  <si>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</si>
  <si>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</si>
  <si>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</si>
  <si>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</si>
  <si>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</si>
  <si>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</si>
  <si>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</si>
  <si>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</si>
  <si>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</si>
  <si>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</si>
  <si>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</si>
  <si>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</si>
  <si>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</si>
  <si>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</si>
  <si>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</si>
  <si>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</si>
  <si>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</si>
  <si>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</si>
  <si>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</si>
  <si>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</si>
  <si>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</si>
  <si>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</si>
  <si>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</si>
  <si>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</si>
  <si>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>Refuge Area</t>
  </si>
  <si>
    <t>2BHK</t>
  </si>
  <si>
    <t>Ground Floor for Residential</t>
  </si>
  <si>
    <t>1BHK</t>
  </si>
  <si>
    <t>Axis Thane</t>
  </si>
  <si>
    <t>M/s. Macrotech Developers Limited</t>
  </si>
  <si>
    <t>Rajendra Giri - 9820248856</t>
  </si>
  <si>
    <t>Approved Plans, CC.</t>
  </si>
  <si>
    <t>Survey No</t>
  </si>
  <si>
    <t>19/2A, 19/2B, 19/3 &amp; Others.</t>
  </si>
  <si>
    <t>Anterli, Khoni, .., Others</t>
  </si>
  <si>
    <t>Kalyan</t>
  </si>
  <si>
    <t>Thane</t>
  </si>
  <si>
    <t xml:space="preserve">Town Planning, Thane
</t>
  </si>
  <si>
    <t>As per RERA - 31/12/2025</t>
  </si>
  <si>
    <t>We considered Gross carpet area = Net carpet.</t>
  </si>
  <si>
    <t>H</t>
  </si>
  <si>
    <t>rate sheet</t>
  </si>
  <si>
    <t>Market sheet</t>
  </si>
  <si>
    <t>MB</t>
  </si>
  <si>
    <t>3KM from Khoni palava bus stop</t>
  </si>
  <si>
    <t>Khoni taloja road</t>
  </si>
  <si>
    <t>Antarli</t>
  </si>
  <si>
    <t>Kalyan east</t>
  </si>
  <si>
    <t>Lodha World school</t>
  </si>
  <si>
    <t xml:space="preserve">Open plot </t>
  </si>
  <si>
    <t>Internal road</t>
  </si>
  <si>
    <t>https://goo.gl/maps/tPj8MaaXtPbEDRHo7</t>
  </si>
  <si>
    <t>1st to 7th, 9th to 12th Floor
14th Floor (15th Floor as per builder)</t>
  </si>
  <si>
    <t>8th Floor 
13th Floor (14th Floor as per builder) (Part Refuge Area)</t>
  </si>
  <si>
    <t>Wing A</t>
  </si>
  <si>
    <t>Floor Rise Rate per sq. ft from 1st floor</t>
  </si>
  <si>
    <t>Akash Sir</t>
  </si>
  <si>
    <t>6000 to 7500</t>
  </si>
  <si>
    <t xml:space="preserve">1.Vitrified tiles flooring 2. Granite Kitchen Platform  3. Decorative Enternace  etc. 
</t>
  </si>
  <si>
    <t>Pearl A &amp; B</t>
  </si>
  <si>
    <t xml:space="preserve">A Wing </t>
  </si>
  <si>
    <t xml:space="preserve">B Wing </t>
  </si>
  <si>
    <t>Ekatmik Nagarvasahat/ Mouje Antarli, Khoni, Hedutane, Kole, Gharivali, Katai &amp; Mangaon, Taluka-Kalyan &amp; MoujeUmbroli, Taluka-Ambernath SSTN/2959</t>
  </si>
  <si>
    <t>Ekatmik Nagarvasahat/ Mouje Antarli, Khoni &amp; etc/ Sector- D, E, F, I1, I2, O &amp; P /SSTN/2959</t>
  </si>
  <si>
    <t>Wing B</t>
  </si>
  <si>
    <t>Entry Lobby &amp; Meter Room</t>
  </si>
  <si>
    <t>A Wing - P51700034753
B Wing - P51700048930</t>
  </si>
  <si>
    <t>Total</t>
  </si>
  <si>
    <t>As per conservation with Mr. Rajendra Giri Pearl B is Wing B.</t>
  </si>
  <si>
    <t>On Site, we meet Mr.Rajendra Giri - 9820248856</t>
  </si>
  <si>
    <t>The previous Sector I is now Sector I2 as per the latest CC.</t>
  </si>
  <si>
    <t>Layout Plan</t>
  </si>
  <si>
    <t>(Sector I2) (Cluster No.10.03) Wing B = G/St + 1st to 14th Floor.</t>
  </si>
  <si>
    <t>(Sector I) (Cluster No. 10.03) Wing A = G/St + 1st to 14th Floor.</t>
  </si>
  <si>
    <t>(Sector I) (Cluster No. 10.03) - Wing A
(Sector I2) (Cluster No. 10.03) - Wing B</t>
  </si>
  <si>
    <t>Latitude, Longitude</t>
  </si>
  <si>
    <t>2 Wings</t>
  </si>
  <si>
    <t xml:space="preserve"> Sector I (Cluster No. 10.03)</t>
  </si>
  <si>
    <t>Type CT A1</t>
  </si>
  <si>
    <t>(Sector I2) (Cluster No. 10.03)</t>
  </si>
  <si>
    <t>(Sector - I) (Cluster No - 10.03) Wing A = G/St + 1st to 14th Floor
(Sector I2) (Cluster No.10.03) Wing B = G/St + 1st to 14th Floor</t>
  </si>
  <si>
    <t xml:space="preserve">Commencement-CC No
Valid Up to: </t>
  </si>
  <si>
    <t xml:space="preserve">A &amp; B Wing </t>
  </si>
  <si>
    <t>(Sector I) (Cluster No. 10.03) Wing A = G/St + 1st to 14th Floor.
(Sector I2) (Cluster No. 10.03) Wing B = G/St + 1st to 14th Floor.</t>
  </si>
  <si>
    <t>Ground Floor for Residential, Store Room, Meter Room, Entrance Lobby</t>
  </si>
  <si>
    <t>Store Room, Meter Room, Entrance Lobby</t>
  </si>
  <si>
    <t>Flats - 354</t>
  </si>
  <si>
    <t xml:space="preserve">We have updated revised plans &amp; CC of Wing B (on 13/02/2023) &amp; Wing A (on 28/04/2023)
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</si>
  <si>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</si>
  <si>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19.1573825,73.1176283</t>
  </si>
  <si>
    <t>Site Person - Contact Details ( Name &amp; Contact No.)</t>
  </si>
  <si>
    <t xml:space="preserve">O. Certificate No.: 
Approved upto : </t>
  </si>
  <si>
    <t>OC/A.N.V.P/Mouje Antarli, Khoni &amp; Other/SSThane/2293
Cluster No - 10.03(Pearl) Wing A = G/St + 1st to 14th Floor
Flats = 177</t>
  </si>
  <si>
    <t>We have updated approved OC for Wing A on 08/10/2024.</t>
  </si>
  <si>
    <t>J.K./OC/A.N.V.P/Mouje Antarli, Khoni &amp; Other/SSThane/4738
Cluster No - 10.03(Pearl) Wing B = G/St + 1st to 14th Floor
Flats = 177</t>
  </si>
  <si>
    <t>All work Completed. OC Received.</t>
  </si>
  <si>
    <t>A &amp; B Wing = All work completed. OC Received.</t>
  </si>
  <si>
    <t>Pooja</t>
  </si>
  <si>
    <t>We have updated approved OC from rera for Wing B on 07/03/2025.</t>
  </si>
  <si>
    <t>1st to 4th, 6th, 7th, 9th to 12th Floor
14th Floor (15th Floor as per builder)</t>
  </si>
  <si>
    <t>5th Floor</t>
  </si>
  <si>
    <t xml:space="preserve">Pearl A and B - 502 B Wing Need 63 lacs including 1 car park Loan Amount 41 with 65% LTVFlat B502 salable area change by sanjay on 30/04/2025 </t>
  </si>
  <si>
    <t>Recommended Rates/Other Charges of the Property have been revised on 30/04/2025</t>
  </si>
  <si>
    <t>Prem Yerunkar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</si>
</sst>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8" xfId="0" applyFont="1" applyFill="1" applyBorder="1"/>
    <xf numFmtId="0" fontId="25" fillId="0" borderId="29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left"/>
    </xf>
    <xf numFmtId="0" fontId="8" fillId="0" borderId="1" xfId="1" applyFont="1" applyBorder="1" applyAlignment="1" applyProtection="1">
      <alignment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>
      <alignment horizontal="center" wrapText="1"/>
    </xf>
    <xf numFmtId="0" fontId="7" fillId="0" borderId="0" xfId="1" applyFont="1" applyBorder="1" applyAlignment="1">
      <alignment horizontal="center" wrapText="1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vertical="top" wrapText="1"/>
      <protection locked="0"/>
    </xf>
    <xf numFmtId="0" fontId="12" fillId="0" borderId="20" xfId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4" fontId="8" fillId="0" borderId="1" xfId="1" applyNumberFormat="1" applyFont="1" applyBorder="1" applyAlignment="1" applyProtection="1">
      <alignment horizontal="left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9" fontId="12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172694</xdr:colOff>
      <xdr:row>331</xdr:row>
      <xdr:rowOff>0</xdr:rowOff>
    </xdr:from>
    <xdr:to>
      <xdr:col>6</xdr:col>
      <xdr:colOff>683809</xdr:colOff>
      <xdr:row>348</xdr:row>
      <xdr:rowOff>101901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1844" y="43024425"/>
          <a:ext cx="4968815" cy="3502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142875</xdr:colOff>
      <xdr:row>349</xdr:row>
      <xdr:rowOff>95167</xdr:rowOff>
    </xdr:from>
    <xdr:to>
      <xdr:col>6</xdr:col>
      <xdr:colOff>683809</xdr:colOff>
      <xdr:row>367</xdr:row>
      <xdr:rowOff>85285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025" y="46720042"/>
          <a:ext cx="4998634" cy="35905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7</xdr:col>
      <xdr:colOff>222192</xdr:colOff>
      <xdr:row>320</xdr:row>
      <xdr:rowOff>19115</xdr:rowOff>
    </xdr:to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61176477"/>
          <a:ext cx="5149215" cy="63835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196888</xdr:colOff>
      <xdr:row>289</xdr:row>
      <xdr:rowOff>59633</xdr:rowOff>
    </xdr:from>
    <xdr:to>
      <xdr:col>5</xdr:col>
      <xdr:colOff>349222</xdr:colOff>
      <xdr:row>291</xdr:row>
      <xdr:rowOff>39306</xdr:rowOff>
    </xdr:to>
    <xdr:sp macro="" textlink="">
      <xdr:nvSpPr>
        <xdr:cNvPr id="26" name="TextBox 2"/>
        <xdr:cNvSpPr txBox="1"/>
      </xdr:nvSpPr>
      <xdr:spPr>
        <a:xfrm>
          <a:off x="3547956" y="61435269"/>
          <a:ext cx="931652" cy="369332"/>
        </a:xfrm>
        <a:prstGeom prst="rect">
          <a:avLst/>
        </a:prstGeom>
        <a:noFill/>
        <a:ln w="38100">
          <a:solidFill>
            <a:srgbClr val="FFFF0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3</xdr:col>
      <xdr:colOff>877621</xdr:colOff>
      <xdr:row>290</xdr:row>
      <xdr:rowOff>53799</xdr:rowOff>
    </xdr:from>
    <xdr:to>
      <xdr:col>4</xdr:col>
      <xdr:colOff>303112</xdr:colOff>
      <xdr:row>294</xdr:row>
      <xdr:rowOff>188814</xdr:rowOff>
    </xdr:to>
    <xdr:sp macro="" textlink="">
      <xdr:nvSpPr>
        <xdr:cNvPr id="27" name="TextBox 3"/>
        <xdr:cNvSpPr txBox="1"/>
      </xdr:nvSpPr>
      <xdr:spPr>
        <a:xfrm rot="5400000">
          <a:off x="3003688" y="61901095"/>
          <a:ext cx="931652" cy="369332"/>
        </a:xfrm>
        <a:prstGeom prst="rect">
          <a:avLst/>
        </a:prstGeom>
        <a:noFill/>
        <a:ln w="38100">
          <a:solidFill>
            <a:srgbClr val="FF000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52193</xdr:colOff>
      <xdr:row>288</xdr:row>
      <xdr:rowOff>74126</xdr:rowOff>
    </xdr:from>
    <xdr:to>
      <xdr:col>4</xdr:col>
      <xdr:colOff>36811</xdr:colOff>
      <xdr:row>290</xdr:row>
      <xdr:rowOff>53799</xdr:rowOff>
    </xdr:to>
    <xdr:sp macro="" textlink="">
      <xdr:nvSpPr>
        <xdr:cNvPr id="28" name="Rectangle 27"/>
        <xdr:cNvSpPr/>
      </xdr:nvSpPr>
      <xdr:spPr>
        <a:xfrm>
          <a:off x="2459420" y="61250603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5</xdr:col>
      <xdr:colOff>349222</xdr:colOff>
      <xdr:row>288</xdr:row>
      <xdr:rowOff>74126</xdr:rowOff>
    </xdr:from>
    <xdr:to>
      <xdr:col>6</xdr:col>
      <xdr:colOff>488744</xdr:colOff>
      <xdr:row>290</xdr:row>
      <xdr:rowOff>53799</xdr:rowOff>
    </xdr:to>
    <xdr:sp macro="" textlink="">
      <xdr:nvSpPr>
        <xdr:cNvPr id="29" name="Rectangle 28"/>
        <xdr:cNvSpPr/>
      </xdr:nvSpPr>
      <xdr:spPr>
        <a:xfrm>
          <a:off x="4479608" y="61250603"/>
          <a:ext cx="91884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FF00"/>
              </a:solidFill>
            </a:rPr>
            <a:t>B Wing </a:t>
          </a:r>
        </a:p>
      </xdr:txBody>
    </xdr:sp>
    <xdr:clientData/>
  </xdr:twoCellAnchor>
  <xdr:twoCellAnchor>
    <xdr:from>
      <xdr:col>8</xdr:col>
      <xdr:colOff>633133</xdr:colOff>
      <xdr:row>246</xdr:row>
      <xdr:rowOff>50987</xdr:rowOff>
    </xdr:from>
    <xdr:to>
      <xdr:col>9</xdr:col>
      <xdr:colOff>399542</xdr:colOff>
      <xdr:row>248</xdr:row>
      <xdr:rowOff>33207</xdr:rowOff>
    </xdr:to>
    <xdr:sp macro="" textlink="">
      <xdr:nvSpPr>
        <xdr:cNvPr id="22" name="Rectangle 21"/>
        <xdr:cNvSpPr/>
      </xdr:nvSpPr>
      <xdr:spPr>
        <a:xfrm>
          <a:off x="7157758" y="50809712"/>
          <a:ext cx="928459" cy="37274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2</xdr:col>
      <xdr:colOff>314325</xdr:colOff>
      <xdr:row>245</xdr:row>
      <xdr:rowOff>94754</xdr:rowOff>
    </xdr:from>
    <xdr:to>
      <xdr:col>3</xdr:col>
      <xdr:colOff>395059</xdr:colOff>
      <xdr:row>247</xdr:row>
      <xdr:rowOff>76974</xdr:rowOff>
    </xdr:to>
    <xdr:sp macro="" textlink="">
      <xdr:nvSpPr>
        <xdr:cNvPr id="32" name="Rectangle 31"/>
        <xdr:cNvSpPr/>
      </xdr:nvSpPr>
      <xdr:spPr>
        <a:xfrm>
          <a:off x="1876425" y="51396404"/>
          <a:ext cx="928459" cy="37274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955093</xdr:colOff>
      <xdr:row>241</xdr:row>
      <xdr:rowOff>76200</xdr:rowOff>
    </xdr:from>
    <xdr:to>
      <xdr:col>9</xdr:col>
      <xdr:colOff>721502</xdr:colOff>
      <xdr:row>243</xdr:row>
      <xdr:rowOff>45482</xdr:rowOff>
    </xdr:to>
    <xdr:sp macro="" textlink="">
      <xdr:nvSpPr>
        <xdr:cNvPr id="23" name="Rectangle 22"/>
        <xdr:cNvSpPr/>
      </xdr:nvSpPr>
      <xdr:spPr>
        <a:xfrm>
          <a:off x="7479718" y="49834800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11</xdr:col>
      <xdr:colOff>172778</xdr:colOff>
      <xdr:row>241</xdr:row>
      <xdr:rowOff>76200</xdr:rowOff>
    </xdr:from>
    <xdr:to>
      <xdr:col>12</xdr:col>
      <xdr:colOff>386769</xdr:colOff>
      <xdr:row>243</xdr:row>
      <xdr:rowOff>45482</xdr:rowOff>
    </xdr:to>
    <xdr:sp macro="" textlink="">
      <xdr:nvSpPr>
        <xdr:cNvPr id="34" name="Rectangle 33"/>
        <xdr:cNvSpPr/>
      </xdr:nvSpPr>
      <xdr:spPr>
        <a:xfrm>
          <a:off x="9373928" y="49834800"/>
          <a:ext cx="91884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 editAs="oneCell">
    <xdr:from>
      <xdr:col>10</xdr:col>
      <xdr:colOff>76200</xdr:colOff>
      <xdr:row>57</xdr:row>
      <xdr:rowOff>390525</xdr:rowOff>
    </xdr:from>
    <xdr:to>
      <xdr:col>17</xdr:col>
      <xdr:colOff>99442</xdr:colOff>
      <xdr:row>80</xdr:row>
      <xdr:rowOff>90297</xdr:rowOff>
    </xdr:to>
    <xdr:pic>
      <xdr:nvPicPr>
        <xdr:cNvPr id="44" name="Picture 4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1899" t="24500" r="8465" b="8250"/>
        <a:stretch/>
      </xdr:blipFill>
      <xdr:spPr>
        <a:xfrm>
          <a:off x="8524875" y="16373475"/>
          <a:ext cx="5157217" cy="4919472"/>
        </a:xfrm>
        <a:prstGeom prst="rect">
          <a:avLst/>
        </a:prstGeom>
      </xdr:spPr>
    </xdr:pic>
    <xdr:clientData/>
  </xdr:twoCellAnchor>
  <xdr:twoCellAnchor>
    <xdr:from>
      <xdr:col>0</xdr:col>
      <xdr:colOff>196850</xdr:colOff>
      <xdr:row>245</xdr:row>
      <xdr:rowOff>57150</xdr:rowOff>
    </xdr:from>
    <xdr:to>
      <xdr:col>7</xdr:col>
      <xdr:colOff>597241</xdr:colOff>
      <xdr:row>274</xdr:row>
      <xdr:rowOff>92529</xdr:rowOff>
    </xdr:to>
    <xdr:grpSp>
      <xdr:nvGrpSpPr>
        <xdr:cNvPr id="3" name="Group 2"/>
        <xdr:cNvGrpSpPr/>
      </xdr:nvGrpSpPr>
      <xdr:grpSpPr>
        <a:xfrm>
          <a:off x="196850" y="53860700"/>
          <a:ext cx="6375741" cy="5737679"/>
          <a:chOff x="196850" y="53740050"/>
          <a:chExt cx="6375741" cy="5737679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22728" y="5674172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185" y="537400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965" y="537400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5674172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5514" y="56741729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83388</xdr:rowOff>
    </xdr:from>
    <xdr:to>
      <xdr:col>2</xdr:col>
      <xdr:colOff>2362699</xdr:colOff>
      <xdr:row>38</xdr:row>
      <xdr:rowOff>147888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238094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138264</xdr:colOff>
      <xdr:row>27</xdr:row>
      <xdr:rowOff>83388</xdr:rowOff>
    </xdr:from>
    <xdr:to>
      <xdr:col>7</xdr:col>
      <xdr:colOff>192550</xdr:colOff>
      <xdr:row>38</xdr:row>
      <xdr:rowOff>147888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5440" y="5238094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15</xdr:row>
      <xdr:rowOff>0</xdr:rowOff>
    </xdr:from>
    <xdr:to>
      <xdr:col>2</xdr:col>
      <xdr:colOff>2362700</xdr:colOff>
      <xdr:row>26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2868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138264</xdr:colOff>
      <xdr:row>15</xdr:row>
      <xdr:rowOff>0</xdr:rowOff>
    </xdr:from>
    <xdr:to>
      <xdr:col>7</xdr:col>
      <xdr:colOff>192550</xdr:colOff>
      <xdr:row>26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5440" y="2868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Pj8MaaXtPbEDRHo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30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1.2695312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52" t="s">
        <v>227</v>
      </c>
      <c r="B1" s="152"/>
      <c r="C1" s="152"/>
      <c r="D1" s="152"/>
      <c r="E1" s="152"/>
      <c r="F1" s="152"/>
      <c r="G1" s="152"/>
      <c r="H1" s="152"/>
    </row>
    <row r="2" spans="1:8" ht="16.5" customHeight="1" x14ac:dyDescent="0.35">
      <c r="A2" s="103" t="s">
        <v>0</v>
      </c>
      <c r="B2" s="103"/>
      <c r="C2" s="103"/>
      <c r="D2" s="103"/>
      <c r="E2" s="103"/>
      <c r="F2" s="103"/>
      <c r="G2" s="103"/>
      <c r="H2" s="103"/>
    </row>
    <row r="3" spans="1:8" x14ac:dyDescent="0.35">
      <c r="A3" s="124" t="s">
        <v>1</v>
      </c>
      <c r="B3" s="124"/>
      <c r="C3" s="124"/>
      <c r="D3" s="124"/>
      <c r="E3" s="124" t="str">
        <f ca="1">TEXT(TODAY(),"DD/MM/YYYY")</f>
        <v>10/09/2025</v>
      </c>
      <c r="F3" s="124"/>
      <c r="G3" s="124"/>
      <c r="H3" s="124"/>
    </row>
    <row r="4" spans="1:8" ht="15" customHeight="1" x14ac:dyDescent="0.35">
      <c r="A4" s="124" t="s">
        <v>2</v>
      </c>
      <c r="B4" s="124"/>
      <c r="C4" s="124"/>
      <c r="D4" s="124"/>
      <c r="E4" s="124" t="s">
        <v>167</v>
      </c>
      <c r="F4" s="124"/>
      <c r="G4" s="124"/>
      <c r="H4" s="124"/>
    </row>
    <row r="5" spans="1:8" x14ac:dyDescent="0.35">
      <c r="A5" s="124" t="s">
        <v>3</v>
      </c>
      <c r="B5" s="124"/>
      <c r="C5" s="124"/>
      <c r="D5" s="124"/>
      <c r="E5" s="151">
        <v>45910</v>
      </c>
      <c r="F5" s="124"/>
      <c r="G5" s="124"/>
      <c r="H5" s="124"/>
    </row>
    <row r="6" spans="1:8" ht="16.5" customHeight="1" x14ac:dyDescent="0.35">
      <c r="A6" s="124" t="s">
        <v>4</v>
      </c>
      <c r="B6" s="124"/>
      <c r="C6" s="124"/>
      <c r="D6" s="124"/>
      <c r="E6" s="124" t="s">
        <v>168</v>
      </c>
      <c r="F6" s="124"/>
      <c r="G6" s="124"/>
      <c r="H6" s="124"/>
    </row>
    <row r="7" spans="1:8" ht="15" customHeight="1" x14ac:dyDescent="0.35">
      <c r="A7" s="124" t="s">
        <v>5</v>
      </c>
      <c r="B7" s="124"/>
      <c r="C7" s="124"/>
      <c r="D7" s="124"/>
      <c r="E7" s="124" t="str">
        <f>E6</f>
        <v>M/s. Macrotech Developers Limited</v>
      </c>
      <c r="F7" s="124"/>
      <c r="G7" s="124"/>
      <c r="H7" s="124"/>
    </row>
    <row r="8" spans="1:8" x14ac:dyDescent="0.35">
      <c r="A8" s="124" t="s">
        <v>6</v>
      </c>
      <c r="B8" s="124"/>
      <c r="C8" s="124"/>
      <c r="D8" s="124"/>
      <c r="E8" s="118" t="s">
        <v>198</v>
      </c>
      <c r="F8" s="118"/>
      <c r="G8" s="118"/>
      <c r="H8" s="118"/>
    </row>
    <row r="9" spans="1:8" x14ac:dyDescent="0.35">
      <c r="A9" s="124" t="s">
        <v>121</v>
      </c>
      <c r="B9" s="124"/>
      <c r="C9" s="124"/>
      <c r="D9" s="124"/>
      <c r="E9" s="124" t="s">
        <v>169</v>
      </c>
      <c r="F9" s="124"/>
      <c r="G9" s="124"/>
      <c r="H9" s="124"/>
    </row>
    <row r="10" spans="1:8" hidden="1" x14ac:dyDescent="0.35">
      <c r="A10" s="124" t="s">
        <v>229</v>
      </c>
      <c r="B10" s="124"/>
      <c r="C10" s="124"/>
      <c r="D10" s="124"/>
      <c r="E10" s="124" t="s">
        <v>169</v>
      </c>
      <c r="F10" s="124"/>
      <c r="G10" s="124"/>
      <c r="H10" s="124"/>
    </row>
    <row r="11" spans="1:8" ht="32.25" customHeight="1" x14ac:dyDescent="0.35">
      <c r="A11" s="124" t="s">
        <v>7</v>
      </c>
      <c r="B11" s="124"/>
      <c r="C11" s="124"/>
      <c r="D11" s="124"/>
      <c r="E11" s="105" t="s">
        <v>213</v>
      </c>
      <c r="F11" s="124"/>
      <c r="G11" s="124"/>
      <c r="H11" s="124"/>
    </row>
    <row r="12" spans="1:8" x14ac:dyDescent="0.35">
      <c r="A12" s="124" t="s">
        <v>8</v>
      </c>
      <c r="B12" s="124"/>
      <c r="C12" s="124"/>
      <c r="D12" s="124"/>
      <c r="E12" s="105" t="s">
        <v>170</v>
      </c>
      <c r="F12" s="105"/>
      <c r="G12" s="105"/>
      <c r="H12" s="105"/>
    </row>
    <row r="13" spans="1:8" ht="33.75" customHeight="1" x14ac:dyDescent="0.35">
      <c r="A13" s="124" t="s">
        <v>9</v>
      </c>
      <c r="B13" s="124"/>
      <c r="C13" s="124"/>
      <c r="D13" s="124"/>
      <c r="E13" s="105" t="s">
        <v>205</v>
      </c>
      <c r="F13" s="124"/>
      <c r="G13" s="124"/>
      <c r="H13" s="124"/>
    </row>
    <row r="14" spans="1:8" ht="50.25" customHeight="1" x14ac:dyDescent="0.35">
      <c r="A14" s="105" t="s">
        <v>10</v>
      </c>
      <c r="B14" s="105"/>
      <c r="C14" s="10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Pearl A &amp; B, Survey No.19/2A, 19/2B, 19/3 &amp; Others., near Lodha World school, Khoni taloja road, Antarli, Anterli, Khoni, .., Others, Kalyan east, Kalyan, Thane - 421204.</v>
      </c>
      <c r="D14" s="105"/>
      <c r="E14" s="105"/>
      <c r="F14" s="105"/>
      <c r="G14" s="105"/>
      <c r="H14" s="105"/>
    </row>
    <row r="15" spans="1:8" x14ac:dyDescent="0.35">
      <c r="A15" s="105" t="s">
        <v>171</v>
      </c>
      <c r="B15" s="105"/>
      <c r="C15" s="105" t="s">
        <v>172</v>
      </c>
      <c r="D15" s="105"/>
      <c r="E15" s="105"/>
      <c r="F15" s="105"/>
      <c r="G15" s="105"/>
      <c r="H15" s="105"/>
    </row>
    <row r="16" spans="1:8" ht="15.75" customHeight="1" x14ac:dyDescent="0.35">
      <c r="A16" s="100" t="s">
        <v>161</v>
      </c>
      <c r="B16" s="101"/>
      <c r="C16" s="100" t="s">
        <v>185</v>
      </c>
      <c r="D16" s="102"/>
      <c r="E16" s="102"/>
      <c r="F16" s="102"/>
      <c r="G16" s="102"/>
      <c r="H16" s="101"/>
    </row>
    <row r="17" spans="1:8" ht="15.75" customHeight="1" x14ac:dyDescent="0.35">
      <c r="A17" s="105" t="s">
        <v>11</v>
      </c>
      <c r="B17" s="105"/>
      <c r="C17" s="124" t="s">
        <v>184</v>
      </c>
      <c r="D17" s="124"/>
      <c r="E17" s="105" t="s">
        <v>162</v>
      </c>
      <c r="F17" s="105"/>
      <c r="G17" s="105" t="s">
        <v>173</v>
      </c>
      <c r="H17" s="105"/>
    </row>
    <row r="18" spans="1:8" x14ac:dyDescent="0.35">
      <c r="A18" s="124" t="s">
        <v>13</v>
      </c>
      <c r="B18" s="124"/>
      <c r="C18" s="105" t="s">
        <v>186</v>
      </c>
      <c r="D18" s="105"/>
      <c r="E18" s="105" t="s">
        <v>12</v>
      </c>
      <c r="F18" s="105"/>
      <c r="G18" s="150" t="s">
        <v>175</v>
      </c>
      <c r="H18" s="150"/>
    </row>
    <row r="19" spans="1:8" x14ac:dyDescent="0.35">
      <c r="A19" s="113" t="s">
        <v>74</v>
      </c>
      <c r="B19" s="113"/>
      <c r="C19" s="105" t="s">
        <v>174</v>
      </c>
      <c r="D19" s="105"/>
      <c r="E19" s="105" t="s">
        <v>14</v>
      </c>
      <c r="F19" s="105"/>
      <c r="G19" s="105">
        <v>421204</v>
      </c>
      <c r="H19" s="105"/>
    </row>
    <row r="20" spans="1:8" ht="32.25" customHeight="1" x14ac:dyDescent="0.35">
      <c r="A20" s="113" t="s">
        <v>122</v>
      </c>
      <c r="B20" s="113"/>
      <c r="C20" s="105" t="s">
        <v>187</v>
      </c>
      <c r="D20" s="105"/>
      <c r="E20" s="105" t="s">
        <v>15</v>
      </c>
      <c r="F20" s="105"/>
      <c r="G20" s="105" t="s">
        <v>183</v>
      </c>
      <c r="H20" s="105"/>
    </row>
    <row r="21" spans="1:8" ht="15" customHeight="1" x14ac:dyDescent="0.35">
      <c r="A21" s="125" t="s">
        <v>76</v>
      </c>
      <c r="B21" s="125"/>
      <c r="C21" s="125"/>
      <c r="D21" s="125"/>
      <c r="E21" s="124" t="s">
        <v>16</v>
      </c>
      <c r="F21" s="124"/>
      <c r="G21" s="124"/>
      <c r="H21" s="124"/>
    </row>
    <row r="22" spans="1:8" ht="18.75" customHeight="1" x14ac:dyDescent="0.35">
      <c r="A22" s="125"/>
      <c r="B22" s="125"/>
      <c r="C22" s="125"/>
      <c r="D22" s="125"/>
      <c r="E22" s="124"/>
      <c r="F22" s="124"/>
      <c r="G22" s="124"/>
      <c r="H22" s="124"/>
    </row>
    <row r="23" spans="1:8" ht="15" customHeight="1" x14ac:dyDescent="0.35">
      <c r="A23" s="125" t="s">
        <v>17</v>
      </c>
      <c r="B23" s="125"/>
      <c r="C23" s="125"/>
      <c r="D23" s="125"/>
      <c r="E23" s="105" t="s">
        <v>18</v>
      </c>
      <c r="F23" s="105"/>
      <c r="G23" s="105"/>
      <c r="H23" s="105"/>
    </row>
    <row r="24" spans="1:8" ht="15" customHeight="1" x14ac:dyDescent="0.35">
      <c r="A24" s="113" t="s">
        <v>19</v>
      </c>
      <c r="B24" s="113"/>
      <c r="C24" s="113"/>
      <c r="D24" s="113"/>
      <c r="E24" s="105" t="str">
        <f>IF(AND(G18="Mumbai"),"Upper Class","Middle Class")</f>
        <v>Middle Class</v>
      </c>
      <c r="F24" s="105"/>
      <c r="G24" s="105"/>
      <c r="H24" s="105"/>
    </row>
    <row r="25" spans="1:8" x14ac:dyDescent="0.35">
      <c r="A25" s="113" t="s">
        <v>20</v>
      </c>
      <c r="B25" s="113"/>
      <c r="C25" s="113"/>
      <c r="D25" s="113"/>
      <c r="E25" s="105" t="s">
        <v>21</v>
      </c>
      <c r="F25" s="105"/>
      <c r="G25" s="105"/>
      <c r="H25" s="105"/>
    </row>
    <row r="26" spans="1:8" ht="15.75" customHeight="1" x14ac:dyDescent="0.35">
      <c r="A26" s="113" t="s">
        <v>22</v>
      </c>
      <c r="B26" s="113"/>
      <c r="C26" s="113"/>
      <c r="D26" s="113"/>
      <c r="E26" s="105" t="str">
        <f>IF(AND(G18="Mumbai"),"Developed","Developing")</f>
        <v>Developing</v>
      </c>
      <c r="F26" s="105"/>
      <c r="G26" s="105"/>
      <c r="H26" s="105"/>
    </row>
    <row r="27" spans="1:8" x14ac:dyDescent="0.35">
      <c r="A27" s="113" t="s">
        <v>23</v>
      </c>
      <c r="B27" s="113"/>
      <c r="C27" s="113"/>
      <c r="D27" s="113"/>
      <c r="E27" s="105" t="s">
        <v>24</v>
      </c>
      <c r="F27" s="105"/>
      <c r="G27" s="105"/>
      <c r="H27" s="105"/>
    </row>
    <row r="28" spans="1:8" ht="15.75" customHeight="1" x14ac:dyDescent="0.35">
      <c r="A28" s="113" t="s">
        <v>81</v>
      </c>
      <c r="B28" s="113"/>
      <c r="C28" s="113"/>
      <c r="D28" s="113"/>
      <c r="E28" s="105" t="s">
        <v>82</v>
      </c>
      <c r="F28" s="105"/>
      <c r="G28" s="105"/>
      <c r="H28" s="105"/>
    </row>
    <row r="29" spans="1:8" ht="15" customHeight="1" x14ac:dyDescent="0.35">
      <c r="A29" s="113" t="s">
        <v>33</v>
      </c>
      <c r="B29" s="113"/>
      <c r="C29" s="113"/>
      <c r="D29" s="113"/>
      <c r="E29" s="10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105"/>
      <c r="G29" s="105"/>
      <c r="H29" s="105"/>
    </row>
    <row r="30" spans="1:8" ht="15.75" customHeight="1" x14ac:dyDescent="0.35">
      <c r="A30" s="113" t="s">
        <v>93</v>
      </c>
      <c r="B30" s="113"/>
      <c r="C30" s="113"/>
      <c r="D30" s="113"/>
      <c r="E30" s="105" t="s">
        <v>34</v>
      </c>
      <c r="F30" s="105"/>
      <c r="G30" s="105"/>
      <c r="H30" s="105"/>
    </row>
    <row r="31" spans="1:8" s="20" customFormat="1" x14ac:dyDescent="0.35">
      <c r="A31" s="149" t="s">
        <v>94</v>
      </c>
      <c r="B31" s="149"/>
      <c r="C31" s="148" t="s">
        <v>29</v>
      </c>
      <c r="D31" s="148"/>
      <c r="E31" s="148"/>
      <c r="F31" s="148" t="s">
        <v>31</v>
      </c>
      <c r="G31" s="148"/>
      <c r="H31" s="148"/>
    </row>
    <row r="32" spans="1:8" s="20" customFormat="1" x14ac:dyDescent="0.35">
      <c r="A32" s="130" t="s">
        <v>25</v>
      </c>
      <c r="B32" s="130" t="s">
        <v>30</v>
      </c>
      <c r="C32" s="116" t="s">
        <v>30</v>
      </c>
      <c r="D32" s="116"/>
      <c r="E32" s="116"/>
      <c r="F32" s="116" t="s">
        <v>188</v>
      </c>
      <c r="G32" s="116"/>
      <c r="H32" s="116"/>
    </row>
    <row r="33" spans="1:8" x14ac:dyDescent="0.35">
      <c r="A33" s="130" t="s">
        <v>26</v>
      </c>
      <c r="B33" s="130" t="s">
        <v>30</v>
      </c>
      <c r="C33" s="116" t="s">
        <v>30</v>
      </c>
      <c r="D33" s="116"/>
      <c r="E33" s="116"/>
      <c r="F33" s="116" t="s">
        <v>189</v>
      </c>
      <c r="G33" s="116"/>
      <c r="H33" s="116"/>
    </row>
    <row r="34" spans="1:8" s="20" customFormat="1" x14ac:dyDescent="0.35">
      <c r="A34" s="130" t="s">
        <v>28</v>
      </c>
      <c r="B34" s="130" t="s">
        <v>30</v>
      </c>
      <c r="C34" s="116" t="s">
        <v>30</v>
      </c>
      <c r="D34" s="116"/>
      <c r="E34" s="116"/>
      <c r="F34" s="116" t="s">
        <v>188</v>
      </c>
      <c r="G34" s="116"/>
      <c r="H34" s="116"/>
    </row>
    <row r="35" spans="1:8" x14ac:dyDescent="0.35">
      <c r="A35" s="130" t="s">
        <v>27</v>
      </c>
      <c r="B35" s="130" t="s">
        <v>30</v>
      </c>
      <c r="C35" s="116" t="s">
        <v>30</v>
      </c>
      <c r="D35" s="116"/>
      <c r="E35" s="116"/>
      <c r="F35" s="116" t="s">
        <v>188</v>
      </c>
      <c r="G35" s="116"/>
      <c r="H35" s="116"/>
    </row>
    <row r="36" spans="1:8" x14ac:dyDescent="0.35">
      <c r="A36" s="113" t="s">
        <v>32</v>
      </c>
      <c r="B36" s="113"/>
      <c r="C36" s="113"/>
      <c r="D36" s="113"/>
      <c r="E36" s="113"/>
      <c r="F36" s="113"/>
      <c r="G36" s="113"/>
      <c r="H36" s="113"/>
    </row>
    <row r="37" spans="1:8" ht="15.75" customHeight="1" x14ac:dyDescent="0.35">
      <c r="A37" s="103" t="s">
        <v>214</v>
      </c>
      <c r="B37" s="103"/>
      <c r="C37" s="78" t="s">
        <v>228</v>
      </c>
      <c r="D37" s="78"/>
      <c r="E37" s="78"/>
      <c r="F37" s="78"/>
      <c r="G37" s="78"/>
      <c r="H37" s="78"/>
    </row>
    <row r="38" spans="1:8" s="62" customFormat="1" x14ac:dyDescent="0.35">
      <c r="A38" s="103" t="s">
        <v>160</v>
      </c>
      <c r="B38" s="103"/>
      <c r="C38" s="104" t="s">
        <v>190</v>
      </c>
      <c r="D38" s="105"/>
      <c r="E38" s="105"/>
      <c r="F38" s="105"/>
      <c r="G38" s="105"/>
      <c r="H38" s="105"/>
    </row>
    <row r="39" spans="1:8" ht="15" customHeight="1" x14ac:dyDescent="0.35">
      <c r="A39" s="131" t="s">
        <v>35</v>
      </c>
      <c r="B39" s="131"/>
      <c r="C39" s="131"/>
      <c r="D39" s="131"/>
      <c r="E39" s="131"/>
      <c r="F39" s="131"/>
      <c r="G39" s="131"/>
      <c r="H39" s="131"/>
    </row>
    <row r="40" spans="1:8" x14ac:dyDescent="0.35">
      <c r="A40" s="113" t="s">
        <v>36</v>
      </c>
      <c r="B40" s="113"/>
      <c r="C40" s="113"/>
      <c r="D40" s="113"/>
      <c r="E40" s="115">
        <v>238283.85</v>
      </c>
      <c r="F40" s="115"/>
      <c r="G40" s="115"/>
      <c r="H40" s="115"/>
    </row>
    <row r="41" spans="1:8" x14ac:dyDescent="0.35">
      <c r="A41" s="113" t="s">
        <v>37</v>
      </c>
      <c r="B41" s="113"/>
      <c r="C41" s="113"/>
      <c r="D41" s="113"/>
      <c r="E41" s="144">
        <v>0.94</v>
      </c>
      <c r="F41" s="144"/>
      <c r="G41" s="144"/>
      <c r="H41" s="144"/>
    </row>
    <row r="42" spans="1:8" x14ac:dyDescent="0.35">
      <c r="A42" s="113" t="s">
        <v>38</v>
      </c>
      <c r="B42" s="113"/>
      <c r="C42" s="113"/>
      <c r="D42" s="113"/>
      <c r="E42" s="144">
        <f>E44/E40-E41</f>
        <v>0.1390610861793613</v>
      </c>
      <c r="F42" s="144"/>
      <c r="G42" s="144"/>
      <c r="H42" s="144"/>
    </row>
    <row r="43" spans="1:8" x14ac:dyDescent="0.35">
      <c r="A43" s="113" t="s">
        <v>39</v>
      </c>
      <c r="B43" s="113"/>
      <c r="C43" s="113"/>
      <c r="D43" s="113"/>
      <c r="E43" s="144">
        <f>E41+E42</f>
        <v>1.0790610861793613</v>
      </c>
      <c r="F43" s="144"/>
      <c r="G43" s="144"/>
      <c r="H43" s="144"/>
    </row>
    <row r="44" spans="1:8" x14ac:dyDescent="0.35">
      <c r="A44" s="113" t="s">
        <v>92</v>
      </c>
      <c r="B44" s="113"/>
      <c r="C44" s="113"/>
      <c r="D44" s="113"/>
      <c r="E44" s="145">
        <v>257122.83</v>
      </c>
      <c r="F44" s="145"/>
      <c r="G44" s="145"/>
      <c r="H44" s="145"/>
    </row>
    <row r="45" spans="1:8" x14ac:dyDescent="0.35">
      <c r="A45" s="124" t="s">
        <v>40</v>
      </c>
      <c r="B45" s="124"/>
      <c r="C45" s="124"/>
      <c r="D45" s="124"/>
      <c r="E45" s="124" t="s">
        <v>215</v>
      </c>
      <c r="F45" s="124"/>
      <c r="G45" s="124"/>
      <c r="H45" s="124"/>
    </row>
    <row r="46" spans="1:8" x14ac:dyDescent="0.35">
      <c r="A46" s="118" t="s">
        <v>41</v>
      </c>
      <c r="B46" s="118"/>
      <c r="C46" s="118"/>
      <c r="D46" s="118"/>
      <c r="E46" s="118"/>
      <c r="F46" s="118"/>
      <c r="G46" s="118"/>
      <c r="H46" s="118"/>
    </row>
    <row r="47" spans="1:8" ht="33.75" customHeight="1" x14ac:dyDescent="0.35">
      <c r="A47" s="100" t="s">
        <v>150</v>
      </c>
      <c r="B47" s="101"/>
      <c r="C47" s="109" t="s">
        <v>176</v>
      </c>
      <c r="D47" s="110"/>
      <c r="E47" s="110"/>
      <c r="F47" s="110"/>
      <c r="G47" s="110"/>
      <c r="H47" s="111"/>
    </row>
    <row r="48" spans="1:8" x14ac:dyDescent="0.35">
      <c r="A48" s="148" t="s">
        <v>221</v>
      </c>
      <c r="B48" s="148"/>
      <c r="C48" s="148"/>
      <c r="D48" s="148"/>
      <c r="E48" s="148"/>
      <c r="F48" s="148"/>
      <c r="G48" s="148"/>
      <c r="H48" s="148"/>
    </row>
    <row r="49" spans="1:14" ht="82.5" customHeight="1" x14ac:dyDescent="0.35">
      <c r="A49" s="100" t="s">
        <v>42</v>
      </c>
      <c r="B49" s="101"/>
      <c r="C49" s="182" t="s">
        <v>201</v>
      </c>
      <c r="D49" s="183"/>
      <c r="E49" s="184"/>
      <c r="F49" s="48" t="s">
        <v>43</v>
      </c>
      <c r="G49" s="185">
        <v>44910</v>
      </c>
      <c r="H49" s="101"/>
    </row>
    <row r="50" spans="1:14" ht="82.5" customHeight="1" x14ac:dyDescent="0.35">
      <c r="A50" s="93" t="s">
        <v>44</v>
      </c>
      <c r="B50" s="95"/>
      <c r="C50" s="93" t="str">
        <f>C49</f>
        <v>Ekatmik Nagarvasahat/ Mouje Antarli, Khoni, Hedutane, Kole, Gharivali, Katai &amp; Mangaon, Taluka-Kalyan &amp; MoujeUmbroli, Taluka-Ambernath SSTN/2959</v>
      </c>
      <c r="D50" s="94"/>
      <c r="E50" s="95"/>
      <c r="F50" s="18" t="s">
        <v>43</v>
      </c>
      <c r="G50" s="96">
        <f>G49</f>
        <v>44910</v>
      </c>
      <c r="H50" s="97"/>
    </row>
    <row r="51" spans="1:14" s="21" customFormat="1" ht="46.5" customHeight="1" x14ac:dyDescent="0.35">
      <c r="A51" s="186" t="s">
        <v>220</v>
      </c>
      <c r="B51" s="187"/>
      <c r="C51" s="93" t="s">
        <v>202</v>
      </c>
      <c r="D51" s="94"/>
      <c r="E51" s="95"/>
      <c r="F51" s="18" t="s">
        <v>43</v>
      </c>
      <c r="G51" s="96">
        <f>G50</f>
        <v>44910</v>
      </c>
      <c r="H51" s="97"/>
    </row>
    <row r="52" spans="1:14" s="21" customFormat="1" ht="32.25" customHeight="1" x14ac:dyDescent="0.35">
      <c r="A52" s="188"/>
      <c r="B52" s="189"/>
      <c r="C52" s="93" t="s">
        <v>219</v>
      </c>
      <c r="D52" s="94"/>
      <c r="E52" s="94"/>
      <c r="F52" s="94"/>
      <c r="G52" s="94"/>
      <c r="H52" s="95"/>
    </row>
    <row r="53" spans="1:14" ht="78" customHeight="1" x14ac:dyDescent="0.35">
      <c r="A53" s="176" t="s">
        <v>230</v>
      </c>
      <c r="B53" s="177"/>
      <c r="C53" s="176" t="s">
        <v>231</v>
      </c>
      <c r="D53" s="178"/>
      <c r="E53" s="177"/>
      <c r="F53" s="42" t="s">
        <v>43</v>
      </c>
      <c r="G53" s="180">
        <v>45464</v>
      </c>
      <c r="H53" s="181"/>
    </row>
    <row r="54" spans="1:14" ht="78" customHeight="1" x14ac:dyDescent="0.35">
      <c r="A54" s="191" t="s">
        <v>230</v>
      </c>
      <c r="B54" s="191"/>
      <c r="C54" s="191" t="s">
        <v>233</v>
      </c>
      <c r="D54" s="191"/>
      <c r="E54" s="191"/>
      <c r="F54" s="63" t="s">
        <v>43</v>
      </c>
      <c r="G54" s="192">
        <v>45656</v>
      </c>
      <c r="H54" s="131"/>
    </row>
    <row r="55" spans="1:14" x14ac:dyDescent="0.35">
      <c r="A55" s="179" t="s">
        <v>46</v>
      </c>
      <c r="B55" s="179"/>
      <c r="C55" s="179"/>
      <c r="D55" s="179"/>
      <c r="E55" s="179"/>
      <c r="F55" s="179"/>
      <c r="G55" s="179"/>
      <c r="H55" s="179"/>
    </row>
    <row r="56" spans="1:14" x14ac:dyDescent="0.35">
      <c r="A56" s="125" t="s">
        <v>91</v>
      </c>
      <c r="B56" s="125"/>
      <c r="C56" s="125"/>
      <c r="D56" s="124">
        <f>E44</f>
        <v>257122.83</v>
      </c>
      <c r="E56" s="124"/>
      <c r="F56" s="124"/>
      <c r="G56" s="124"/>
      <c r="H56" s="124"/>
    </row>
    <row r="57" spans="1:14" x14ac:dyDescent="0.35">
      <c r="A57" s="105" t="s">
        <v>47</v>
      </c>
      <c r="B57" s="124"/>
      <c r="C57" s="124"/>
      <c r="D57" s="124" t="s">
        <v>225</v>
      </c>
      <c r="E57" s="124"/>
      <c r="F57" s="124"/>
      <c r="G57" s="124"/>
      <c r="H57" s="124"/>
      <c r="I57" s="22"/>
    </row>
    <row r="58" spans="1:14" ht="32.25" customHeight="1" x14ac:dyDescent="0.35">
      <c r="A58" s="105" t="s">
        <v>48</v>
      </c>
      <c r="B58" s="105"/>
      <c r="C58" s="105"/>
      <c r="D58" s="105" t="s">
        <v>222</v>
      </c>
      <c r="E58" s="124"/>
      <c r="F58" s="124"/>
      <c r="G58" s="124"/>
      <c r="H58" s="124"/>
    </row>
    <row r="59" spans="1:14" x14ac:dyDescent="0.35">
      <c r="A59" s="105" t="s">
        <v>89</v>
      </c>
      <c r="B59" s="105"/>
      <c r="C59" s="105"/>
      <c r="D59" s="105" t="s">
        <v>212</v>
      </c>
      <c r="E59" s="124"/>
      <c r="F59" s="124"/>
      <c r="G59" s="124"/>
      <c r="H59" s="124"/>
    </row>
    <row r="60" spans="1:14" x14ac:dyDescent="0.35">
      <c r="A60" s="105"/>
      <c r="B60" s="105"/>
      <c r="C60" s="105"/>
      <c r="D60" s="105" t="s">
        <v>211</v>
      </c>
      <c r="E60" s="124"/>
      <c r="F60" s="124"/>
      <c r="G60" s="124"/>
      <c r="H60" s="124"/>
    </row>
    <row r="61" spans="1:14" ht="15.75" customHeight="1" x14ac:dyDescent="0.35">
      <c r="A61" s="113" t="s">
        <v>45</v>
      </c>
      <c r="B61" s="113"/>
      <c r="C61" s="113"/>
      <c r="D61" s="105" t="s">
        <v>177</v>
      </c>
      <c r="E61" s="105"/>
      <c r="F61" s="105"/>
      <c r="G61" s="105"/>
      <c r="H61" s="105"/>
      <c r="J61" s="23"/>
      <c r="K61" s="22"/>
      <c r="N61" s="22"/>
    </row>
    <row r="62" spans="1:14" ht="15.75" customHeight="1" x14ac:dyDescent="0.35">
      <c r="A62" s="113" t="s">
        <v>87</v>
      </c>
      <c r="B62" s="113"/>
      <c r="C62" s="113"/>
      <c r="D62" s="143" t="str">
        <f ca="1">(IF(G54="NA","60 Years After Completion",IF(G54&lt;&gt;"NA",""&amp;60-ROUNDDOWN((E3-G54)/360,0)&amp;" Years"," ")))</f>
        <v>60 Years</v>
      </c>
      <c r="E62" s="143"/>
      <c r="F62" s="143"/>
      <c r="G62" s="143"/>
      <c r="H62" s="143"/>
      <c r="I62" s="143" t="str">
        <f>(IF(L53="NA","60 Years After Completion",IF(L53&lt;&gt;"NA",""&amp;60-ROUNDDOWN((J3-L53)/360,0)&amp;" Years"," ")))</f>
        <v>60 Years</v>
      </c>
      <c r="J62" s="143"/>
      <c r="K62" s="143"/>
      <c r="L62" s="143"/>
      <c r="M62" s="143"/>
      <c r="N62" s="22"/>
    </row>
    <row r="63" spans="1:14" ht="15.75" customHeight="1" x14ac:dyDescent="0.35">
      <c r="A63" s="113" t="s">
        <v>88</v>
      </c>
      <c r="B63" s="113"/>
      <c r="C63" s="113"/>
      <c r="D63" s="105" t="s">
        <v>24</v>
      </c>
      <c r="E63" s="105"/>
      <c r="F63" s="105"/>
      <c r="G63" s="105"/>
      <c r="H63" s="105"/>
      <c r="J63" s="24"/>
      <c r="K63" s="24"/>
    </row>
    <row r="64" spans="1:14" ht="30.75" customHeight="1" x14ac:dyDescent="0.35">
      <c r="A64" s="113" t="s">
        <v>75</v>
      </c>
      <c r="B64" s="113"/>
      <c r="C64" s="113"/>
      <c r="D64" s="105" t="s">
        <v>197</v>
      </c>
      <c r="E64" s="125"/>
      <c r="F64" s="125"/>
      <c r="G64" s="125"/>
      <c r="H64" s="125"/>
    </row>
    <row r="65" spans="1:14" x14ac:dyDescent="0.35">
      <c r="A65" s="125" t="s">
        <v>148</v>
      </c>
      <c r="B65" s="125"/>
      <c r="C65" s="125"/>
      <c r="D65" s="125" t="s">
        <v>30</v>
      </c>
      <c r="E65" s="125"/>
      <c r="F65" s="125"/>
      <c r="G65" s="125"/>
      <c r="H65" s="125"/>
      <c r="I65" s="25"/>
      <c r="J65" s="25"/>
      <c r="K65" s="25"/>
      <c r="L65" s="25"/>
      <c r="M65" s="25"/>
      <c r="N65" s="25"/>
    </row>
    <row r="66" spans="1:14" ht="15.75" customHeight="1" x14ac:dyDescent="0.35">
      <c r="A66" s="128" t="s">
        <v>86</v>
      </c>
      <c r="B66" s="128"/>
      <c r="C66" s="128"/>
      <c r="D66" s="127" t="str">
        <f ca="1">(IF(G86&gt;95%,"Nothing",IF(G86&gt;0%,"Cement, Aggregate, Steel, etc",IF(G86=0%,"Work not yet Started"))))</f>
        <v>Nothing</v>
      </c>
      <c r="E66" s="127"/>
      <c r="F66" s="127"/>
      <c r="G66" s="127"/>
      <c r="H66" s="127"/>
      <c r="J66" s="24"/>
    </row>
    <row r="67" spans="1:14" ht="33.75" customHeight="1" thickBot="1" x14ac:dyDescent="0.4">
      <c r="A67" s="126" t="s">
        <v>118</v>
      </c>
      <c r="B67" s="126"/>
      <c r="C67" s="126"/>
      <c r="D67" s="127" t="str">
        <f ca="1">(IF(D66="Nothing","Yes",IF(D66="Cement, Aggregate, Steel, etc","Under Construction",IF(D66="Work not yet Started","Work not yet Started"))))</f>
        <v>Yes</v>
      </c>
      <c r="E67" s="127"/>
      <c r="F67" s="127" t="str">
        <f ca="1">(IF(D66="Nothing","Yes",IF(D66="Cement, Aggregate, Steel, etc","Under Construction",IF(D66="Work not yet Started","Work not yet Started"))))</f>
        <v>Yes</v>
      </c>
      <c r="G67" s="127"/>
      <c r="H67" s="127"/>
    </row>
    <row r="68" spans="1:14" ht="15.75" customHeight="1" x14ac:dyDescent="0.35">
      <c r="A68" s="119" t="s">
        <v>140</v>
      </c>
      <c r="B68" s="120"/>
      <c r="C68" s="121" t="str">
        <f>D59</f>
        <v>(Sector I) (Cluster No. 10.03) Wing A = G/St + 1st to 14th Floor.</v>
      </c>
      <c r="D68" s="122"/>
      <c r="E68" s="122"/>
      <c r="F68" s="122"/>
      <c r="G68" s="122"/>
      <c r="H68" s="123"/>
      <c r="I68" s="44" t="str">
        <f ca="1">IF(D81=100%,"All work Completed. Possession granted to the Building.",IF(D80=100%,"All work Completed, Waiting for OC",I69&amp;""&amp;I70&amp;""&amp;J69&amp;""&amp;J68&amp;" "&amp;J70))</f>
        <v>All work Completed. Possession granted to the Building.</v>
      </c>
      <c r="J68" s="45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x14ac:dyDescent="0.35">
      <c r="A69" s="16" t="s">
        <v>142</v>
      </c>
      <c r="B69" s="52">
        <v>0</v>
      </c>
      <c r="C69" s="52" t="s">
        <v>73</v>
      </c>
      <c r="D69" s="52">
        <v>1</v>
      </c>
      <c r="E69" s="52" t="s">
        <v>72</v>
      </c>
      <c r="F69" s="52">
        <v>0</v>
      </c>
      <c r="G69" s="52" t="s">
        <v>80</v>
      </c>
      <c r="H69" s="17">
        <f ca="1">--TRIM(RIGHT(SUBSTITUTE(LEFT(C68,_xlfn.AGGREGATE(16,6,FIND({0,1,2,3,4,5,6,7,8,9},C68,ROW(INDIRECT("1:"&amp;LEN(C68)))),1))," ",REPT(" ",LEN(C68))),LEN(C68)))</f>
        <v>14</v>
      </c>
      <c r="I69" s="46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Painting, Building common Amenities</v>
      </c>
      <c r="J69" s="47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35">
      <c r="A70" s="117" t="s">
        <v>90</v>
      </c>
      <c r="B70" s="118"/>
      <c r="C70" s="146" t="str">
        <f>(IF($G$53="NA",I68,"All work Completed. OC Received."))</f>
        <v>All work Completed. OC Received.</v>
      </c>
      <c r="D70" s="146"/>
      <c r="E70" s="146"/>
      <c r="F70" s="146"/>
      <c r="G70" s="146"/>
      <c r="H70" s="147"/>
      <c r="I70" s="46" t="str">
        <f ca="1">IF(I69&lt;&gt;""," Completed","")</f>
        <v xml:space="preserve"> Completed</v>
      </c>
      <c r="J70" s="47" t="str">
        <f ca="1">IF(J68&lt;&gt;"","Completed","")</f>
        <v/>
      </c>
    </row>
    <row r="71" spans="1:14" ht="15.75" customHeight="1" x14ac:dyDescent="0.35">
      <c r="A71" s="98" t="s">
        <v>49</v>
      </c>
      <c r="B71" s="99"/>
      <c r="C71" s="51" t="s">
        <v>139</v>
      </c>
      <c r="D71" s="51" t="s">
        <v>83</v>
      </c>
      <c r="E71" s="99" t="s">
        <v>85</v>
      </c>
      <c r="F71" s="99"/>
      <c r="G71" s="99" t="s">
        <v>84</v>
      </c>
      <c r="H71" s="129"/>
      <c r="I71" s="14" t="s">
        <v>141</v>
      </c>
      <c r="J71" s="26">
        <f ca="1">H69*25%</f>
        <v>3.5</v>
      </c>
    </row>
    <row r="72" spans="1:14" x14ac:dyDescent="0.35">
      <c r="A72" s="98" t="s">
        <v>128</v>
      </c>
      <c r="B72" s="99"/>
      <c r="C72" s="51">
        <f ca="1">J73</f>
        <v>14</v>
      </c>
      <c r="D72" s="49">
        <f ca="1">((100/H69)*C72)/100</f>
        <v>1</v>
      </c>
      <c r="E72" s="132">
        <f ca="1">(((C73/H69*10)+(40/(D69+F69+H69)*C74)+(7.5/(H69)*C75)+(7.5/(H69)*C76)+(10/H69*C77)+(10/H69*C78)+(5/H69*C79)+(5/H69*C80)+(5/H69*C81))/100)</f>
        <v>1</v>
      </c>
      <c r="F72" s="133"/>
      <c r="G72" s="132">
        <f ca="1">((((C72/H69)*20)+((C73/H69)*25)+(30/(H69+F69+D69)*C74)+(5/H69*C75)+(5/H69*C76)+(5/H69*C77)+(5/H69*C78)+(0/H69*C79)+(0/H69*C80)+(5/H69*C81))/100)</f>
        <v>1</v>
      </c>
      <c r="H72" s="138"/>
      <c r="I72" s="14" t="s">
        <v>101</v>
      </c>
      <c r="J72" s="27">
        <f ca="1">H69*50%</f>
        <v>7</v>
      </c>
    </row>
    <row r="73" spans="1:14" x14ac:dyDescent="0.35">
      <c r="A73" s="98" t="s">
        <v>50</v>
      </c>
      <c r="B73" s="99"/>
      <c r="C73" s="57">
        <v>14</v>
      </c>
      <c r="D73" s="49">
        <f ca="1">((100/H69)*C73)/100</f>
        <v>1</v>
      </c>
      <c r="E73" s="134"/>
      <c r="F73" s="135"/>
      <c r="G73" s="134"/>
      <c r="H73" s="139"/>
      <c r="I73" s="14" t="s">
        <v>102</v>
      </c>
      <c r="J73" s="27">
        <f ca="1">H69</f>
        <v>14</v>
      </c>
    </row>
    <row r="74" spans="1:14" ht="15.75" customHeight="1" x14ac:dyDescent="0.35">
      <c r="A74" s="98" t="s">
        <v>129</v>
      </c>
      <c r="B74" s="99"/>
      <c r="C74" s="51">
        <v>15</v>
      </c>
      <c r="D74" s="49">
        <f ca="1">((100/(D69+F69+H69))*C74)/100</f>
        <v>1</v>
      </c>
      <c r="E74" s="134"/>
      <c r="F74" s="135"/>
      <c r="G74" s="134"/>
      <c r="H74" s="139"/>
      <c r="I74" s="14" t="s">
        <v>103</v>
      </c>
      <c r="J74" s="28">
        <f ca="1">(IF(B69&gt;1,(H69/(B69+2)),H69/4))</f>
        <v>3.5</v>
      </c>
    </row>
    <row r="75" spans="1:14" ht="15.75" customHeight="1" x14ac:dyDescent="0.35">
      <c r="A75" s="98" t="s">
        <v>136</v>
      </c>
      <c r="B75" s="99" t="s">
        <v>130</v>
      </c>
      <c r="C75" s="51">
        <f>C74-D69-F69</f>
        <v>14</v>
      </c>
      <c r="D75" s="49">
        <f ca="1">((100/H69)*C75)/100</f>
        <v>1</v>
      </c>
      <c r="E75" s="134"/>
      <c r="F75" s="135"/>
      <c r="G75" s="134"/>
      <c r="H75" s="139"/>
      <c r="I75" s="14" t="s">
        <v>104</v>
      </c>
      <c r="J75" s="28">
        <f ca="1">(IF(B69&gt;1,(H69/(B69+2)+J74),H69/4+J74))</f>
        <v>7</v>
      </c>
    </row>
    <row r="76" spans="1:14" ht="15.75" customHeight="1" x14ac:dyDescent="0.35">
      <c r="A76" s="98" t="s">
        <v>137</v>
      </c>
      <c r="B76" s="99" t="s">
        <v>130</v>
      </c>
      <c r="C76" s="57">
        <v>14</v>
      </c>
      <c r="D76" s="49">
        <f ca="1">((100/H69)*C76)/100</f>
        <v>1</v>
      </c>
      <c r="E76" s="134"/>
      <c r="F76" s="135"/>
      <c r="G76" s="134"/>
      <c r="H76" s="139"/>
      <c r="I76" s="14" t="s">
        <v>146</v>
      </c>
      <c r="J76" s="28">
        <f>(IF(B69&gt;1,(H69/(B69+2)+J75),0))</f>
        <v>0</v>
      </c>
    </row>
    <row r="77" spans="1:14" ht="15" customHeight="1" x14ac:dyDescent="0.35">
      <c r="A77" s="98" t="s">
        <v>135</v>
      </c>
      <c r="B77" s="99" t="s">
        <v>132</v>
      </c>
      <c r="C77" s="57">
        <v>14</v>
      </c>
      <c r="D77" s="49">
        <f ca="1">((100/(H69))*C77)/100</f>
        <v>1</v>
      </c>
      <c r="E77" s="134"/>
      <c r="F77" s="135"/>
      <c r="G77" s="134"/>
      <c r="H77" s="139"/>
      <c r="I77" s="14" t="s">
        <v>143</v>
      </c>
      <c r="J77" s="28">
        <f>(IF(B69&gt;2,(H69/(B69+2)+J76),0))</f>
        <v>0</v>
      </c>
    </row>
    <row r="78" spans="1:14" ht="15.75" customHeight="1" x14ac:dyDescent="0.35">
      <c r="A78" s="98" t="s">
        <v>131</v>
      </c>
      <c r="B78" s="99" t="s">
        <v>131</v>
      </c>
      <c r="C78" s="51">
        <v>14</v>
      </c>
      <c r="D78" s="49">
        <f ca="1">((100/H69)*C78)/100</f>
        <v>1</v>
      </c>
      <c r="E78" s="134"/>
      <c r="F78" s="135"/>
      <c r="G78" s="134"/>
      <c r="H78" s="139"/>
      <c r="I78" s="14" t="s">
        <v>144</v>
      </c>
      <c r="J78" s="29">
        <f>(IF(B69&gt;3,(H69/(B69+2)+J77),0))</f>
        <v>0</v>
      </c>
    </row>
    <row r="79" spans="1:14" ht="15.75" customHeight="1" x14ac:dyDescent="0.35">
      <c r="A79" s="98" t="s">
        <v>138</v>
      </c>
      <c r="B79" s="99"/>
      <c r="C79" s="51">
        <v>14</v>
      </c>
      <c r="D79" s="49">
        <f ca="1">((100/H69)*C79)/100</f>
        <v>1</v>
      </c>
      <c r="E79" s="134"/>
      <c r="F79" s="135"/>
      <c r="G79" s="134"/>
      <c r="H79" s="139"/>
      <c r="I79" s="14" t="s">
        <v>145</v>
      </c>
      <c r="J79" s="28">
        <f>(IF(B69&gt;4,(H69/(B69+2)+J78),0))</f>
        <v>0</v>
      </c>
    </row>
    <row r="80" spans="1:14" ht="15.75" customHeight="1" x14ac:dyDescent="0.35">
      <c r="A80" s="98" t="s">
        <v>133</v>
      </c>
      <c r="B80" s="99" t="s">
        <v>133</v>
      </c>
      <c r="C80" s="51">
        <v>14</v>
      </c>
      <c r="D80" s="49">
        <f ca="1">((100/(H69))*C80)/100</f>
        <v>1</v>
      </c>
      <c r="E80" s="134"/>
      <c r="F80" s="135"/>
      <c r="G80" s="134"/>
      <c r="H80" s="139"/>
      <c r="I80" s="14" t="s">
        <v>147</v>
      </c>
      <c r="J80" s="28">
        <f ca="1">(IF(B69=1,(H69/(B69+3)+J75),IF(B69=0,(H69/4+J75),IF(B69&gt;1,0))))</f>
        <v>10.5</v>
      </c>
    </row>
    <row r="81" spans="1:10" ht="16" thickBot="1" x14ac:dyDescent="0.4">
      <c r="A81" s="141" t="s">
        <v>134</v>
      </c>
      <c r="B81" s="142"/>
      <c r="C81" s="53">
        <v>14</v>
      </c>
      <c r="D81" s="50">
        <f ca="1">((100/(H69))*C81)/100</f>
        <v>1</v>
      </c>
      <c r="E81" s="136"/>
      <c r="F81" s="137"/>
      <c r="G81" s="136"/>
      <c r="H81" s="140"/>
      <c r="I81" s="15" t="s">
        <v>105</v>
      </c>
      <c r="J81" s="30">
        <f ca="1">(IF(B69&gt;1.5,(H69/(B69+2)+J75+MAX(0,J76-J75)+MAX(0,J77-J76)+MAX(0,J78-J77)+MAX(0,J79-J78)+MAX(0,J80-J79)),IF(B69=1,(H69/(B69+3)+J80),IF(B69=0,H69/4+J80))))</f>
        <v>14</v>
      </c>
    </row>
    <row r="82" spans="1:10" ht="15.75" customHeight="1" x14ac:dyDescent="0.35">
      <c r="A82" s="119" t="s">
        <v>140</v>
      </c>
      <c r="B82" s="120"/>
      <c r="C82" s="121" t="str">
        <f>D60</f>
        <v>(Sector I2) (Cluster No.10.03) Wing B = G/St + 1st to 14th Floor.</v>
      </c>
      <c r="D82" s="122"/>
      <c r="E82" s="122"/>
      <c r="F82" s="122"/>
      <c r="G82" s="122"/>
      <c r="H82" s="123"/>
      <c r="I82" s="44" t="str">
        <f ca="1">IF(D95=100%,"All work Completed. Possession granted to the Building.",IF(D94=100%,"All work Completed, Waiting for OC",I83&amp;""&amp;I84&amp;""&amp;J83&amp;""&amp;J82&amp;" "&amp;J84))</f>
        <v>All work Completed. Possession granted to the Building.</v>
      </c>
      <c r="J82" s="45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x14ac:dyDescent="0.35">
      <c r="A83" s="16" t="s">
        <v>142</v>
      </c>
      <c r="B83" s="61">
        <v>0</v>
      </c>
      <c r="C83" s="61" t="s">
        <v>73</v>
      </c>
      <c r="D83" s="61">
        <v>1</v>
      </c>
      <c r="E83" s="61" t="s">
        <v>72</v>
      </c>
      <c r="F83" s="61">
        <v>0</v>
      </c>
      <c r="G83" s="61" t="s">
        <v>80</v>
      </c>
      <c r="H83" s="17">
        <f ca="1">--TRIM(RIGHT(SUBSTITUTE(LEFT(C82,_xlfn.AGGREGATE(16,6,FIND({0,1,2,3,4,5,6,7,8,9},C82,ROW(INDIRECT("1:"&amp;LEN(C82)))),1))," ",REPT(" ",LEN(C82))),LEN(C82)))</f>
        <v>14</v>
      </c>
      <c r="I83" s="46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Plaster, Flooring, Painting, Building common Amenities</v>
      </c>
      <c r="J83" s="47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x14ac:dyDescent="0.35">
      <c r="A84" s="117" t="s">
        <v>90</v>
      </c>
      <c r="B84" s="118"/>
      <c r="C84" s="146" t="s">
        <v>234</v>
      </c>
      <c r="D84" s="146"/>
      <c r="E84" s="146"/>
      <c r="F84" s="146"/>
      <c r="G84" s="146"/>
      <c r="H84" s="147"/>
      <c r="I84" s="46" t="str">
        <f ca="1">IF(I83&lt;&gt;""," Completed","")</f>
        <v xml:space="preserve"> Completed</v>
      </c>
      <c r="J84" s="47" t="str">
        <f ca="1">IF(J82&lt;&gt;"","Completed","")</f>
        <v/>
      </c>
    </row>
    <row r="85" spans="1:10" ht="15.75" customHeight="1" x14ac:dyDescent="0.35">
      <c r="A85" s="98" t="s">
        <v>49</v>
      </c>
      <c r="B85" s="99"/>
      <c r="C85" s="60" t="s">
        <v>139</v>
      </c>
      <c r="D85" s="60" t="s">
        <v>83</v>
      </c>
      <c r="E85" s="99" t="s">
        <v>85</v>
      </c>
      <c r="F85" s="99"/>
      <c r="G85" s="99" t="s">
        <v>84</v>
      </c>
      <c r="H85" s="129"/>
      <c r="I85" s="14" t="s">
        <v>141</v>
      </c>
      <c r="J85" s="26">
        <f ca="1">H83*25%</f>
        <v>3.5</v>
      </c>
    </row>
    <row r="86" spans="1:10" x14ac:dyDescent="0.35">
      <c r="A86" s="99" t="s">
        <v>128</v>
      </c>
      <c r="B86" s="99"/>
      <c r="C86" s="67">
        <f ca="1">J87</f>
        <v>14</v>
      </c>
      <c r="D86" s="49">
        <f ca="1">((100/H83)*C86)/100</f>
        <v>1</v>
      </c>
      <c r="E86" s="199">
        <f ca="1">(((C87/H83*10)+(40/(D83+F83+H83)*C88)+(7.5/(H83)*C89)+(7.5/(H83)*C90)+(10/H83*C91)+(10/H83*C92)+(5/H83*C93)+(5/H83*C94)+(5/H83*C95))/100)</f>
        <v>1</v>
      </c>
      <c r="F86" s="199"/>
      <c r="G86" s="199">
        <f ca="1">((((C86/H83)*20)+((C87/H83)*25)+(30/(H83+F83+D83)*C88)+(5/H83*C89)+(5/H83*C90)+(5/H83*C91)+(5/H83*C92)+(0/H83*C93)+(0/H83*C94)+(5/H83*C95))/100)</f>
        <v>1</v>
      </c>
      <c r="H86" s="199"/>
      <c r="I86" s="14" t="s">
        <v>101</v>
      </c>
      <c r="J86" s="27">
        <f ca="1">H83*50%</f>
        <v>7</v>
      </c>
    </row>
    <row r="87" spans="1:10" x14ac:dyDescent="0.35">
      <c r="A87" s="99" t="s">
        <v>50</v>
      </c>
      <c r="B87" s="99"/>
      <c r="C87" s="57">
        <f ca="1">J95</f>
        <v>14</v>
      </c>
      <c r="D87" s="49">
        <f ca="1">((100/H83)*C87)/100</f>
        <v>1</v>
      </c>
      <c r="E87" s="199"/>
      <c r="F87" s="199"/>
      <c r="G87" s="199"/>
      <c r="H87" s="199"/>
      <c r="I87" s="14" t="s">
        <v>102</v>
      </c>
      <c r="J87" s="27">
        <f ca="1">H83</f>
        <v>14</v>
      </c>
    </row>
    <row r="88" spans="1:10" ht="15.75" customHeight="1" x14ac:dyDescent="0.35">
      <c r="A88" s="99" t="s">
        <v>129</v>
      </c>
      <c r="B88" s="99"/>
      <c r="C88" s="67">
        <v>15</v>
      </c>
      <c r="D88" s="49">
        <f ca="1">((100/(D83+F83+H83))*C88)/100</f>
        <v>1</v>
      </c>
      <c r="E88" s="199"/>
      <c r="F88" s="199"/>
      <c r="G88" s="199"/>
      <c r="H88" s="199"/>
      <c r="I88" s="14" t="s">
        <v>103</v>
      </c>
      <c r="J88" s="28">
        <f ca="1">(IF(B83&gt;1,(H83/(B83+2)),H83/4))</f>
        <v>3.5</v>
      </c>
    </row>
    <row r="89" spans="1:10" ht="15.75" customHeight="1" x14ac:dyDescent="0.35">
      <c r="A89" s="99" t="s">
        <v>136</v>
      </c>
      <c r="B89" s="99" t="s">
        <v>130</v>
      </c>
      <c r="C89" s="67">
        <f>C88-1</f>
        <v>14</v>
      </c>
      <c r="D89" s="49">
        <f ca="1">((100/H83)*C89)/100</f>
        <v>1</v>
      </c>
      <c r="E89" s="199"/>
      <c r="F89" s="199"/>
      <c r="G89" s="199"/>
      <c r="H89" s="199"/>
      <c r="I89" s="14" t="s">
        <v>104</v>
      </c>
      <c r="J89" s="28">
        <f ca="1">(IF(B83&gt;1,(H83/(B83+2)+J88),H83/4+J88))</f>
        <v>7</v>
      </c>
    </row>
    <row r="90" spans="1:10" ht="15.75" customHeight="1" x14ac:dyDescent="0.35">
      <c r="A90" s="99" t="s">
        <v>137</v>
      </c>
      <c r="B90" s="99" t="s">
        <v>130</v>
      </c>
      <c r="C90" s="57">
        <v>14</v>
      </c>
      <c r="D90" s="49">
        <f ca="1">((100/H83)*C90)/100</f>
        <v>1</v>
      </c>
      <c r="E90" s="199"/>
      <c r="F90" s="199"/>
      <c r="G90" s="199"/>
      <c r="H90" s="199"/>
      <c r="I90" s="14" t="s">
        <v>146</v>
      </c>
      <c r="J90" s="28">
        <f>(IF(B83&gt;1,(H83/(B83+2)+J89),0))</f>
        <v>0</v>
      </c>
    </row>
    <row r="91" spans="1:10" ht="15" customHeight="1" x14ac:dyDescent="0.35">
      <c r="A91" s="99" t="s">
        <v>135</v>
      </c>
      <c r="B91" s="99" t="s">
        <v>132</v>
      </c>
      <c r="C91" s="57">
        <v>14</v>
      </c>
      <c r="D91" s="49">
        <f ca="1">((100/(H83))*C91)/100</f>
        <v>1</v>
      </c>
      <c r="E91" s="199"/>
      <c r="F91" s="199"/>
      <c r="G91" s="199"/>
      <c r="H91" s="199"/>
      <c r="I91" s="14" t="s">
        <v>143</v>
      </c>
      <c r="J91" s="28">
        <f>(IF(B83&gt;2,(H83/(B83+2)+J90),0))</f>
        <v>0</v>
      </c>
    </row>
    <row r="92" spans="1:10" ht="15.75" customHeight="1" x14ac:dyDescent="0.35">
      <c r="A92" s="99" t="s">
        <v>131</v>
      </c>
      <c r="B92" s="99" t="s">
        <v>131</v>
      </c>
      <c r="C92" s="67">
        <v>14</v>
      </c>
      <c r="D92" s="49">
        <f ca="1">((100/H83)*C92)/100</f>
        <v>1</v>
      </c>
      <c r="E92" s="199"/>
      <c r="F92" s="199"/>
      <c r="G92" s="199"/>
      <c r="H92" s="199"/>
      <c r="I92" s="14" t="s">
        <v>144</v>
      </c>
      <c r="J92" s="29">
        <f>(IF(B83&gt;3,(H83/(B83+2)+J91),0))</f>
        <v>0</v>
      </c>
    </row>
    <row r="93" spans="1:10" ht="15.75" customHeight="1" x14ac:dyDescent="0.35">
      <c r="A93" s="99" t="s">
        <v>138</v>
      </c>
      <c r="B93" s="99"/>
      <c r="C93" s="67">
        <v>14</v>
      </c>
      <c r="D93" s="49">
        <f ca="1">((100/H83)*C93)/100</f>
        <v>1</v>
      </c>
      <c r="E93" s="199"/>
      <c r="F93" s="199"/>
      <c r="G93" s="199"/>
      <c r="H93" s="199"/>
      <c r="I93" s="14" t="s">
        <v>145</v>
      </c>
      <c r="J93" s="28">
        <f>(IF(B83&gt;4,(H83/(B83+2)+J92),0))</f>
        <v>0</v>
      </c>
    </row>
    <row r="94" spans="1:10" ht="15.75" customHeight="1" x14ac:dyDescent="0.35">
      <c r="A94" s="99" t="s">
        <v>133</v>
      </c>
      <c r="B94" s="99" t="s">
        <v>133</v>
      </c>
      <c r="C94" s="67">
        <v>14</v>
      </c>
      <c r="D94" s="49">
        <f ca="1">((100/(H83))*C94)/100</f>
        <v>1</v>
      </c>
      <c r="E94" s="199"/>
      <c r="F94" s="199"/>
      <c r="G94" s="199"/>
      <c r="H94" s="199"/>
      <c r="I94" s="14" t="s">
        <v>147</v>
      </c>
      <c r="J94" s="28">
        <f ca="1">(IF(B83=1,(H83/(B83+3)+J89),IF(B83=0,(H83/4+J89),IF(B83&gt;1,0))))</f>
        <v>10.5</v>
      </c>
    </row>
    <row r="95" spans="1:10" ht="16" thickBot="1" x14ac:dyDescent="0.4">
      <c r="A95" s="99" t="s">
        <v>134</v>
      </c>
      <c r="B95" s="99"/>
      <c r="C95" s="67">
        <v>14</v>
      </c>
      <c r="D95" s="49">
        <f ca="1">((100/(H83))*C95)/100</f>
        <v>1</v>
      </c>
      <c r="E95" s="199"/>
      <c r="F95" s="199"/>
      <c r="G95" s="199"/>
      <c r="H95" s="199"/>
      <c r="I95" s="15" t="s">
        <v>105</v>
      </c>
      <c r="J95" s="30">
        <f ca="1">(IF(B83&gt;1.5,(H83/(B83+2)+J89+MAX(0,J90-J89)+MAX(0,J91-J90)+MAX(0,J92-J91)+MAX(0,J93-J92)+MAX(0,J94-J93)),IF(B83=1,(H83/(B83+3)+J94),IF(B83=0,H83/4+J94))))</f>
        <v>14</v>
      </c>
    </row>
    <row r="96" spans="1:10" x14ac:dyDescent="0.35">
      <c r="A96" s="131" t="s">
        <v>154</v>
      </c>
      <c r="B96" s="131"/>
      <c r="C96" s="131"/>
      <c r="D96" s="131"/>
      <c r="E96" s="131"/>
      <c r="F96" s="103" t="s">
        <v>158</v>
      </c>
      <c r="G96" s="103"/>
      <c r="H96" s="103"/>
    </row>
    <row r="97" spans="1:16" x14ac:dyDescent="0.35">
      <c r="A97" s="113" t="s">
        <v>156</v>
      </c>
      <c r="B97" s="113"/>
      <c r="C97" s="113"/>
      <c r="D97" s="113"/>
      <c r="E97" s="113"/>
      <c r="F97" s="197">
        <v>7500</v>
      </c>
      <c r="G97" s="197"/>
      <c r="H97" s="197"/>
      <c r="I97" s="55" t="s">
        <v>195</v>
      </c>
      <c r="J97" s="55" t="s">
        <v>196</v>
      </c>
      <c r="K97" s="56">
        <v>44739</v>
      </c>
    </row>
    <row r="98" spans="1:16" hidden="1" x14ac:dyDescent="0.35">
      <c r="A98" s="113" t="s">
        <v>155</v>
      </c>
      <c r="B98" s="113"/>
      <c r="C98" s="113"/>
      <c r="D98" s="113"/>
      <c r="E98" s="113"/>
      <c r="F98" s="112"/>
      <c r="G98" s="112"/>
      <c r="H98" s="112"/>
      <c r="I98" s="55" t="s">
        <v>195</v>
      </c>
      <c r="K98" s="56">
        <v>44740</v>
      </c>
    </row>
    <row r="99" spans="1:16" hidden="1" x14ac:dyDescent="0.35">
      <c r="A99" s="113" t="s">
        <v>157</v>
      </c>
      <c r="B99" s="113"/>
      <c r="C99" s="113"/>
      <c r="D99" s="113"/>
      <c r="E99" s="113"/>
      <c r="F99" s="112"/>
      <c r="G99" s="112"/>
      <c r="H99" s="112"/>
      <c r="I99" s="55" t="s">
        <v>195</v>
      </c>
      <c r="K99" s="56">
        <v>44741</v>
      </c>
    </row>
    <row r="100" spans="1:16" s="31" customFormat="1" x14ac:dyDescent="0.35">
      <c r="A100" s="113" t="s">
        <v>194</v>
      </c>
      <c r="B100" s="113"/>
      <c r="C100" s="113"/>
      <c r="D100" s="113"/>
      <c r="E100" s="113"/>
      <c r="F100" s="114">
        <v>25</v>
      </c>
      <c r="G100" s="114"/>
      <c r="H100" s="114"/>
      <c r="I100" s="55" t="s">
        <v>195</v>
      </c>
      <c r="K100" s="56">
        <v>44742</v>
      </c>
    </row>
    <row r="101" spans="1:16" s="31" customFormat="1" hidden="1" x14ac:dyDescent="0.3">
      <c r="A101" s="113" t="s">
        <v>95</v>
      </c>
      <c r="B101" s="113"/>
      <c r="C101" s="113"/>
      <c r="D101" s="113"/>
      <c r="E101" s="113"/>
      <c r="F101" s="112"/>
      <c r="G101" s="112"/>
      <c r="H101" s="112"/>
    </row>
    <row r="102" spans="1:16" s="31" customFormat="1" hidden="1" x14ac:dyDescent="0.3">
      <c r="A102" s="113" t="s">
        <v>96</v>
      </c>
      <c r="B102" s="113"/>
      <c r="C102" s="113"/>
      <c r="D102" s="113"/>
      <c r="E102" s="113"/>
      <c r="F102" s="112"/>
      <c r="G102" s="112"/>
      <c r="H102" s="112"/>
    </row>
    <row r="103" spans="1:16" s="31" customFormat="1" hidden="1" x14ac:dyDescent="0.3">
      <c r="A103" s="113" t="s">
        <v>159</v>
      </c>
      <c r="B103" s="113"/>
      <c r="C103" s="113"/>
      <c r="D103" s="113"/>
      <c r="E103" s="113"/>
      <c r="F103" s="112"/>
      <c r="G103" s="112"/>
      <c r="H103" s="112"/>
    </row>
    <row r="104" spans="1:16" s="31" customFormat="1" hidden="1" x14ac:dyDescent="0.3">
      <c r="A104" s="113" t="s">
        <v>97</v>
      </c>
      <c r="B104" s="113"/>
      <c r="C104" s="113"/>
      <c r="D104" s="113"/>
      <c r="E104" s="113"/>
      <c r="F104" s="112"/>
      <c r="G104" s="112"/>
      <c r="H104" s="112"/>
    </row>
    <row r="105" spans="1:16" s="31" customFormat="1" hidden="1" x14ac:dyDescent="0.3">
      <c r="A105" s="113" t="s">
        <v>98</v>
      </c>
      <c r="B105" s="113"/>
      <c r="C105" s="113"/>
      <c r="D105" s="113"/>
      <c r="E105" s="113"/>
      <c r="F105" s="112"/>
      <c r="G105" s="112"/>
      <c r="H105" s="112"/>
    </row>
    <row r="106" spans="1:16" s="31" customFormat="1" hidden="1" x14ac:dyDescent="0.3">
      <c r="A106" s="113" t="s">
        <v>99</v>
      </c>
      <c r="B106" s="113"/>
      <c r="C106" s="113"/>
      <c r="D106" s="113"/>
      <c r="E106" s="113"/>
      <c r="F106" s="112"/>
      <c r="G106" s="112"/>
      <c r="H106" s="112"/>
    </row>
    <row r="107" spans="1:16" s="31" customFormat="1" hidden="1" x14ac:dyDescent="0.3">
      <c r="A107" s="113" t="s">
        <v>100</v>
      </c>
      <c r="B107" s="113"/>
      <c r="C107" s="113"/>
      <c r="D107" s="113"/>
      <c r="E107" s="113"/>
      <c r="F107" s="112"/>
      <c r="G107" s="112"/>
      <c r="H107" s="112"/>
    </row>
    <row r="108" spans="1:16" ht="15.75" customHeight="1" x14ac:dyDescent="0.35">
      <c r="A108" s="113" t="s">
        <v>51</v>
      </c>
      <c r="B108" s="113"/>
      <c r="C108" s="113"/>
      <c r="D108" s="113"/>
      <c r="E108" s="113"/>
      <c r="F108" s="112">
        <v>400000</v>
      </c>
      <c r="G108" s="112"/>
      <c r="H108" s="112"/>
      <c r="I108" s="74" t="s">
        <v>240</v>
      </c>
      <c r="J108" s="74"/>
      <c r="K108" s="74"/>
      <c r="L108" s="74"/>
      <c r="M108" s="74"/>
      <c r="N108" s="74"/>
      <c r="O108" s="71"/>
      <c r="P108" s="71"/>
    </row>
    <row r="109" spans="1:16" s="32" customFormat="1" x14ac:dyDescent="0.35">
      <c r="A109" s="131" t="s">
        <v>52</v>
      </c>
      <c r="B109" s="131"/>
      <c r="C109" s="131"/>
      <c r="D109" s="131"/>
      <c r="E109" s="131"/>
      <c r="F109" s="112">
        <f>F97*0.8</f>
        <v>6000</v>
      </c>
      <c r="G109" s="112"/>
      <c r="H109" s="112"/>
      <c r="I109" s="73"/>
      <c r="J109" s="74"/>
      <c r="K109" s="74"/>
      <c r="L109" s="74"/>
      <c r="M109" s="74"/>
      <c r="N109" s="74"/>
    </row>
    <row r="110" spans="1:16" s="33" customFormat="1" x14ac:dyDescent="0.35">
      <c r="A110" s="154" t="s">
        <v>71</v>
      </c>
      <c r="B110" s="154"/>
      <c r="C110" s="154"/>
      <c r="D110" s="154"/>
      <c r="E110" s="154"/>
      <c r="F110" s="154"/>
      <c r="G110" s="154"/>
      <c r="H110" s="154"/>
      <c r="I110" s="33" t="s">
        <v>180</v>
      </c>
    </row>
    <row r="111" spans="1:16" s="33" customFormat="1" ht="15.75" customHeight="1" x14ac:dyDescent="0.35">
      <c r="A111" s="168" t="s">
        <v>53</v>
      </c>
      <c r="B111" s="168"/>
      <c r="C111" s="167" t="s">
        <v>78</v>
      </c>
      <c r="D111" s="167"/>
      <c r="E111" s="165" t="s">
        <v>54</v>
      </c>
      <c r="F111" s="165"/>
      <c r="G111" s="168" t="s">
        <v>55</v>
      </c>
      <c r="H111" s="168"/>
      <c r="I111" s="33" t="s">
        <v>181</v>
      </c>
    </row>
    <row r="112" spans="1:16" s="33" customFormat="1" x14ac:dyDescent="0.35">
      <c r="A112" s="153" t="s">
        <v>199</v>
      </c>
      <c r="B112" s="153"/>
      <c r="C112" s="155">
        <f>COUNT(D124:D134)+COUNT(D137:D148)*12+COUNT(D150:D160)*2</f>
        <v>177</v>
      </c>
      <c r="D112" s="155"/>
      <c r="E112" s="156">
        <f>SUM(D124:D134)+SUM(D137:D148)*12+SUM(D150:D160)*2</f>
        <v>84225.608999999997</v>
      </c>
      <c r="F112" s="156"/>
      <c r="G112" s="156">
        <f>SUM(F124:F134)+SUM(F137:F148)*12+SUM(F150:F160)*2</f>
        <v>126338.41349999997</v>
      </c>
      <c r="H112" s="156"/>
      <c r="I112" s="33">
        <v>6100</v>
      </c>
    </row>
    <row r="113" spans="1:14" s="33" customFormat="1" x14ac:dyDescent="0.35">
      <c r="A113" s="153" t="s">
        <v>200</v>
      </c>
      <c r="B113" s="153"/>
      <c r="C113" s="155">
        <f>COUNT(D165:D175)+COUNT(D178:D189)*12+COUNT(D204:D214)*2</f>
        <v>177</v>
      </c>
      <c r="D113" s="155"/>
      <c r="E113" s="156">
        <f>SUM(D165:D175)+SUM(D178:D189)*12+SUM(D204:D214)*2</f>
        <v>84020.554799999998</v>
      </c>
      <c r="F113" s="156"/>
      <c r="G113" s="156">
        <f>SUM(F165:F175)+SUM(F178:F189)*12+SUM(F204:F214)*2</f>
        <v>126030.8322</v>
      </c>
      <c r="H113" s="156"/>
      <c r="I113" s="33">
        <v>6100</v>
      </c>
    </row>
    <row r="114" spans="1:14" s="33" customFormat="1" x14ac:dyDescent="0.35">
      <c r="A114" s="154" t="s">
        <v>206</v>
      </c>
      <c r="B114" s="154"/>
      <c r="C114" s="167">
        <f>SUM(C112:D113)</f>
        <v>354</v>
      </c>
      <c r="D114" s="167"/>
      <c r="E114" s="190">
        <f>SUM(E112:F113)</f>
        <v>168246.16379999998</v>
      </c>
      <c r="F114" s="190"/>
      <c r="G114" s="190">
        <f>SUM(G112:H113)</f>
        <v>252369.24569999997</v>
      </c>
      <c r="H114" s="190"/>
      <c r="I114" s="33">
        <v>6100</v>
      </c>
    </row>
    <row r="115" spans="1:14" s="32" customFormat="1" x14ac:dyDescent="0.35">
      <c r="A115" s="103" t="s">
        <v>56</v>
      </c>
      <c r="B115" s="103"/>
      <c r="C115" s="103"/>
      <c r="D115" s="103"/>
      <c r="E115" s="103"/>
      <c r="F115" s="103"/>
      <c r="G115" s="103"/>
      <c r="H115" s="103"/>
    </row>
    <row r="116" spans="1:14" x14ac:dyDescent="0.35">
      <c r="A116" s="103" t="s">
        <v>57</v>
      </c>
      <c r="B116" s="103"/>
      <c r="C116" s="103"/>
      <c r="D116" s="103"/>
      <c r="E116" s="103"/>
      <c r="F116" s="103"/>
      <c r="G116" s="103"/>
      <c r="H116" s="103"/>
    </row>
    <row r="117" spans="1:14" s="35" customFormat="1" hidden="1" x14ac:dyDescent="0.35">
      <c r="A117" s="86"/>
      <c r="B117" s="88"/>
      <c r="C117" s="88"/>
      <c r="D117" s="88"/>
      <c r="E117" s="88"/>
      <c r="F117" s="88"/>
      <c r="G117" s="88"/>
      <c r="H117" s="87"/>
      <c r="I117" s="34"/>
      <c r="N117" s="34"/>
    </row>
    <row r="118" spans="1:14" ht="47.25" customHeight="1" x14ac:dyDescent="0.35">
      <c r="A118" s="157" t="s">
        <v>119</v>
      </c>
      <c r="B118" s="157" t="s">
        <v>120</v>
      </c>
      <c r="C118" s="172" t="s">
        <v>58</v>
      </c>
      <c r="D118" s="172" t="s">
        <v>59</v>
      </c>
      <c r="E118" s="193" t="s">
        <v>60</v>
      </c>
      <c r="F118" s="41" t="s">
        <v>149</v>
      </c>
      <c r="G118" s="157" t="s">
        <v>61</v>
      </c>
      <c r="H118" s="195"/>
      <c r="I118" s="34"/>
    </row>
    <row r="119" spans="1:14" s="35" customFormat="1" x14ac:dyDescent="0.35">
      <c r="A119" s="158"/>
      <c r="B119" s="158"/>
      <c r="C119" s="173"/>
      <c r="D119" s="173"/>
      <c r="E119" s="194"/>
      <c r="F119" s="13">
        <v>0.5</v>
      </c>
      <c r="G119" s="158"/>
      <c r="H119" s="196"/>
      <c r="I119" s="34"/>
    </row>
    <row r="120" spans="1:14" s="35" customFormat="1" x14ac:dyDescent="0.35">
      <c r="A120" s="89" t="s">
        <v>216</v>
      </c>
      <c r="B120" s="90"/>
      <c r="C120" s="90"/>
      <c r="D120" s="90"/>
      <c r="E120" s="90"/>
      <c r="F120" s="90"/>
      <c r="G120" s="90"/>
      <c r="H120" s="91"/>
      <c r="J120" s="34"/>
    </row>
    <row r="121" spans="1:14" s="35" customFormat="1" x14ac:dyDescent="0.35">
      <c r="A121" s="89" t="s">
        <v>217</v>
      </c>
      <c r="B121" s="90"/>
      <c r="C121" s="90"/>
      <c r="D121" s="90"/>
      <c r="E121" s="90"/>
      <c r="F121" s="90"/>
      <c r="G121" s="90"/>
      <c r="H121" s="91"/>
      <c r="J121" s="34"/>
    </row>
    <row r="122" spans="1:14" s="35" customFormat="1" x14ac:dyDescent="0.35">
      <c r="A122" s="89" t="s">
        <v>193</v>
      </c>
      <c r="B122" s="90"/>
      <c r="C122" s="90"/>
      <c r="D122" s="90"/>
      <c r="E122" s="90"/>
      <c r="F122" s="90"/>
      <c r="G122" s="90"/>
      <c r="H122" s="91"/>
      <c r="J122" s="34"/>
    </row>
    <row r="123" spans="1:14" s="35" customFormat="1" x14ac:dyDescent="0.35">
      <c r="A123" s="89" t="s">
        <v>223</v>
      </c>
      <c r="B123" s="90"/>
      <c r="C123" s="90"/>
      <c r="D123" s="90"/>
      <c r="E123" s="90"/>
      <c r="F123" s="90"/>
      <c r="G123" s="90"/>
      <c r="H123" s="91"/>
      <c r="J123" s="34"/>
    </row>
    <row r="124" spans="1:14" s="35" customFormat="1" ht="15.75" customHeight="1" x14ac:dyDescent="0.35">
      <c r="A124" s="86">
        <v>1</v>
      </c>
      <c r="B124" s="87"/>
      <c r="C124" s="40" t="s">
        <v>164</v>
      </c>
      <c r="D124" s="40">
        <f>(44.47)*10.764</f>
        <v>478.67507999999998</v>
      </c>
      <c r="E124" s="40">
        <v>0</v>
      </c>
      <c r="F124" s="40">
        <f t="shared" ref="F124" si="0">D124*(($F$119)+1)+(IF(E124&lt;101,E124,IF(E124&lt;201,E124/2,IF(E124&lt;=301,E124/3,E124/4))))</f>
        <v>718.01261999999997</v>
      </c>
      <c r="G124" s="80" t="str">
        <f>A123</f>
        <v>Ground Floor for Residential, Store Room, Meter Room, Entrance Lobby</v>
      </c>
      <c r="H124" s="81"/>
      <c r="I124" s="34">
        <f>4450000/F124</f>
        <v>6197.6626538959717</v>
      </c>
      <c r="J124" s="35" t="s">
        <v>179</v>
      </c>
      <c r="L124" s="79"/>
      <c r="M124" s="79"/>
      <c r="N124" s="34"/>
    </row>
    <row r="125" spans="1:14" s="35" customFormat="1" ht="15.75" customHeight="1" x14ac:dyDescent="0.35">
      <c r="A125" s="86">
        <v>2</v>
      </c>
      <c r="B125" s="87"/>
      <c r="C125" s="40" t="s">
        <v>164</v>
      </c>
      <c r="D125" s="40">
        <f>(44.47)*10.764</f>
        <v>478.67507999999998</v>
      </c>
      <c r="E125" s="40">
        <v>0</v>
      </c>
      <c r="F125" s="40">
        <f t="shared" ref="F125:F134" si="1">D125*(($F$119)+1)+(IF(E125&lt;101,E125,IF(E125&lt;201,E125/2,IF(E125&lt;=301,E125/3,E125/4))))</f>
        <v>718.01261999999997</v>
      </c>
      <c r="G125" s="82"/>
      <c r="H125" s="83"/>
      <c r="I125" s="34">
        <f>4450000/F125</f>
        <v>6197.6626538959717</v>
      </c>
      <c r="J125" s="35" t="s">
        <v>179</v>
      </c>
      <c r="L125" s="79"/>
      <c r="M125" s="79"/>
      <c r="N125" s="34"/>
    </row>
    <row r="126" spans="1:14" s="35" customFormat="1" ht="15.75" customHeight="1" x14ac:dyDescent="0.35">
      <c r="A126" s="86">
        <f t="shared" ref="A126:A135" si="2">A125+1</f>
        <v>3</v>
      </c>
      <c r="B126" s="87"/>
      <c r="C126" s="40" t="s">
        <v>166</v>
      </c>
      <c r="D126" s="40">
        <f>(30.75)*10.764</f>
        <v>330.99299999999999</v>
      </c>
      <c r="E126" s="40">
        <v>0</v>
      </c>
      <c r="F126" s="40">
        <f t="shared" si="1"/>
        <v>496.48950000000002</v>
      </c>
      <c r="G126" s="82"/>
      <c r="H126" s="83"/>
      <c r="I126" s="34">
        <f>3100000/F126</f>
        <v>6243.8379865032393</v>
      </c>
      <c r="J126" s="35" t="s">
        <v>179</v>
      </c>
      <c r="L126" s="79"/>
      <c r="M126" s="79"/>
      <c r="N126" s="34"/>
    </row>
    <row r="127" spans="1:14" s="35" customFormat="1" ht="15.75" customHeight="1" x14ac:dyDescent="0.35">
      <c r="A127" s="86">
        <f t="shared" si="2"/>
        <v>4</v>
      </c>
      <c r="B127" s="87"/>
      <c r="C127" s="40" t="s">
        <v>164</v>
      </c>
      <c r="D127" s="40">
        <f t="shared" ref="D127:D148" si="3">(44.47)*10.764</f>
        <v>478.67507999999998</v>
      </c>
      <c r="E127" s="40">
        <v>0</v>
      </c>
      <c r="F127" s="40">
        <f t="shared" si="1"/>
        <v>718.01261999999997</v>
      </c>
      <c r="G127" s="82"/>
      <c r="H127" s="83"/>
      <c r="I127" s="34">
        <f>4500000/F127</f>
        <v>6267.2993129285114</v>
      </c>
      <c r="J127" s="35" t="s">
        <v>182</v>
      </c>
      <c r="L127" s="79"/>
      <c r="M127" s="79"/>
      <c r="N127" s="34"/>
    </row>
    <row r="128" spans="1:14" s="35" customFormat="1" ht="15.75" customHeight="1" x14ac:dyDescent="0.35">
      <c r="A128" s="86">
        <f t="shared" si="2"/>
        <v>5</v>
      </c>
      <c r="B128" s="87"/>
      <c r="C128" s="40" t="s">
        <v>164</v>
      </c>
      <c r="D128" s="40">
        <f t="shared" si="3"/>
        <v>478.67507999999998</v>
      </c>
      <c r="E128" s="40">
        <v>0</v>
      </c>
      <c r="F128" s="40">
        <f t="shared" si="1"/>
        <v>718.01261999999997</v>
      </c>
      <c r="G128" s="82"/>
      <c r="H128" s="83"/>
      <c r="I128" s="34"/>
      <c r="L128" s="79"/>
      <c r="M128" s="79"/>
      <c r="N128" s="34"/>
    </row>
    <row r="129" spans="1:14" s="35" customFormat="1" ht="15.75" customHeight="1" x14ac:dyDescent="0.35">
      <c r="A129" s="86">
        <f t="shared" si="2"/>
        <v>6</v>
      </c>
      <c r="B129" s="87"/>
      <c r="C129" s="40" t="s">
        <v>164</v>
      </c>
      <c r="D129" s="40">
        <f t="shared" si="3"/>
        <v>478.67507999999998</v>
      </c>
      <c r="E129" s="40">
        <v>0</v>
      </c>
      <c r="F129" s="40">
        <f t="shared" si="1"/>
        <v>718.01261999999997</v>
      </c>
      <c r="G129" s="82"/>
      <c r="H129" s="83"/>
      <c r="I129" s="34"/>
      <c r="L129" s="79"/>
      <c r="M129" s="79"/>
      <c r="N129" s="34"/>
    </row>
    <row r="130" spans="1:14" s="35" customFormat="1" ht="15.75" customHeight="1" x14ac:dyDescent="0.35">
      <c r="A130" s="86">
        <f t="shared" si="2"/>
        <v>7</v>
      </c>
      <c r="B130" s="87"/>
      <c r="C130" s="40" t="s">
        <v>164</v>
      </c>
      <c r="D130" s="40">
        <f t="shared" si="3"/>
        <v>478.67507999999998</v>
      </c>
      <c r="E130" s="40">
        <v>0</v>
      </c>
      <c r="F130" s="40">
        <f t="shared" si="1"/>
        <v>718.01261999999997</v>
      </c>
      <c r="G130" s="82"/>
      <c r="H130" s="83"/>
      <c r="I130" s="34"/>
      <c r="L130" s="79"/>
      <c r="M130" s="79"/>
      <c r="N130" s="34"/>
    </row>
    <row r="131" spans="1:14" s="35" customFormat="1" ht="15.75" customHeight="1" x14ac:dyDescent="0.35">
      <c r="A131" s="86">
        <f t="shared" si="2"/>
        <v>8</v>
      </c>
      <c r="B131" s="87"/>
      <c r="C131" s="40" t="s">
        <v>164</v>
      </c>
      <c r="D131" s="40">
        <f t="shared" si="3"/>
        <v>478.67507999999998</v>
      </c>
      <c r="E131" s="40">
        <v>0</v>
      </c>
      <c r="F131" s="40">
        <f t="shared" si="1"/>
        <v>718.01261999999997</v>
      </c>
      <c r="G131" s="82"/>
      <c r="H131" s="83"/>
      <c r="I131" s="34"/>
      <c r="L131" s="79"/>
      <c r="M131" s="79"/>
      <c r="N131" s="34"/>
    </row>
    <row r="132" spans="1:14" s="35" customFormat="1" ht="15.75" customHeight="1" x14ac:dyDescent="0.35">
      <c r="A132" s="86">
        <f t="shared" si="2"/>
        <v>9</v>
      </c>
      <c r="B132" s="87"/>
      <c r="C132" s="40" t="s">
        <v>164</v>
      </c>
      <c r="D132" s="40">
        <f t="shared" si="3"/>
        <v>478.67507999999998</v>
      </c>
      <c r="E132" s="40">
        <v>0</v>
      </c>
      <c r="F132" s="40">
        <f t="shared" si="1"/>
        <v>718.01261999999997</v>
      </c>
      <c r="G132" s="82"/>
      <c r="H132" s="83"/>
      <c r="I132" s="34">
        <f>3200000/F133</f>
        <v>6445.2521151001174</v>
      </c>
      <c r="J132" s="35" t="s">
        <v>182</v>
      </c>
      <c r="L132" s="79"/>
      <c r="M132" s="79"/>
      <c r="N132" s="34"/>
    </row>
    <row r="133" spans="1:14" s="35" customFormat="1" ht="15.75" customHeight="1" x14ac:dyDescent="0.35">
      <c r="A133" s="86">
        <f t="shared" si="2"/>
        <v>10</v>
      </c>
      <c r="B133" s="87"/>
      <c r="C133" s="40" t="s">
        <v>166</v>
      </c>
      <c r="D133" s="40">
        <f>(30.75)*10.764</f>
        <v>330.99299999999999</v>
      </c>
      <c r="E133" s="40">
        <v>0</v>
      </c>
      <c r="F133" s="40">
        <f t="shared" si="1"/>
        <v>496.48950000000002</v>
      </c>
      <c r="G133" s="82"/>
      <c r="H133" s="83"/>
      <c r="I133" s="34">
        <f>2800000/F133</f>
        <v>5639.5956007126033</v>
      </c>
      <c r="J133" s="35" t="s">
        <v>182</v>
      </c>
      <c r="L133" s="79"/>
      <c r="M133" s="79"/>
      <c r="N133" s="34"/>
    </row>
    <row r="134" spans="1:14" s="35" customFormat="1" ht="15.75" customHeight="1" x14ac:dyDescent="0.35">
      <c r="A134" s="86">
        <f t="shared" si="2"/>
        <v>11</v>
      </c>
      <c r="B134" s="87"/>
      <c r="C134" s="40" t="s">
        <v>164</v>
      </c>
      <c r="D134" s="40">
        <f t="shared" si="3"/>
        <v>478.67507999999998</v>
      </c>
      <c r="E134" s="40">
        <v>0</v>
      </c>
      <c r="F134" s="40">
        <f t="shared" si="1"/>
        <v>718.01261999999997</v>
      </c>
      <c r="G134" s="82"/>
      <c r="H134" s="83"/>
      <c r="I134" s="34"/>
      <c r="L134" s="79"/>
      <c r="M134" s="79"/>
      <c r="N134" s="34"/>
    </row>
    <row r="135" spans="1:14" s="35" customFormat="1" ht="15.75" customHeight="1" x14ac:dyDescent="0.35">
      <c r="A135" s="86">
        <f t="shared" si="2"/>
        <v>12</v>
      </c>
      <c r="B135" s="87"/>
      <c r="C135" s="86" t="s">
        <v>224</v>
      </c>
      <c r="D135" s="88"/>
      <c r="E135" s="88"/>
      <c r="F135" s="87"/>
      <c r="G135" s="84"/>
      <c r="H135" s="85"/>
      <c r="I135" s="34"/>
      <c r="L135" s="79"/>
      <c r="M135" s="79"/>
      <c r="N135" s="34"/>
    </row>
    <row r="136" spans="1:14" s="35" customFormat="1" ht="31.5" customHeight="1" x14ac:dyDescent="0.35">
      <c r="A136" s="174" t="s">
        <v>191</v>
      </c>
      <c r="B136" s="174"/>
      <c r="C136" s="174"/>
      <c r="D136" s="174"/>
      <c r="E136" s="174"/>
      <c r="F136" s="174"/>
      <c r="G136" s="174"/>
      <c r="H136" s="174"/>
      <c r="I136" s="34"/>
    </row>
    <row r="137" spans="1:14" s="35" customFormat="1" ht="15.75" customHeight="1" x14ac:dyDescent="0.35">
      <c r="A137" s="72">
        <v>1</v>
      </c>
      <c r="B137" s="72"/>
      <c r="C137" s="66" t="s">
        <v>164</v>
      </c>
      <c r="D137" s="66">
        <f t="shared" si="3"/>
        <v>478.67507999999998</v>
      </c>
      <c r="E137" s="66">
        <v>0</v>
      </c>
      <c r="F137" s="66">
        <f t="shared" ref="F137:F148" si="4">D137*(($F$119)+1)+(IF(E137&lt;101,E137,IF(E137&lt;201,E137/2,IF(E137&lt;=301,E137/3,E137/4))))</f>
        <v>718.01261999999997</v>
      </c>
      <c r="G137" s="72" t="str">
        <f>A136</f>
        <v>1st to 7th, 9th to 12th Floor
14th Floor (15th Floor as per builder)</v>
      </c>
      <c r="H137" s="72"/>
      <c r="I137" s="34"/>
    </row>
    <row r="138" spans="1:14" s="35" customFormat="1" ht="15.75" customHeight="1" x14ac:dyDescent="0.35">
      <c r="A138" s="72">
        <v>2</v>
      </c>
      <c r="B138" s="72"/>
      <c r="C138" s="66" t="s">
        <v>164</v>
      </c>
      <c r="D138" s="66">
        <f t="shared" si="3"/>
        <v>478.67507999999998</v>
      </c>
      <c r="E138" s="66">
        <v>0</v>
      </c>
      <c r="F138" s="66">
        <f t="shared" si="4"/>
        <v>718.01261999999997</v>
      </c>
      <c r="G138" s="72"/>
      <c r="H138" s="72"/>
      <c r="I138" s="34"/>
    </row>
    <row r="139" spans="1:14" s="35" customFormat="1" ht="15.75" customHeight="1" x14ac:dyDescent="0.35">
      <c r="A139" s="72">
        <v>3</v>
      </c>
      <c r="B139" s="72"/>
      <c r="C139" s="66" t="s">
        <v>164</v>
      </c>
      <c r="D139" s="66">
        <f t="shared" si="3"/>
        <v>478.67507999999998</v>
      </c>
      <c r="E139" s="66">
        <v>0</v>
      </c>
      <c r="F139" s="66">
        <f t="shared" si="4"/>
        <v>718.01261999999997</v>
      </c>
      <c r="G139" s="72"/>
      <c r="H139" s="72"/>
      <c r="I139" s="34"/>
    </row>
    <row r="140" spans="1:14" s="35" customFormat="1" ht="15.75" customHeight="1" x14ac:dyDescent="0.35">
      <c r="A140" s="72">
        <v>4</v>
      </c>
      <c r="B140" s="72"/>
      <c r="C140" s="66" t="s">
        <v>164</v>
      </c>
      <c r="D140" s="66">
        <f t="shared" si="3"/>
        <v>478.67507999999998</v>
      </c>
      <c r="E140" s="66">
        <v>0</v>
      </c>
      <c r="F140" s="66">
        <f t="shared" si="4"/>
        <v>718.01261999999997</v>
      </c>
      <c r="G140" s="72"/>
      <c r="H140" s="72"/>
      <c r="I140" s="34"/>
    </row>
    <row r="141" spans="1:14" s="35" customFormat="1" ht="15.75" customHeight="1" x14ac:dyDescent="0.35">
      <c r="A141" s="72">
        <v>5</v>
      </c>
      <c r="B141" s="72"/>
      <c r="C141" s="66" t="s">
        <v>164</v>
      </c>
      <c r="D141" s="66">
        <f t="shared" si="3"/>
        <v>478.67507999999998</v>
      </c>
      <c r="E141" s="66">
        <v>0</v>
      </c>
      <c r="F141" s="66">
        <f t="shared" si="4"/>
        <v>718.01261999999997</v>
      </c>
      <c r="G141" s="72"/>
      <c r="H141" s="72"/>
      <c r="I141" s="34"/>
    </row>
    <row r="142" spans="1:14" s="35" customFormat="1" ht="15.75" customHeight="1" x14ac:dyDescent="0.35">
      <c r="A142" s="72">
        <v>6</v>
      </c>
      <c r="B142" s="72"/>
      <c r="C142" s="66" t="s">
        <v>164</v>
      </c>
      <c r="D142" s="66">
        <f t="shared" si="3"/>
        <v>478.67507999999998</v>
      </c>
      <c r="E142" s="66">
        <v>0</v>
      </c>
      <c r="F142" s="66">
        <f t="shared" si="4"/>
        <v>718.01261999999997</v>
      </c>
      <c r="G142" s="72"/>
      <c r="H142" s="72"/>
      <c r="I142" s="34"/>
    </row>
    <row r="143" spans="1:14" s="35" customFormat="1" ht="15.75" customHeight="1" x14ac:dyDescent="0.35">
      <c r="A143" s="72">
        <v>7</v>
      </c>
      <c r="B143" s="72"/>
      <c r="C143" s="66" t="s">
        <v>164</v>
      </c>
      <c r="D143" s="66">
        <f t="shared" si="3"/>
        <v>478.67507999999998</v>
      </c>
      <c r="E143" s="66">
        <v>0</v>
      </c>
      <c r="F143" s="66">
        <f t="shared" si="4"/>
        <v>718.01261999999997</v>
      </c>
      <c r="G143" s="72"/>
      <c r="H143" s="72"/>
      <c r="I143" s="34"/>
    </row>
    <row r="144" spans="1:14" s="35" customFormat="1" ht="15.75" customHeight="1" x14ac:dyDescent="0.35">
      <c r="A144" s="72">
        <v>8</v>
      </c>
      <c r="B144" s="72"/>
      <c r="C144" s="66" t="s">
        <v>164</v>
      </c>
      <c r="D144" s="66">
        <f t="shared" si="3"/>
        <v>478.67507999999998</v>
      </c>
      <c r="E144" s="66">
        <v>0</v>
      </c>
      <c r="F144" s="66">
        <f t="shared" si="4"/>
        <v>718.01261999999997</v>
      </c>
      <c r="G144" s="72"/>
      <c r="H144" s="72"/>
      <c r="I144" s="34"/>
    </row>
    <row r="145" spans="1:9" s="35" customFormat="1" ht="15.75" customHeight="1" x14ac:dyDescent="0.35">
      <c r="A145" s="72">
        <v>9</v>
      </c>
      <c r="B145" s="72"/>
      <c r="C145" s="66" t="s">
        <v>164</v>
      </c>
      <c r="D145" s="66">
        <f t="shared" si="3"/>
        <v>478.67507999999998</v>
      </c>
      <c r="E145" s="66">
        <v>0</v>
      </c>
      <c r="F145" s="66">
        <f t="shared" si="4"/>
        <v>718.01261999999997</v>
      </c>
      <c r="G145" s="72"/>
      <c r="H145" s="72"/>
      <c r="I145" s="34"/>
    </row>
    <row r="146" spans="1:9" s="35" customFormat="1" ht="15.75" customHeight="1" x14ac:dyDescent="0.35">
      <c r="A146" s="72">
        <v>10</v>
      </c>
      <c r="B146" s="72"/>
      <c r="C146" s="66" t="s">
        <v>164</v>
      </c>
      <c r="D146" s="66">
        <f t="shared" si="3"/>
        <v>478.67507999999998</v>
      </c>
      <c r="E146" s="66">
        <v>0</v>
      </c>
      <c r="F146" s="66">
        <f t="shared" si="4"/>
        <v>718.01261999999997</v>
      </c>
      <c r="G146" s="72"/>
      <c r="H146" s="72"/>
      <c r="I146" s="34"/>
    </row>
    <row r="147" spans="1:9" s="35" customFormat="1" ht="15.75" customHeight="1" x14ac:dyDescent="0.35">
      <c r="A147" s="72">
        <v>11</v>
      </c>
      <c r="B147" s="72"/>
      <c r="C147" s="66" t="s">
        <v>164</v>
      </c>
      <c r="D147" s="66">
        <f t="shared" si="3"/>
        <v>478.67507999999998</v>
      </c>
      <c r="E147" s="66">
        <v>0</v>
      </c>
      <c r="F147" s="66">
        <f t="shared" si="4"/>
        <v>718.01261999999997</v>
      </c>
      <c r="G147" s="72"/>
      <c r="H147" s="72"/>
      <c r="I147" s="34"/>
    </row>
    <row r="148" spans="1:9" s="35" customFormat="1" ht="15.75" customHeight="1" x14ac:dyDescent="0.35">
      <c r="A148" s="72">
        <v>12</v>
      </c>
      <c r="B148" s="72"/>
      <c r="C148" s="66" t="s">
        <v>164</v>
      </c>
      <c r="D148" s="66">
        <f t="shared" si="3"/>
        <v>478.67507999999998</v>
      </c>
      <c r="E148" s="66">
        <v>0</v>
      </c>
      <c r="F148" s="66">
        <f t="shared" si="4"/>
        <v>718.01261999999997</v>
      </c>
      <c r="G148" s="72"/>
      <c r="H148" s="72"/>
      <c r="I148" s="34"/>
    </row>
    <row r="149" spans="1:9" s="35" customFormat="1" ht="33" customHeight="1" x14ac:dyDescent="0.35">
      <c r="A149" s="174" t="s">
        <v>192</v>
      </c>
      <c r="B149" s="175"/>
      <c r="C149" s="175"/>
      <c r="D149" s="175"/>
      <c r="E149" s="175"/>
      <c r="F149" s="175"/>
      <c r="G149" s="175"/>
      <c r="H149" s="175"/>
      <c r="I149" s="34"/>
    </row>
    <row r="150" spans="1:9" s="35" customFormat="1" ht="15.75" customHeight="1" x14ac:dyDescent="0.35">
      <c r="A150" s="86">
        <v>1</v>
      </c>
      <c r="B150" s="87"/>
      <c r="C150" s="40" t="s">
        <v>164</v>
      </c>
      <c r="D150" s="40">
        <f>(44.47)*10.764</f>
        <v>478.67507999999998</v>
      </c>
      <c r="E150" s="40">
        <v>0</v>
      </c>
      <c r="F150" s="40">
        <f t="shared" ref="F150" si="5">D150*(($F$119)+1)+(IF(E150&lt;101,E150,IF(E150&lt;201,E150/2,IF(E150&lt;=301,E150/3,E150/4))))</f>
        <v>718.01261999999997</v>
      </c>
      <c r="G150" s="80" t="str">
        <f>A149</f>
        <v>8th Floor 
13th Floor (14th Floor as per builder) (Part Refuge Area)</v>
      </c>
      <c r="H150" s="81"/>
      <c r="I150" s="34"/>
    </row>
    <row r="151" spans="1:9" s="35" customFormat="1" ht="15.75" customHeight="1" x14ac:dyDescent="0.35">
      <c r="A151" s="86">
        <v>2</v>
      </c>
      <c r="B151" s="87"/>
      <c r="C151" s="40" t="s">
        <v>164</v>
      </c>
      <c r="D151" s="40">
        <f>(44.47)*10.764</f>
        <v>478.67507999999998</v>
      </c>
      <c r="E151" s="40">
        <v>0</v>
      </c>
      <c r="F151" s="40">
        <f t="shared" ref="F151:F160" si="6">D151*(($F$119)+1)+(IF(E151&lt;101,E151,IF(E151&lt;201,E151/2,IF(E151&lt;=301,E151/3,E151/4))))</f>
        <v>718.01261999999997</v>
      </c>
      <c r="G151" s="82"/>
      <c r="H151" s="83"/>
      <c r="I151" s="34"/>
    </row>
    <row r="152" spans="1:9" s="35" customFormat="1" ht="15.75" customHeight="1" x14ac:dyDescent="0.35">
      <c r="A152" s="86">
        <v>3</v>
      </c>
      <c r="B152" s="87"/>
      <c r="C152" s="40" t="s">
        <v>164</v>
      </c>
      <c r="D152" s="40">
        <f t="shared" ref="D152:D159" si="7">(44.47)*10.764</f>
        <v>478.67507999999998</v>
      </c>
      <c r="E152" s="40">
        <v>0</v>
      </c>
      <c r="F152" s="40">
        <f t="shared" si="6"/>
        <v>718.01261999999997</v>
      </c>
      <c r="G152" s="82"/>
      <c r="H152" s="83"/>
      <c r="I152" s="34"/>
    </row>
    <row r="153" spans="1:9" s="35" customFormat="1" ht="15.75" customHeight="1" x14ac:dyDescent="0.35">
      <c r="A153" s="86">
        <v>4</v>
      </c>
      <c r="B153" s="87"/>
      <c r="C153" s="40" t="s">
        <v>164</v>
      </c>
      <c r="D153" s="40">
        <f t="shared" si="7"/>
        <v>478.67507999999998</v>
      </c>
      <c r="E153" s="40">
        <v>0</v>
      </c>
      <c r="F153" s="40">
        <f t="shared" si="6"/>
        <v>718.01261999999997</v>
      </c>
      <c r="G153" s="82"/>
      <c r="H153" s="83"/>
      <c r="I153" s="34"/>
    </row>
    <row r="154" spans="1:9" s="35" customFormat="1" ht="15.75" customHeight="1" x14ac:dyDescent="0.35">
      <c r="A154" s="86">
        <v>5</v>
      </c>
      <c r="B154" s="87"/>
      <c r="C154" s="40" t="s">
        <v>164</v>
      </c>
      <c r="D154" s="40">
        <f t="shared" si="7"/>
        <v>478.67507999999998</v>
      </c>
      <c r="E154" s="40">
        <v>0</v>
      </c>
      <c r="F154" s="40">
        <f t="shared" si="6"/>
        <v>718.01261999999997</v>
      </c>
      <c r="G154" s="82"/>
      <c r="H154" s="83"/>
      <c r="I154" s="34"/>
    </row>
    <row r="155" spans="1:9" s="35" customFormat="1" ht="15.75" customHeight="1" x14ac:dyDescent="0.35">
      <c r="A155" s="86">
        <v>6</v>
      </c>
      <c r="B155" s="87"/>
      <c r="C155" s="40" t="s">
        <v>164</v>
      </c>
      <c r="D155" s="40">
        <f t="shared" si="7"/>
        <v>478.67507999999998</v>
      </c>
      <c r="E155" s="40">
        <v>0</v>
      </c>
      <c r="F155" s="40">
        <f t="shared" si="6"/>
        <v>718.01261999999997</v>
      </c>
      <c r="G155" s="82"/>
      <c r="H155" s="83"/>
      <c r="I155" s="34"/>
    </row>
    <row r="156" spans="1:9" s="35" customFormat="1" ht="15.75" customHeight="1" x14ac:dyDescent="0.35">
      <c r="A156" s="86">
        <v>7</v>
      </c>
      <c r="B156" s="87"/>
      <c r="C156" s="40" t="s">
        <v>164</v>
      </c>
      <c r="D156" s="40">
        <f t="shared" si="7"/>
        <v>478.67507999999998</v>
      </c>
      <c r="E156" s="40">
        <v>0</v>
      </c>
      <c r="F156" s="40">
        <f t="shared" si="6"/>
        <v>718.01261999999997</v>
      </c>
      <c r="G156" s="82"/>
      <c r="H156" s="83"/>
      <c r="I156" s="34"/>
    </row>
    <row r="157" spans="1:9" s="35" customFormat="1" ht="15.75" customHeight="1" x14ac:dyDescent="0.35">
      <c r="A157" s="86">
        <v>8</v>
      </c>
      <c r="B157" s="87"/>
      <c r="C157" s="40" t="s">
        <v>164</v>
      </c>
      <c r="D157" s="40">
        <f t="shared" si="7"/>
        <v>478.67507999999998</v>
      </c>
      <c r="E157" s="40">
        <v>0</v>
      </c>
      <c r="F157" s="40">
        <f t="shared" si="6"/>
        <v>718.01261999999997</v>
      </c>
      <c r="G157" s="82"/>
      <c r="H157" s="83"/>
      <c r="I157" s="34"/>
    </row>
    <row r="158" spans="1:9" s="35" customFormat="1" ht="15.75" customHeight="1" x14ac:dyDescent="0.35">
      <c r="A158" s="86">
        <v>9</v>
      </c>
      <c r="B158" s="87"/>
      <c r="C158" s="40" t="s">
        <v>164</v>
      </c>
      <c r="D158" s="40">
        <f t="shared" si="7"/>
        <v>478.67507999999998</v>
      </c>
      <c r="E158" s="40">
        <v>0</v>
      </c>
      <c r="F158" s="40">
        <f t="shared" si="6"/>
        <v>718.01261999999997</v>
      </c>
      <c r="G158" s="82"/>
      <c r="H158" s="83"/>
      <c r="I158" s="34"/>
    </row>
    <row r="159" spans="1:9" s="35" customFormat="1" ht="15.75" customHeight="1" x14ac:dyDescent="0.35">
      <c r="A159" s="86">
        <v>10</v>
      </c>
      <c r="B159" s="87"/>
      <c r="C159" s="40" t="s">
        <v>164</v>
      </c>
      <c r="D159" s="40">
        <f t="shared" si="7"/>
        <v>478.67507999999998</v>
      </c>
      <c r="E159" s="40">
        <v>0</v>
      </c>
      <c r="F159" s="40">
        <f t="shared" si="6"/>
        <v>718.01261999999997</v>
      </c>
      <c r="G159" s="82"/>
      <c r="H159" s="83"/>
      <c r="I159" s="34"/>
    </row>
    <row r="160" spans="1:9" s="35" customFormat="1" ht="15.75" customHeight="1" x14ac:dyDescent="0.35">
      <c r="A160" s="86">
        <v>11</v>
      </c>
      <c r="B160" s="87"/>
      <c r="C160" s="40" t="s">
        <v>166</v>
      </c>
      <c r="D160" s="40">
        <f>(34.97)*10.764</f>
        <v>376.41707999999994</v>
      </c>
      <c r="E160" s="40">
        <v>0</v>
      </c>
      <c r="F160" s="40">
        <f t="shared" si="6"/>
        <v>564.62561999999991</v>
      </c>
      <c r="G160" s="82"/>
      <c r="H160" s="83"/>
      <c r="I160" s="34"/>
    </row>
    <row r="161" spans="1:14" s="35" customFormat="1" ht="15.75" customHeight="1" x14ac:dyDescent="0.35">
      <c r="A161" s="169">
        <v>12</v>
      </c>
      <c r="B161" s="170"/>
      <c r="C161" s="169" t="s">
        <v>163</v>
      </c>
      <c r="D161" s="171"/>
      <c r="E161" s="171"/>
      <c r="F161" s="170"/>
      <c r="G161" s="84"/>
      <c r="H161" s="85"/>
      <c r="I161" s="34"/>
    </row>
    <row r="162" spans="1:14" s="59" customFormat="1" x14ac:dyDescent="0.35">
      <c r="A162" s="89" t="s">
        <v>218</v>
      </c>
      <c r="B162" s="90"/>
      <c r="C162" s="90"/>
      <c r="D162" s="90"/>
      <c r="E162" s="90"/>
      <c r="F162" s="90"/>
      <c r="G162" s="90"/>
      <c r="H162" s="91"/>
      <c r="J162" s="34"/>
    </row>
    <row r="163" spans="1:14" s="58" customFormat="1" x14ac:dyDescent="0.35">
      <c r="A163" s="89" t="s">
        <v>203</v>
      </c>
      <c r="B163" s="90"/>
      <c r="C163" s="90"/>
      <c r="D163" s="90"/>
      <c r="E163" s="90"/>
      <c r="F163" s="90"/>
      <c r="G163" s="90"/>
      <c r="H163" s="91"/>
      <c r="J163" s="34"/>
    </row>
    <row r="164" spans="1:14" s="58" customFormat="1" x14ac:dyDescent="0.35">
      <c r="A164" s="89" t="s">
        <v>165</v>
      </c>
      <c r="B164" s="90"/>
      <c r="C164" s="90"/>
      <c r="D164" s="90"/>
      <c r="E164" s="90"/>
      <c r="F164" s="90"/>
      <c r="G164" s="90"/>
      <c r="H164" s="91"/>
      <c r="J164" s="34"/>
    </row>
    <row r="165" spans="1:14" s="58" customFormat="1" ht="15.75" customHeight="1" x14ac:dyDescent="0.35">
      <c r="A165" s="86">
        <v>1</v>
      </c>
      <c r="B165" s="87"/>
      <c r="C165" s="40" t="s">
        <v>164</v>
      </c>
      <c r="D165" s="40">
        <f>(44.1)*10.764</f>
        <v>474.69239999999996</v>
      </c>
      <c r="E165" s="40">
        <v>0</v>
      </c>
      <c r="F165" s="40">
        <f t="shared" ref="F165:F174" si="8">D165*(($F$119)+1)+(IF(E165&lt;101,E165,IF(E165&lt;201,E165/2,IF(E165&lt;=301,E165/3,E165/4))))</f>
        <v>712.03859999999997</v>
      </c>
      <c r="G165" s="82" t="str">
        <f>A164</f>
        <v>Ground Floor for Residential</v>
      </c>
      <c r="H165" s="83"/>
      <c r="I165" s="34">
        <f>4450000/F165</f>
        <v>6249.6611840987271</v>
      </c>
      <c r="J165" s="58" t="s">
        <v>179</v>
      </c>
      <c r="L165" s="79"/>
      <c r="M165" s="79"/>
      <c r="N165" s="34"/>
    </row>
    <row r="166" spans="1:14" s="58" customFormat="1" ht="15.75" customHeight="1" x14ac:dyDescent="0.35">
      <c r="A166" s="86">
        <f t="shared" ref="A166:A176" si="9">A165+1</f>
        <v>2</v>
      </c>
      <c r="B166" s="87"/>
      <c r="C166" s="40" t="s">
        <v>164</v>
      </c>
      <c r="D166" s="40">
        <f t="shared" ref="D166:D175" si="10">(44.1)*10.764</f>
        <v>474.69239999999996</v>
      </c>
      <c r="E166" s="40">
        <v>0</v>
      </c>
      <c r="F166" s="40">
        <f t="shared" si="8"/>
        <v>712.03859999999997</v>
      </c>
      <c r="G166" s="82"/>
      <c r="H166" s="83"/>
      <c r="I166" s="34">
        <f>3100000/F166</f>
        <v>4353.696555214844</v>
      </c>
      <c r="J166" s="58" t="s">
        <v>179</v>
      </c>
      <c r="L166" s="79"/>
      <c r="M166" s="79"/>
      <c r="N166" s="34"/>
    </row>
    <row r="167" spans="1:14" s="58" customFormat="1" ht="15.75" customHeight="1" x14ac:dyDescent="0.35">
      <c r="A167" s="86">
        <f t="shared" si="9"/>
        <v>3</v>
      </c>
      <c r="B167" s="87"/>
      <c r="C167" s="40" t="s">
        <v>164</v>
      </c>
      <c r="D167" s="40">
        <f t="shared" si="10"/>
        <v>474.69239999999996</v>
      </c>
      <c r="E167" s="40">
        <v>0</v>
      </c>
      <c r="F167" s="40">
        <f t="shared" si="8"/>
        <v>712.03859999999997</v>
      </c>
      <c r="G167" s="82"/>
      <c r="H167" s="83"/>
      <c r="I167" s="34">
        <f>4500000/F167</f>
        <v>6319.8820962796117</v>
      </c>
      <c r="J167" s="58" t="s">
        <v>182</v>
      </c>
      <c r="L167" s="79"/>
      <c r="M167" s="79"/>
      <c r="N167" s="34"/>
    </row>
    <row r="168" spans="1:14" s="58" customFormat="1" ht="15.75" customHeight="1" x14ac:dyDescent="0.35">
      <c r="A168" s="86">
        <f t="shared" si="9"/>
        <v>4</v>
      </c>
      <c r="B168" s="87"/>
      <c r="C168" s="40" t="s">
        <v>164</v>
      </c>
      <c r="D168" s="40">
        <f t="shared" si="10"/>
        <v>474.69239999999996</v>
      </c>
      <c r="E168" s="40">
        <v>0</v>
      </c>
      <c r="F168" s="40">
        <f t="shared" si="8"/>
        <v>712.03859999999997</v>
      </c>
      <c r="G168" s="82"/>
      <c r="H168" s="83"/>
      <c r="I168" s="34"/>
      <c r="L168" s="79"/>
      <c r="M168" s="79"/>
      <c r="N168" s="34"/>
    </row>
    <row r="169" spans="1:14" s="58" customFormat="1" ht="15.75" customHeight="1" x14ac:dyDescent="0.35">
      <c r="A169" s="86">
        <f t="shared" si="9"/>
        <v>5</v>
      </c>
      <c r="B169" s="87"/>
      <c r="C169" s="40" t="s">
        <v>164</v>
      </c>
      <c r="D169" s="40">
        <f t="shared" si="10"/>
        <v>474.69239999999996</v>
      </c>
      <c r="E169" s="40">
        <v>0</v>
      </c>
      <c r="F169" s="40">
        <f t="shared" si="8"/>
        <v>712.03859999999997</v>
      </c>
      <c r="G169" s="82"/>
      <c r="H169" s="83"/>
      <c r="I169" s="34"/>
      <c r="L169" s="79"/>
      <c r="M169" s="79"/>
      <c r="N169" s="34"/>
    </row>
    <row r="170" spans="1:14" s="58" customFormat="1" ht="15.75" customHeight="1" x14ac:dyDescent="0.35">
      <c r="A170" s="86">
        <f t="shared" si="9"/>
        <v>6</v>
      </c>
      <c r="B170" s="87"/>
      <c r="C170" s="40" t="s">
        <v>164</v>
      </c>
      <c r="D170" s="40">
        <f t="shared" si="10"/>
        <v>474.69239999999996</v>
      </c>
      <c r="E170" s="40">
        <v>0</v>
      </c>
      <c r="F170" s="40">
        <f t="shared" si="8"/>
        <v>712.03859999999997</v>
      </c>
      <c r="G170" s="82"/>
      <c r="H170" s="83"/>
      <c r="I170" s="34"/>
      <c r="L170" s="79"/>
      <c r="M170" s="79"/>
      <c r="N170" s="34"/>
    </row>
    <row r="171" spans="1:14" s="58" customFormat="1" ht="15.75" customHeight="1" x14ac:dyDescent="0.35">
      <c r="A171" s="86">
        <f t="shared" si="9"/>
        <v>7</v>
      </c>
      <c r="B171" s="87"/>
      <c r="C171" s="40" t="s">
        <v>164</v>
      </c>
      <c r="D171" s="40">
        <f t="shared" si="10"/>
        <v>474.69239999999996</v>
      </c>
      <c r="E171" s="40">
        <v>0</v>
      </c>
      <c r="F171" s="40">
        <f t="shared" si="8"/>
        <v>712.03859999999997</v>
      </c>
      <c r="G171" s="82"/>
      <c r="H171" s="83"/>
      <c r="I171" s="34"/>
      <c r="L171" s="79"/>
      <c r="M171" s="79"/>
      <c r="N171" s="34"/>
    </row>
    <row r="172" spans="1:14" s="58" customFormat="1" ht="15.75" customHeight="1" x14ac:dyDescent="0.35">
      <c r="A172" s="86">
        <f t="shared" si="9"/>
        <v>8</v>
      </c>
      <c r="B172" s="87"/>
      <c r="C172" s="40" t="s">
        <v>164</v>
      </c>
      <c r="D172" s="40">
        <f t="shared" si="10"/>
        <v>474.69239999999996</v>
      </c>
      <c r="E172" s="40">
        <v>0</v>
      </c>
      <c r="F172" s="40">
        <f t="shared" si="8"/>
        <v>712.03859999999997</v>
      </c>
      <c r="G172" s="82"/>
      <c r="H172" s="83"/>
      <c r="I172" s="34">
        <f>3200000/F173</f>
        <v>4494.1383795766133</v>
      </c>
      <c r="J172" s="58" t="s">
        <v>182</v>
      </c>
      <c r="L172" s="79"/>
      <c r="M172" s="79"/>
      <c r="N172" s="34"/>
    </row>
    <row r="173" spans="1:14" s="58" customFormat="1" ht="15.75" customHeight="1" x14ac:dyDescent="0.35">
      <c r="A173" s="86">
        <f t="shared" si="9"/>
        <v>9</v>
      </c>
      <c r="B173" s="87"/>
      <c r="C173" s="40" t="s">
        <v>164</v>
      </c>
      <c r="D173" s="40">
        <f t="shared" si="10"/>
        <v>474.69239999999996</v>
      </c>
      <c r="E173" s="40">
        <v>0</v>
      </c>
      <c r="F173" s="40">
        <f t="shared" si="8"/>
        <v>712.03859999999997</v>
      </c>
      <c r="G173" s="82"/>
      <c r="H173" s="83"/>
      <c r="I173" s="34">
        <f>2800000/F173</f>
        <v>3932.3710821295363</v>
      </c>
      <c r="J173" s="58" t="s">
        <v>182</v>
      </c>
      <c r="L173" s="79"/>
      <c r="M173" s="79"/>
      <c r="N173" s="34"/>
    </row>
    <row r="174" spans="1:14" s="58" customFormat="1" ht="15.75" customHeight="1" x14ac:dyDescent="0.35">
      <c r="A174" s="86">
        <f t="shared" si="9"/>
        <v>10</v>
      </c>
      <c r="B174" s="87"/>
      <c r="C174" s="40" t="s">
        <v>164</v>
      </c>
      <c r="D174" s="40">
        <f t="shared" si="10"/>
        <v>474.69239999999996</v>
      </c>
      <c r="E174" s="40">
        <v>0</v>
      </c>
      <c r="F174" s="40">
        <f t="shared" si="8"/>
        <v>712.03859999999997</v>
      </c>
      <c r="G174" s="82"/>
      <c r="H174" s="83"/>
      <c r="I174" s="34"/>
      <c r="L174" s="79"/>
      <c r="M174" s="79"/>
      <c r="N174" s="34"/>
    </row>
    <row r="175" spans="1:14" s="58" customFormat="1" ht="15.75" customHeight="1" x14ac:dyDescent="0.35">
      <c r="A175" s="86">
        <f t="shared" si="9"/>
        <v>11</v>
      </c>
      <c r="B175" s="87"/>
      <c r="C175" s="40" t="s">
        <v>164</v>
      </c>
      <c r="D175" s="40">
        <f t="shared" si="10"/>
        <v>474.69239999999996</v>
      </c>
      <c r="E175" s="40">
        <v>0</v>
      </c>
      <c r="F175" s="40">
        <f t="shared" ref="F175" si="11">D175*(($F$119)+1)+(IF(E175&lt;101,E175,IF(E175&lt;201,E175/2,IF(E175&lt;=301,E175/3,E175/4))))</f>
        <v>712.03859999999997</v>
      </c>
      <c r="G175" s="82"/>
      <c r="H175" s="83"/>
      <c r="I175" s="34" t="e">
        <f>3200000/#REF!</f>
        <v>#REF!</v>
      </c>
      <c r="J175" s="58" t="s">
        <v>182</v>
      </c>
      <c r="L175" s="79"/>
      <c r="M175" s="79"/>
      <c r="N175" s="34"/>
    </row>
    <row r="176" spans="1:14" s="58" customFormat="1" ht="15.75" customHeight="1" x14ac:dyDescent="0.35">
      <c r="A176" s="86">
        <f t="shared" si="9"/>
        <v>12</v>
      </c>
      <c r="B176" s="87"/>
      <c r="C176" s="86" t="s">
        <v>204</v>
      </c>
      <c r="D176" s="88"/>
      <c r="E176" s="88"/>
      <c r="F176" s="87"/>
      <c r="G176" s="84"/>
      <c r="H176" s="85"/>
      <c r="I176" s="34"/>
      <c r="L176" s="79"/>
      <c r="M176" s="79"/>
      <c r="N176" s="34"/>
    </row>
    <row r="177" spans="1:10" s="58" customFormat="1" ht="31.5" customHeight="1" x14ac:dyDescent="0.35">
      <c r="A177" s="174" t="s">
        <v>238</v>
      </c>
      <c r="B177" s="174"/>
      <c r="C177" s="174"/>
      <c r="D177" s="174"/>
      <c r="E177" s="174"/>
      <c r="F177" s="174"/>
      <c r="G177" s="174"/>
      <c r="H177" s="174"/>
      <c r="I177" s="34"/>
    </row>
    <row r="178" spans="1:10" s="58" customFormat="1" ht="15.75" customHeight="1" x14ac:dyDescent="0.35">
      <c r="A178" s="72">
        <v>1</v>
      </c>
      <c r="B178" s="72"/>
      <c r="C178" s="66" t="s">
        <v>164</v>
      </c>
      <c r="D178" s="66">
        <f>(44.1)*10.764</f>
        <v>474.69239999999996</v>
      </c>
      <c r="E178" s="66">
        <v>0</v>
      </c>
      <c r="F178" s="66">
        <f t="shared" ref="F178:F189" si="12">D178*(($F$119)+1)+(IF(E178&lt;101,E178,IF(E178&lt;201,E178/2,IF(E178&lt;=301,E178/3,E178/4))))</f>
        <v>712.03859999999997</v>
      </c>
      <c r="G178" s="72" t="str">
        <f>A177</f>
        <v>1st to 4th, 6th, 7th, 9th to 12th Floor
14th Floor (15th Floor as per builder)</v>
      </c>
      <c r="H178" s="72"/>
      <c r="I178" s="34"/>
    </row>
    <row r="179" spans="1:10" s="58" customFormat="1" ht="15.75" customHeight="1" x14ac:dyDescent="0.35">
      <c r="A179" s="72">
        <v>2</v>
      </c>
      <c r="B179" s="72"/>
      <c r="C179" s="66" t="s">
        <v>164</v>
      </c>
      <c r="D179" s="66">
        <f t="shared" ref="D179:D188" si="13">(44.1)*10.764</f>
        <v>474.69239999999996</v>
      </c>
      <c r="E179" s="66">
        <v>0</v>
      </c>
      <c r="F179" s="66">
        <f t="shared" si="12"/>
        <v>712.03859999999997</v>
      </c>
      <c r="G179" s="72"/>
      <c r="H179" s="72"/>
      <c r="I179" s="34"/>
    </row>
    <row r="180" spans="1:10" s="58" customFormat="1" ht="15.75" customHeight="1" x14ac:dyDescent="0.35">
      <c r="A180" s="72">
        <v>3</v>
      </c>
      <c r="B180" s="72"/>
      <c r="C180" s="66" t="s">
        <v>164</v>
      </c>
      <c r="D180" s="66">
        <f t="shared" si="13"/>
        <v>474.69239999999996</v>
      </c>
      <c r="E180" s="66">
        <v>0</v>
      </c>
      <c r="F180" s="66">
        <f t="shared" si="12"/>
        <v>712.03859999999997</v>
      </c>
      <c r="G180" s="72"/>
      <c r="H180" s="72"/>
      <c r="I180" s="34"/>
    </row>
    <row r="181" spans="1:10" s="58" customFormat="1" ht="15.75" customHeight="1" x14ac:dyDescent="0.35">
      <c r="A181" s="72">
        <v>4</v>
      </c>
      <c r="B181" s="72"/>
      <c r="C181" s="66" t="s">
        <v>164</v>
      </c>
      <c r="D181" s="66">
        <f t="shared" si="13"/>
        <v>474.69239999999996</v>
      </c>
      <c r="E181" s="66">
        <v>0</v>
      </c>
      <c r="F181" s="66">
        <f t="shared" si="12"/>
        <v>712.03859999999997</v>
      </c>
      <c r="G181" s="72"/>
      <c r="H181" s="72"/>
      <c r="I181" s="34">
        <f>25*4</f>
        <v>100</v>
      </c>
      <c r="J181" s="34">
        <f>6300000-I182</f>
        <v>488506.6400000006</v>
      </c>
    </row>
    <row r="182" spans="1:10" s="69" customFormat="1" ht="15.75" customHeight="1" x14ac:dyDescent="0.35">
      <c r="A182" s="92">
        <v>5</v>
      </c>
      <c r="B182" s="92"/>
      <c r="C182" s="70" t="s">
        <v>164</v>
      </c>
      <c r="D182" s="70">
        <f t="shared" si="13"/>
        <v>474.69239999999996</v>
      </c>
      <c r="E182" s="70">
        <v>0</v>
      </c>
      <c r="F182" s="66">
        <f t="shared" si="12"/>
        <v>712.03859999999997</v>
      </c>
      <c r="G182" s="72"/>
      <c r="H182" s="72"/>
      <c r="I182" s="68">
        <f>(7500+100)*F182+400000</f>
        <v>5811493.3599999994</v>
      </c>
      <c r="J182" s="69">
        <f>J181/7600</f>
        <v>64.277189473684288</v>
      </c>
    </row>
    <row r="183" spans="1:10" s="58" customFormat="1" ht="15.75" customHeight="1" x14ac:dyDescent="0.35">
      <c r="A183" s="72">
        <v>6</v>
      </c>
      <c r="B183" s="72"/>
      <c r="C183" s="66" t="s">
        <v>164</v>
      </c>
      <c r="D183" s="66">
        <f t="shared" si="13"/>
        <v>474.69239999999996</v>
      </c>
      <c r="E183" s="66">
        <v>0</v>
      </c>
      <c r="F183" s="66">
        <f t="shared" si="12"/>
        <v>712.03859999999997</v>
      </c>
      <c r="G183" s="72"/>
      <c r="H183" s="72"/>
      <c r="I183" s="34"/>
    </row>
    <row r="184" spans="1:10" s="58" customFormat="1" ht="15.75" customHeight="1" x14ac:dyDescent="0.35">
      <c r="A184" s="72">
        <v>7</v>
      </c>
      <c r="B184" s="72"/>
      <c r="C184" s="66" t="s">
        <v>164</v>
      </c>
      <c r="D184" s="66">
        <f t="shared" si="13"/>
        <v>474.69239999999996</v>
      </c>
      <c r="E184" s="66">
        <v>0</v>
      </c>
      <c r="F184" s="66">
        <f t="shared" si="12"/>
        <v>712.03859999999997</v>
      </c>
      <c r="G184" s="72"/>
      <c r="H184" s="72"/>
      <c r="I184" s="34"/>
    </row>
    <row r="185" spans="1:10" s="58" customFormat="1" ht="15.75" customHeight="1" x14ac:dyDescent="0.35">
      <c r="A185" s="72">
        <v>8</v>
      </c>
      <c r="B185" s="72"/>
      <c r="C185" s="66" t="s">
        <v>164</v>
      </c>
      <c r="D185" s="66">
        <f t="shared" si="13"/>
        <v>474.69239999999996</v>
      </c>
      <c r="E185" s="66">
        <v>0</v>
      </c>
      <c r="F185" s="66">
        <f t="shared" si="12"/>
        <v>712.03859999999997</v>
      </c>
      <c r="G185" s="72"/>
      <c r="H185" s="72"/>
      <c r="I185" s="34"/>
    </row>
    <row r="186" spans="1:10" s="58" customFormat="1" ht="15.75" customHeight="1" x14ac:dyDescent="0.35">
      <c r="A186" s="72">
        <v>9</v>
      </c>
      <c r="B186" s="72"/>
      <c r="C186" s="66" t="s">
        <v>164</v>
      </c>
      <c r="D186" s="66">
        <f t="shared" si="13"/>
        <v>474.69239999999996</v>
      </c>
      <c r="E186" s="66">
        <v>0</v>
      </c>
      <c r="F186" s="66">
        <f t="shared" si="12"/>
        <v>712.03859999999997</v>
      </c>
      <c r="G186" s="72"/>
      <c r="H186" s="72"/>
      <c r="I186" s="34"/>
    </row>
    <row r="187" spans="1:10" s="58" customFormat="1" ht="15.75" customHeight="1" x14ac:dyDescent="0.35">
      <c r="A187" s="72">
        <v>10</v>
      </c>
      <c r="B187" s="72"/>
      <c r="C187" s="66" t="s">
        <v>164</v>
      </c>
      <c r="D187" s="66">
        <f t="shared" si="13"/>
        <v>474.69239999999996</v>
      </c>
      <c r="E187" s="66">
        <v>0</v>
      </c>
      <c r="F187" s="66">
        <f t="shared" si="12"/>
        <v>712.03859999999997</v>
      </c>
      <c r="G187" s="72"/>
      <c r="H187" s="72"/>
      <c r="I187" s="34"/>
    </row>
    <row r="188" spans="1:10" s="58" customFormat="1" ht="15.75" customHeight="1" x14ac:dyDescent="0.35">
      <c r="A188" s="72">
        <v>11</v>
      </c>
      <c r="B188" s="72"/>
      <c r="C188" s="66" t="s">
        <v>164</v>
      </c>
      <c r="D188" s="66">
        <f t="shared" si="13"/>
        <v>474.69239999999996</v>
      </c>
      <c r="E188" s="66">
        <v>0</v>
      </c>
      <c r="F188" s="66">
        <f t="shared" si="12"/>
        <v>712.03859999999997</v>
      </c>
      <c r="G188" s="72"/>
      <c r="H188" s="72"/>
      <c r="I188" s="34"/>
    </row>
    <row r="189" spans="1:10" s="58" customFormat="1" ht="15.75" customHeight="1" x14ac:dyDescent="0.35">
      <c r="A189" s="72">
        <v>12</v>
      </c>
      <c r="B189" s="72"/>
      <c r="C189" s="66" t="s">
        <v>164</v>
      </c>
      <c r="D189" s="66">
        <f>(44.1)*10.764</f>
        <v>474.69239999999996</v>
      </c>
      <c r="E189" s="66">
        <v>0</v>
      </c>
      <c r="F189" s="66">
        <f t="shared" si="12"/>
        <v>712.03859999999997</v>
      </c>
      <c r="G189" s="72"/>
      <c r="H189" s="72"/>
      <c r="I189" s="34"/>
    </row>
    <row r="190" spans="1:10" s="64" customFormat="1" x14ac:dyDescent="0.35">
      <c r="A190" s="89" t="s">
        <v>239</v>
      </c>
      <c r="B190" s="90"/>
      <c r="C190" s="90"/>
      <c r="D190" s="90"/>
      <c r="E190" s="90"/>
      <c r="F190" s="90"/>
      <c r="G190" s="90"/>
      <c r="H190" s="91"/>
      <c r="I190" s="34"/>
    </row>
    <row r="191" spans="1:10" s="64" customFormat="1" ht="15.75" customHeight="1" x14ac:dyDescent="0.35">
      <c r="A191" s="72">
        <v>1</v>
      </c>
      <c r="B191" s="72"/>
      <c r="C191" s="65" t="s">
        <v>164</v>
      </c>
      <c r="D191" s="65">
        <f>(44.1)*10.764</f>
        <v>474.69239999999996</v>
      </c>
      <c r="E191" s="65">
        <v>0</v>
      </c>
      <c r="F191" s="65">
        <f t="shared" ref="F191:F195" si="14">D191*(($F$119)+1)+(IF(E191&lt;101,E191,IF(E191&lt;201,E191/2,IF(E191&lt;=301,E191/3,E191/4))))</f>
        <v>712.03859999999997</v>
      </c>
      <c r="G191" s="72" t="str">
        <f>A190</f>
        <v>5th Floor</v>
      </c>
      <c r="H191" s="72"/>
      <c r="I191" s="34"/>
    </row>
    <row r="192" spans="1:10" s="64" customFormat="1" ht="15.75" customHeight="1" x14ac:dyDescent="0.35">
      <c r="A192" s="72">
        <v>2</v>
      </c>
      <c r="B192" s="72"/>
      <c r="C192" s="65" t="s">
        <v>164</v>
      </c>
      <c r="D192" s="65">
        <f t="shared" ref="D192:D201" si="15">(44.1)*10.764</f>
        <v>474.69239999999996</v>
      </c>
      <c r="E192" s="65">
        <v>0</v>
      </c>
      <c r="F192" s="65">
        <f>712+65</f>
        <v>777</v>
      </c>
      <c r="G192" s="72"/>
      <c r="H192" s="72"/>
      <c r="I192" s="34"/>
    </row>
    <row r="193" spans="1:14" s="64" customFormat="1" ht="15.75" customHeight="1" x14ac:dyDescent="0.35">
      <c r="A193" s="72">
        <v>3</v>
      </c>
      <c r="B193" s="72"/>
      <c r="C193" s="65" t="s">
        <v>164</v>
      </c>
      <c r="D193" s="65">
        <f t="shared" si="15"/>
        <v>474.69239999999996</v>
      </c>
      <c r="E193" s="65">
        <v>0</v>
      </c>
      <c r="F193" s="65">
        <f t="shared" si="14"/>
        <v>712.03859999999997</v>
      </c>
      <c r="G193" s="72"/>
      <c r="H193" s="72"/>
      <c r="I193" s="34"/>
    </row>
    <row r="194" spans="1:14" s="64" customFormat="1" ht="15.75" customHeight="1" x14ac:dyDescent="0.35">
      <c r="A194" s="72">
        <v>4</v>
      </c>
      <c r="B194" s="72"/>
      <c r="C194" s="65" t="s">
        <v>164</v>
      </c>
      <c r="D194" s="65">
        <f t="shared" si="15"/>
        <v>474.69239999999996</v>
      </c>
      <c r="E194" s="65">
        <v>0</v>
      </c>
      <c r="F194" s="65">
        <f t="shared" si="14"/>
        <v>712.03859999999997</v>
      </c>
      <c r="G194" s="72"/>
      <c r="H194" s="72"/>
      <c r="I194" s="34">
        <f>25*4</f>
        <v>100</v>
      </c>
      <c r="J194" s="34">
        <f>6300000-I195</f>
        <v>488506.6400000006</v>
      </c>
    </row>
    <row r="195" spans="1:14" s="69" customFormat="1" ht="15.75" customHeight="1" x14ac:dyDescent="0.35">
      <c r="A195" s="92">
        <v>5</v>
      </c>
      <c r="B195" s="92"/>
      <c r="C195" s="70" t="s">
        <v>164</v>
      </c>
      <c r="D195" s="70">
        <f t="shared" si="15"/>
        <v>474.69239999999996</v>
      </c>
      <c r="E195" s="70">
        <v>0</v>
      </c>
      <c r="F195" s="65">
        <f t="shared" si="14"/>
        <v>712.03859999999997</v>
      </c>
      <c r="G195" s="72"/>
      <c r="H195" s="72"/>
      <c r="I195" s="68">
        <f>(7500+100)*F195+400000</f>
        <v>5811493.3599999994</v>
      </c>
      <c r="J195" s="69">
        <f>J194/7600</f>
        <v>64.277189473684288</v>
      </c>
    </row>
    <row r="196" spans="1:14" s="64" customFormat="1" ht="15.75" customHeight="1" x14ac:dyDescent="0.35">
      <c r="A196" s="72">
        <v>6</v>
      </c>
      <c r="B196" s="72"/>
      <c r="C196" s="65" t="s">
        <v>164</v>
      </c>
      <c r="D196" s="65">
        <f t="shared" si="15"/>
        <v>474.69239999999996</v>
      </c>
      <c r="E196" s="65">
        <v>0</v>
      </c>
      <c r="F196" s="65">
        <f t="shared" ref="F196:F202" si="16">D196*(($F$119)+1)+(IF(E196&lt;101,E196,IF(E196&lt;201,E196/2,IF(E196&lt;=301,E196/3,E196/4))))</f>
        <v>712.03859999999997</v>
      </c>
      <c r="G196" s="72"/>
      <c r="H196" s="72"/>
      <c r="I196" s="34"/>
    </row>
    <row r="197" spans="1:14" s="64" customFormat="1" ht="15.75" customHeight="1" x14ac:dyDescent="0.35">
      <c r="A197" s="72">
        <v>7</v>
      </c>
      <c r="B197" s="72"/>
      <c r="C197" s="65" t="s">
        <v>164</v>
      </c>
      <c r="D197" s="65">
        <f t="shared" si="15"/>
        <v>474.69239999999996</v>
      </c>
      <c r="E197" s="65">
        <v>0</v>
      </c>
      <c r="F197" s="65">
        <f t="shared" si="16"/>
        <v>712.03859999999997</v>
      </c>
      <c r="G197" s="72"/>
      <c r="H197" s="72"/>
      <c r="I197" s="34"/>
    </row>
    <row r="198" spans="1:14" s="64" customFormat="1" ht="15.75" customHeight="1" x14ac:dyDescent="0.35">
      <c r="A198" s="72">
        <v>8</v>
      </c>
      <c r="B198" s="72"/>
      <c r="C198" s="65" t="s">
        <v>164</v>
      </c>
      <c r="D198" s="65">
        <f t="shared" si="15"/>
        <v>474.69239999999996</v>
      </c>
      <c r="E198" s="65">
        <v>0</v>
      </c>
      <c r="F198" s="65">
        <f t="shared" si="16"/>
        <v>712.03859999999997</v>
      </c>
      <c r="G198" s="72"/>
      <c r="H198" s="72"/>
      <c r="I198" s="34"/>
    </row>
    <row r="199" spans="1:14" s="64" customFormat="1" ht="15.75" customHeight="1" x14ac:dyDescent="0.35">
      <c r="A199" s="72">
        <v>9</v>
      </c>
      <c r="B199" s="72"/>
      <c r="C199" s="65" t="s">
        <v>164</v>
      </c>
      <c r="D199" s="65">
        <f t="shared" si="15"/>
        <v>474.69239999999996</v>
      </c>
      <c r="E199" s="65">
        <v>0</v>
      </c>
      <c r="F199" s="65">
        <f t="shared" si="16"/>
        <v>712.03859999999997</v>
      </c>
      <c r="G199" s="72"/>
      <c r="H199" s="72"/>
      <c r="I199" s="34"/>
    </row>
    <row r="200" spans="1:14" s="64" customFormat="1" ht="15.75" customHeight="1" x14ac:dyDescent="0.35">
      <c r="A200" s="72">
        <v>10</v>
      </c>
      <c r="B200" s="72"/>
      <c r="C200" s="65" t="s">
        <v>164</v>
      </c>
      <c r="D200" s="65">
        <f t="shared" si="15"/>
        <v>474.69239999999996</v>
      </c>
      <c r="E200" s="65">
        <v>0</v>
      </c>
      <c r="F200" s="65">
        <f t="shared" si="16"/>
        <v>712.03859999999997</v>
      </c>
      <c r="G200" s="72"/>
      <c r="H200" s="72"/>
      <c r="I200" s="34"/>
    </row>
    <row r="201" spans="1:14" s="64" customFormat="1" ht="15.75" customHeight="1" x14ac:dyDescent="0.35">
      <c r="A201" s="72">
        <v>11</v>
      </c>
      <c r="B201" s="72"/>
      <c r="C201" s="65" t="s">
        <v>164</v>
      </c>
      <c r="D201" s="65">
        <f t="shared" si="15"/>
        <v>474.69239999999996</v>
      </c>
      <c r="E201" s="65">
        <v>0</v>
      </c>
      <c r="F201" s="65">
        <f t="shared" si="16"/>
        <v>712.03859999999997</v>
      </c>
      <c r="G201" s="72"/>
      <c r="H201" s="72"/>
      <c r="I201" s="34"/>
    </row>
    <row r="202" spans="1:14" s="64" customFormat="1" ht="15.75" customHeight="1" x14ac:dyDescent="0.35">
      <c r="A202" s="72">
        <v>12</v>
      </c>
      <c r="B202" s="72"/>
      <c r="C202" s="65" t="s">
        <v>164</v>
      </c>
      <c r="D202" s="65">
        <f>(44.1)*10.764</f>
        <v>474.69239999999996</v>
      </c>
      <c r="E202" s="65">
        <v>0</v>
      </c>
      <c r="F202" s="65">
        <f t="shared" si="16"/>
        <v>712.03859999999997</v>
      </c>
      <c r="G202" s="72"/>
      <c r="H202" s="72"/>
      <c r="I202" s="34"/>
    </row>
    <row r="203" spans="1:14" s="58" customFormat="1" ht="33" customHeight="1" x14ac:dyDescent="0.35">
      <c r="A203" s="89" t="s">
        <v>192</v>
      </c>
      <c r="B203" s="159"/>
      <c r="C203" s="159"/>
      <c r="D203" s="159"/>
      <c r="E203" s="159"/>
      <c r="F203" s="159"/>
      <c r="G203" s="159"/>
      <c r="H203" s="160"/>
      <c r="I203" s="34"/>
    </row>
    <row r="204" spans="1:14" s="58" customFormat="1" ht="15.75" customHeight="1" x14ac:dyDescent="0.35">
      <c r="A204" s="86">
        <v>1</v>
      </c>
      <c r="B204" s="87"/>
      <c r="C204" s="40" t="s">
        <v>164</v>
      </c>
      <c r="D204" s="40">
        <f>(44.1)*10.764</f>
        <v>474.69239999999996</v>
      </c>
      <c r="E204" s="40">
        <v>0</v>
      </c>
      <c r="F204" s="40">
        <f t="shared" ref="F204:F214" si="17">D204*(($F$119)+1)+(IF(E204&lt;101,E204,IF(E204&lt;201,E204/2,IF(E204&lt;=301,E204/3,E204/4))))</f>
        <v>712.03859999999997</v>
      </c>
      <c r="G204" s="80" t="str">
        <f>A203</f>
        <v>8th Floor 
13th Floor (14th Floor as per builder) (Part Refuge Area)</v>
      </c>
      <c r="H204" s="81"/>
      <c r="I204" s="34">
        <f>4450000/F204</f>
        <v>6249.6611840987271</v>
      </c>
      <c r="J204" s="58" t="s">
        <v>179</v>
      </c>
      <c r="L204" s="79"/>
      <c r="M204" s="79"/>
      <c r="N204" s="34"/>
    </row>
    <row r="205" spans="1:14" s="58" customFormat="1" ht="15.75" customHeight="1" x14ac:dyDescent="0.35">
      <c r="A205" s="86">
        <f t="shared" ref="A205:A214" si="18">A204+1</f>
        <v>2</v>
      </c>
      <c r="B205" s="87"/>
      <c r="C205" s="40" t="s">
        <v>164</v>
      </c>
      <c r="D205" s="40">
        <f t="shared" ref="D205:D214" si="19">(44.1)*10.764</f>
        <v>474.69239999999996</v>
      </c>
      <c r="E205" s="40">
        <v>0</v>
      </c>
      <c r="F205" s="40">
        <f t="shared" si="17"/>
        <v>712.03859999999997</v>
      </c>
      <c r="G205" s="82"/>
      <c r="H205" s="83"/>
      <c r="I205" s="34">
        <f>3100000/F205</f>
        <v>4353.696555214844</v>
      </c>
      <c r="J205" s="58" t="s">
        <v>179</v>
      </c>
      <c r="L205" s="79"/>
      <c r="M205" s="79"/>
      <c r="N205" s="34"/>
    </row>
    <row r="206" spans="1:14" s="58" customFormat="1" ht="15.75" customHeight="1" x14ac:dyDescent="0.35">
      <c r="A206" s="86">
        <f t="shared" si="18"/>
        <v>3</v>
      </c>
      <c r="B206" s="87"/>
      <c r="C206" s="40" t="s">
        <v>164</v>
      </c>
      <c r="D206" s="40">
        <f t="shared" si="19"/>
        <v>474.69239999999996</v>
      </c>
      <c r="E206" s="40">
        <v>0</v>
      </c>
      <c r="F206" s="40">
        <f t="shared" si="17"/>
        <v>712.03859999999997</v>
      </c>
      <c r="G206" s="82"/>
      <c r="H206" s="83"/>
      <c r="I206" s="34">
        <f>4500000/F206</f>
        <v>6319.8820962796117</v>
      </c>
      <c r="J206" s="58" t="s">
        <v>182</v>
      </c>
      <c r="L206" s="79"/>
      <c r="M206" s="79"/>
      <c r="N206" s="34"/>
    </row>
    <row r="207" spans="1:14" s="58" customFormat="1" ht="15.75" customHeight="1" x14ac:dyDescent="0.35">
      <c r="A207" s="86">
        <f t="shared" si="18"/>
        <v>4</v>
      </c>
      <c r="B207" s="87"/>
      <c r="C207" s="40" t="s">
        <v>164</v>
      </c>
      <c r="D207" s="40">
        <f t="shared" si="19"/>
        <v>474.69239999999996</v>
      </c>
      <c r="E207" s="40">
        <v>0</v>
      </c>
      <c r="F207" s="40">
        <f t="shared" si="17"/>
        <v>712.03859999999997</v>
      </c>
      <c r="G207" s="82"/>
      <c r="H207" s="83"/>
      <c r="I207" s="34"/>
      <c r="L207" s="79"/>
      <c r="M207" s="79"/>
      <c r="N207" s="34"/>
    </row>
    <row r="208" spans="1:14" s="58" customFormat="1" ht="15.75" customHeight="1" x14ac:dyDescent="0.35">
      <c r="A208" s="86">
        <f t="shared" si="18"/>
        <v>5</v>
      </c>
      <c r="B208" s="87"/>
      <c r="C208" s="40" t="s">
        <v>164</v>
      </c>
      <c r="D208" s="40">
        <f t="shared" si="19"/>
        <v>474.69239999999996</v>
      </c>
      <c r="E208" s="40">
        <v>0</v>
      </c>
      <c r="F208" s="40">
        <f t="shared" si="17"/>
        <v>712.03859999999997</v>
      </c>
      <c r="G208" s="82"/>
      <c r="H208" s="83"/>
      <c r="I208" s="34"/>
      <c r="L208" s="79"/>
      <c r="M208" s="79"/>
      <c r="N208" s="34"/>
    </row>
    <row r="209" spans="1:14" s="58" customFormat="1" ht="15.75" customHeight="1" x14ac:dyDescent="0.35">
      <c r="A209" s="86">
        <f t="shared" si="18"/>
        <v>6</v>
      </c>
      <c r="B209" s="87"/>
      <c r="C209" s="40" t="s">
        <v>164</v>
      </c>
      <c r="D209" s="40">
        <f t="shared" si="19"/>
        <v>474.69239999999996</v>
      </c>
      <c r="E209" s="40">
        <v>0</v>
      </c>
      <c r="F209" s="40">
        <f t="shared" si="17"/>
        <v>712.03859999999997</v>
      </c>
      <c r="G209" s="82"/>
      <c r="H209" s="83"/>
      <c r="I209" s="34"/>
      <c r="L209" s="79"/>
      <c r="M209" s="79"/>
      <c r="N209" s="34"/>
    </row>
    <row r="210" spans="1:14" s="58" customFormat="1" ht="15.75" customHeight="1" x14ac:dyDescent="0.35">
      <c r="A210" s="86">
        <f t="shared" si="18"/>
        <v>7</v>
      </c>
      <c r="B210" s="87"/>
      <c r="C210" s="40" t="s">
        <v>164</v>
      </c>
      <c r="D210" s="40">
        <f t="shared" si="19"/>
        <v>474.69239999999996</v>
      </c>
      <c r="E210" s="40">
        <v>0</v>
      </c>
      <c r="F210" s="40">
        <f t="shared" si="17"/>
        <v>712.03859999999997</v>
      </c>
      <c r="G210" s="82"/>
      <c r="H210" s="83"/>
      <c r="I210" s="34"/>
      <c r="L210" s="79"/>
      <c r="M210" s="79"/>
      <c r="N210" s="34"/>
    </row>
    <row r="211" spans="1:14" s="58" customFormat="1" ht="15.75" customHeight="1" x14ac:dyDescent="0.35">
      <c r="A211" s="86">
        <f t="shared" si="18"/>
        <v>8</v>
      </c>
      <c r="B211" s="87"/>
      <c r="C211" s="40" t="s">
        <v>164</v>
      </c>
      <c r="D211" s="40">
        <f t="shared" si="19"/>
        <v>474.69239999999996</v>
      </c>
      <c r="E211" s="40">
        <v>0</v>
      </c>
      <c r="F211" s="40">
        <f t="shared" si="17"/>
        <v>712.03859999999997</v>
      </c>
      <c r="G211" s="82"/>
      <c r="H211" s="83"/>
      <c r="I211" s="34">
        <f>3200000/F212</f>
        <v>4494.1383795766133</v>
      </c>
      <c r="J211" s="58" t="s">
        <v>182</v>
      </c>
      <c r="L211" s="79"/>
      <c r="M211" s="79"/>
      <c r="N211" s="34"/>
    </row>
    <row r="212" spans="1:14" s="58" customFormat="1" ht="15.75" customHeight="1" x14ac:dyDescent="0.35">
      <c r="A212" s="86">
        <f t="shared" si="18"/>
        <v>9</v>
      </c>
      <c r="B212" s="87"/>
      <c r="C212" s="40" t="s">
        <v>164</v>
      </c>
      <c r="D212" s="40">
        <f t="shared" si="19"/>
        <v>474.69239999999996</v>
      </c>
      <c r="E212" s="40">
        <v>0</v>
      </c>
      <c r="F212" s="40">
        <f t="shared" si="17"/>
        <v>712.03859999999997</v>
      </c>
      <c r="G212" s="82"/>
      <c r="H212" s="83"/>
      <c r="I212" s="34">
        <f>2800000/F212</f>
        <v>3932.3710821295363</v>
      </c>
      <c r="J212" s="58" t="s">
        <v>182</v>
      </c>
      <c r="L212" s="79"/>
      <c r="M212" s="79"/>
      <c r="N212" s="34"/>
    </row>
    <row r="213" spans="1:14" s="58" customFormat="1" ht="15.75" customHeight="1" x14ac:dyDescent="0.35">
      <c r="A213" s="86">
        <f t="shared" si="18"/>
        <v>10</v>
      </c>
      <c r="B213" s="87"/>
      <c r="C213" s="40" t="s">
        <v>164</v>
      </c>
      <c r="D213" s="40">
        <f t="shared" si="19"/>
        <v>474.69239999999996</v>
      </c>
      <c r="E213" s="40">
        <v>0</v>
      </c>
      <c r="F213" s="40">
        <f t="shared" si="17"/>
        <v>712.03859999999997</v>
      </c>
      <c r="G213" s="82"/>
      <c r="H213" s="83"/>
      <c r="I213" s="34"/>
      <c r="L213" s="79"/>
      <c r="M213" s="79"/>
      <c r="N213" s="34"/>
    </row>
    <row r="214" spans="1:14" s="58" customFormat="1" ht="15.75" customHeight="1" x14ac:dyDescent="0.35">
      <c r="A214" s="86">
        <f t="shared" si="18"/>
        <v>11</v>
      </c>
      <c r="B214" s="87"/>
      <c r="C214" s="40" t="s">
        <v>164</v>
      </c>
      <c r="D214" s="40">
        <f t="shared" si="19"/>
        <v>474.69239999999996</v>
      </c>
      <c r="E214" s="40">
        <v>0</v>
      </c>
      <c r="F214" s="40">
        <f t="shared" si="17"/>
        <v>712.03859999999997</v>
      </c>
      <c r="G214" s="82"/>
      <c r="H214" s="83"/>
      <c r="I214" s="34" t="e">
        <f>3200000/#REF!</f>
        <v>#REF!</v>
      </c>
      <c r="J214" s="58" t="s">
        <v>182</v>
      </c>
      <c r="L214" s="79"/>
      <c r="M214" s="79"/>
      <c r="N214" s="34"/>
    </row>
    <row r="215" spans="1:14" s="58" customFormat="1" ht="15.75" customHeight="1" x14ac:dyDescent="0.35">
      <c r="A215" s="86">
        <v>12</v>
      </c>
      <c r="B215" s="87"/>
      <c r="C215" s="86" t="s">
        <v>163</v>
      </c>
      <c r="D215" s="88"/>
      <c r="E215" s="88"/>
      <c r="F215" s="87"/>
      <c r="G215" s="84"/>
      <c r="H215" s="85"/>
      <c r="I215" s="34"/>
    </row>
    <row r="216" spans="1:14" s="33" customFormat="1" x14ac:dyDescent="0.35">
      <c r="A216" s="166" t="s">
        <v>69</v>
      </c>
      <c r="B216" s="166"/>
      <c r="C216" s="166"/>
      <c r="D216" s="166"/>
      <c r="E216" s="166"/>
      <c r="F216" s="166"/>
      <c r="G216" s="166"/>
      <c r="H216" s="166"/>
    </row>
    <row r="217" spans="1:14" s="33" customFormat="1" x14ac:dyDescent="0.35">
      <c r="A217" s="54" t="s">
        <v>152</v>
      </c>
      <c r="B217" s="75" t="s">
        <v>235</v>
      </c>
      <c r="C217" s="76"/>
      <c r="D217" s="76"/>
      <c r="E217" s="76"/>
      <c r="F217" s="76"/>
      <c r="G217" s="76"/>
      <c r="H217" s="77"/>
    </row>
    <row r="218" spans="1:14" s="33" customFormat="1" x14ac:dyDescent="0.35">
      <c r="A218" s="54" t="s">
        <v>152</v>
      </c>
      <c r="B218" s="75" t="str">
        <f>(IF(F118="Saleable area Loading :","We have considered Saleable area of Flats as per our Calculation.","We considered Saleable area of Flat as per Builder area Sheet."))</f>
        <v>We have considered Saleable area of Flats as per our Calculation.</v>
      </c>
      <c r="C218" s="76"/>
      <c r="D218" s="76"/>
      <c r="E218" s="76"/>
      <c r="F218" s="76"/>
      <c r="G218" s="76"/>
      <c r="H218" s="77"/>
    </row>
    <row r="219" spans="1:14" s="33" customFormat="1" x14ac:dyDescent="0.35">
      <c r="A219" s="54" t="s">
        <v>152</v>
      </c>
      <c r="B219" s="75" t="s">
        <v>123</v>
      </c>
      <c r="C219" s="76"/>
      <c r="D219" s="76"/>
      <c r="E219" s="76"/>
      <c r="F219" s="76"/>
      <c r="G219" s="76"/>
      <c r="H219" s="77"/>
    </row>
    <row r="220" spans="1:14" s="33" customFormat="1" x14ac:dyDescent="0.35">
      <c r="A220" s="43" t="s">
        <v>152</v>
      </c>
      <c r="B220" s="106" t="s">
        <v>178</v>
      </c>
      <c r="C220" s="107"/>
      <c r="D220" s="107"/>
      <c r="E220" s="107"/>
      <c r="F220" s="107"/>
      <c r="G220" s="107"/>
      <c r="H220" s="108"/>
    </row>
    <row r="221" spans="1:14" s="33" customFormat="1" x14ac:dyDescent="0.35">
      <c r="A221" s="43" t="s">
        <v>152</v>
      </c>
      <c r="B221" s="106" t="s">
        <v>151</v>
      </c>
      <c r="C221" s="107"/>
      <c r="D221" s="107"/>
      <c r="E221" s="107"/>
      <c r="F221" s="107"/>
      <c r="G221" s="107"/>
      <c r="H221" s="108"/>
    </row>
    <row r="222" spans="1:14" s="33" customFormat="1" x14ac:dyDescent="0.35">
      <c r="A222" s="43" t="s">
        <v>152</v>
      </c>
      <c r="B222" s="106" t="s">
        <v>124</v>
      </c>
      <c r="C222" s="107"/>
      <c r="D222" s="107"/>
      <c r="E222" s="107"/>
      <c r="F222" s="107"/>
      <c r="G222" s="107"/>
      <c r="H222" s="108"/>
    </row>
    <row r="223" spans="1:14" s="33" customFormat="1" ht="34.5" customHeight="1" x14ac:dyDescent="0.35">
      <c r="A223" s="43" t="s">
        <v>152</v>
      </c>
      <c r="B223" s="106" t="s">
        <v>153</v>
      </c>
      <c r="C223" s="107"/>
      <c r="D223" s="107"/>
      <c r="E223" s="107"/>
      <c r="F223" s="107"/>
      <c r="G223" s="107"/>
      <c r="H223" s="108"/>
    </row>
    <row r="224" spans="1:14" s="33" customFormat="1" x14ac:dyDescent="0.35">
      <c r="A224" s="54" t="s">
        <v>152</v>
      </c>
      <c r="B224" s="75" t="s">
        <v>125</v>
      </c>
      <c r="C224" s="76"/>
      <c r="D224" s="76"/>
      <c r="E224" s="76"/>
      <c r="F224" s="76"/>
      <c r="G224" s="76"/>
      <c r="H224" s="77"/>
    </row>
    <row r="225" spans="1:8" s="33" customFormat="1" x14ac:dyDescent="0.35">
      <c r="A225" s="54" t="s">
        <v>152</v>
      </c>
      <c r="B225" s="75" t="s">
        <v>208</v>
      </c>
      <c r="C225" s="76"/>
      <c r="D225" s="76"/>
      <c r="E225" s="76"/>
      <c r="F225" s="76"/>
      <c r="G225" s="76"/>
      <c r="H225" s="77"/>
    </row>
    <row r="226" spans="1:8" s="33" customFormat="1" x14ac:dyDescent="0.35">
      <c r="A226" s="54" t="s">
        <v>152</v>
      </c>
      <c r="B226" s="75" t="s">
        <v>207</v>
      </c>
      <c r="C226" s="76"/>
      <c r="D226" s="76"/>
      <c r="E226" s="76"/>
      <c r="F226" s="76"/>
      <c r="G226" s="76"/>
      <c r="H226" s="77"/>
    </row>
    <row r="227" spans="1:8" s="33" customFormat="1" x14ac:dyDescent="0.35">
      <c r="A227" s="54" t="s">
        <v>152</v>
      </c>
      <c r="B227" s="75" t="s">
        <v>209</v>
      </c>
      <c r="C227" s="76"/>
      <c r="D227" s="76"/>
      <c r="E227" s="76"/>
      <c r="F227" s="76"/>
      <c r="G227" s="76"/>
      <c r="H227" s="77"/>
    </row>
    <row r="228" spans="1:8" s="33" customFormat="1" x14ac:dyDescent="0.35">
      <c r="A228" s="54" t="s">
        <v>152</v>
      </c>
      <c r="B228" s="75" t="s">
        <v>226</v>
      </c>
      <c r="C228" s="76"/>
      <c r="D228" s="76"/>
      <c r="E228" s="76"/>
      <c r="F228" s="76"/>
      <c r="G228" s="76"/>
      <c r="H228" s="77"/>
    </row>
    <row r="229" spans="1:8" s="33" customFormat="1" x14ac:dyDescent="0.35">
      <c r="A229" s="54" t="s">
        <v>152</v>
      </c>
      <c r="B229" s="75" t="s">
        <v>232</v>
      </c>
      <c r="C229" s="76"/>
      <c r="D229" s="76"/>
      <c r="E229" s="76"/>
      <c r="F229" s="76"/>
      <c r="G229" s="76"/>
      <c r="H229" s="77"/>
    </row>
    <row r="230" spans="1:8" s="33" customFormat="1" x14ac:dyDescent="0.35">
      <c r="A230" s="54" t="s">
        <v>152</v>
      </c>
      <c r="B230" s="75" t="s">
        <v>237</v>
      </c>
      <c r="C230" s="76"/>
      <c r="D230" s="76"/>
      <c r="E230" s="76"/>
      <c r="F230" s="76"/>
      <c r="G230" s="76"/>
      <c r="H230" s="77"/>
    </row>
    <row r="231" spans="1:8" s="33" customFormat="1" x14ac:dyDescent="0.35">
      <c r="A231" s="54" t="s">
        <v>152</v>
      </c>
      <c r="B231" s="75" t="s">
        <v>241</v>
      </c>
      <c r="C231" s="76"/>
      <c r="D231" s="76"/>
      <c r="E231" s="76"/>
      <c r="F231" s="76"/>
      <c r="G231" s="76"/>
      <c r="H231" s="77"/>
    </row>
    <row r="232" spans="1:8" x14ac:dyDescent="0.35">
      <c r="A232" s="164" t="s">
        <v>62</v>
      </c>
      <c r="B232" s="164"/>
      <c r="C232" s="164"/>
      <c r="D232" s="164"/>
      <c r="E232" s="164"/>
      <c r="F232" s="164"/>
      <c r="G232" s="164"/>
      <c r="H232" s="164"/>
    </row>
    <row r="233" spans="1:8" x14ac:dyDescent="0.35">
      <c r="A233" s="124" t="s">
        <v>63</v>
      </c>
      <c r="B233" s="124"/>
      <c r="C233" s="124"/>
      <c r="D233" s="124"/>
      <c r="E233" s="124"/>
      <c r="F233" s="124"/>
      <c r="G233" s="124"/>
      <c r="H233" s="124"/>
    </row>
    <row r="234" spans="1:8" ht="15.75" customHeight="1" x14ac:dyDescent="0.35">
      <c r="A234" s="163" t="s">
        <v>64</v>
      </c>
      <c r="B234" s="163"/>
      <c r="C234" s="163"/>
      <c r="D234" s="163"/>
      <c r="E234" s="163"/>
      <c r="F234" s="163"/>
      <c r="G234" s="163"/>
      <c r="H234" s="163"/>
    </row>
    <row r="235" spans="1:8" x14ac:dyDescent="0.35">
      <c r="A235" s="113" t="s">
        <v>65</v>
      </c>
      <c r="B235" s="113"/>
      <c r="C235" s="113"/>
      <c r="D235" s="113"/>
      <c r="E235" s="113"/>
      <c r="F235" s="113"/>
      <c r="G235" s="113"/>
      <c r="H235" s="113"/>
    </row>
    <row r="236" spans="1:8" x14ac:dyDescent="0.35">
      <c r="A236" s="113" t="s">
        <v>66</v>
      </c>
      <c r="B236" s="113"/>
      <c r="C236" s="113"/>
      <c r="D236" s="113"/>
      <c r="E236" s="113"/>
      <c r="F236" s="113"/>
      <c r="G236" s="113"/>
      <c r="H236" s="113"/>
    </row>
    <row r="237" spans="1:8" x14ac:dyDescent="0.35">
      <c r="A237" s="113" t="s">
        <v>126</v>
      </c>
      <c r="B237" s="113"/>
      <c r="C237" s="113"/>
      <c r="D237" s="113"/>
      <c r="E237" s="113"/>
      <c r="F237" s="113"/>
      <c r="G237" s="113"/>
      <c r="H237" s="113"/>
    </row>
    <row r="238" spans="1:8" x14ac:dyDescent="0.35">
      <c r="A238" s="125" t="s">
        <v>127</v>
      </c>
      <c r="B238" s="125"/>
      <c r="C238" s="125"/>
      <c r="D238" s="125"/>
      <c r="E238" s="125"/>
      <c r="F238" s="125"/>
      <c r="G238" s="125"/>
      <c r="H238" s="125"/>
    </row>
    <row r="239" spans="1:8" x14ac:dyDescent="0.35">
      <c r="A239" s="162" t="s">
        <v>77</v>
      </c>
      <c r="B239" s="162"/>
      <c r="C239" s="162" t="s">
        <v>242</v>
      </c>
      <c r="D239" s="162"/>
      <c r="E239" s="162" t="s">
        <v>106</v>
      </c>
      <c r="F239" s="162"/>
      <c r="G239" s="162" t="s">
        <v>236</v>
      </c>
      <c r="H239" s="162"/>
    </row>
    <row r="240" spans="1:8" x14ac:dyDescent="0.35">
      <c r="A240" s="161" t="s">
        <v>79</v>
      </c>
      <c r="B240" s="161"/>
      <c r="C240" s="161"/>
      <c r="D240" s="161"/>
      <c r="E240" s="161"/>
      <c r="F240" s="161"/>
      <c r="G240" s="161"/>
      <c r="H240" s="161"/>
    </row>
    <row r="241" spans="1:8" x14ac:dyDescent="0.35">
      <c r="A241" s="161"/>
      <c r="B241" s="161"/>
      <c r="C241" s="161"/>
      <c r="D241" s="161"/>
      <c r="E241" s="161"/>
      <c r="F241" s="161"/>
      <c r="G241" s="161"/>
      <c r="H241" s="161"/>
    </row>
    <row r="242" spans="1:8" x14ac:dyDescent="0.35">
      <c r="A242" s="161"/>
      <c r="B242" s="161"/>
      <c r="C242" s="161"/>
      <c r="D242" s="161"/>
      <c r="E242" s="161"/>
      <c r="F242" s="161"/>
      <c r="G242" s="161"/>
      <c r="H242" s="161"/>
    </row>
    <row r="243" spans="1:8" x14ac:dyDescent="0.35">
      <c r="A243" s="161"/>
      <c r="B243" s="161"/>
      <c r="C243" s="161"/>
      <c r="D243" s="161"/>
      <c r="E243" s="161"/>
      <c r="F243" s="161"/>
      <c r="G243" s="161"/>
      <c r="H243" s="161"/>
    </row>
    <row r="244" spans="1:8" x14ac:dyDescent="0.35">
      <c r="A244" s="36" t="s">
        <v>67</v>
      </c>
      <c r="B244" s="37"/>
      <c r="C244" s="37"/>
      <c r="D244" s="36" t="str">
        <f>E8</f>
        <v>Pearl A &amp; B</v>
      </c>
      <c r="F244" s="37"/>
      <c r="G244" s="37"/>
      <c r="H244" s="37"/>
    </row>
    <row r="245" spans="1:8" x14ac:dyDescent="0.35">
      <c r="A245" s="37"/>
      <c r="B245" s="37"/>
      <c r="C245" s="37"/>
      <c r="D245" s="37"/>
      <c r="E245" s="37"/>
      <c r="F245" s="37"/>
      <c r="G245" s="37"/>
      <c r="H245" s="37"/>
    </row>
    <row r="246" spans="1:8" x14ac:dyDescent="0.35">
      <c r="A246" s="37"/>
      <c r="B246" s="37"/>
      <c r="C246" s="37"/>
      <c r="D246" s="37"/>
      <c r="E246" s="37"/>
      <c r="F246" s="37"/>
      <c r="G246" s="37"/>
      <c r="H246" s="37"/>
    </row>
    <row r="247" spans="1:8" ht="15" customHeight="1" x14ac:dyDescent="0.35"/>
    <row r="287" spans="1:8" x14ac:dyDescent="0.35">
      <c r="A287" s="36" t="s">
        <v>210</v>
      </c>
      <c r="B287" s="37"/>
      <c r="C287" s="37"/>
      <c r="D287" s="36"/>
      <c r="F287" s="37"/>
      <c r="G287" s="37"/>
      <c r="H287" s="37"/>
    </row>
    <row r="288" spans="1:8" x14ac:dyDescent="0.35">
      <c r="A288" s="37"/>
      <c r="B288" s="37"/>
      <c r="C288" s="37"/>
      <c r="D288" s="37"/>
      <c r="E288" s="37"/>
      <c r="F288" s="37"/>
      <c r="G288" s="37"/>
      <c r="H288" s="37"/>
    </row>
    <row r="289" spans="1:8" x14ac:dyDescent="0.35">
      <c r="A289" s="37"/>
      <c r="B289" s="37"/>
      <c r="C289" s="37"/>
      <c r="D289" s="37"/>
      <c r="E289" s="37"/>
      <c r="F289" s="37"/>
      <c r="G289" s="37"/>
      <c r="H289" s="37"/>
    </row>
    <row r="290" spans="1:8" ht="15" customHeight="1" x14ac:dyDescent="0.35"/>
    <row r="330" spans="1:1" x14ac:dyDescent="0.35">
      <c r="A330" s="39" t="s">
        <v>68</v>
      </c>
    </row>
  </sheetData>
  <mergeCells count="405">
    <mergeCell ref="A125:B125"/>
    <mergeCell ref="A54:B54"/>
    <mergeCell ref="C54:E54"/>
    <mergeCell ref="G54:H54"/>
    <mergeCell ref="B230:H230"/>
    <mergeCell ref="F103:H103"/>
    <mergeCell ref="A97:E97"/>
    <mergeCell ref="F96:H96"/>
    <mergeCell ref="F101:H101"/>
    <mergeCell ref="A91:B91"/>
    <mergeCell ref="A92:B92"/>
    <mergeCell ref="A93:B93"/>
    <mergeCell ref="A94:B94"/>
    <mergeCell ref="A95:B95"/>
    <mergeCell ref="A111:B111"/>
    <mergeCell ref="D118:D119"/>
    <mergeCell ref="E118:E119"/>
    <mergeCell ref="G118:H119"/>
    <mergeCell ref="A77:B77"/>
    <mergeCell ref="F97:H97"/>
    <mergeCell ref="G112:H112"/>
    <mergeCell ref="A150:B150"/>
    <mergeCell ref="A151:B151"/>
    <mergeCell ref="A143:B143"/>
    <mergeCell ref="I62:M62"/>
    <mergeCell ref="B229:H229"/>
    <mergeCell ref="B227:H227"/>
    <mergeCell ref="A162:H162"/>
    <mergeCell ref="A113:B113"/>
    <mergeCell ref="C113:D113"/>
    <mergeCell ref="E113:F113"/>
    <mergeCell ref="G113:H113"/>
    <mergeCell ref="A114:B114"/>
    <mergeCell ref="C114:D114"/>
    <mergeCell ref="E114:F114"/>
    <mergeCell ref="G114:H114"/>
    <mergeCell ref="B226:H226"/>
    <mergeCell ref="A160:B160"/>
    <mergeCell ref="A147:B147"/>
    <mergeCell ref="A148:B148"/>
    <mergeCell ref="A145:B145"/>
    <mergeCell ref="A146:B146"/>
    <mergeCell ref="A121:H121"/>
    <mergeCell ref="A120:H120"/>
    <mergeCell ref="A87:B87"/>
    <mergeCell ref="A88:B88"/>
    <mergeCell ref="A89:B89"/>
    <mergeCell ref="A90:B90"/>
    <mergeCell ref="L124:M124"/>
    <mergeCell ref="A135:B135"/>
    <mergeCell ref="L135:M135"/>
    <mergeCell ref="C135:F135"/>
    <mergeCell ref="A122:H122"/>
    <mergeCell ref="L129:M129"/>
    <mergeCell ref="A130:B130"/>
    <mergeCell ref="L130:M130"/>
    <mergeCell ref="A131:B131"/>
    <mergeCell ref="L131:M131"/>
    <mergeCell ref="A132:B132"/>
    <mergeCell ref="L132:M132"/>
    <mergeCell ref="L133:M133"/>
    <mergeCell ref="A134:B134"/>
    <mergeCell ref="L134:M134"/>
    <mergeCell ref="A129:B129"/>
    <mergeCell ref="A133:B133"/>
    <mergeCell ref="A124:B124"/>
    <mergeCell ref="L128:M128"/>
    <mergeCell ref="L125:M125"/>
    <mergeCell ref="A126:B126"/>
    <mergeCell ref="L126:M126"/>
    <mergeCell ref="A127:B127"/>
    <mergeCell ref="L127:M127"/>
    <mergeCell ref="E41:H41"/>
    <mergeCell ref="A41:D41"/>
    <mergeCell ref="D56:H56"/>
    <mergeCell ref="D59:H59"/>
    <mergeCell ref="A53:B53"/>
    <mergeCell ref="C53:E53"/>
    <mergeCell ref="A55:H55"/>
    <mergeCell ref="A56:C56"/>
    <mergeCell ref="A57:C57"/>
    <mergeCell ref="D57:H57"/>
    <mergeCell ref="G53:H53"/>
    <mergeCell ref="A48:H48"/>
    <mergeCell ref="A44:D44"/>
    <mergeCell ref="A45:D45"/>
    <mergeCell ref="G50:H50"/>
    <mergeCell ref="A46:H46"/>
    <mergeCell ref="D58:H58"/>
    <mergeCell ref="A58:C58"/>
    <mergeCell ref="A49:B49"/>
    <mergeCell ref="C49:E49"/>
    <mergeCell ref="G49:H49"/>
    <mergeCell ref="A50:B50"/>
    <mergeCell ref="C50:E50"/>
    <mergeCell ref="A51:B52"/>
    <mergeCell ref="A144:B144"/>
    <mergeCell ref="A106:E106"/>
    <mergeCell ref="A82:B82"/>
    <mergeCell ref="A128:B128"/>
    <mergeCell ref="G124:H135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99:E99"/>
    <mergeCell ref="A96:E96"/>
    <mergeCell ref="F104:H104"/>
    <mergeCell ref="F107:H107"/>
    <mergeCell ref="F105:H105"/>
    <mergeCell ref="A107:E107"/>
    <mergeCell ref="A108:E108"/>
    <mergeCell ref="F108:H108"/>
    <mergeCell ref="A109:E109"/>
    <mergeCell ref="F109:H109"/>
    <mergeCell ref="A233:H233"/>
    <mergeCell ref="E111:F111"/>
    <mergeCell ref="B224:H224"/>
    <mergeCell ref="B225:H225"/>
    <mergeCell ref="B222:H222"/>
    <mergeCell ref="A115:H115"/>
    <mergeCell ref="A138:B138"/>
    <mergeCell ref="A116:H116"/>
    <mergeCell ref="A142:B142"/>
    <mergeCell ref="B219:H219"/>
    <mergeCell ref="B220:H220"/>
    <mergeCell ref="A216:H216"/>
    <mergeCell ref="B118:B119"/>
    <mergeCell ref="A136:H136"/>
    <mergeCell ref="A140:B140"/>
    <mergeCell ref="A137:B137"/>
    <mergeCell ref="C111:D111"/>
    <mergeCell ref="G111:H111"/>
    <mergeCell ref="A161:B161"/>
    <mergeCell ref="C161:F161"/>
    <mergeCell ref="G137:H148"/>
    <mergeCell ref="C118:C119"/>
    <mergeCell ref="A123:H123"/>
    <mergeCell ref="A149:H149"/>
    <mergeCell ref="A240:H243"/>
    <mergeCell ref="A239:B239"/>
    <mergeCell ref="E239:F239"/>
    <mergeCell ref="C239:D239"/>
    <mergeCell ref="G239:H239"/>
    <mergeCell ref="A214:B214"/>
    <mergeCell ref="A237:H237"/>
    <mergeCell ref="A234:H234"/>
    <mergeCell ref="A152:B152"/>
    <mergeCell ref="A153:B153"/>
    <mergeCell ref="A154:B154"/>
    <mergeCell ref="A155:B155"/>
    <mergeCell ref="A156:B156"/>
    <mergeCell ref="A232:H232"/>
    <mergeCell ref="A157:B157"/>
    <mergeCell ref="A158:B158"/>
    <mergeCell ref="A159:B159"/>
    <mergeCell ref="A173:B173"/>
    <mergeCell ref="A193:B193"/>
    <mergeCell ref="A194:B194"/>
    <mergeCell ref="A195:B195"/>
    <mergeCell ref="A196:B196"/>
    <mergeCell ref="A197:B197"/>
    <mergeCell ref="A198:B198"/>
    <mergeCell ref="A112:B112"/>
    <mergeCell ref="A139:B139"/>
    <mergeCell ref="A235:H235"/>
    <mergeCell ref="A110:H110"/>
    <mergeCell ref="A238:H238"/>
    <mergeCell ref="A236:H236"/>
    <mergeCell ref="C112:D112"/>
    <mergeCell ref="E112:F112"/>
    <mergeCell ref="A117:H117"/>
    <mergeCell ref="A118:A119"/>
    <mergeCell ref="A141:B141"/>
    <mergeCell ref="B217:H217"/>
    <mergeCell ref="B218:H218"/>
    <mergeCell ref="G150:H161"/>
    <mergeCell ref="A163:H163"/>
    <mergeCell ref="A203:H203"/>
    <mergeCell ref="A215:B215"/>
    <mergeCell ref="C215:F215"/>
    <mergeCell ref="A204:B204"/>
    <mergeCell ref="A209:B209"/>
    <mergeCell ref="A190:H190"/>
    <mergeCell ref="A191:B191"/>
    <mergeCell ref="G191:H202"/>
    <mergeCell ref="A192:B192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5:B35"/>
    <mergeCell ref="C35:E35"/>
    <mergeCell ref="F33:H33"/>
    <mergeCell ref="A39:H39"/>
    <mergeCell ref="A61:C61"/>
    <mergeCell ref="A62:C62"/>
    <mergeCell ref="D61:H61"/>
    <mergeCell ref="E72:F81"/>
    <mergeCell ref="G72:H81"/>
    <mergeCell ref="A80:B80"/>
    <mergeCell ref="A81:B81"/>
    <mergeCell ref="D62:H62"/>
    <mergeCell ref="A42:D42"/>
    <mergeCell ref="E42:H42"/>
    <mergeCell ref="E43:H43"/>
    <mergeCell ref="E44:H44"/>
    <mergeCell ref="E45:H45"/>
    <mergeCell ref="A43:D43"/>
    <mergeCell ref="A79:B79"/>
    <mergeCell ref="F35:H35"/>
    <mergeCell ref="A37:B37"/>
    <mergeCell ref="D63:H63"/>
    <mergeCell ref="C70:H70"/>
    <mergeCell ref="A73:B73"/>
    <mergeCell ref="A71:B71"/>
    <mergeCell ref="A74:B74"/>
    <mergeCell ref="A70:B70"/>
    <mergeCell ref="A68:B68"/>
    <mergeCell ref="C68:H68"/>
    <mergeCell ref="A76:B76"/>
    <mergeCell ref="A63:C63"/>
    <mergeCell ref="D60:H60"/>
    <mergeCell ref="A59:C60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A16:B16"/>
    <mergeCell ref="C16:H16"/>
    <mergeCell ref="A38:B38"/>
    <mergeCell ref="C38:H38"/>
    <mergeCell ref="B223:H223"/>
    <mergeCell ref="A47:B47"/>
    <mergeCell ref="C47:H47"/>
    <mergeCell ref="B221:H221"/>
    <mergeCell ref="F98:H98"/>
    <mergeCell ref="A98:E98"/>
    <mergeCell ref="A100:E100"/>
    <mergeCell ref="A102:E102"/>
    <mergeCell ref="F102:H102"/>
    <mergeCell ref="A103:E103"/>
    <mergeCell ref="A105:E105"/>
    <mergeCell ref="F99:H99"/>
    <mergeCell ref="A104:E104"/>
    <mergeCell ref="A101:E101"/>
    <mergeCell ref="F100:H100"/>
    <mergeCell ref="F106:H106"/>
    <mergeCell ref="A40:D40"/>
    <mergeCell ref="E40:H40"/>
    <mergeCell ref="F32:H32"/>
    <mergeCell ref="A36:H36"/>
    <mergeCell ref="C51:E51"/>
    <mergeCell ref="G51:H51"/>
    <mergeCell ref="C52:H52"/>
    <mergeCell ref="A175:B175"/>
    <mergeCell ref="L175:M175"/>
    <mergeCell ref="A164:H164"/>
    <mergeCell ref="G165:H176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A170:B170"/>
    <mergeCell ref="L170:M170"/>
    <mergeCell ref="A171:B171"/>
    <mergeCell ref="L171:M171"/>
    <mergeCell ref="A172:B172"/>
    <mergeCell ref="L172:M172"/>
    <mergeCell ref="A78:B78"/>
    <mergeCell ref="A207:B207"/>
    <mergeCell ref="L207:M207"/>
    <mergeCell ref="A208:B208"/>
    <mergeCell ref="L208:M208"/>
    <mergeCell ref="L173:M173"/>
    <mergeCell ref="A174:B174"/>
    <mergeCell ref="L174:M174"/>
    <mergeCell ref="A176:B176"/>
    <mergeCell ref="C176:F176"/>
    <mergeCell ref="L176:M176"/>
    <mergeCell ref="A177:H177"/>
    <mergeCell ref="A178:B178"/>
    <mergeCell ref="G178:H189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9:B199"/>
    <mergeCell ref="A200:B200"/>
    <mergeCell ref="A201:B201"/>
    <mergeCell ref="A202:B202"/>
    <mergeCell ref="I108:N109"/>
    <mergeCell ref="B231:H231"/>
    <mergeCell ref="C37:H37"/>
    <mergeCell ref="B228:H228"/>
    <mergeCell ref="L214:M214"/>
    <mergeCell ref="G204:H215"/>
    <mergeCell ref="L209:M209"/>
    <mergeCell ref="A210:B210"/>
    <mergeCell ref="L210:M210"/>
    <mergeCell ref="A211:B211"/>
    <mergeCell ref="L211:M211"/>
    <mergeCell ref="A212:B212"/>
    <mergeCell ref="L212:M212"/>
    <mergeCell ref="A213:B213"/>
    <mergeCell ref="L213:M213"/>
    <mergeCell ref="L204:M204"/>
    <mergeCell ref="A205:B205"/>
    <mergeCell ref="L205:M205"/>
    <mergeCell ref="A206:B206"/>
    <mergeCell ref="L206:M206"/>
  </mergeCell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5" max="16383" man="1"/>
    <brk id="243" max="16383" man="1"/>
    <brk id="286" max="16383" man="1"/>
    <brk id="32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5" zoomScale="85" zoomScaleNormal="85" workbookViewId="0">
      <selection activeCell="B42" sqref="B42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8" t="s">
        <v>107</v>
      </c>
      <c r="C3" s="198"/>
      <c r="D3" s="198"/>
      <c r="E3" s="198"/>
      <c r="F3" s="198"/>
      <c r="G3" s="198"/>
      <c r="H3" s="198"/>
    </row>
    <row r="4" spans="1:9" x14ac:dyDescent="0.35">
      <c r="A4" s="2"/>
      <c r="B4" s="3" t="s">
        <v>108</v>
      </c>
      <c r="C4" s="3" t="s">
        <v>109</v>
      </c>
      <c r="D4" s="3" t="s">
        <v>70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2025-04-30T09:49:38Z</cp:lastPrinted>
  <dcterms:created xsi:type="dcterms:W3CDTF">2019-07-16T09:29:46Z</dcterms:created>
  <dcterms:modified xsi:type="dcterms:W3CDTF">2025-09-10T12:53:35Z</dcterms:modified>
</cp:coreProperties>
</file>