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21117 - Nakshatra Nirvaana 1\"/>
    </mc:Choice>
  </mc:AlternateContent>
  <xr:revisionPtr revIDLastSave="0" documentId="13_ncr:1_{43171E13-BF4D-4E47-90F9-13460AAA8146}"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4" i="3" l="1"/>
  <c r="C65" i="3" s="1"/>
  <c r="C66" i="3" s="1"/>
  <c r="A121" i="3" l="1"/>
  <c r="A122" i="3" s="1"/>
  <c r="A123" i="3" s="1"/>
  <c r="A124" i="3" s="1"/>
  <c r="A125" i="3" s="1"/>
  <c r="A126" i="3" s="1"/>
  <c r="A127" i="3" s="1"/>
  <c r="I101" i="3" l="1"/>
  <c r="F116" i="3"/>
  <c r="F118" i="3"/>
  <c r="F117" i="3"/>
  <c r="G117" i="3"/>
  <c r="E116" i="3"/>
  <c r="E117" i="3"/>
  <c r="E118" i="3"/>
  <c r="K115" i="3"/>
  <c r="A115" i="3"/>
  <c r="A116" i="3" s="1"/>
  <c r="A117" i="3" s="1"/>
  <c r="A118" i="3" s="1"/>
  <c r="K114" i="3"/>
  <c r="F112" i="3"/>
  <c r="F111" i="3"/>
  <c r="E111" i="3"/>
  <c r="E112" i="3"/>
  <c r="E109" i="3"/>
  <c r="F109" i="3"/>
  <c r="F108" i="3"/>
  <c r="E108" i="3"/>
  <c r="F106" i="3"/>
  <c r="E106" i="3"/>
  <c r="F105" i="3"/>
  <c r="E105" i="3"/>
  <c r="F104" i="3"/>
  <c r="E104" i="3"/>
  <c r="F103" i="3"/>
  <c r="E103" i="3"/>
  <c r="F102" i="3"/>
  <c r="E102" i="3"/>
  <c r="E100" i="3"/>
  <c r="H100" i="3" s="1"/>
  <c r="E99" i="3"/>
  <c r="H99" i="3" s="1"/>
  <c r="E98" i="3"/>
  <c r="H98" i="3" s="1"/>
  <c r="E97" i="3"/>
  <c r="E96" i="3"/>
  <c r="H96" i="3" s="1"/>
  <c r="E95" i="3"/>
  <c r="E94" i="3"/>
  <c r="E93" i="3"/>
  <c r="J93" i="3"/>
  <c r="A94" i="3"/>
  <c r="A95" i="3" s="1"/>
  <c r="A96" i="3" s="1"/>
  <c r="A97" i="3" s="1"/>
  <c r="A98" i="3" s="1"/>
  <c r="A99" i="3" s="1"/>
  <c r="A100" i="3" s="1"/>
  <c r="D130" i="3"/>
  <c r="C19" i="3"/>
  <c r="G4" i="3"/>
  <c r="H93" i="3" l="1"/>
  <c r="E84" i="3"/>
  <c r="E87" i="3"/>
  <c r="E88" i="3" s="1"/>
  <c r="H118" i="3"/>
  <c r="K118" i="3" s="1"/>
  <c r="H95" i="3"/>
  <c r="H116" i="3"/>
  <c r="K116" i="3" s="1"/>
  <c r="H117" i="3"/>
  <c r="K117" i="3" s="1"/>
  <c r="H94" i="3"/>
  <c r="H97" i="3"/>
  <c r="I21" i="3"/>
  <c r="G84" i="3" l="1"/>
  <c r="G80" i="3"/>
  <c r="G79" i="3"/>
  <c r="D131" i="3" l="1"/>
  <c r="D129" i="3"/>
  <c r="H102" i="3"/>
  <c r="H103" i="3"/>
  <c r="H104" i="3"/>
  <c r="K104" i="3" s="1"/>
  <c r="H105" i="3"/>
  <c r="K105" i="3" s="1"/>
  <c r="H106" i="3"/>
  <c r="K106" i="3" s="1"/>
  <c r="A58" i="3"/>
  <c r="K103" i="3" l="1"/>
  <c r="K102"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12" i="3"/>
  <c r="H111" i="3"/>
  <c r="H109" i="3"/>
  <c r="H108" i="3"/>
  <c r="G87" i="3" s="1"/>
  <c r="G88" i="3" s="1"/>
  <c r="D59" i="3" l="1"/>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103" i="3"/>
  <c r="A104" i="3" s="1"/>
  <c r="A105" i="3" s="1"/>
  <c r="A106" i="3" s="1"/>
  <c r="F7" i="4" l="1"/>
  <c r="J4" i="4" s="1"/>
  <c r="H7" i="4" s="1"/>
  <c r="G81" i="3" l="1"/>
  <c r="J68" i="3"/>
  <c r="J67" i="3"/>
  <c r="H59" i="3"/>
  <c r="J63" i="3" l="1"/>
  <c r="D68" i="3"/>
  <c r="D65" i="3"/>
  <c r="D63" i="3"/>
  <c r="J61" i="3"/>
  <c r="D72" i="3"/>
  <c r="D70" i="3"/>
  <c r="D67" i="3"/>
  <c r="D64" i="3"/>
  <c r="J62" i="3"/>
  <c r="C61" i="3" s="1"/>
  <c r="J60" i="3"/>
  <c r="D71" i="3"/>
  <c r="D69" i="3"/>
  <c r="D66" i="3"/>
  <c r="J64" i="3" l="1"/>
  <c r="J69" i="3" s="1"/>
  <c r="J65" i="3" l="1"/>
  <c r="J66" i="3" l="1"/>
  <c r="J70" i="3" l="1"/>
  <c r="C62" i="3" s="1"/>
  <c r="V108" i="3"/>
  <c r="U108" i="3"/>
  <c r="D61" i="3" l="1"/>
  <c r="E61" i="3"/>
  <c r="G73" i="3" s="1"/>
  <c r="V109" i="3"/>
  <c r="V110" i="3" s="1"/>
  <c r="V111" i="3" s="1"/>
  <c r="V112" i="3" s="1"/>
  <c r="U109" i="3"/>
  <c r="T108" i="3"/>
  <c r="D62" i="3" l="1"/>
  <c r="I58" i="3"/>
  <c r="G61" i="3" s="1"/>
  <c r="U110" i="3"/>
  <c r="T109" i="3"/>
  <c r="U111" i="3" l="1"/>
  <c r="T110" i="3"/>
  <c r="U112" i="3" l="1"/>
  <c r="T111" i="3"/>
  <c r="T11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79"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<sst xmlns="http://schemas.openxmlformats.org/spreadsheetml/2006/main" count="533" uniqueCount="359">
  <si>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</si>
  <si>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</si>
  <si>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</si>
  <si>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</si>
  <si>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</si>
  <si>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</si>
  <si>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</si>
  <si>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</si>
  <si>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</si>
  <si>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</si>
  <si>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</si>
  <si>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</si>
  <si>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</si>
  <si>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</si>
  <si>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</si>
  <si>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</si>
  <si>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</si>
  <si>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</si>
  <si>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</si>
  <si>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</si>
  <si>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</si>
  <si>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</si>
  <si>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</si>
  <si>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</si>
  <si>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</si>
  <si>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</si>
  <si>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</si>
  <si>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</si>
  <si>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</si>
  <si>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</si>
  <si>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</si>
  <si>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</si>
  <si>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</si>
  <si>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</si>
  <si>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</si>
  <si>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</si>
  <si>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</si>
  <si>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</si>
  <si>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</si>
  <si>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</si>
  <si>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</si>
  <si>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</si>
  <si>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</si>
  <si>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</si>
  <si>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</si>
  <si>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</si>
  <si>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</si>
  <si>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</si>
  <si>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</si>
  <si>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</si>
  <si>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</si>
  <si>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</si>
  <si>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</si>
  <si>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</si>
  <si>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</si>
  <si>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</si>
  <si>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</si>
  <si>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</si>
  <si>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</si>
  <si>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</si>
  <si>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</si>
  <si>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</si>
  <si>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</si>
  <si>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</si>
  <si>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</si>
  <si>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</si>
  <si>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</si>
  <si>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</si>
  <si>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</si>
  <si>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</si>
  <si>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</si>
  <si>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</si>
  <si>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</si>
  <si>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</si>
  <si>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</si>
  <si>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</si>
  <si>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</si>
  <si>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</si>
  <si>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</si>
  <si>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</si>
  <si>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</si>
  <si>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</si>
  <si>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</si>
  <si>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</si>
  <si>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</si>
  <si>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</si>
  <si>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</si>
  <si>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</si>
  <si>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</si>
  <si>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</si>
  <si>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</si>
  <si>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</si>
  <si>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</si>
  <si>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</si>
  <si>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</si>
  <si>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</si>
  <si>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</si>
  <si>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</si>
  <si>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</si>
  <si>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</si>
  <si>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</si>
  <si>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</si>
  <si>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</si>
  <si>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</si>
  <si>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</si>
  <si>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</si>
  <si>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</si>
  <si>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</si>
  <si>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</si>
  <si>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</si>
  <si>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</si>
  <si>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</si>
  <si>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</si>
  <si>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</si>
  <si>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</si>
  <si>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</si>
  <si>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</si>
  <si>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</si>
  <si>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</si>
  <si>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</si>
  <si>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</si>
  <si>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</si>
  <si>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</si>
  <si>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</si>
  <si>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</si>
  <si>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</si>
  <si>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</si>
  <si>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</si>
  <si>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</si>
  <si>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</si>
  <si>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</si>
  <si>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</si>
  <si>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</si>
  <si>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</si>
  <si>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</si>
  <si>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</si>
  <si>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</si>
  <si>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</si>
  <si>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</si>
  <si>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</si>
  <si>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</si>
  <si>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</si>
  <si>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</si>
  <si>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</si>
  <si>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</si>
  <si>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</si>
  <si>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</si>
  <si>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</si>
  <si>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</si>
  <si>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</si>
  <si>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</si>
  <si>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</si>
  <si>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</si>
  <si>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</si>
  <si>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</si>
  <si>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</si>
  <si>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</si>
  <si>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</si>
  <si>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</si>
  <si>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</si>
  <si>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</si>
  <si>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</si>
  <si>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</si>
  <si>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</si>
  <si>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</si>
  <si>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</si>
  <si>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</si>
  <si>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</si>
  <si>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</si>
  <si>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</si>
  <si>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</si>
  <si>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</si>
  <si>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</si>
  <si>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</si>
  <si>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</si>
  <si>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</si>
  <si>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</si>
  <si>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</si>
  <si>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</si>
  <si>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</si>
  <si>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</si>
  <si>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</si>
  <si>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</si>
  <si>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</si>
  <si>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</si>
  <si>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</si>
  <si>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</si>
  <si>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</si>
  <si>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</si>
  <si>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</si>
  <si>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</si>
  <si>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</si>
  <si>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</si>
  <si>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</si>
  <si>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</si>
  <si>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</si>
  <si>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</si>
  <si>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</si>
  <si>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</si>
  <si>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</si>
  <si>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</si>
  <si>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</si>
  <si>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</si>
  <si>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</si>
  <si>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</si>
  <si>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</si>
  <si>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</si>
  <si>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</si>
  <si>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</si>
  <si>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</si>
  <si>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</si>
  <si>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</si>
  <si>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</si>
  <si>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</si>
  <si>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</si>
  <si>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</si>
  <si>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</si>
  <si>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</si>
  <si>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</si>
  <si>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</si>
  <si>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</si>
  <si>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</si>
  <si>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</si>
  <si>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</si>
  <si>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</si>
  <si>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</si>
  <si>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</si>
  <si>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</si>
  <si>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</si>
  <si>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</si>
  <si>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</si>
  <si>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</si>
  <si>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</si>
  <si>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</si>
  <si>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</si>
  <si>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</si>
  <si>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</si>
  <si>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</si>
  <si>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</si>
  <si>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</si>
  <si>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</si>
  <si>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</si>
  <si>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</si>
  <si>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</si>
  <si>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</si>
  <si>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</si>
  <si>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</si>
  <si>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</si>
  <si>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</si>
  <si>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</si>
  <si>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</si>
  <si>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</si>
  <si>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</si>
  <si>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</si>
  <si>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</si>
  <si>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</si>
  <si>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</si>
  <si>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</si>
  <si>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</si>
  <si>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</si>
  <si>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</si>
  <si>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</si>
  <si>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</si>
  <si>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</si>
  <si>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</si>
  <si>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</si>
  <si>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</si>
  <si>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</si>
  <si>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</si>
  <si>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</si>
  <si>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</si>
  <si>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</si>
  <si>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</si>
  <si>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</si>
  <si>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</si>
  <si>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</si>
  <si>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</si>
  <si>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</si>
  <si>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</si>
  <si>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</si>
  <si>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</si>
  <si>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</si>
  <si>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</si>
  <si>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</si>
  <si>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</si>
  <si>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</si>
  <si>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</si>
  <si>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</si>
  <si>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</si>
  <si>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</si>
  <si>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</si>
  <si>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</si>
  <si>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</si>
  <si>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</si>
  <si>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</si>
  <si>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Nakshatra Nirvaana II</t>
  </si>
  <si>
    <t>M/s. JSB Homemakers Private Limited</t>
  </si>
  <si>
    <t>Miss Rupali</t>
  </si>
  <si>
    <t>101, Pratiek Plaza, SV Road, Opp Patel Auto, Goregaon West, Tal. Borivali, Mumbai 400104.</t>
  </si>
  <si>
    <t>Survey No. 330/3/2, 330/3/3 at Vasai Virar City (M Corp), Vasai, Palghar, 401208.</t>
  </si>
  <si>
    <t>Vasai-Virar City Municipal Corporation. (VVCMC)</t>
  </si>
  <si>
    <t>https://maps.app.goo.gl/KUyFkwtyXAJSNPn77</t>
  </si>
  <si>
    <t>Senior Citizen Area, Kids Play Area, Indoor Games, Outdoor Games, Gymnasium etc.</t>
  </si>
  <si>
    <t>https://www.nakshatranirvana-naigoaneast.com/#amenities</t>
  </si>
  <si>
    <t>Middle</t>
  </si>
  <si>
    <t>Other Plot</t>
  </si>
  <si>
    <t>Open Plot</t>
  </si>
  <si>
    <t>Building No. 1</t>
  </si>
  <si>
    <t>G + 1st to 22nd Floor</t>
  </si>
  <si>
    <t>1st to 6th, 8th to 11th, 13th to 16th, 18th to 21st Floor For Residential</t>
  </si>
  <si>
    <t xml:space="preserve"> - </t>
  </si>
  <si>
    <t>1BHK</t>
  </si>
  <si>
    <t>2BHK</t>
  </si>
  <si>
    <t>7th, 12th &amp; 17th Floor For Residential (Part Refuge Area)</t>
  </si>
  <si>
    <t>Refuge Area</t>
  </si>
  <si>
    <t>Society Office</t>
  </si>
  <si>
    <t xml:space="preserve">We considered Gross carpet area = Net carpet + Enclosed balcony + A.F Area.
</t>
  </si>
  <si>
    <t>Please Check for Fire NOC.</t>
  </si>
  <si>
    <t>2.10 KM from Juchandra Railway Station
3.20 KM from Naigaon Railway Station</t>
  </si>
  <si>
    <t>0.50 KM from Don Bosco School Bus Stop</t>
  </si>
  <si>
    <t>About 0.60 KM from Rashmi International School</t>
  </si>
  <si>
    <t>About 0.50 KM from Janseva Multispeciality Hospital</t>
  </si>
  <si>
    <t>1. Approx. 0.50 KM from Chowdhary Super Market.
2. Approx. 1.40 KM from Thursday Market.</t>
  </si>
  <si>
    <t>Mr. Navnath Bhatkar</t>
  </si>
  <si>
    <t>Mumbai-RO Thane</t>
  </si>
  <si>
    <t>HDFC Bank
IFS code: HDFC0001574</t>
  </si>
  <si>
    <t>Construction work is in process at the time of Visit (labour found).</t>
  </si>
  <si>
    <t>We have referred Approved Plans from RERA Portal.</t>
  </si>
  <si>
    <t>Building No.1</t>
  </si>
  <si>
    <t>RERA Carpet area</t>
  </si>
  <si>
    <t>AF Area</t>
  </si>
  <si>
    <t>CC, RERA Certificate</t>
  </si>
  <si>
    <t>8000 to 9000</t>
  </si>
  <si>
    <t>Nakshatra Nirvaana I</t>
  </si>
  <si>
    <t>Mr. Atul Singh 7559182180</t>
  </si>
  <si>
    <t>Proposed Residential with Shopline Building On land Bearing S.No.330 H.No.3/1 &amp; 2 Of Village Juchandra, Tal. Vasai, Dist. Palghar.</t>
  </si>
  <si>
    <t>P99000078092</t>
  </si>
  <si>
    <t>Net Plot Area (In Sq.Mt)</t>
  </si>
  <si>
    <t>19.358284,72.857758</t>
  </si>
  <si>
    <t>Adj S No.330 H. No 3/2 &amp; 3/3</t>
  </si>
  <si>
    <t>40.00 M. Wide Road</t>
  </si>
  <si>
    <t>Naigaon East Vasai Link Road</t>
  </si>
  <si>
    <t>Ornate Serenity</t>
  </si>
  <si>
    <t>VVCMC/TP/CC/VP/7156/207/2024-25</t>
  </si>
  <si>
    <t>VVCMC/TP/CC/VP-7156/207/2024-25</t>
  </si>
  <si>
    <t>Building No.1 = Gr/St.+ 1st to 21st Floor (08 Shops &amp; 105 Flats)</t>
  </si>
  <si>
    <t>40M</t>
  </si>
  <si>
    <t>Shop</t>
  </si>
  <si>
    <t>22nd Floor (Part Terrace Area, Drivers Room &amp; Society Office)</t>
  </si>
  <si>
    <t xml:space="preserve">Terrace Area &amp; Drivers Room </t>
  </si>
  <si>
    <t>Unit Details, Nomenclature and Area Details (Commercial)</t>
  </si>
  <si>
    <t>As per RERA Site Flats = 105 &amp; Shops = 08</t>
  </si>
  <si>
    <t>Flats = 105 &amp; 
Shops = 08</t>
  </si>
  <si>
    <t>Ground Floor For Commercial, Entrance Lobby, Tele-Communication Room &amp; Parking</t>
  </si>
  <si>
    <t>11/09/2025 @ 11:42AM</t>
  </si>
  <si>
    <t>Please provide approved CC for 22nd Floor.</t>
  </si>
  <si>
    <t>Remark  No 07</t>
  </si>
  <si>
    <t xml:space="preserve">CC Details
Valid Up to: </t>
  </si>
  <si>
    <t>Nakshatra Nirvaana II, S.No.330 H.No.3/1 &amp; 2, near Ornate Serenity, Naigaon East Vasai Link Road, Juchandra, Juchandra, Naigaon East, Vasai, Palghar - 401208.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</si>
</sst>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1">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4" fontId="4" fillId="4" borderId="1" xfId="0" applyNumberFormat="1" applyFont="1" applyFill="1" applyBorder="1" applyAlignment="1">
      <alignment horizontal="left" vertical="top" wrapText="1"/>
    </xf>
    <xf numFmtId="0" fontId="25" fillId="0" borderId="0" xfId="2" applyAlignment="1">
      <alignment vertical="top"/>
    </xf>
    <xf numFmtId="1" fontId="4" fillId="4" borderId="1" xfId="1" applyNumberFormat="1" applyFont="1" applyFill="1" applyBorder="1" applyAlignment="1" applyProtection="1">
      <alignment horizontal="center" vertical="center" wrapText="1"/>
      <protection hidden="1"/>
    </xf>
    <xf numFmtId="0" fontId="8" fillId="0" borderId="0" xfId="0" applyFont="1" applyAlignment="1">
      <alignment vertical="top"/>
    </xf>
    <xf numFmtId="1" fontId="3" fillId="0" borderId="0" xfId="0" applyNumberFormat="1" applyFont="1" applyAlignment="1">
      <alignment vertical="top"/>
    </xf>
    <xf numFmtId="1" fontId="3" fillId="0" borderId="0" xfId="0" applyNumberFormat="1" applyFont="1" applyAlignment="1">
      <alignment horizontal="center" vertical="top"/>
    </xf>
    <xf numFmtId="0" fontId="8" fillId="0" borderId="0" xfId="0" applyFont="1" applyAlignment="1">
      <alignment horizontal="center" vertical="top"/>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4" fillId="4" borderId="0" xfId="0" applyFont="1" applyFill="1" applyAlignment="1">
      <alignment horizontal="center" vertical="top" wrapText="1"/>
    </xf>
    <xf numFmtId="0" fontId="9"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7" fontId="4" fillId="4" borderId="1" xfId="0" applyNumberFormat="1"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2" borderId="1" xfId="0" applyFont="1" applyFill="1" applyBorder="1" applyAlignment="1">
      <alignment horizontal="center" vertical="top"/>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0" fontId="4" fillId="0" borderId="1" xfId="0" applyFont="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4</xdr:col>
      <xdr:colOff>605119</xdr:colOff>
      <xdr:row>277</xdr:row>
      <xdr:rowOff>44824</xdr:rowOff>
    </xdr:from>
    <xdr:to>
      <xdr:col>5</xdr:col>
      <xdr:colOff>392207</xdr:colOff>
      <xdr:row>278</xdr:row>
      <xdr:rowOff>212912</xdr:rowOff>
    </xdr:to>
    <xdr:cxnSp macro="">
      <xdr:nvCxnSpPr>
        <xdr:cNvPr id="42" name="Straight Connector 41">
          <a:extLst>
            <a:ext uri="{FF2B5EF4-FFF2-40B4-BE49-F238E27FC236}">
              <a16:creationId xmlns:a16="http://schemas.microsoft.com/office/drawing/2014/main" id="{00000000-0008-0000-0000-00002A000000}"/>
            </a:ext>
          </a:extLst>
        </xdr:cNvPr>
        <xdr:cNvCxnSpPr/>
      </xdr:nvCxnSpPr>
      <xdr:spPr>
        <a:xfrm flipH="1">
          <a:off x="5311590" y="85859471"/>
          <a:ext cx="963705" cy="425823"/>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182532</xdr:colOff>
      <xdr:row>71</xdr:row>
      <xdr:rowOff>0</xdr:rowOff>
    </xdr:from>
    <xdr:to>
      <xdr:col>25</xdr:col>
      <xdr:colOff>46904</xdr:colOff>
      <xdr:row>82</xdr:row>
      <xdr:rowOff>179791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9814212" y="25831800"/>
          <a:ext cx="11263892" cy="3684991"/>
        </a:xfrm>
        <a:prstGeom prst="rect">
          <a:avLst/>
        </a:prstGeom>
      </xdr:spPr>
    </xdr:pic>
    <xdr:clientData/>
  </xdr:twoCellAnchor>
  <xdr:twoCellAnchor editAs="oneCell">
    <xdr:from>
      <xdr:col>10</xdr:col>
      <xdr:colOff>320883</xdr:colOff>
      <xdr:row>107</xdr:row>
      <xdr:rowOff>2473</xdr:rowOff>
    </xdr:from>
    <xdr:to>
      <xdr:col>25</xdr:col>
      <xdr:colOff>130921</xdr:colOff>
      <xdr:row>127</xdr:row>
      <xdr:rowOff>126719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703383" y="40475064"/>
          <a:ext cx="7914947" cy="5441620"/>
        </a:xfrm>
        <a:prstGeom prst="rect">
          <a:avLst/>
        </a:prstGeom>
      </xdr:spPr>
    </xdr:pic>
    <xdr:clientData/>
  </xdr:twoCellAnchor>
  <xdr:twoCellAnchor editAs="oneCell">
    <xdr:from>
      <xdr:col>13</xdr:col>
      <xdr:colOff>11859</xdr:colOff>
      <xdr:row>88</xdr:row>
      <xdr:rowOff>5020</xdr:rowOff>
    </xdr:from>
    <xdr:to>
      <xdr:col>24</xdr:col>
      <xdr:colOff>427487</xdr:colOff>
      <xdr:row>102</xdr:row>
      <xdr:rowOff>262663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5038947" y="35258726"/>
          <a:ext cx="5256569" cy="4478963"/>
        </a:xfrm>
        <a:prstGeom prst="rect">
          <a:avLst/>
        </a:prstGeom>
      </xdr:spPr>
    </xdr:pic>
    <xdr:clientData/>
  </xdr:twoCellAnchor>
  <xdr:twoCellAnchor editAs="oneCell">
    <xdr:from>
      <xdr:col>12</xdr:col>
      <xdr:colOff>77642</xdr:colOff>
      <xdr:row>104</xdr:row>
      <xdr:rowOff>142257</xdr:rowOff>
    </xdr:from>
    <xdr:to>
      <xdr:col>26</xdr:col>
      <xdr:colOff>92707</xdr:colOff>
      <xdr:row>117</xdr:row>
      <xdr:rowOff>140540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14503687" y="38276893"/>
          <a:ext cx="6595975" cy="3436288"/>
        </a:xfrm>
        <a:prstGeom prst="rect">
          <a:avLst/>
        </a:prstGeom>
      </xdr:spPr>
    </xdr:pic>
    <xdr:clientData/>
  </xdr:twoCellAnchor>
  <xdr:twoCellAnchor editAs="oneCell">
    <xdr:from>
      <xdr:col>14</xdr:col>
      <xdr:colOff>416872</xdr:colOff>
      <xdr:row>72</xdr:row>
      <xdr:rowOff>0</xdr:rowOff>
    </xdr:from>
    <xdr:to>
      <xdr:col>38</xdr:col>
      <xdr:colOff>107126</xdr:colOff>
      <xdr:row>89</xdr:row>
      <xdr:rowOff>459354</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16024265" y="30081679"/>
          <a:ext cx="12467361" cy="5499760"/>
        </a:xfrm>
        <a:prstGeom prst="rect">
          <a:avLst/>
        </a:prstGeom>
      </xdr:spPr>
    </xdr:pic>
    <xdr:clientData/>
  </xdr:twoCellAnchor>
  <xdr:twoCellAnchor editAs="oneCell">
    <xdr:from>
      <xdr:col>8</xdr:col>
      <xdr:colOff>680358</xdr:colOff>
      <xdr:row>118</xdr:row>
      <xdr:rowOff>0</xdr:rowOff>
    </xdr:from>
    <xdr:to>
      <xdr:col>11</xdr:col>
      <xdr:colOff>387017</xdr:colOff>
      <xdr:row>127</xdr:row>
      <xdr:rowOff>223456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10042072" y="49407535"/>
          <a:ext cx="4115374" cy="2591162"/>
        </a:xfrm>
        <a:prstGeom prst="rect">
          <a:avLst/>
        </a:prstGeom>
      </xdr:spPr>
    </xdr:pic>
    <xdr:clientData/>
  </xdr:twoCellAnchor>
  <xdr:twoCellAnchor editAs="oneCell">
    <xdr:from>
      <xdr:col>8</xdr:col>
      <xdr:colOff>498518</xdr:colOff>
      <xdr:row>6</xdr:row>
      <xdr:rowOff>363264</xdr:rowOff>
    </xdr:from>
    <xdr:to>
      <xdr:col>15</xdr:col>
      <xdr:colOff>258853</xdr:colOff>
      <xdr:row>9</xdr:row>
      <xdr:rowOff>458137</xdr:rowOff>
    </xdr:to>
    <xdr:pic>
      <xdr:nvPicPr>
        <xdr:cNvPr id="11" name="Picture 10">
          <a:extLst>
            <a:ext uri="{FF2B5EF4-FFF2-40B4-BE49-F238E27FC236}">
              <a16:creationId xmlns:a16="http://schemas.microsoft.com/office/drawing/2014/main" id="{42A27C8A-1246-B1FD-96ED-605EF23FD133}"/>
            </a:ext>
          </a:extLst>
        </xdr:cNvPr>
        <xdr:cNvPicPr>
          <a:picLocks noChangeAspect="1"/>
        </xdr:cNvPicPr>
      </xdr:nvPicPr>
      <xdr:blipFill>
        <a:blip xmlns:r="http://schemas.openxmlformats.org/officeDocument/2006/relationships" r:embed="rId7"/>
        <a:stretch>
          <a:fillRect/>
        </a:stretch>
      </xdr:blipFill>
      <xdr:spPr>
        <a:xfrm>
          <a:off x="10146101" y="2795038"/>
          <a:ext cx="6777361" cy="1386960"/>
        </a:xfrm>
        <a:prstGeom prst="rect">
          <a:avLst/>
        </a:prstGeom>
      </xdr:spPr>
    </xdr:pic>
    <xdr:clientData/>
  </xdr:twoCellAnchor>
  <xdr:twoCellAnchor editAs="oneCell">
    <xdr:from>
      <xdr:col>8</xdr:col>
      <xdr:colOff>596601</xdr:colOff>
      <xdr:row>46</xdr:row>
      <xdr:rowOff>233082</xdr:rowOff>
    </xdr:from>
    <xdr:to>
      <xdr:col>13</xdr:col>
      <xdr:colOff>214366</xdr:colOff>
      <xdr:row>49</xdr:row>
      <xdr:rowOff>314846</xdr:rowOff>
    </xdr:to>
    <xdr:pic>
      <xdr:nvPicPr>
        <xdr:cNvPr id="13" name="Picture 12">
          <a:extLst>
            <a:ext uri="{FF2B5EF4-FFF2-40B4-BE49-F238E27FC236}">
              <a16:creationId xmlns:a16="http://schemas.microsoft.com/office/drawing/2014/main" id="{79D0E08B-48D0-0BD9-4599-A7051DA3F086}"/>
            </a:ext>
          </a:extLst>
        </xdr:cNvPr>
        <xdr:cNvPicPr>
          <a:picLocks noChangeAspect="1"/>
        </xdr:cNvPicPr>
      </xdr:nvPicPr>
      <xdr:blipFill>
        <a:blip xmlns:r="http://schemas.openxmlformats.org/officeDocument/2006/relationships" r:embed="rId8"/>
        <a:stretch>
          <a:fillRect/>
        </a:stretch>
      </xdr:blipFill>
      <xdr:spPr>
        <a:xfrm>
          <a:off x="10228281" y="19100202"/>
          <a:ext cx="5393725" cy="1377164"/>
        </a:xfrm>
        <a:prstGeom prst="rect">
          <a:avLst/>
        </a:prstGeom>
      </xdr:spPr>
    </xdr:pic>
    <xdr:clientData/>
  </xdr:twoCellAnchor>
  <xdr:twoCellAnchor>
    <xdr:from>
      <xdr:col>1</xdr:col>
      <xdr:colOff>814501</xdr:colOff>
      <xdr:row>259</xdr:row>
      <xdr:rowOff>145773</xdr:rowOff>
    </xdr:from>
    <xdr:to>
      <xdr:col>6</xdr:col>
      <xdr:colOff>364434</xdr:colOff>
      <xdr:row>285</xdr:row>
      <xdr:rowOff>0</xdr:rowOff>
    </xdr:to>
    <xdr:grpSp>
      <xdr:nvGrpSpPr>
        <xdr:cNvPr id="64" name="Group 63">
          <a:extLst>
            <a:ext uri="{FF2B5EF4-FFF2-40B4-BE49-F238E27FC236}">
              <a16:creationId xmlns:a16="http://schemas.microsoft.com/office/drawing/2014/main" id="{A95FBDF6-1EE9-D4ED-C8E8-0520811B8EE3}"/>
            </a:ext>
          </a:extLst>
        </xdr:cNvPr>
        <xdr:cNvGrpSpPr/>
      </xdr:nvGrpSpPr>
      <xdr:grpSpPr>
        <a:xfrm>
          <a:off x="2020449" y="77326434"/>
          <a:ext cx="5579672" cy="6745357"/>
          <a:chOff x="1086171" y="77403659"/>
          <a:chExt cx="6589746" cy="7802722"/>
        </a:xfrm>
      </xdr:grpSpPr>
      <xdr:grpSp>
        <xdr:nvGrpSpPr>
          <xdr:cNvPr id="79" name="Group 78">
            <a:extLst>
              <a:ext uri="{FF2B5EF4-FFF2-40B4-BE49-F238E27FC236}">
                <a16:creationId xmlns:a16="http://schemas.microsoft.com/office/drawing/2014/main" id="{00000000-0008-0000-0000-00004F000000}"/>
              </a:ext>
            </a:extLst>
          </xdr:cNvPr>
          <xdr:cNvGrpSpPr/>
        </xdr:nvGrpSpPr>
        <xdr:grpSpPr>
          <a:xfrm>
            <a:off x="1086171" y="77403659"/>
            <a:ext cx="6589746" cy="7802722"/>
            <a:chOff x="1086171" y="82185623"/>
            <a:chExt cx="6354934" cy="7709543"/>
          </a:xfrm>
        </xdr:grpSpPr>
        <xdr:grpSp>
          <xdr:nvGrpSpPr>
            <xdr:cNvPr id="76" name="Group 75">
              <a:extLst>
                <a:ext uri="{FF2B5EF4-FFF2-40B4-BE49-F238E27FC236}">
                  <a16:creationId xmlns:a16="http://schemas.microsoft.com/office/drawing/2014/main" id="{00000000-0008-0000-0000-00004C000000}"/>
                </a:ext>
              </a:extLst>
            </xdr:cNvPr>
            <xdr:cNvGrpSpPr/>
          </xdr:nvGrpSpPr>
          <xdr:grpSpPr>
            <a:xfrm>
              <a:off x="1086171" y="82185623"/>
              <a:ext cx="6354934" cy="7462836"/>
              <a:chOff x="1086171" y="81648141"/>
              <a:chExt cx="6375345" cy="7364184"/>
            </a:xfrm>
          </xdr:grpSpPr>
          <xdr:grpSp>
            <xdr:nvGrpSpPr>
              <xdr:cNvPr id="4" name="Group 3">
                <a:extLst>
                  <a:ext uri="{FF2B5EF4-FFF2-40B4-BE49-F238E27FC236}">
                    <a16:creationId xmlns:a16="http://schemas.microsoft.com/office/drawing/2014/main" id="{00000000-0008-0000-0000-000004000000}"/>
                  </a:ext>
                </a:extLst>
              </xdr:cNvPr>
              <xdr:cNvGrpSpPr/>
            </xdr:nvGrpSpPr>
            <xdr:grpSpPr>
              <a:xfrm>
                <a:off x="1086171" y="81648141"/>
                <a:ext cx="6375345" cy="7364184"/>
                <a:chOff x="2231573" y="81762601"/>
                <a:chExt cx="5497284" cy="7595506"/>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stretch>
                  <a:fillRect/>
                </a:stretch>
              </xdr:blipFill>
              <xdr:spPr>
                <a:xfrm>
                  <a:off x="2231573" y="84735391"/>
                  <a:ext cx="5497284" cy="4622716"/>
                </a:xfrm>
                <a:prstGeom prst="rect">
                  <a:avLst/>
                </a:prstGeom>
                <a:ln>
                  <a:solidFill>
                    <a:sysClr val="windowText" lastClr="000000"/>
                  </a:solidFill>
                </a:ln>
              </xdr:spPr>
            </xdr:pic>
            <xdr:grpSp>
              <xdr:nvGrpSpPr>
                <xdr:cNvPr id="35" name="Group 34">
                  <a:extLst>
                    <a:ext uri="{FF2B5EF4-FFF2-40B4-BE49-F238E27FC236}">
                      <a16:creationId xmlns:a16="http://schemas.microsoft.com/office/drawing/2014/main" id="{00000000-0008-0000-0000-000023000000}"/>
                    </a:ext>
                  </a:extLst>
                </xdr:cNvPr>
                <xdr:cNvGrpSpPr/>
              </xdr:nvGrpSpPr>
              <xdr:grpSpPr>
                <a:xfrm>
                  <a:off x="2856126" y="81762601"/>
                  <a:ext cx="4287624" cy="6770829"/>
                  <a:chOff x="1536434" y="526932"/>
                  <a:chExt cx="4062323" cy="8219891"/>
                </a:xfrm>
              </xdr:grpSpPr>
              <xdr:grpSp>
                <xdr:nvGrpSpPr>
                  <xdr:cNvPr id="36" name="Group 35">
                    <a:extLst>
                      <a:ext uri="{FF2B5EF4-FFF2-40B4-BE49-F238E27FC236}">
                        <a16:creationId xmlns:a16="http://schemas.microsoft.com/office/drawing/2014/main" id="{00000000-0008-0000-0000-000024000000}"/>
                      </a:ext>
                    </a:extLst>
                  </xdr:cNvPr>
                  <xdr:cNvGrpSpPr/>
                </xdr:nvGrpSpPr>
                <xdr:grpSpPr>
                  <a:xfrm>
                    <a:off x="1601803" y="6164228"/>
                    <a:ext cx="2017967" cy="2582595"/>
                    <a:chOff x="508394" y="3161061"/>
                    <a:chExt cx="3176984" cy="3371642"/>
                  </a:xfrm>
                </xdr:grpSpPr>
                <xdr:sp macro="" textlink="">
                  <xdr:nvSpPr>
                    <xdr:cNvPr id="39" name="L-Shape 38">
                      <a:extLst>
                        <a:ext uri="{FF2B5EF4-FFF2-40B4-BE49-F238E27FC236}">
                          <a16:creationId xmlns:a16="http://schemas.microsoft.com/office/drawing/2014/main" id="{00000000-0008-0000-0000-000027000000}"/>
                        </a:ext>
                      </a:extLst>
                    </xdr:cNvPr>
                    <xdr:cNvSpPr/>
                  </xdr:nvSpPr>
                  <xdr:spPr>
                    <a:xfrm rot="19890632">
                      <a:off x="2432254" y="3161061"/>
                      <a:ext cx="1253124" cy="1097964"/>
                    </a:xfrm>
                    <a:prstGeom prst="corner">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0" name="Rectangle 39">
                      <a:extLst>
                        <a:ext uri="{FF2B5EF4-FFF2-40B4-BE49-F238E27FC236}">
                          <a16:creationId xmlns:a16="http://schemas.microsoft.com/office/drawing/2014/main" id="{00000000-0008-0000-0000-000028000000}"/>
                        </a:ext>
                      </a:extLst>
                    </xdr:cNvPr>
                    <xdr:cNvSpPr/>
                  </xdr:nvSpPr>
                  <xdr:spPr>
                    <a:xfrm rot="20235198">
                      <a:off x="2395200" y="4610260"/>
                      <a:ext cx="728663" cy="1203446"/>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1" name="TextBox 70">
                      <a:extLst>
                        <a:ext uri="{FF2B5EF4-FFF2-40B4-BE49-F238E27FC236}">
                          <a16:creationId xmlns:a16="http://schemas.microsoft.com/office/drawing/2014/main" id="{00000000-0008-0000-0000-000029000000}"/>
                        </a:ext>
                      </a:extLst>
                    </xdr:cNvPr>
                    <xdr:cNvSpPr txBox="1"/>
                  </xdr:nvSpPr>
                  <xdr:spPr>
                    <a:xfrm>
                      <a:off x="508394" y="5487561"/>
                      <a:ext cx="2434450" cy="104514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FF00"/>
                          </a:solidFill>
                        </a:rPr>
                        <a:t>Nakshatram Nirvaana II</a:t>
                      </a:r>
                      <a:endParaRPr lang="en-IN" b="1">
                        <a:solidFill>
                          <a:srgbClr val="FFFF00"/>
                        </a:solidFill>
                      </a:endParaRPr>
                    </a:p>
                  </xdr:txBody>
                </xdr:sp>
              </xdr:grpSp>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0"/>
                  <a:srcRect l="46551" t="23116" r="6503" b="17384"/>
                  <a:stretch/>
                </xdr:blipFill>
                <xdr:spPr>
                  <a:xfrm>
                    <a:off x="1536434" y="526932"/>
                    <a:ext cx="4062323" cy="3437351"/>
                  </a:xfrm>
                  <a:prstGeom prst="rect">
                    <a:avLst/>
                  </a:prstGeom>
                  <a:ln>
                    <a:solidFill>
                      <a:schemeClr val="tx1"/>
                    </a:solidFill>
                  </a:ln>
                </xdr:spPr>
              </xdr:pic>
            </xdr:grpSp>
          </xdr:grpSp>
          <xdr:grpSp>
            <xdr:nvGrpSpPr>
              <xdr:cNvPr id="75" name="Group 74">
                <a:extLst>
                  <a:ext uri="{FF2B5EF4-FFF2-40B4-BE49-F238E27FC236}">
                    <a16:creationId xmlns:a16="http://schemas.microsoft.com/office/drawing/2014/main" id="{00000000-0008-0000-0000-00004B000000}"/>
                  </a:ext>
                </a:extLst>
              </xdr:cNvPr>
              <xdr:cNvGrpSpPr/>
            </xdr:nvGrpSpPr>
            <xdr:grpSpPr>
              <a:xfrm>
                <a:off x="4048525" y="85381621"/>
                <a:ext cx="2565944" cy="2191549"/>
                <a:chOff x="4471147" y="85052647"/>
                <a:chExt cx="2578751" cy="2185147"/>
              </a:xfrm>
            </xdr:grpSpPr>
            <xdr:sp macro="" textlink="">
              <xdr:nvSpPr>
                <xdr:cNvPr id="30" name="Freeform 29">
                  <a:extLst>
                    <a:ext uri="{FF2B5EF4-FFF2-40B4-BE49-F238E27FC236}">
                      <a16:creationId xmlns:a16="http://schemas.microsoft.com/office/drawing/2014/main" id="{00000000-0008-0000-0000-00001E000000}"/>
                    </a:ext>
                  </a:extLst>
                </xdr:cNvPr>
                <xdr:cNvSpPr/>
              </xdr:nvSpPr>
              <xdr:spPr>
                <a:xfrm>
                  <a:off x="4471147" y="85052647"/>
                  <a:ext cx="2578751" cy="2185147"/>
                </a:xfrm>
                <a:custGeom>
                  <a:avLst/>
                  <a:gdLst>
                    <a:gd name="connsiteX0" fmla="*/ 219075 w 2352675"/>
                    <a:gd name="connsiteY0" fmla="*/ 1981200 h 1981200"/>
                    <a:gd name="connsiteX1" fmla="*/ 0 w 2352675"/>
                    <a:gd name="connsiteY1" fmla="*/ 1457325 h 1981200"/>
                    <a:gd name="connsiteX2" fmla="*/ 485775 w 2352675"/>
                    <a:gd name="connsiteY2" fmla="*/ 1371600 h 1981200"/>
                    <a:gd name="connsiteX3" fmla="*/ 923925 w 2352675"/>
                    <a:gd name="connsiteY3" fmla="*/ 1485900 h 1981200"/>
                    <a:gd name="connsiteX4" fmla="*/ 1295400 w 2352675"/>
                    <a:gd name="connsiteY4" fmla="*/ 1276350 h 1981200"/>
                    <a:gd name="connsiteX5" fmla="*/ 781050 w 2352675"/>
                    <a:gd name="connsiteY5" fmla="*/ 428625 h 1981200"/>
                    <a:gd name="connsiteX6" fmla="*/ 247650 w 2352675"/>
                    <a:gd name="connsiteY6" fmla="*/ 542925 h 1981200"/>
                    <a:gd name="connsiteX7" fmla="*/ 171450 w 2352675"/>
                    <a:gd name="connsiteY7" fmla="*/ 0 h 1981200"/>
                    <a:gd name="connsiteX8" fmla="*/ 590550 w 2352675"/>
                    <a:gd name="connsiteY8" fmla="*/ 0 h 1981200"/>
                    <a:gd name="connsiteX9" fmla="*/ 790575 w 2352675"/>
                    <a:gd name="connsiteY9" fmla="*/ 295275 h 1981200"/>
                    <a:gd name="connsiteX10" fmla="*/ 1019175 w 2352675"/>
                    <a:gd name="connsiteY10" fmla="*/ 247650 h 1981200"/>
                    <a:gd name="connsiteX11" fmla="*/ 1104900 w 2352675"/>
                    <a:gd name="connsiteY11" fmla="*/ 95250 h 1981200"/>
                    <a:gd name="connsiteX12" fmla="*/ 1704975 w 2352675"/>
                    <a:gd name="connsiteY12" fmla="*/ 95250 h 1981200"/>
                    <a:gd name="connsiteX13" fmla="*/ 2352675 w 2352675"/>
                    <a:gd name="connsiteY13" fmla="*/ 1457325 h 1981200"/>
                    <a:gd name="connsiteX14" fmla="*/ 219075 w 2352675"/>
                    <a:gd name="connsiteY14" fmla="*/ 1981200 h 1981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2352675" h="1981200">
                      <a:moveTo>
                        <a:pt x="219075" y="1981200"/>
                      </a:moveTo>
                      <a:lnTo>
                        <a:pt x="0" y="1457325"/>
                      </a:lnTo>
                      <a:lnTo>
                        <a:pt x="485775" y="1371600"/>
                      </a:lnTo>
                      <a:lnTo>
                        <a:pt x="923925" y="1485900"/>
                      </a:lnTo>
                      <a:lnTo>
                        <a:pt x="1295400" y="1276350"/>
                      </a:lnTo>
                      <a:lnTo>
                        <a:pt x="781050" y="428625"/>
                      </a:lnTo>
                      <a:lnTo>
                        <a:pt x="247650" y="542925"/>
                      </a:lnTo>
                      <a:lnTo>
                        <a:pt x="171450" y="0"/>
                      </a:lnTo>
                      <a:lnTo>
                        <a:pt x="590550" y="0"/>
                      </a:lnTo>
                      <a:lnTo>
                        <a:pt x="790575" y="295275"/>
                      </a:lnTo>
                      <a:lnTo>
                        <a:pt x="1019175" y="247650"/>
                      </a:lnTo>
                      <a:lnTo>
                        <a:pt x="1104900" y="95250"/>
                      </a:lnTo>
                      <a:lnTo>
                        <a:pt x="1704975" y="95250"/>
                      </a:lnTo>
                      <a:lnTo>
                        <a:pt x="2352675" y="1457325"/>
                      </a:lnTo>
                      <a:lnTo>
                        <a:pt x="219075" y="1981200"/>
                      </a:lnTo>
                      <a:close/>
                    </a:path>
                  </a:pathLst>
                </a:cu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1" name="TextBox 30">
                  <a:extLst>
                    <a:ext uri="{FF2B5EF4-FFF2-40B4-BE49-F238E27FC236}">
                      <a16:creationId xmlns:a16="http://schemas.microsoft.com/office/drawing/2014/main" id="{00000000-0008-0000-0000-00001F000000}"/>
                    </a:ext>
                  </a:extLst>
                </xdr:cNvPr>
                <xdr:cNvSpPr txBox="1"/>
              </xdr:nvSpPr>
              <xdr:spPr>
                <a:xfrm rot="20105034">
                  <a:off x="5518781" y="85515111"/>
                  <a:ext cx="970706" cy="31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00B0F0"/>
                      </a:solidFill>
                    </a:rPr>
                    <a:t>Wet</a:t>
                  </a:r>
                  <a:r>
                    <a:rPr lang="en-IN" sz="1400" b="1" baseline="0">
                      <a:solidFill>
                        <a:srgbClr val="00B0F0"/>
                      </a:solidFill>
                    </a:rPr>
                    <a:t> Land</a:t>
                  </a:r>
                  <a:endParaRPr lang="en-IN" sz="1400" b="1">
                    <a:solidFill>
                      <a:srgbClr val="00B0F0"/>
                    </a:solidFill>
                  </a:endParaRPr>
                </a:p>
              </xdr:txBody>
            </xdr:sp>
            <xdr:cxnSp macro="">
              <xdr:nvCxnSpPr>
                <xdr:cNvPr id="32" name="Straight Connector 31">
                  <a:extLst>
                    <a:ext uri="{FF2B5EF4-FFF2-40B4-BE49-F238E27FC236}">
                      <a16:creationId xmlns:a16="http://schemas.microsoft.com/office/drawing/2014/main" id="{00000000-0008-0000-0000-000020000000}"/>
                    </a:ext>
                  </a:extLst>
                </xdr:cNvPr>
                <xdr:cNvCxnSpPr/>
              </xdr:nvCxnSpPr>
              <xdr:spPr>
                <a:xfrm flipH="1">
                  <a:off x="5479679" y="86341324"/>
                  <a:ext cx="1378321" cy="654881"/>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000-000021000000}"/>
                    </a:ext>
                  </a:extLst>
                </xdr:cNvPr>
                <xdr:cNvCxnSpPr/>
              </xdr:nvCxnSpPr>
              <xdr:spPr>
                <a:xfrm flipH="1">
                  <a:off x="4695265" y="86061176"/>
                  <a:ext cx="2084294" cy="1019736"/>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000-00002B000000}"/>
                    </a:ext>
                  </a:extLst>
                </xdr:cNvPr>
                <xdr:cNvCxnSpPr/>
              </xdr:nvCxnSpPr>
              <xdr:spPr>
                <a:xfrm flipH="1">
                  <a:off x="5625355" y="85534500"/>
                  <a:ext cx="963705" cy="425823"/>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000-00002C000000}"/>
                    </a:ext>
                  </a:extLst>
                </xdr:cNvPr>
                <xdr:cNvCxnSpPr/>
              </xdr:nvCxnSpPr>
              <xdr:spPr>
                <a:xfrm flipH="1">
                  <a:off x="5479678" y="85265559"/>
                  <a:ext cx="963705" cy="425823"/>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000-00002D000000}"/>
                    </a:ext>
                  </a:extLst>
                </xdr:cNvPr>
                <xdr:cNvCxnSpPr/>
              </xdr:nvCxnSpPr>
              <xdr:spPr>
                <a:xfrm flipH="1">
                  <a:off x="5221944" y="85164706"/>
                  <a:ext cx="818027" cy="347382"/>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000-00002E000000}"/>
                    </a:ext>
                  </a:extLst>
                </xdr:cNvPr>
                <xdr:cNvCxnSpPr/>
              </xdr:nvCxnSpPr>
              <xdr:spPr>
                <a:xfrm flipH="1">
                  <a:off x="4697771" y="85221436"/>
                  <a:ext cx="595097" cy="273143"/>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000-00002F000000}"/>
                    </a:ext>
                  </a:extLst>
                </xdr:cNvPr>
                <xdr:cNvCxnSpPr>
                  <a:stCxn id="30" idx="8"/>
                </xdr:cNvCxnSpPr>
              </xdr:nvCxnSpPr>
              <xdr:spPr>
                <a:xfrm flipH="1">
                  <a:off x="4661647" y="85052647"/>
                  <a:ext cx="456798" cy="201706"/>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000-000031000000}"/>
                    </a:ext>
                  </a:extLst>
                </xdr:cNvPr>
                <xdr:cNvCxnSpPr/>
              </xdr:nvCxnSpPr>
              <xdr:spPr>
                <a:xfrm flipH="1">
                  <a:off x="4583206" y="86643882"/>
                  <a:ext cx="549088" cy="235324"/>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a:extLst>
                    <a:ext uri="{FF2B5EF4-FFF2-40B4-BE49-F238E27FC236}">
                      <a16:creationId xmlns:a16="http://schemas.microsoft.com/office/drawing/2014/main" id="{00000000-0008-0000-0000-00004D000000}"/>
                    </a:ext>
                  </a:extLst>
                </xdr:cNvPr>
                <xdr:cNvCxnSpPr/>
              </xdr:nvCxnSpPr>
              <xdr:spPr>
                <a:xfrm flipH="1">
                  <a:off x="5778244" y="85871151"/>
                  <a:ext cx="858882" cy="368317"/>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1" name="Freeform 50">
              <a:extLst>
                <a:ext uri="{FF2B5EF4-FFF2-40B4-BE49-F238E27FC236}">
                  <a16:creationId xmlns:a16="http://schemas.microsoft.com/office/drawing/2014/main" id="{00000000-0008-0000-0000-000033000000}"/>
                </a:ext>
              </a:extLst>
            </xdr:cNvPr>
            <xdr:cNvSpPr/>
          </xdr:nvSpPr>
          <xdr:spPr>
            <a:xfrm rot="514432">
              <a:off x="3782247" y="88122209"/>
              <a:ext cx="3590742" cy="1772957"/>
            </a:xfrm>
            <a:custGeom>
              <a:avLst/>
              <a:gdLst>
                <a:gd name="connsiteX0" fmla="*/ 0 w 3695700"/>
                <a:gd name="connsiteY0" fmla="*/ 1543050 h 1543050"/>
                <a:gd name="connsiteX1" fmla="*/ 1076325 w 3695700"/>
                <a:gd name="connsiteY1" fmla="*/ 714375 h 1543050"/>
                <a:gd name="connsiteX2" fmla="*/ 1114425 w 3695700"/>
                <a:gd name="connsiteY2" fmla="*/ 638175 h 1543050"/>
                <a:gd name="connsiteX3" fmla="*/ 1133475 w 3695700"/>
                <a:gd name="connsiteY3" fmla="*/ 609600 h 1543050"/>
                <a:gd name="connsiteX4" fmla="*/ 1143000 w 3695700"/>
                <a:gd name="connsiteY4" fmla="*/ 590550 h 1543050"/>
                <a:gd name="connsiteX5" fmla="*/ 1790700 w 3695700"/>
                <a:gd name="connsiteY5" fmla="*/ 190500 h 1543050"/>
                <a:gd name="connsiteX6" fmla="*/ 2400300 w 3695700"/>
                <a:gd name="connsiteY6" fmla="*/ 38100 h 1543050"/>
                <a:gd name="connsiteX7" fmla="*/ 3667125 w 3695700"/>
                <a:gd name="connsiteY7" fmla="*/ 0 h 1543050"/>
                <a:gd name="connsiteX8" fmla="*/ 3695700 w 3695700"/>
                <a:gd name="connsiteY8" fmla="*/ 257175 h 1543050"/>
                <a:gd name="connsiteX9" fmla="*/ 2609850 w 3695700"/>
                <a:gd name="connsiteY9" fmla="*/ 171450 h 1543050"/>
                <a:gd name="connsiteX10" fmla="*/ 2085975 w 3695700"/>
                <a:gd name="connsiteY10" fmla="*/ 238125 h 1543050"/>
                <a:gd name="connsiteX11" fmla="*/ 2038350 w 3695700"/>
                <a:gd name="connsiteY11" fmla="*/ 381000 h 1543050"/>
                <a:gd name="connsiteX12" fmla="*/ 352425 w 3695700"/>
                <a:gd name="connsiteY12" fmla="*/ 1514475 h 1543050"/>
                <a:gd name="connsiteX13" fmla="*/ 0 w 3695700"/>
                <a:gd name="connsiteY13" fmla="*/ 1543050 h 1543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695700" h="1543050">
                  <a:moveTo>
                    <a:pt x="0" y="1543050"/>
                  </a:moveTo>
                  <a:lnTo>
                    <a:pt x="1076325" y="714375"/>
                  </a:lnTo>
                  <a:cubicBezTo>
                    <a:pt x="1089025" y="688975"/>
                    <a:pt x="1100827" y="663106"/>
                    <a:pt x="1114425" y="638175"/>
                  </a:cubicBezTo>
                  <a:cubicBezTo>
                    <a:pt x="1119907" y="628125"/>
                    <a:pt x="1127585" y="619416"/>
                    <a:pt x="1133475" y="609600"/>
                  </a:cubicBezTo>
                  <a:cubicBezTo>
                    <a:pt x="1137128" y="603512"/>
                    <a:pt x="1139825" y="596900"/>
                    <a:pt x="1143000" y="590550"/>
                  </a:cubicBezTo>
                  <a:lnTo>
                    <a:pt x="1790700" y="190500"/>
                  </a:lnTo>
                  <a:lnTo>
                    <a:pt x="2400300" y="38100"/>
                  </a:lnTo>
                  <a:lnTo>
                    <a:pt x="3667125" y="0"/>
                  </a:lnTo>
                  <a:lnTo>
                    <a:pt x="3695700" y="257175"/>
                  </a:lnTo>
                  <a:lnTo>
                    <a:pt x="2609850" y="171450"/>
                  </a:lnTo>
                  <a:lnTo>
                    <a:pt x="2085975" y="238125"/>
                  </a:lnTo>
                  <a:lnTo>
                    <a:pt x="2038350" y="381000"/>
                  </a:lnTo>
                  <a:lnTo>
                    <a:pt x="352425" y="1514475"/>
                  </a:lnTo>
                  <a:lnTo>
                    <a:pt x="0" y="1543050"/>
                  </a:lnTo>
                  <a:close/>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2" name="TextBox 51">
              <a:extLst>
                <a:ext uri="{FF2B5EF4-FFF2-40B4-BE49-F238E27FC236}">
                  <a16:creationId xmlns:a16="http://schemas.microsoft.com/office/drawing/2014/main" id="{00000000-0008-0000-0000-000034000000}"/>
                </a:ext>
              </a:extLst>
            </xdr:cNvPr>
            <xdr:cNvSpPr txBox="1"/>
          </xdr:nvSpPr>
          <xdr:spPr>
            <a:xfrm rot="19846074">
              <a:off x="4689057" y="88513444"/>
              <a:ext cx="1148579" cy="424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CRZ</a:t>
              </a:r>
              <a:r>
                <a:rPr lang="en-IN" sz="1800" b="1" baseline="0">
                  <a:solidFill>
                    <a:srgbClr val="FF0000"/>
                  </a:solidFill>
                </a:rPr>
                <a:t> Zone</a:t>
              </a:r>
              <a:endParaRPr lang="en-IN" sz="1800" b="1">
                <a:solidFill>
                  <a:srgbClr val="FF0000"/>
                </a:solidFill>
              </a:endParaRPr>
            </a:p>
          </xdr:txBody>
        </xdr:sp>
      </xdr:grpSp>
      <xdr:sp macro="" textlink="">
        <xdr:nvSpPr>
          <xdr:cNvPr id="14" name="Rectangle 13">
            <a:extLst>
              <a:ext uri="{FF2B5EF4-FFF2-40B4-BE49-F238E27FC236}">
                <a16:creationId xmlns:a16="http://schemas.microsoft.com/office/drawing/2014/main" id="{FAE85802-2384-8F12-485C-C4497C077C97}"/>
              </a:ext>
            </a:extLst>
          </xdr:cNvPr>
          <xdr:cNvSpPr/>
        </xdr:nvSpPr>
        <xdr:spPr>
          <a:xfrm>
            <a:off x="2617304" y="81852052"/>
            <a:ext cx="589722" cy="596349"/>
          </a:xfrm>
          <a:prstGeom prst="rect">
            <a:avLst/>
          </a:prstGeom>
          <a:noFill/>
          <a:ln w="28575">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TextBox 70">
            <a:extLst>
              <a:ext uri="{FF2B5EF4-FFF2-40B4-BE49-F238E27FC236}">
                <a16:creationId xmlns:a16="http://schemas.microsoft.com/office/drawing/2014/main" id="{FFF18371-E1E5-4418-BD0F-6B0DB90C9FBF}"/>
              </a:ext>
            </a:extLst>
          </xdr:cNvPr>
          <xdr:cNvSpPr txBox="1"/>
        </xdr:nvSpPr>
        <xdr:spPr>
          <a:xfrm>
            <a:off x="1423439" y="82378525"/>
            <a:ext cx="1954435" cy="65573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FF00"/>
                </a:solidFill>
              </a:rPr>
              <a:t>Nakshatram Nirvaana I</a:t>
            </a:r>
            <a:endParaRPr lang="en-IN" b="1">
              <a:solidFill>
                <a:srgbClr val="FFFF00"/>
              </a:solidFill>
            </a:endParaRPr>
          </a:p>
        </xdr:txBody>
      </xdr:sp>
      <xdr:cxnSp macro="">
        <xdr:nvCxnSpPr>
          <xdr:cNvPr id="38" name="Straight Arrow Connector 37">
            <a:extLst>
              <a:ext uri="{FF2B5EF4-FFF2-40B4-BE49-F238E27FC236}">
                <a16:creationId xmlns:a16="http://schemas.microsoft.com/office/drawing/2014/main" id="{D00B25F5-96B2-EC1D-C031-BEA6CAF0B27A}"/>
              </a:ext>
            </a:extLst>
          </xdr:cNvPr>
          <xdr:cNvCxnSpPr/>
        </xdr:nvCxnSpPr>
        <xdr:spPr>
          <a:xfrm flipV="1">
            <a:off x="2242268" y="82149563"/>
            <a:ext cx="619208" cy="226944"/>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F1F9AB04-497A-7838-A250-29BE9D7FC1C2}"/>
              </a:ext>
            </a:extLst>
          </xdr:cNvPr>
          <xdr:cNvCxnSpPr/>
        </xdr:nvCxnSpPr>
        <xdr:spPr>
          <a:xfrm flipV="1">
            <a:off x="3067216" y="82649170"/>
            <a:ext cx="642067" cy="833231"/>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5" name="Straight Arrow Connector 64">
            <a:extLst>
              <a:ext uri="{FF2B5EF4-FFF2-40B4-BE49-F238E27FC236}">
                <a16:creationId xmlns:a16="http://schemas.microsoft.com/office/drawing/2014/main" id="{35644883-07F2-BF96-E9BA-6CA6D3D8375F}"/>
              </a:ext>
            </a:extLst>
          </xdr:cNvPr>
          <xdr:cNvCxnSpPr/>
        </xdr:nvCxnSpPr>
        <xdr:spPr>
          <a:xfrm flipV="1">
            <a:off x="3059596" y="83406201"/>
            <a:ext cx="680167" cy="83820"/>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952500</xdr:colOff>
      <xdr:row>215</xdr:row>
      <xdr:rowOff>190499</xdr:rowOff>
    </xdr:from>
    <xdr:to>
      <xdr:col>7</xdr:col>
      <xdr:colOff>304800</xdr:colOff>
      <xdr:row>254</xdr:row>
      <xdr:rowOff>160020</xdr:rowOff>
    </xdr:to>
    <xdr:grpSp>
      <xdr:nvGrpSpPr>
        <xdr:cNvPr id="62" name="Group 61">
          <a:extLst>
            <a:ext uri="{FF2B5EF4-FFF2-40B4-BE49-F238E27FC236}">
              <a16:creationId xmlns:a16="http://schemas.microsoft.com/office/drawing/2014/main" id="{98FE90EB-183B-FF00-5242-FD42C90F1CD9}"/>
            </a:ext>
          </a:extLst>
        </xdr:cNvPr>
        <xdr:cNvGrpSpPr/>
      </xdr:nvGrpSpPr>
      <xdr:grpSpPr>
        <a:xfrm>
          <a:off x="952500" y="65709247"/>
          <a:ext cx="7793935" cy="10306216"/>
          <a:chOff x="304800" y="65966341"/>
          <a:chExt cx="9151620" cy="12565380"/>
        </a:xfrm>
      </xdr:grpSpPr>
      <xdr:grpSp>
        <xdr:nvGrpSpPr>
          <xdr:cNvPr id="66" name="Group 65">
            <a:extLst>
              <a:ext uri="{FF2B5EF4-FFF2-40B4-BE49-F238E27FC236}">
                <a16:creationId xmlns:a16="http://schemas.microsoft.com/office/drawing/2014/main" id="{4746A599-8C1F-439A-9A17-44674FFFC97F}"/>
              </a:ext>
            </a:extLst>
          </xdr:cNvPr>
          <xdr:cNvGrpSpPr/>
        </xdr:nvGrpSpPr>
        <xdr:grpSpPr>
          <a:xfrm>
            <a:off x="304800" y="65966341"/>
            <a:ext cx="9151620" cy="12565380"/>
            <a:chOff x="633413" y="136279"/>
            <a:chExt cx="5532321" cy="8576392"/>
          </a:xfrm>
        </xdr:grpSpPr>
        <xdr:pic>
          <xdr:nvPicPr>
            <xdr:cNvPr id="67" name="Picture 66">
              <a:extLst>
                <a:ext uri="{FF2B5EF4-FFF2-40B4-BE49-F238E27FC236}">
                  <a16:creationId xmlns:a16="http://schemas.microsoft.com/office/drawing/2014/main" id="{B238308B-D0AA-E821-AEE4-7DA01933BA41}"/>
                </a:ext>
              </a:extLst>
            </xdr:cNvPr>
            <xdr:cNvPicPr>
              <a:picLocks noChangeAspect="1"/>
            </xdr:cNvPicPr>
          </xdr:nvPicPr>
          <xdr:blipFill>
            <a:blip xmlns:r="http://schemas.openxmlformats.org/officeDocument/2006/relationships" r:embed="rId11"/>
            <a:stretch>
              <a:fillRect/>
            </a:stretch>
          </xdr:blipFill>
          <xdr:spPr>
            <a:xfrm>
              <a:off x="802955" y="5041486"/>
              <a:ext cx="5104590" cy="3671185"/>
            </a:xfrm>
            <a:prstGeom prst="rect">
              <a:avLst/>
            </a:prstGeom>
            <a:ln>
              <a:solidFill>
                <a:schemeClr val="tx1"/>
              </a:solidFill>
            </a:ln>
          </xdr:spPr>
        </xdr:pic>
        <xdr:grpSp>
          <xdr:nvGrpSpPr>
            <xdr:cNvPr id="68" name="Group 67">
              <a:extLst>
                <a:ext uri="{FF2B5EF4-FFF2-40B4-BE49-F238E27FC236}">
                  <a16:creationId xmlns:a16="http://schemas.microsoft.com/office/drawing/2014/main" id="{91E99123-CD53-F970-1CF2-02FE759B4708}"/>
                </a:ext>
              </a:extLst>
            </xdr:cNvPr>
            <xdr:cNvGrpSpPr/>
          </xdr:nvGrpSpPr>
          <xdr:grpSpPr>
            <a:xfrm>
              <a:off x="633413" y="136279"/>
              <a:ext cx="5532321" cy="4836321"/>
              <a:chOff x="267652" y="-1"/>
              <a:chExt cx="5532321" cy="4836321"/>
            </a:xfrm>
          </xdr:grpSpPr>
          <xdr:grpSp>
            <xdr:nvGrpSpPr>
              <xdr:cNvPr id="69" name="Group 68">
                <a:extLst>
                  <a:ext uri="{FF2B5EF4-FFF2-40B4-BE49-F238E27FC236}">
                    <a16:creationId xmlns:a16="http://schemas.microsoft.com/office/drawing/2014/main" id="{00178D24-25A6-7B36-662F-340A4D363476}"/>
                  </a:ext>
                </a:extLst>
              </xdr:cNvPr>
              <xdr:cNvGrpSpPr/>
            </xdr:nvGrpSpPr>
            <xdr:grpSpPr>
              <a:xfrm>
                <a:off x="267652" y="-1"/>
                <a:ext cx="5532321" cy="4836320"/>
                <a:chOff x="0" y="3124199"/>
                <a:chExt cx="5532321" cy="4838095"/>
              </a:xfrm>
            </xdr:grpSpPr>
            <xdr:pic>
              <xdr:nvPicPr>
                <xdr:cNvPr id="74" name="Picture 73">
                  <a:extLst>
                    <a:ext uri="{FF2B5EF4-FFF2-40B4-BE49-F238E27FC236}">
                      <a16:creationId xmlns:a16="http://schemas.microsoft.com/office/drawing/2014/main" id="{B5966252-2165-68AC-ADAB-CA8170DBB21E}"/>
                    </a:ext>
                  </a:extLst>
                </xdr:cNvPr>
                <xdr:cNvPicPr>
                  <a:picLocks noChangeAspect="1"/>
                </xdr:cNvPicPr>
              </xdr:nvPicPr>
              <xdr:blipFill>
                <a:blip xmlns:r="http://schemas.openxmlformats.org/officeDocument/2006/relationships" r:embed="rId12"/>
                <a:stretch>
                  <a:fillRect/>
                </a:stretch>
              </xdr:blipFill>
              <xdr:spPr>
                <a:xfrm>
                  <a:off x="0" y="3124199"/>
                  <a:ext cx="5438095" cy="4838095"/>
                </a:xfrm>
                <a:prstGeom prst="rect">
                  <a:avLst/>
                </a:prstGeom>
                <a:ln>
                  <a:solidFill>
                    <a:schemeClr val="tx1"/>
                  </a:solidFill>
                </a:ln>
              </xdr:spPr>
            </xdr:pic>
            <xdr:sp macro="" textlink="">
              <xdr:nvSpPr>
                <xdr:cNvPr id="78" name="Rectangle 77">
                  <a:extLst>
                    <a:ext uri="{FF2B5EF4-FFF2-40B4-BE49-F238E27FC236}">
                      <a16:creationId xmlns:a16="http://schemas.microsoft.com/office/drawing/2014/main" id="{42BF8984-F778-271E-7919-F48BB6112FCD}"/>
                    </a:ext>
                  </a:extLst>
                </xdr:cNvPr>
                <xdr:cNvSpPr/>
              </xdr:nvSpPr>
              <xdr:spPr>
                <a:xfrm rot="20084872">
                  <a:off x="3752996" y="6847452"/>
                  <a:ext cx="714375" cy="812663"/>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80" name="L-Shape 79">
                  <a:extLst>
                    <a:ext uri="{FF2B5EF4-FFF2-40B4-BE49-F238E27FC236}">
                      <a16:creationId xmlns:a16="http://schemas.microsoft.com/office/drawing/2014/main" id="{C7B57F15-5BBC-D880-CFA3-3259585ABC02}"/>
                    </a:ext>
                  </a:extLst>
                </xdr:cNvPr>
                <xdr:cNvSpPr/>
              </xdr:nvSpPr>
              <xdr:spPr>
                <a:xfrm rot="20060958">
                  <a:off x="3833038" y="4368803"/>
                  <a:ext cx="1298764" cy="1237407"/>
                </a:xfrm>
                <a:prstGeom prst="corner">
                  <a:avLst>
                    <a:gd name="adj1" fmla="val 49977"/>
                    <a:gd name="adj2" fmla="val 50000"/>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IN" sz="1100">
                    <a:solidFill>
                      <a:schemeClr val="lt1"/>
                    </a:solidFill>
                    <a:latin typeface="+mn-lt"/>
                    <a:ea typeface="+mn-ea"/>
                    <a:cs typeface="+mn-cs"/>
                  </a:endParaRPr>
                </a:p>
              </xdr:txBody>
            </xdr:sp>
            <xdr:sp macro="" textlink="">
              <xdr:nvSpPr>
                <xdr:cNvPr id="81" name="TextBox 12">
                  <a:extLst>
                    <a:ext uri="{FF2B5EF4-FFF2-40B4-BE49-F238E27FC236}">
                      <a16:creationId xmlns:a16="http://schemas.microsoft.com/office/drawing/2014/main" id="{78E7C5F4-361F-3E3E-FB08-51056377F7A6}"/>
                    </a:ext>
                  </a:extLst>
                </xdr:cNvPr>
                <xdr:cNvSpPr txBox="1"/>
              </xdr:nvSpPr>
              <xdr:spPr>
                <a:xfrm rot="19972577">
                  <a:off x="4198821" y="5444478"/>
                  <a:ext cx="13335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2000" b="0">
                      <a:solidFill>
                        <a:srgbClr val="002060"/>
                      </a:solidFill>
                      <a:latin typeface="Times New Roman" panose="02020603050405020304" pitchFamily="18" charset="0"/>
                      <a:cs typeface="Times New Roman" panose="02020603050405020304" pitchFamily="18" charset="0"/>
                    </a:rPr>
                    <a:t>Building</a:t>
                  </a:r>
                  <a:r>
                    <a:rPr lang="en-IN" sz="2000" b="0" baseline="0">
                      <a:solidFill>
                        <a:srgbClr val="002060"/>
                      </a:solidFill>
                      <a:latin typeface="Times New Roman" panose="02020603050405020304" pitchFamily="18" charset="0"/>
                      <a:cs typeface="Times New Roman" panose="02020603050405020304" pitchFamily="18" charset="0"/>
                    </a:rPr>
                    <a:t> No. 1</a:t>
                  </a:r>
                  <a:endParaRPr lang="en-IN" sz="2000" b="0">
                    <a:solidFill>
                      <a:srgbClr val="002060"/>
                    </a:solidFill>
                    <a:latin typeface="Times New Roman" panose="02020603050405020304" pitchFamily="18" charset="0"/>
                    <a:cs typeface="Times New Roman" panose="02020603050405020304" pitchFamily="18" charset="0"/>
                  </a:endParaRPr>
                </a:p>
              </xdr:txBody>
            </xdr:sp>
            <xdr:sp macro="" textlink="">
              <xdr:nvSpPr>
                <xdr:cNvPr id="82" name="TextBox 13">
                  <a:extLst>
                    <a:ext uri="{FF2B5EF4-FFF2-40B4-BE49-F238E27FC236}">
                      <a16:creationId xmlns:a16="http://schemas.microsoft.com/office/drawing/2014/main" id="{6BE84071-E7A7-D86E-5116-417E2F7D0527}"/>
                    </a:ext>
                  </a:extLst>
                </xdr:cNvPr>
                <xdr:cNvSpPr txBox="1"/>
              </xdr:nvSpPr>
              <xdr:spPr>
                <a:xfrm>
                  <a:off x="3879310" y="7277100"/>
                  <a:ext cx="895351"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endParaRPr lang="en-IN" sz="1400" b="1">
                    <a:solidFill>
                      <a:srgbClr val="002060"/>
                    </a:solidFill>
                    <a:latin typeface="Times New Roman" panose="02020603050405020304" pitchFamily="18" charset="0"/>
                    <a:cs typeface="Times New Roman" panose="02020603050405020304" pitchFamily="18" charset="0"/>
                  </a:endParaRPr>
                </a:p>
              </xdr:txBody>
            </xdr:sp>
          </xdr:grpSp>
          <xdr:sp macro="" textlink="">
            <xdr:nvSpPr>
              <xdr:cNvPr id="70" name="Rectangle 69">
                <a:extLst>
                  <a:ext uri="{FF2B5EF4-FFF2-40B4-BE49-F238E27FC236}">
                    <a16:creationId xmlns:a16="http://schemas.microsoft.com/office/drawing/2014/main" id="{0D3637BC-FA15-9191-E61A-3624F3773DCA}"/>
                  </a:ext>
                </a:extLst>
              </xdr:cNvPr>
              <xdr:cNvSpPr/>
            </xdr:nvSpPr>
            <xdr:spPr>
              <a:xfrm rot="20084872">
                <a:off x="3727843" y="3269982"/>
                <a:ext cx="717881" cy="508442"/>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solidFill>
                    <a:srgbClr val="FF0000"/>
                  </a:solidFill>
                </a:endParaRPr>
              </a:p>
            </xdr:txBody>
          </xdr:sp>
          <xdr:sp macro="" textlink="">
            <xdr:nvSpPr>
              <xdr:cNvPr id="71" name="TextBox 6">
                <a:extLst>
                  <a:ext uri="{FF2B5EF4-FFF2-40B4-BE49-F238E27FC236}">
                    <a16:creationId xmlns:a16="http://schemas.microsoft.com/office/drawing/2014/main" id="{DA05CE18-3552-DDF5-FB51-A7C65219CC14}"/>
                  </a:ext>
                </a:extLst>
              </xdr:cNvPr>
              <xdr:cNvSpPr txBox="1"/>
            </xdr:nvSpPr>
            <xdr:spPr>
              <a:xfrm rot="20375165">
                <a:off x="4455174" y="3453348"/>
                <a:ext cx="1307172" cy="314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2000" b="0">
                    <a:solidFill>
                      <a:srgbClr val="002060"/>
                    </a:solidFill>
                    <a:latin typeface="Times New Roman" panose="02020603050405020304" pitchFamily="18" charset="0"/>
                    <a:cs typeface="Times New Roman" panose="02020603050405020304" pitchFamily="18" charset="0"/>
                  </a:rPr>
                  <a:t>Building</a:t>
                </a:r>
                <a:r>
                  <a:rPr lang="en-IN" sz="2000" b="0" baseline="0">
                    <a:solidFill>
                      <a:srgbClr val="002060"/>
                    </a:solidFill>
                    <a:latin typeface="Times New Roman" panose="02020603050405020304" pitchFamily="18" charset="0"/>
                    <a:cs typeface="Times New Roman" panose="02020603050405020304" pitchFamily="18" charset="0"/>
                  </a:rPr>
                  <a:t> No. 2  (Wing B)    </a:t>
                </a:r>
                <a:endParaRPr lang="en-IN" sz="2000" b="0">
                  <a:solidFill>
                    <a:srgbClr val="002060"/>
                  </a:solidFill>
                  <a:latin typeface="Times New Roman" panose="02020603050405020304" pitchFamily="18" charset="0"/>
                  <a:cs typeface="Times New Roman" panose="02020603050405020304" pitchFamily="18" charset="0"/>
                </a:endParaRPr>
              </a:p>
            </xdr:txBody>
          </xdr:sp>
          <xdr:pic>
            <xdr:nvPicPr>
              <xdr:cNvPr id="72" name="Picture 71">
                <a:extLst>
                  <a:ext uri="{FF2B5EF4-FFF2-40B4-BE49-F238E27FC236}">
                    <a16:creationId xmlns:a16="http://schemas.microsoft.com/office/drawing/2014/main" id="{A2E61B04-8531-183A-747F-B5E1B13E69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53087" y="3756320"/>
                <a:ext cx="1080000" cy="1080000"/>
              </a:xfrm>
              <a:prstGeom prst="rect">
                <a:avLst/>
              </a:prstGeom>
            </xdr:spPr>
          </xdr:pic>
          <xdr:sp macro="" textlink="">
            <xdr:nvSpPr>
              <xdr:cNvPr id="73" name="TextBox 6">
                <a:extLst>
                  <a:ext uri="{FF2B5EF4-FFF2-40B4-BE49-F238E27FC236}">
                    <a16:creationId xmlns:a16="http://schemas.microsoft.com/office/drawing/2014/main" id="{AE2FBC77-F326-4255-9EBC-61E9BA93BFD5}"/>
                  </a:ext>
                </a:extLst>
              </xdr:cNvPr>
              <xdr:cNvSpPr txBox="1"/>
            </xdr:nvSpPr>
            <xdr:spPr>
              <a:xfrm rot="20375165">
                <a:off x="2829049" y="2966686"/>
                <a:ext cx="1674598" cy="831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0">
                    <a:solidFill>
                      <a:srgbClr val="002060"/>
                    </a:solidFill>
                    <a:latin typeface="Times New Roman" panose="02020603050405020304" pitchFamily="18" charset="0"/>
                    <a:cs typeface="Times New Roman" panose="02020603050405020304" pitchFamily="18" charset="0"/>
                  </a:rPr>
                  <a:t>Building</a:t>
                </a:r>
                <a:r>
                  <a:rPr lang="en-IN" sz="1800" b="0" baseline="0">
                    <a:solidFill>
                      <a:srgbClr val="002060"/>
                    </a:solidFill>
                    <a:latin typeface="Times New Roman" panose="02020603050405020304" pitchFamily="18" charset="0"/>
                    <a:cs typeface="Times New Roman" panose="02020603050405020304" pitchFamily="18" charset="0"/>
                  </a:rPr>
                  <a:t> No. 2  (Wing A)  </a:t>
                </a:r>
                <a:r>
                  <a:rPr lang="en-IN" sz="1800" b="0" kern="1200" baseline="0">
                    <a:solidFill>
                      <a:srgbClr val="002060"/>
                    </a:solidFill>
                    <a:effectLst/>
                    <a:latin typeface="Times New Roman" panose="02020603050405020304" pitchFamily="18" charset="0"/>
                    <a:ea typeface="+mn-ea"/>
                    <a:cs typeface="Times New Roman" panose="02020603050405020304" pitchFamily="18" charset="0"/>
                  </a:rPr>
                  <a:t>(</a:t>
                </a:r>
                <a:r>
                  <a:rPr lang="en-IN" sz="1800" b="0" kern="1200">
                    <a:solidFill>
                      <a:srgbClr val="002060"/>
                    </a:solidFill>
                    <a:effectLst/>
                    <a:latin typeface="Times New Roman" panose="02020603050405020304" pitchFamily="18" charset="0"/>
                    <a:ea typeface="+mn-ea"/>
                    <a:cs typeface="Times New Roman" panose="02020603050405020304" pitchFamily="18" charset="0"/>
                  </a:rPr>
                  <a:t>Hospital Building)</a:t>
                </a:r>
                <a:endParaRPr lang="en-IN" b="0">
                  <a:solidFill>
                    <a:srgbClr val="002060"/>
                  </a:solidFill>
                  <a:effectLst/>
                  <a:latin typeface="Times New Roman" panose="02020603050405020304" pitchFamily="18" charset="0"/>
                  <a:cs typeface="Times New Roman" panose="02020603050405020304" pitchFamily="18" charset="0"/>
                </a:endParaRPr>
              </a:p>
              <a:p>
                <a:pPr algn="ctr"/>
                <a:r>
                  <a:rPr lang="en-IN" sz="1800" b="0" baseline="0">
                    <a:solidFill>
                      <a:srgbClr val="FF0000"/>
                    </a:solidFill>
                    <a:latin typeface="Times New Roman" panose="02020603050405020304" pitchFamily="18" charset="0"/>
                    <a:cs typeface="Times New Roman" panose="02020603050405020304" pitchFamily="18" charset="0"/>
                  </a:rPr>
                  <a:t>  </a:t>
                </a:r>
                <a:endParaRPr lang="en-IN" sz="1800" b="0">
                  <a:solidFill>
                    <a:srgbClr val="FF0000"/>
                  </a:solidFill>
                  <a:latin typeface="Times New Roman" panose="02020603050405020304" pitchFamily="18" charset="0"/>
                  <a:cs typeface="Times New Roman" panose="02020603050405020304" pitchFamily="18" charset="0"/>
                </a:endParaRPr>
              </a:p>
            </xdr:txBody>
          </xdr:sp>
        </xdr:grpSp>
      </xdr:grpSp>
      <xdr:sp macro="" textlink="">
        <xdr:nvSpPr>
          <xdr:cNvPr id="83" name="Rectangle 82">
            <a:extLst>
              <a:ext uri="{FF2B5EF4-FFF2-40B4-BE49-F238E27FC236}">
                <a16:creationId xmlns:a16="http://schemas.microsoft.com/office/drawing/2014/main" id="{77C6B61A-9827-0C9E-42B1-2D4865296351}"/>
              </a:ext>
            </a:extLst>
          </xdr:cNvPr>
          <xdr:cNvSpPr/>
        </xdr:nvSpPr>
        <xdr:spPr>
          <a:xfrm rot="185074">
            <a:off x="3474720" y="66842640"/>
            <a:ext cx="1706880" cy="166116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4" name="TextBox 6">
            <a:extLst>
              <a:ext uri="{FF2B5EF4-FFF2-40B4-BE49-F238E27FC236}">
                <a16:creationId xmlns:a16="http://schemas.microsoft.com/office/drawing/2014/main" id="{48A6F5D5-AF83-4F4D-B6A6-8B9A57F0A054}"/>
              </a:ext>
            </a:extLst>
          </xdr:cNvPr>
          <xdr:cNvSpPr txBox="1"/>
        </xdr:nvSpPr>
        <xdr:spPr>
          <a:xfrm rot="20375165">
            <a:off x="2531679" y="66366323"/>
            <a:ext cx="1871400" cy="475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1">
                <a:solidFill>
                  <a:srgbClr val="FF0000"/>
                </a:solidFill>
                <a:latin typeface="Times New Roman" panose="02020603050405020304" pitchFamily="18" charset="0"/>
                <a:cs typeface="Times New Roman" panose="02020603050405020304" pitchFamily="18" charset="0"/>
              </a:rPr>
              <a:t>Building</a:t>
            </a:r>
            <a:r>
              <a:rPr lang="en-IN" sz="1800" b="1" baseline="0">
                <a:solidFill>
                  <a:srgbClr val="FF0000"/>
                </a:solidFill>
                <a:latin typeface="Times New Roman" panose="02020603050405020304" pitchFamily="18" charset="0"/>
                <a:cs typeface="Times New Roman" panose="02020603050405020304" pitchFamily="18" charset="0"/>
              </a:rPr>
              <a:t> No. 1</a:t>
            </a:r>
            <a:endParaRPr lang="en-IN" b="1">
              <a:solidFill>
                <a:srgbClr val="FF0000"/>
              </a:solidFill>
              <a:effectLst/>
              <a:latin typeface="Times New Roman" panose="02020603050405020304" pitchFamily="18" charset="0"/>
              <a:cs typeface="Times New Roman" panose="02020603050405020304" pitchFamily="18" charset="0"/>
            </a:endParaRPr>
          </a:p>
        </xdr:txBody>
      </xdr:sp>
      <xdr:sp macro="" textlink="">
        <xdr:nvSpPr>
          <xdr:cNvPr id="87" name="TextBox 6">
            <a:extLst>
              <a:ext uri="{FF2B5EF4-FFF2-40B4-BE49-F238E27FC236}">
                <a16:creationId xmlns:a16="http://schemas.microsoft.com/office/drawing/2014/main" id="{A5C2618C-1850-497E-9FDA-B39AA76677EF}"/>
              </a:ext>
            </a:extLst>
          </xdr:cNvPr>
          <xdr:cNvSpPr txBox="1"/>
        </xdr:nvSpPr>
        <xdr:spPr>
          <a:xfrm rot="20375165">
            <a:off x="1761751" y="67232447"/>
            <a:ext cx="1805716" cy="72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1">
                <a:solidFill>
                  <a:srgbClr val="FF0000"/>
                </a:solidFill>
                <a:latin typeface="Times New Roman" panose="02020603050405020304" pitchFamily="18" charset="0"/>
                <a:cs typeface="Times New Roman" panose="02020603050405020304" pitchFamily="18" charset="0"/>
              </a:rPr>
              <a:t>Nakshatram </a:t>
            </a:r>
          </a:p>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1">
                <a:solidFill>
                  <a:srgbClr val="FF0000"/>
                </a:solidFill>
                <a:latin typeface="Times New Roman" panose="02020603050405020304" pitchFamily="18" charset="0"/>
                <a:cs typeface="Times New Roman" panose="02020603050405020304" pitchFamily="18" charset="0"/>
              </a:rPr>
              <a:t>Nirvaana I</a:t>
            </a:r>
            <a:endParaRPr lang="en-IN" b="1">
              <a:solidFill>
                <a:srgbClr val="FF0000"/>
              </a:solidFill>
              <a:effectLst/>
              <a:latin typeface="Times New Roman" panose="02020603050405020304" pitchFamily="18" charset="0"/>
              <a:cs typeface="Times New Roman" panose="02020603050405020304" pitchFamily="18" charset="0"/>
            </a:endParaRPr>
          </a:p>
        </xdr:txBody>
      </xdr:sp>
    </xdr:grpSp>
    <xdr:clientData/>
  </xdr:twoCellAnchor>
  <xdr:twoCellAnchor>
    <xdr:from>
      <xdr:col>4</xdr:col>
      <xdr:colOff>130619</xdr:colOff>
      <xdr:row>227</xdr:row>
      <xdr:rowOff>30837</xdr:rowOff>
    </xdr:from>
    <xdr:to>
      <xdr:col>5</xdr:col>
      <xdr:colOff>473228</xdr:colOff>
      <xdr:row>229</xdr:row>
      <xdr:rowOff>217716</xdr:rowOff>
    </xdr:to>
    <xdr:sp macro="" textlink="">
      <xdr:nvSpPr>
        <xdr:cNvPr id="88" name="TextBox 6">
          <a:extLst>
            <a:ext uri="{FF2B5EF4-FFF2-40B4-BE49-F238E27FC236}">
              <a16:creationId xmlns:a16="http://schemas.microsoft.com/office/drawing/2014/main" id="{4FF63EB9-F244-4742-8B96-B1B0BD0B2C52}"/>
            </a:ext>
          </a:extLst>
        </xdr:cNvPr>
        <xdr:cNvSpPr txBox="1"/>
      </xdr:nvSpPr>
      <xdr:spPr>
        <a:xfrm rot="20375165">
          <a:off x="4946459" y="68984217"/>
          <a:ext cx="1546569" cy="720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1">
              <a:solidFill>
                <a:srgbClr val="002060"/>
              </a:solidFill>
              <a:latin typeface="Times New Roman" panose="02020603050405020304" pitchFamily="18" charset="0"/>
              <a:cs typeface="Times New Roman" panose="02020603050405020304" pitchFamily="18" charset="0"/>
            </a:rPr>
            <a:t>Nakshatram </a:t>
          </a:r>
        </a:p>
        <a:p>
          <a:pPr marL="0" marR="0" lvl="0" indent="0" algn="ctr" defTabSz="914400" rtl="0" eaLnBrk="1" fontAlgn="auto" latinLnBrk="0" hangingPunct="1">
            <a:lnSpc>
              <a:spcPct val="100000"/>
            </a:lnSpc>
            <a:spcBef>
              <a:spcPts val="0"/>
            </a:spcBef>
            <a:spcAft>
              <a:spcPts val="0"/>
            </a:spcAft>
            <a:buClrTx/>
            <a:buSzTx/>
            <a:buFontTx/>
            <a:buNone/>
            <a:tabLst/>
            <a:defRPr/>
          </a:pPr>
          <a:r>
            <a:rPr lang="en-IN" sz="1800" b="1">
              <a:solidFill>
                <a:srgbClr val="002060"/>
              </a:solidFill>
              <a:latin typeface="Times New Roman" panose="02020603050405020304" pitchFamily="18" charset="0"/>
              <a:cs typeface="Times New Roman" panose="02020603050405020304" pitchFamily="18" charset="0"/>
            </a:rPr>
            <a:t>Nirvaana II</a:t>
          </a:r>
          <a:endParaRPr lang="en-IN" b="1">
            <a:solidFill>
              <a:srgbClr val="002060"/>
            </a:solidFill>
            <a:effectLst/>
            <a:latin typeface="Times New Roman" panose="02020603050405020304" pitchFamily="18" charset="0"/>
            <a:cs typeface="Times New Roman" panose="02020603050405020304" pitchFamily="18" charset="0"/>
          </a:endParaRPr>
        </a:p>
      </xdr:txBody>
    </xdr:sp>
    <xdr:clientData/>
  </xdr:twoCellAnchor>
  <xdr:twoCellAnchor>
    <xdr:from>
      <xdr:col>0</xdr:col>
      <xdr:colOff>1188720</xdr:colOff>
      <xdr:row>131</xdr:row>
      <xdr:rowOff>228600</xdr:rowOff>
    </xdr:from>
    <xdr:to>
      <xdr:col>7</xdr:col>
      <xdr:colOff>114300</xdr:colOff>
      <xdr:row>166</xdr:row>
      <xdr:rowOff>7620</xdr:rowOff>
    </xdr:to>
    <xdr:grpSp>
      <xdr:nvGrpSpPr>
        <xdr:cNvPr id="23" name="Group 22">
          <a:extLst>
            <a:ext uri="{FF2B5EF4-FFF2-40B4-BE49-F238E27FC236}">
              <a16:creationId xmlns:a16="http://schemas.microsoft.com/office/drawing/2014/main" id="{614C705F-BFDC-FE4B-3359-88C68973881A}"/>
            </a:ext>
          </a:extLst>
        </xdr:cNvPr>
        <xdr:cNvGrpSpPr/>
      </xdr:nvGrpSpPr>
      <xdr:grpSpPr>
        <a:xfrm>
          <a:off x="1188720" y="43483696"/>
          <a:ext cx="7367215" cy="9055541"/>
          <a:chOff x="1287780" y="42420540"/>
          <a:chExt cx="6169442" cy="7545120"/>
        </a:xfrm>
      </xdr:grpSpPr>
      <xdr:grpSp>
        <xdr:nvGrpSpPr>
          <xdr:cNvPr id="2" name="Group 1">
            <a:extLst>
              <a:ext uri="{FF2B5EF4-FFF2-40B4-BE49-F238E27FC236}">
                <a16:creationId xmlns:a16="http://schemas.microsoft.com/office/drawing/2014/main" id="{634B4A78-B3E3-9B43-0019-B97AEF2B345C}"/>
              </a:ext>
            </a:extLst>
          </xdr:cNvPr>
          <xdr:cNvGrpSpPr/>
        </xdr:nvGrpSpPr>
        <xdr:grpSpPr>
          <a:xfrm>
            <a:off x="2366655" y="45473100"/>
            <a:ext cx="4011692" cy="2520000"/>
            <a:chOff x="1554480" y="3235800"/>
            <a:chExt cx="4011692" cy="2520000"/>
          </a:xfrm>
        </xdr:grpSpPr>
        <xdr:pic>
          <xdr:nvPicPr>
            <xdr:cNvPr id="21" name="Picture 20">
              <a:extLst>
                <a:ext uri="{FF2B5EF4-FFF2-40B4-BE49-F238E27FC236}">
                  <a16:creationId xmlns:a16="http://schemas.microsoft.com/office/drawing/2014/main" id="{7A25E828-CB94-3065-08D9-788BF88515C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54480" y="3235800"/>
              <a:ext cx="1888031"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E1A4E5AD-01AF-C68B-815A-583E3ECF9B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78141" y="3235800"/>
              <a:ext cx="1888031" cy="252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1C3A9D0F-21FA-0112-A6EB-0E0BA6FDCBDB}"/>
              </a:ext>
            </a:extLst>
          </xdr:cNvPr>
          <xdr:cNvGrpSpPr/>
        </xdr:nvGrpSpPr>
        <xdr:grpSpPr>
          <a:xfrm>
            <a:off x="2899337" y="48165660"/>
            <a:ext cx="2946329" cy="1800000"/>
            <a:chOff x="2080406" y="5928360"/>
            <a:chExt cx="2946329" cy="1800000"/>
          </a:xfrm>
        </xdr:grpSpPr>
        <xdr:pic>
          <xdr:nvPicPr>
            <xdr:cNvPr id="18" name="Picture 17">
              <a:extLst>
                <a:ext uri="{FF2B5EF4-FFF2-40B4-BE49-F238E27FC236}">
                  <a16:creationId xmlns:a16="http://schemas.microsoft.com/office/drawing/2014/main" id="{B7407477-33D2-6CFE-097B-3CC9AA56E9B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80406" y="5928360"/>
              <a:ext cx="1348594" cy="1800000"/>
            </a:xfrm>
            <a:prstGeom prst="rect">
              <a:avLst/>
            </a:prstGeom>
            <a:ln>
              <a:solidFill>
                <a:schemeClr val="tx1"/>
              </a:solidFill>
            </a:ln>
          </xdr:spPr>
        </xdr:pic>
        <xdr:pic>
          <xdr:nvPicPr>
            <xdr:cNvPr id="19" name="Picture 18">
              <a:extLst>
                <a:ext uri="{FF2B5EF4-FFF2-40B4-BE49-F238E27FC236}">
                  <a16:creationId xmlns:a16="http://schemas.microsoft.com/office/drawing/2014/main" id="{9114B0B1-8D32-642E-D74F-6B90C7366E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678141" y="5928360"/>
              <a:ext cx="1348594" cy="1800000"/>
            </a:xfrm>
            <a:prstGeom prst="rect">
              <a:avLst/>
            </a:prstGeom>
            <a:ln>
              <a:solidFill>
                <a:schemeClr val="tx1"/>
              </a:solidFill>
            </a:ln>
          </xdr:spPr>
        </xdr:pic>
      </xdr:grpSp>
      <xdr:grpSp>
        <xdr:nvGrpSpPr>
          <xdr:cNvPr id="15" name="Group 14">
            <a:extLst>
              <a:ext uri="{FF2B5EF4-FFF2-40B4-BE49-F238E27FC236}">
                <a16:creationId xmlns:a16="http://schemas.microsoft.com/office/drawing/2014/main" id="{741DE356-40B3-C2C6-F061-E2EC0BD8C895}"/>
              </a:ext>
            </a:extLst>
          </xdr:cNvPr>
          <xdr:cNvGrpSpPr/>
        </xdr:nvGrpSpPr>
        <xdr:grpSpPr>
          <a:xfrm>
            <a:off x="1287780" y="42420540"/>
            <a:ext cx="6169442" cy="2880000"/>
            <a:chOff x="243840" y="183240"/>
            <a:chExt cx="6169442" cy="2880000"/>
          </a:xfrm>
        </xdr:grpSpPr>
        <xdr:pic>
          <xdr:nvPicPr>
            <xdr:cNvPr id="16" name="Picture 15">
              <a:extLst>
                <a:ext uri="{FF2B5EF4-FFF2-40B4-BE49-F238E27FC236}">
                  <a16:creationId xmlns:a16="http://schemas.microsoft.com/office/drawing/2014/main" id="{7F0F2648-CF41-484D-2844-5975040F5D8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55532" y="183240"/>
              <a:ext cx="2157750" cy="2880000"/>
            </a:xfrm>
            <a:prstGeom prst="rect">
              <a:avLst/>
            </a:prstGeom>
            <a:ln>
              <a:solidFill>
                <a:schemeClr val="tx1"/>
              </a:solidFill>
            </a:ln>
          </xdr:spPr>
        </xdr:pic>
        <xdr:pic>
          <xdr:nvPicPr>
            <xdr:cNvPr id="17" name="Picture 16">
              <a:extLst>
                <a:ext uri="{FF2B5EF4-FFF2-40B4-BE49-F238E27FC236}">
                  <a16:creationId xmlns:a16="http://schemas.microsoft.com/office/drawing/2014/main" id="{196AA04A-4F09-BBB9-823C-5D300FFF6F6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43840" y="183240"/>
              <a:ext cx="3836445" cy="2880000"/>
            </a:xfrm>
            <a:prstGeom prst="rect">
              <a:avLst/>
            </a:prstGeom>
            <a:ln>
              <a:solidFill>
                <a:schemeClr val="tx1"/>
              </a:solidFill>
            </a:ln>
          </xdr:spPr>
        </xdr:pic>
      </xdr:grpSp>
    </xdr:grpSp>
    <xdr:clientData/>
  </xdr:twoCellAnchor>
  <xdr:twoCellAnchor editAs="oneCell">
    <xdr:from>
      <xdr:col>0</xdr:col>
      <xdr:colOff>464820</xdr:colOff>
      <xdr:row>172</xdr:row>
      <xdr:rowOff>152400</xdr:rowOff>
    </xdr:from>
    <xdr:to>
      <xdr:col>7</xdr:col>
      <xdr:colOff>789498</xdr:colOff>
      <xdr:row>183</xdr:row>
      <xdr:rowOff>68580</xdr:rowOff>
    </xdr:to>
    <xdr:pic>
      <xdr:nvPicPr>
        <xdr:cNvPr id="61" name="Picture 60">
          <a:extLst>
            <a:ext uri="{FF2B5EF4-FFF2-40B4-BE49-F238E27FC236}">
              <a16:creationId xmlns:a16="http://schemas.microsoft.com/office/drawing/2014/main" id="{F63BBDC7-3CD6-1D3E-517D-56ACC5DA6E62}"/>
            </a:ext>
          </a:extLst>
        </xdr:cNvPr>
        <xdr:cNvPicPr>
          <a:picLocks noChangeAspect="1"/>
        </xdr:cNvPicPr>
      </xdr:nvPicPr>
      <xdr:blipFill>
        <a:blip xmlns:r="http://schemas.openxmlformats.org/officeDocument/2006/relationships" r:embed="rId20"/>
        <a:stretch>
          <a:fillRect/>
        </a:stretch>
      </xdr:blipFill>
      <xdr:spPr>
        <a:xfrm>
          <a:off x="464820" y="54848760"/>
          <a:ext cx="8752398" cy="28498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nakshatranirvana-naigoaneast.com/" TargetMode="External"/><Relationship Id="rId1" Type="http://schemas.openxmlformats.org/officeDocument/2006/relationships/hyperlink" Target="https://maps.app.goo.gl/KUyFkwtyXAJSNPn77"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97"/>
  <sheetViews>
    <sheetView tabSelected="1" view="pageBreakPreview" topLeftCell="A4" zoomScale="115" zoomScaleNormal="85" zoomScaleSheetLayoutView="115" zoomScalePageLayoutView="70" workbookViewId="0">
      <selection activeCell="C12" sqref="C12:H12"/>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0.6640625" style="1" customWidth="1"/>
    <col min="11" max="11" width="21.44140625" style="1" bestFit="1" customWidth="1"/>
    <col min="12" max="19" width="9.109375" style="1"/>
    <col min="20" max="22" width="0" style="1" hidden="1" customWidth="1"/>
    <col min="23" max="25" width="9.109375" style="1"/>
    <col min="26" max="26" width="7.88671875" style="1" customWidth="1"/>
    <col min="27" max="16384" width="9.109375" style="1"/>
  </cols>
  <sheetData>
    <row r="1" spans="1:11" ht="21" x14ac:dyDescent="0.3">
      <c r="A1" s="116" t="s">
        <v>38</v>
      </c>
      <c r="B1" s="117"/>
      <c r="C1" s="117"/>
      <c r="D1" s="117"/>
      <c r="E1" s="117"/>
      <c r="F1" s="117"/>
      <c r="G1" s="117"/>
      <c r="H1" s="118"/>
    </row>
    <row r="2" spans="1:11" ht="42" customHeight="1" x14ac:dyDescent="0.3">
      <c r="A2" s="99" t="s">
        <v>10</v>
      </c>
      <c r="B2" s="99"/>
      <c r="C2" s="100" t="s">
        <v>87</v>
      </c>
      <c r="D2" s="100"/>
      <c r="E2" s="99" t="s">
        <v>12</v>
      </c>
      <c r="F2" s="99"/>
      <c r="G2" s="110">
        <v>45910</v>
      </c>
      <c r="H2" s="110"/>
      <c r="J2" s="112"/>
      <c r="K2" s="112"/>
    </row>
    <row r="3" spans="1:11" ht="21" x14ac:dyDescent="0.3">
      <c r="A3" s="99" t="s">
        <v>39</v>
      </c>
      <c r="B3" s="99"/>
      <c r="C3" s="114" t="s">
        <v>333</v>
      </c>
      <c r="D3" s="114"/>
      <c r="E3" s="99" t="s">
        <v>155</v>
      </c>
      <c r="F3" s="99"/>
      <c r="G3" s="110" t="s">
        <v>354</v>
      </c>
      <c r="H3" s="100"/>
    </row>
    <row r="4" spans="1:11" ht="43.5" customHeight="1" x14ac:dyDescent="0.3">
      <c r="A4" s="99" t="s">
        <v>36</v>
      </c>
      <c r="B4" s="99"/>
      <c r="C4" s="100" t="s">
        <v>334</v>
      </c>
      <c r="D4" s="100"/>
      <c r="E4" s="99" t="s">
        <v>33</v>
      </c>
      <c r="F4" s="99"/>
      <c r="G4" s="100" t="str">
        <f ca="1">TEXT(TODAY(),"DD/MM/YYYY")</f>
        <v>12/09/2025</v>
      </c>
      <c r="H4" s="100"/>
    </row>
    <row r="5" spans="1:11" ht="21" x14ac:dyDescent="0.3">
      <c r="A5" s="115" t="s">
        <v>40</v>
      </c>
      <c r="B5" s="115"/>
      <c r="C5" s="115"/>
      <c r="D5" s="115"/>
      <c r="E5" s="115"/>
      <c r="F5" s="115"/>
      <c r="G5" s="115"/>
      <c r="H5" s="115"/>
    </row>
    <row r="6" spans="1:11" ht="43.5" customHeight="1" x14ac:dyDescent="0.3">
      <c r="A6" s="99" t="s">
        <v>29</v>
      </c>
      <c r="B6" s="99"/>
      <c r="C6" s="100" t="s">
        <v>324</v>
      </c>
      <c r="D6" s="100"/>
      <c r="E6" s="99" t="s">
        <v>35</v>
      </c>
      <c r="F6" s="99"/>
      <c r="G6" s="100" t="s">
        <v>297</v>
      </c>
      <c r="H6" s="100"/>
    </row>
    <row r="7" spans="1:11" ht="41.25" customHeight="1" x14ac:dyDescent="0.3">
      <c r="A7" s="99" t="s">
        <v>42</v>
      </c>
      <c r="B7" s="99"/>
      <c r="C7" s="100" t="s">
        <v>296</v>
      </c>
      <c r="D7" s="100"/>
      <c r="E7" s="99" t="s">
        <v>43</v>
      </c>
      <c r="F7" s="99"/>
      <c r="G7" s="100" t="s">
        <v>296</v>
      </c>
      <c r="H7" s="100"/>
    </row>
    <row r="8" spans="1:11" ht="40.5" customHeight="1" x14ac:dyDescent="0.3">
      <c r="A8" s="99" t="s">
        <v>44</v>
      </c>
      <c r="B8" s="99"/>
      <c r="C8" s="100" t="s">
        <v>298</v>
      </c>
      <c r="D8" s="100"/>
      <c r="E8" s="100"/>
      <c r="F8" s="100"/>
      <c r="G8" s="100"/>
      <c r="H8" s="100"/>
    </row>
    <row r="9" spans="1:11" ht="21" x14ac:dyDescent="0.3">
      <c r="A9" s="109" t="s">
        <v>146</v>
      </c>
      <c r="B9" s="34" t="s">
        <v>41</v>
      </c>
      <c r="C9" s="100" t="s">
        <v>299</v>
      </c>
      <c r="D9" s="100"/>
      <c r="E9" s="100"/>
      <c r="F9" s="100"/>
      <c r="G9" s="100"/>
      <c r="H9" s="100"/>
    </row>
    <row r="10" spans="1:11" ht="42" x14ac:dyDescent="0.3">
      <c r="A10" s="109"/>
      <c r="B10" s="34" t="s">
        <v>11</v>
      </c>
      <c r="C10" s="100" t="s">
        <v>335</v>
      </c>
      <c r="D10" s="100"/>
      <c r="E10" s="100"/>
      <c r="F10" s="100"/>
      <c r="G10" s="100"/>
      <c r="H10" s="100"/>
    </row>
    <row r="11" spans="1:11" ht="49.8" customHeight="1" x14ac:dyDescent="0.3">
      <c r="A11" s="109"/>
      <c r="B11" s="34" t="s">
        <v>5</v>
      </c>
      <c r="C11" s="100" t="s">
        <v>358</v>
      </c>
      <c r="D11" s="100"/>
      <c r="E11" s="100"/>
      <c r="F11" s="100"/>
      <c r="G11" s="100"/>
      <c r="H11" s="100"/>
    </row>
    <row r="12" spans="1:11" ht="40.5" customHeight="1" x14ac:dyDescent="0.3">
      <c r="A12" s="99" t="s">
        <v>34</v>
      </c>
      <c r="B12" s="99"/>
      <c r="C12" s="100" t="s">
        <v>331</v>
      </c>
      <c r="D12" s="113"/>
      <c r="E12" s="113"/>
      <c r="F12" s="113"/>
      <c r="G12" s="113"/>
      <c r="H12" s="113"/>
    </row>
    <row r="13" spans="1:11" ht="20.100000000000001" customHeight="1" x14ac:dyDescent="0.3">
      <c r="A13" s="115" t="s">
        <v>45</v>
      </c>
      <c r="B13" s="115"/>
      <c r="C13" s="115"/>
      <c r="D13" s="115"/>
      <c r="E13" s="115"/>
      <c r="F13" s="115"/>
      <c r="G13" s="115"/>
      <c r="H13" s="115"/>
    </row>
    <row r="14" spans="1:11" ht="41.25" customHeight="1" x14ac:dyDescent="0.3">
      <c r="A14" s="99" t="s">
        <v>27</v>
      </c>
      <c r="B14" s="99" t="s">
        <v>4</v>
      </c>
      <c r="C14" s="100" t="s">
        <v>88</v>
      </c>
      <c r="D14" s="100"/>
      <c r="E14" s="99" t="s">
        <v>46</v>
      </c>
      <c r="F14" s="99" t="s">
        <v>4</v>
      </c>
      <c r="G14" s="100" t="s">
        <v>300</v>
      </c>
      <c r="H14" s="100"/>
    </row>
    <row r="15" spans="1:11" ht="41.25" customHeight="1" x14ac:dyDescent="0.3">
      <c r="A15" s="99" t="s">
        <v>47</v>
      </c>
      <c r="B15" s="99" t="s">
        <v>4</v>
      </c>
      <c r="C15" s="100" t="s">
        <v>336</v>
      </c>
      <c r="D15" s="100"/>
      <c r="E15" s="99" t="s">
        <v>48</v>
      </c>
      <c r="F15" s="99" t="s">
        <v>4</v>
      </c>
      <c r="G15" s="110">
        <v>46568</v>
      </c>
      <c r="H15" s="100"/>
    </row>
    <row r="16" spans="1:11" ht="21" x14ac:dyDescent="0.3">
      <c r="A16" s="99" t="s">
        <v>49</v>
      </c>
      <c r="B16" s="99" t="s">
        <v>4</v>
      </c>
      <c r="C16" s="110">
        <v>45621</v>
      </c>
      <c r="D16" s="100"/>
      <c r="E16" s="99" t="s">
        <v>50</v>
      </c>
      <c r="F16" s="99" t="s">
        <v>4</v>
      </c>
      <c r="G16" s="122">
        <v>45630</v>
      </c>
      <c r="H16" s="100"/>
    </row>
    <row r="17" spans="1:9" ht="41.25" customHeight="1" x14ac:dyDescent="0.3">
      <c r="A17" s="99" t="s">
        <v>51</v>
      </c>
      <c r="B17" s="99" t="s">
        <v>4</v>
      </c>
      <c r="C17" s="111">
        <v>46568</v>
      </c>
      <c r="D17" s="103"/>
      <c r="E17" s="99" t="s">
        <v>52</v>
      </c>
      <c r="F17" s="99" t="s">
        <v>4</v>
      </c>
      <c r="G17" s="100" t="s">
        <v>325</v>
      </c>
      <c r="H17" s="100"/>
    </row>
    <row r="18" spans="1:9" ht="41.25" customHeight="1" x14ac:dyDescent="0.3">
      <c r="A18" s="99" t="s">
        <v>53</v>
      </c>
      <c r="B18" s="99" t="s">
        <v>4</v>
      </c>
      <c r="C18" s="10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0"/>
      <c r="E18" s="99" t="s">
        <v>94</v>
      </c>
      <c r="F18" s="99" t="s">
        <v>4</v>
      </c>
      <c r="G18" s="123">
        <v>1311.11</v>
      </c>
      <c r="H18" s="123"/>
    </row>
    <row r="19" spans="1:9" ht="47.25" customHeight="1" x14ac:dyDescent="0.3">
      <c r="A19" s="99" t="s">
        <v>54</v>
      </c>
      <c r="B19" s="99" t="s">
        <v>4</v>
      </c>
      <c r="C19" s="123">
        <f>1422.16/G19</f>
        <v>1.1000023204189131</v>
      </c>
      <c r="D19" s="123"/>
      <c r="E19" s="99" t="s">
        <v>337</v>
      </c>
      <c r="F19" s="99" t="s">
        <v>4</v>
      </c>
      <c r="G19" s="123">
        <v>1292.8699999999999</v>
      </c>
      <c r="H19" s="123"/>
    </row>
    <row r="20" spans="1:9" ht="41.25" customHeight="1" x14ac:dyDescent="0.3">
      <c r="A20" s="99" t="s">
        <v>92</v>
      </c>
      <c r="B20" s="99" t="s">
        <v>4</v>
      </c>
      <c r="C20" s="100">
        <v>6273.51</v>
      </c>
      <c r="D20" s="100"/>
      <c r="E20" s="99" t="s">
        <v>93</v>
      </c>
      <c r="F20" s="99" t="s">
        <v>4</v>
      </c>
      <c r="G20" s="100">
        <v>6273.48</v>
      </c>
      <c r="H20" s="100"/>
    </row>
    <row r="21" spans="1:9" ht="41.25" customHeight="1" x14ac:dyDescent="0.3">
      <c r="A21" s="99" t="s">
        <v>56</v>
      </c>
      <c r="B21" s="99" t="s">
        <v>4</v>
      </c>
      <c r="C21" s="100" t="s">
        <v>352</v>
      </c>
      <c r="D21" s="100"/>
      <c r="E21" s="99" t="s">
        <v>55</v>
      </c>
      <c r="F21" s="99" t="s">
        <v>4</v>
      </c>
      <c r="G21" s="100" t="s">
        <v>351</v>
      </c>
      <c r="H21" s="100"/>
      <c r="I21" s="1">
        <f>21+63+21*2+81+21+1+3+16+20+19+1+16+19+3+16+1</f>
        <v>343</v>
      </c>
    </row>
    <row r="22" spans="1:9" ht="21" x14ac:dyDescent="0.3">
      <c r="A22" s="99" t="s">
        <v>159</v>
      </c>
      <c r="B22" s="99" t="s">
        <v>4</v>
      </c>
      <c r="C22" s="100" t="s">
        <v>338</v>
      </c>
      <c r="D22" s="100"/>
      <c r="E22" s="99" t="s">
        <v>160</v>
      </c>
      <c r="F22" s="99" t="s">
        <v>4</v>
      </c>
      <c r="G22" s="100" t="s">
        <v>342</v>
      </c>
      <c r="H22" s="100"/>
    </row>
    <row r="23" spans="1:9" ht="22.2" customHeight="1" x14ac:dyDescent="0.3">
      <c r="A23" s="99" t="s">
        <v>157</v>
      </c>
      <c r="B23" s="99" t="s">
        <v>4</v>
      </c>
      <c r="C23" s="144" t="s">
        <v>301</v>
      </c>
      <c r="D23" s="145"/>
      <c r="E23" s="145"/>
      <c r="F23" s="145"/>
      <c r="G23" s="145"/>
      <c r="H23" s="145"/>
    </row>
    <row r="24" spans="1:9" ht="21" x14ac:dyDescent="0.3">
      <c r="A24" s="99" t="s">
        <v>25</v>
      </c>
      <c r="B24" s="99" t="s">
        <v>4</v>
      </c>
      <c r="C24" s="100" t="s">
        <v>302</v>
      </c>
      <c r="D24" s="100"/>
      <c r="E24" s="100"/>
      <c r="F24" s="100"/>
      <c r="G24" s="100"/>
      <c r="H24" s="100"/>
      <c r="I24" s="73" t="s">
        <v>303</v>
      </c>
    </row>
    <row r="25" spans="1:9" ht="24" customHeight="1" x14ac:dyDescent="0.3">
      <c r="A25" s="115" t="s">
        <v>20</v>
      </c>
      <c r="B25" s="115"/>
      <c r="C25" s="115"/>
      <c r="D25" s="115"/>
      <c r="E25" s="115"/>
      <c r="F25" s="115"/>
      <c r="G25" s="115"/>
      <c r="H25" s="115"/>
    </row>
    <row r="26" spans="1:9" ht="21" x14ac:dyDescent="0.3">
      <c r="A26" s="99" t="s">
        <v>26</v>
      </c>
      <c r="B26" s="99" t="s">
        <v>4</v>
      </c>
      <c r="C26" s="100" t="str">
        <f>IF(AND(G26="Upper"),"Developed","Developing")</f>
        <v>Developing</v>
      </c>
      <c r="D26" s="100"/>
      <c r="E26" s="99" t="s">
        <v>13</v>
      </c>
      <c r="F26" s="99" t="s">
        <v>4</v>
      </c>
      <c r="G26" s="100" t="s">
        <v>304</v>
      </c>
      <c r="H26" s="100"/>
    </row>
    <row r="27" spans="1:9" ht="21" x14ac:dyDescent="0.3">
      <c r="A27" s="99" t="s">
        <v>14</v>
      </c>
      <c r="B27" s="99" t="s">
        <v>4</v>
      </c>
      <c r="C27" s="100" t="s">
        <v>293</v>
      </c>
      <c r="D27" s="100"/>
      <c r="E27" s="99" t="s">
        <v>147</v>
      </c>
      <c r="F27" s="99" t="s">
        <v>4</v>
      </c>
      <c r="G27" s="100" t="s">
        <v>346</v>
      </c>
      <c r="H27" s="100"/>
    </row>
    <row r="28" spans="1:9" ht="43.5" customHeight="1" x14ac:dyDescent="0.3">
      <c r="A28" s="99" t="s">
        <v>23</v>
      </c>
      <c r="B28" s="99" t="s">
        <v>4</v>
      </c>
      <c r="C28" s="100" t="s">
        <v>96</v>
      </c>
      <c r="D28" s="100"/>
      <c r="E28" s="99" t="s">
        <v>16</v>
      </c>
      <c r="F28" s="99" t="s">
        <v>4</v>
      </c>
      <c r="G28" s="100" t="s">
        <v>319</v>
      </c>
      <c r="H28" s="100"/>
    </row>
    <row r="29" spans="1:9" ht="66" customHeight="1" x14ac:dyDescent="0.3">
      <c r="A29" s="99" t="s">
        <v>105</v>
      </c>
      <c r="B29" s="99" t="s">
        <v>4</v>
      </c>
      <c r="C29" s="100" t="s">
        <v>320</v>
      </c>
      <c r="D29" s="100"/>
      <c r="E29" s="99" t="s">
        <v>106</v>
      </c>
      <c r="F29" s="99" t="s">
        <v>4</v>
      </c>
      <c r="G29" s="100" t="s">
        <v>321</v>
      </c>
      <c r="H29" s="100"/>
    </row>
    <row r="30" spans="1:9" ht="84" customHeight="1" x14ac:dyDescent="0.3">
      <c r="A30" s="99" t="s">
        <v>17</v>
      </c>
      <c r="B30" s="99" t="s">
        <v>4</v>
      </c>
      <c r="C30" s="100" t="s">
        <v>322</v>
      </c>
      <c r="D30" s="100"/>
      <c r="E30" s="99" t="s">
        <v>15</v>
      </c>
      <c r="F30" s="99" t="s">
        <v>4</v>
      </c>
      <c r="G30" s="100" t="s">
        <v>318</v>
      </c>
      <c r="H30" s="100"/>
    </row>
    <row r="31" spans="1:9" ht="21" x14ac:dyDescent="0.3">
      <c r="A31" s="99" t="s">
        <v>111</v>
      </c>
      <c r="B31" s="99" t="s">
        <v>4</v>
      </c>
      <c r="C31" s="100" t="s">
        <v>112</v>
      </c>
      <c r="D31" s="100"/>
      <c r="E31" s="99" t="s">
        <v>113</v>
      </c>
      <c r="F31" s="99" t="s">
        <v>4</v>
      </c>
      <c r="G31" s="100" t="s">
        <v>112</v>
      </c>
      <c r="H31" s="100"/>
    </row>
    <row r="32" spans="1:9" ht="21.75" customHeight="1" x14ac:dyDescent="0.3">
      <c r="A32" s="99" t="s">
        <v>114</v>
      </c>
      <c r="B32" s="99" t="s">
        <v>4</v>
      </c>
      <c r="C32" s="100" t="s">
        <v>112</v>
      </c>
      <c r="D32" s="100"/>
      <c r="E32" s="100"/>
      <c r="F32" s="100"/>
      <c r="G32" s="100"/>
      <c r="H32" s="100"/>
    </row>
    <row r="33" spans="1:15" ht="21" x14ac:dyDescent="0.3">
      <c r="A33" s="142" t="s">
        <v>37</v>
      </c>
      <c r="B33" s="142"/>
      <c r="C33" s="142"/>
      <c r="D33" s="142"/>
      <c r="E33" s="142"/>
      <c r="F33" s="142"/>
      <c r="G33" s="142"/>
      <c r="H33" s="142"/>
    </row>
    <row r="34" spans="1:15" ht="43.5" customHeight="1" x14ac:dyDescent="0.3">
      <c r="A34" s="99" t="s">
        <v>18</v>
      </c>
      <c r="B34" s="99"/>
      <c r="C34" s="100" t="s">
        <v>97</v>
      </c>
      <c r="D34" s="100"/>
      <c r="E34" s="99" t="s">
        <v>19</v>
      </c>
      <c r="F34" s="99" t="s">
        <v>4</v>
      </c>
      <c r="G34" s="100" t="s">
        <v>98</v>
      </c>
      <c r="H34" s="100"/>
    </row>
    <row r="35" spans="1:15" ht="43.5" customHeight="1" x14ac:dyDescent="0.3">
      <c r="A35" s="99" t="s">
        <v>22</v>
      </c>
      <c r="B35" s="99"/>
      <c r="C35" s="100" t="s">
        <v>98</v>
      </c>
      <c r="D35" s="100"/>
      <c r="E35" s="99" t="s">
        <v>32</v>
      </c>
      <c r="F35" s="99" t="s">
        <v>4</v>
      </c>
      <c r="G35" s="100" t="s">
        <v>98</v>
      </c>
      <c r="H35" s="100"/>
    </row>
    <row r="36" spans="1:15" ht="21" x14ac:dyDescent="0.3">
      <c r="A36" s="99" t="s">
        <v>31</v>
      </c>
      <c r="B36" s="99"/>
      <c r="C36" s="100" t="s">
        <v>99</v>
      </c>
      <c r="D36" s="100"/>
      <c r="E36" s="99" t="s">
        <v>21</v>
      </c>
      <c r="F36" s="99" t="s">
        <v>4</v>
      </c>
      <c r="G36" s="100" t="s">
        <v>100</v>
      </c>
      <c r="H36" s="100"/>
    </row>
    <row r="37" spans="1:15" ht="21" x14ac:dyDescent="0.3">
      <c r="A37" s="115" t="s">
        <v>0</v>
      </c>
      <c r="B37" s="115"/>
      <c r="C37" s="115"/>
      <c r="D37" s="115"/>
      <c r="E37" s="115"/>
      <c r="F37" s="115"/>
      <c r="G37" s="115"/>
      <c r="H37" s="115"/>
    </row>
    <row r="38" spans="1:15" ht="21" x14ac:dyDescent="0.3">
      <c r="A38" s="107" t="s">
        <v>0</v>
      </c>
      <c r="B38" s="107"/>
      <c r="C38" s="107" t="s">
        <v>224</v>
      </c>
      <c r="D38" s="107"/>
      <c r="E38" s="107"/>
      <c r="F38" s="107" t="s">
        <v>7</v>
      </c>
      <c r="G38" s="107"/>
      <c r="H38" s="107"/>
      <c r="J38" s="105" t="s">
        <v>1</v>
      </c>
      <c r="K38" s="106"/>
      <c r="L38" s="2" t="s">
        <v>6</v>
      </c>
      <c r="M38" s="105" t="s">
        <v>2</v>
      </c>
      <c r="N38" s="106"/>
      <c r="O38" s="2" t="s">
        <v>3</v>
      </c>
    </row>
    <row r="39" spans="1:15" ht="21" x14ac:dyDescent="0.3">
      <c r="A39" s="109" t="s">
        <v>2</v>
      </c>
      <c r="B39" s="109"/>
      <c r="C39" s="108" t="s">
        <v>339</v>
      </c>
      <c r="D39" s="108"/>
      <c r="E39" s="108"/>
      <c r="F39" s="108" t="s">
        <v>295</v>
      </c>
      <c r="G39" s="108"/>
      <c r="H39" s="108"/>
    </row>
    <row r="40" spans="1:15" ht="20.25" customHeight="1" x14ac:dyDescent="0.3">
      <c r="A40" s="109" t="s">
        <v>3</v>
      </c>
      <c r="B40" s="109"/>
      <c r="C40" s="108" t="s">
        <v>340</v>
      </c>
      <c r="D40" s="108"/>
      <c r="E40" s="108"/>
      <c r="F40" s="108" t="s">
        <v>341</v>
      </c>
      <c r="G40" s="108"/>
      <c r="H40" s="108"/>
    </row>
    <row r="41" spans="1:15" ht="21" x14ac:dyDescent="0.3">
      <c r="A41" s="109" t="s">
        <v>1</v>
      </c>
      <c r="B41" s="109"/>
      <c r="C41" s="108" t="s">
        <v>305</v>
      </c>
      <c r="D41" s="108"/>
      <c r="E41" s="108"/>
      <c r="F41" s="108" t="s">
        <v>342</v>
      </c>
      <c r="G41" s="108"/>
      <c r="H41" s="108"/>
    </row>
    <row r="42" spans="1:15" ht="21" x14ac:dyDescent="0.3">
      <c r="A42" s="109" t="s">
        <v>6</v>
      </c>
      <c r="B42" s="109"/>
      <c r="C42" s="108" t="s">
        <v>305</v>
      </c>
      <c r="D42" s="108"/>
      <c r="E42" s="108"/>
      <c r="F42" s="108" t="s">
        <v>306</v>
      </c>
      <c r="G42" s="108"/>
      <c r="H42" s="108"/>
    </row>
    <row r="43" spans="1:15" ht="45.75" customHeight="1" x14ac:dyDescent="0.3">
      <c r="A43" s="99" t="s">
        <v>225</v>
      </c>
      <c r="B43" s="99"/>
      <c r="C43" s="100" t="s">
        <v>96</v>
      </c>
      <c r="D43" s="100"/>
      <c r="E43" s="100"/>
      <c r="F43" s="100"/>
      <c r="G43" s="100"/>
      <c r="H43" s="100"/>
    </row>
    <row r="44" spans="1:15" ht="21" x14ac:dyDescent="0.3">
      <c r="A44" s="115" t="s">
        <v>57</v>
      </c>
      <c r="B44" s="115"/>
      <c r="C44" s="115"/>
      <c r="D44" s="115"/>
      <c r="E44" s="115"/>
      <c r="F44" s="115"/>
      <c r="G44" s="115"/>
      <c r="H44" s="115"/>
    </row>
    <row r="45" spans="1:15" ht="21" customHeight="1" x14ac:dyDescent="0.3">
      <c r="A45" s="107" t="s">
        <v>58</v>
      </c>
      <c r="B45" s="107"/>
      <c r="C45" s="2" t="s">
        <v>59</v>
      </c>
      <c r="D45" s="107" t="s">
        <v>145</v>
      </c>
      <c r="E45" s="107"/>
      <c r="F45" s="107"/>
      <c r="G45" s="107" t="s">
        <v>60</v>
      </c>
      <c r="H45" s="107"/>
    </row>
    <row r="46" spans="1:15" ht="21" x14ac:dyDescent="0.3">
      <c r="A46" s="146" t="s">
        <v>328</v>
      </c>
      <c r="B46" s="146"/>
      <c r="C46" s="33" t="s">
        <v>95</v>
      </c>
      <c r="D46" s="100" t="s">
        <v>308</v>
      </c>
      <c r="E46" s="100"/>
      <c r="F46" s="100"/>
      <c r="G46" s="100" t="s">
        <v>308</v>
      </c>
      <c r="H46" s="100"/>
    </row>
    <row r="47" spans="1:15" ht="21" x14ac:dyDescent="0.3">
      <c r="A47" s="115" t="s">
        <v>61</v>
      </c>
      <c r="B47" s="115"/>
      <c r="C47" s="115"/>
      <c r="D47" s="115"/>
      <c r="E47" s="115"/>
      <c r="F47" s="115"/>
      <c r="G47" s="115"/>
      <c r="H47" s="115"/>
    </row>
    <row r="48" spans="1:15" ht="42.75" customHeight="1" x14ac:dyDescent="0.3">
      <c r="A48" s="99" t="s">
        <v>62</v>
      </c>
      <c r="B48" s="99" t="s">
        <v>4</v>
      </c>
      <c r="C48" s="100" t="s">
        <v>96</v>
      </c>
      <c r="D48" s="100"/>
      <c r="E48" s="100"/>
      <c r="F48" s="100"/>
      <c r="G48" s="100"/>
      <c r="H48" s="100"/>
    </row>
    <row r="49" spans="1:14" ht="38.4" customHeight="1" x14ac:dyDescent="0.3">
      <c r="A49" s="99" t="s">
        <v>63</v>
      </c>
      <c r="B49" s="99" t="s">
        <v>4</v>
      </c>
      <c r="C49" s="100" t="s">
        <v>343</v>
      </c>
      <c r="D49" s="100"/>
      <c r="E49" s="100"/>
      <c r="F49" s="100"/>
      <c r="G49" s="50" t="s">
        <v>226</v>
      </c>
      <c r="H49" s="72">
        <v>45576</v>
      </c>
    </row>
    <row r="50" spans="1:14" ht="38.4" customHeight="1" x14ac:dyDescent="0.3">
      <c r="A50" s="99" t="s">
        <v>64</v>
      </c>
      <c r="B50" s="99" t="s">
        <v>4</v>
      </c>
      <c r="C50" s="100" t="s">
        <v>343</v>
      </c>
      <c r="D50" s="100"/>
      <c r="E50" s="100"/>
      <c r="F50" s="100"/>
      <c r="G50" s="50" t="s">
        <v>226</v>
      </c>
      <c r="H50" s="72">
        <v>45576</v>
      </c>
    </row>
    <row r="51" spans="1:14" ht="45.6" customHeight="1" x14ac:dyDescent="0.3">
      <c r="A51" s="99" t="s">
        <v>357</v>
      </c>
      <c r="B51" s="99"/>
      <c r="C51" s="100" t="s">
        <v>344</v>
      </c>
      <c r="D51" s="100"/>
      <c r="E51" s="100"/>
      <c r="F51" s="100"/>
      <c r="G51" s="50" t="s">
        <v>226</v>
      </c>
      <c r="H51" s="72">
        <v>45576</v>
      </c>
    </row>
    <row r="52" spans="1:14" ht="34.200000000000003" customHeight="1" x14ac:dyDescent="0.3">
      <c r="A52" s="99"/>
      <c r="B52" s="99"/>
      <c r="C52" s="101" t="s">
        <v>345</v>
      </c>
      <c r="D52" s="102"/>
      <c r="E52" s="102"/>
      <c r="F52" s="102"/>
      <c r="G52" s="102"/>
      <c r="H52" s="103"/>
    </row>
    <row r="53" spans="1:14" ht="46.5" hidden="1" customHeight="1" x14ac:dyDescent="0.3">
      <c r="A53" s="99" t="s">
        <v>65</v>
      </c>
      <c r="B53" s="99" t="s">
        <v>4</v>
      </c>
      <c r="C53" s="100"/>
      <c r="D53" s="100"/>
      <c r="E53" s="100"/>
      <c r="F53" s="100"/>
      <c r="G53" s="50" t="s">
        <v>227</v>
      </c>
      <c r="H53" s="35"/>
    </row>
    <row r="54" spans="1:14" ht="45" hidden="1" customHeight="1" x14ac:dyDescent="0.3">
      <c r="A54" s="99" t="s">
        <v>67</v>
      </c>
      <c r="B54" s="99" t="s">
        <v>4</v>
      </c>
      <c r="C54" s="100"/>
      <c r="D54" s="100"/>
      <c r="E54" s="100"/>
      <c r="F54" s="100"/>
      <c r="G54" s="50" t="s">
        <v>227</v>
      </c>
      <c r="H54" s="35"/>
    </row>
    <row r="55" spans="1:14" ht="46.5" hidden="1" customHeight="1" x14ac:dyDescent="0.3">
      <c r="A55" s="99" t="s">
        <v>66</v>
      </c>
      <c r="B55" s="99" t="s">
        <v>4</v>
      </c>
      <c r="C55" s="100"/>
      <c r="D55" s="100"/>
      <c r="E55" s="100"/>
      <c r="F55" s="100"/>
      <c r="G55" s="50" t="s">
        <v>227</v>
      </c>
      <c r="H55" s="35"/>
      <c r="N55" s="71" t="s">
        <v>294</v>
      </c>
    </row>
    <row r="56" spans="1:14" ht="45" hidden="1" customHeight="1" x14ac:dyDescent="0.3">
      <c r="A56" s="99" t="s">
        <v>68</v>
      </c>
      <c r="B56" s="99" t="s">
        <v>4</v>
      </c>
      <c r="C56" s="100"/>
      <c r="D56" s="100"/>
      <c r="E56" s="100"/>
      <c r="F56" s="100"/>
      <c r="G56" s="50" t="s">
        <v>227</v>
      </c>
      <c r="H56" s="35"/>
    </row>
    <row r="57" spans="1:14" ht="21.6" thickBot="1" x14ac:dyDescent="0.35">
      <c r="A57" s="115" t="s">
        <v>69</v>
      </c>
      <c r="B57" s="115"/>
      <c r="C57" s="115"/>
      <c r="D57" s="115"/>
      <c r="E57" s="115"/>
      <c r="F57" s="115"/>
      <c r="G57" s="115"/>
      <c r="H57" s="115"/>
    </row>
    <row r="58" spans="1:14" ht="20.25" customHeight="1" x14ac:dyDescent="0.4">
      <c r="A58" s="150" t="str">
        <f>CONCATENATE((IF(OR(A46="",A46="NA"),"",A46)),"= ",(IF(OR(D46="",D46="NA"),"",D46)),".")</f>
        <v>Building No.1= G + 1st to 22nd Floor.</v>
      </c>
      <c r="B58" s="150"/>
      <c r="C58" s="150"/>
      <c r="D58" s="30" t="s">
        <v>115</v>
      </c>
      <c r="E58" s="149" t="s">
        <v>102</v>
      </c>
      <c r="F58" s="149"/>
      <c r="G58" s="30" t="s">
        <v>116</v>
      </c>
      <c r="H58" s="30" t="s">
        <v>117</v>
      </c>
      <c r="I58" s="16"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","0")))&amp;(IF(C62=0%,"",IF(C62=J63,"Footing work is process",IF(C62=J64,"Footing work Completed",IF(C62=J65,"1st Basement Completed",IF(C62=J66,"1st &amp; 2nd Basement Completed",IF(C62=J67,"1st to 3rd Basement Completed",IF(C62=J68,"1st to 4th Basement Completed",IF(C62=J69,"Plinth work is process",IF(C62=J70,"Plinth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Plinth work completed, RCC upto 6 Slab, Brickwork upto 5 Floor, Internal Plaster upto 4 Floor, External Plaster upto 4 Floor Completed</v>
      </c>
      <c r="J58" s="18"/>
    </row>
    <row r="59" spans="1:14" ht="21" x14ac:dyDescent="0.4">
      <c r="A59" s="150"/>
      <c r="B59" s="150"/>
      <c r="C59" s="150"/>
      <c r="D59" s="30">
        <f>IF(AND(ISNUMBER(SEARCH("1B",A58))),1,IF(AND(ISNUMBER(SEARCH("2B",A58))),2,IF(AND(ISNUMBER(SEARCH("3B",A58))),3,IF(AND(ISNUMBER(SEARCH("4B",A58))),4,IF(ISNUMBER(SEARCH("5B",A58)),5,0)))))</f>
        <v>0</v>
      </c>
      <c r="E59" s="149">
        <v>1</v>
      </c>
      <c r="F59" s="149"/>
      <c r="G59" s="30">
        <v>0</v>
      </c>
      <c r="H59" s="30">
        <f ca="1">--TRIM(RIGHT(SUBSTITUTE(LEFT(A58,_xlfn.AGGREGATE(16,6,FIND({0,1,2,3,4,5,6,7,8,9},A58,ROW(INDIRECT("1:"&amp;LEN(A58)))),1))," ",REPT(" ",LEN(A58))),LEN(A58)))</f>
        <v>22</v>
      </c>
      <c r="I59" s="17" t="s">
        <v>121</v>
      </c>
      <c r="J59" s="18"/>
    </row>
    <row r="60" spans="1:14" ht="20.25" customHeight="1" x14ac:dyDescent="0.4">
      <c r="A60" s="143" t="s">
        <v>119</v>
      </c>
      <c r="B60" s="143"/>
      <c r="C60" s="28" t="s">
        <v>129</v>
      </c>
      <c r="D60" s="28" t="s">
        <v>130</v>
      </c>
      <c r="E60" s="143" t="s">
        <v>120</v>
      </c>
      <c r="F60" s="143"/>
      <c r="G60" s="29" t="s">
        <v>118</v>
      </c>
      <c r="H60" s="29"/>
      <c r="I60" s="20" t="s">
        <v>131</v>
      </c>
      <c r="J60" s="19">
        <f ca="1">H59*25%</f>
        <v>5.5</v>
      </c>
    </row>
    <row r="61" spans="1:14" ht="20.25" customHeight="1" x14ac:dyDescent="0.4">
      <c r="A61" s="104" t="s">
        <v>132</v>
      </c>
      <c r="B61" s="104"/>
      <c r="C61" s="74">
        <f ca="1">J62</f>
        <v>22</v>
      </c>
      <c r="D61" s="5">
        <f ca="1">((100/H59)*C61)/100</f>
        <v>1.0000000000000002</v>
      </c>
      <c r="E61" s="151">
        <f ca="1">(((C61/H59*10)+(C62/H59*15)+(25/(E59+G59+H59)*C63)+(5/(H59)*C64)+(2.5/(H59)*C65)+(2.5/(H59)*C66)+(5/H59*C67)+(10/H59*C68)+(2.5/H59*C69)+(2.5/H59*C70)+(10/H59*C71)+(10/H59*C72))/100)</f>
        <v>0.33567193675889323</v>
      </c>
      <c r="F61" s="152"/>
      <c r="G61" s="104" t="str">
        <f ca="1">I58</f>
        <v>Excavation work Completed. Plinth work completed, RCC upto 6 Slab, Brickwork upto 5 Floor, Internal Plaster upto 4 Floor, External Plaster upto 4 Floor Completed</v>
      </c>
      <c r="H61" s="104"/>
      <c r="I61" s="20" t="s">
        <v>122</v>
      </c>
      <c r="J61" s="24">
        <f ca="1">H59*50%</f>
        <v>11</v>
      </c>
    </row>
    <row r="62" spans="1:14" ht="21" x14ac:dyDescent="0.4">
      <c r="A62" s="104" t="s">
        <v>103</v>
      </c>
      <c r="B62" s="104"/>
      <c r="C62" s="74">
        <f ca="1">J70</f>
        <v>22</v>
      </c>
      <c r="D62" s="5">
        <f ca="1">((100/H59)*C62)/100</f>
        <v>1.0000000000000002</v>
      </c>
      <c r="E62" s="153"/>
      <c r="F62" s="154"/>
      <c r="G62" s="104"/>
      <c r="H62" s="104"/>
      <c r="I62" s="20" t="s">
        <v>123</v>
      </c>
      <c r="J62" s="24">
        <f ca="1">H59</f>
        <v>22</v>
      </c>
    </row>
    <row r="63" spans="1:14" ht="21" customHeight="1" x14ac:dyDescent="0.4">
      <c r="A63" s="104" t="s">
        <v>133</v>
      </c>
      <c r="B63" s="104"/>
      <c r="C63" s="30">
        <v>6</v>
      </c>
      <c r="D63" s="5">
        <f ca="1">((100/(E59+G59+H59))*C63)/100</f>
        <v>0.2608695652173913</v>
      </c>
      <c r="E63" s="153"/>
      <c r="F63" s="154"/>
      <c r="G63" s="104"/>
      <c r="H63" s="104"/>
      <c r="I63" s="20" t="s">
        <v>124</v>
      </c>
      <c r="J63" s="25">
        <f ca="1">(IF(D59&gt;1,(H59/(D59+2)),H59*0.2))</f>
        <v>4.4000000000000004</v>
      </c>
    </row>
    <row r="64" spans="1:14" ht="21" customHeight="1" x14ac:dyDescent="0.4">
      <c r="A64" s="104" t="s">
        <v>134</v>
      </c>
      <c r="B64" s="104"/>
      <c r="C64" s="30">
        <f>C63-1</f>
        <v>5</v>
      </c>
      <c r="D64" s="5">
        <f ca="1">((100/H59)*C64)/100</f>
        <v>0.22727272727272729</v>
      </c>
      <c r="E64" s="153"/>
      <c r="F64" s="154"/>
      <c r="G64" s="104"/>
      <c r="H64" s="104"/>
      <c r="I64" s="20" t="s">
        <v>125</v>
      </c>
      <c r="J64" s="25">
        <f ca="1">(IF(D59&gt;1,(H59/(D59+2)+J63),H59*0.2+J63))</f>
        <v>8.8000000000000007</v>
      </c>
    </row>
    <row r="65" spans="1:11" ht="21" customHeight="1" x14ac:dyDescent="0.4">
      <c r="A65" s="147" t="s">
        <v>135</v>
      </c>
      <c r="B65" s="148"/>
      <c r="C65" s="30">
        <f>C64-1</f>
        <v>4</v>
      </c>
      <c r="D65" s="5">
        <f ca="1">((100/H59)*C65)/100</f>
        <v>0.18181818181818182</v>
      </c>
      <c r="E65" s="153"/>
      <c r="F65" s="154"/>
      <c r="G65" s="104"/>
      <c r="H65" s="104"/>
      <c r="I65" s="20" t="s">
        <v>136</v>
      </c>
      <c r="J65" s="25">
        <f>(IF(D59&gt;1,(H59/(D59+2)+J64),0))</f>
        <v>0</v>
      </c>
    </row>
    <row r="66" spans="1:11" ht="21" customHeight="1" x14ac:dyDescent="0.4">
      <c r="A66" s="147" t="s">
        <v>165</v>
      </c>
      <c r="B66" s="148"/>
      <c r="C66" s="30">
        <f>C65</f>
        <v>4</v>
      </c>
      <c r="D66" s="5">
        <f ca="1">((100/H59)*C66)/100</f>
        <v>0.18181818181818182</v>
      </c>
      <c r="E66" s="153"/>
      <c r="F66" s="154"/>
      <c r="G66" s="104"/>
      <c r="H66" s="104"/>
      <c r="I66" s="20" t="s">
        <v>137</v>
      </c>
      <c r="J66" s="25">
        <f>(IF(D59&gt;2,(H59/(D59+2)+J65),0))</f>
        <v>0</v>
      </c>
    </row>
    <row r="67" spans="1:11" ht="65.25" customHeight="1" x14ac:dyDescent="0.4">
      <c r="A67" s="147" t="s">
        <v>162</v>
      </c>
      <c r="B67" s="148"/>
      <c r="C67" s="30">
        <v>0</v>
      </c>
      <c r="D67" s="5">
        <f ca="1">((100/(H59))*C67)/100</f>
        <v>0</v>
      </c>
      <c r="E67" s="153"/>
      <c r="F67" s="154"/>
      <c r="G67" s="104"/>
      <c r="H67" s="104"/>
      <c r="I67" s="20" t="s">
        <v>139</v>
      </c>
      <c r="J67" s="26">
        <f>(IF(D59&gt;3,(H59/(D59+2)+J66),0))</f>
        <v>0</v>
      </c>
    </row>
    <row r="68" spans="1:11" ht="21" x14ac:dyDescent="0.4">
      <c r="A68" s="104" t="s">
        <v>138</v>
      </c>
      <c r="B68" s="104"/>
      <c r="C68" s="30">
        <v>0</v>
      </c>
      <c r="D68" s="5">
        <f ca="1">((100/(H59))*C68)/100</f>
        <v>0</v>
      </c>
      <c r="E68" s="153"/>
      <c r="F68" s="154"/>
      <c r="G68" s="104"/>
      <c r="H68" s="104"/>
      <c r="I68" s="20" t="s">
        <v>140</v>
      </c>
      <c r="J68" s="25">
        <f>(IF(D59&gt;4,(H59/(D59+2)+J67),0))</f>
        <v>0</v>
      </c>
    </row>
    <row r="69" spans="1:11" ht="21" customHeight="1" x14ac:dyDescent="0.4">
      <c r="A69" s="104" t="s">
        <v>164</v>
      </c>
      <c r="B69" s="104"/>
      <c r="C69" s="30">
        <v>0</v>
      </c>
      <c r="D69" s="5">
        <f ca="1">((100/H59)*C69)/100</f>
        <v>0</v>
      </c>
      <c r="E69" s="153"/>
      <c r="F69" s="154"/>
      <c r="G69" s="104"/>
      <c r="H69" s="104"/>
      <c r="I69" s="20" t="s">
        <v>126</v>
      </c>
      <c r="J69" s="25">
        <f ca="1">(IF(D59=1,(H59/(D59+3)+J64),IF(D59=0,(H59*0.3+J64),IF(D59&gt;1,0))))</f>
        <v>15.4</v>
      </c>
    </row>
    <row r="70" spans="1:11" ht="21.6" thickBot="1" x14ac:dyDescent="0.45">
      <c r="A70" s="104" t="s">
        <v>163</v>
      </c>
      <c r="B70" s="104"/>
      <c r="C70" s="30">
        <v>0</v>
      </c>
      <c r="D70" s="5">
        <f ca="1">((100/H59)*C70)/100</f>
        <v>0</v>
      </c>
      <c r="E70" s="153"/>
      <c r="F70" s="154"/>
      <c r="G70" s="104"/>
      <c r="H70" s="104"/>
      <c r="I70" s="22" t="s">
        <v>127</v>
      </c>
      <c r="J70" s="27">
        <f ca="1">(IF(D59&gt;1.5,(H59/(D59+2)+J64+MAX(0,J65-J64)+MAX(0,J66-J65)+MAX(0,J67-J66)+MAX(0,J68-J67)+MAX(0,J69-J68)),IF(D59=1,(H59/(D59+3)+J69),IF(D59=0,H59*0.3+J69))))</f>
        <v>22</v>
      </c>
    </row>
    <row r="71" spans="1:11" ht="21" x14ac:dyDescent="0.3">
      <c r="A71" s="104" t="s">
        <v>141</v>
      </c>
      <c r="B71" s="104"/>
      <c r="C71" s="30">
        <v>0</v>
      </c>
      <c r="D71" s="5">
        <f ca="1">((100/(H59))*C71)/100</f>
        <v>0</v>
      </c>
      <c r="E71" s="153"/>
      <c r="F71" s="154"/>
      <c r="G71" s="104"/>
      <c r="H71" s="104"/>
    </row>
    <row r="72" spans="1:11" ht="21" x14ac:dyDescent="0.3">
      <c r="A72" s="104" t="s">
        <v>142</v>
      </c>
      <c r="B72" s="104"/>
      <c r="C72" s="30">
        <v>0</v>
      </c>
      <c r="D72" s="5">
        <f ca="1">((100/(H59))*C72)/100</f>
        <v>0</v>
      </c>
      <c r="E72" s="155"/>
      <c r="F72" s="156"/>
      <c r="G72" s="104"/>
      <c r="H72" s="104"/>
    </row>
    <row r="73" spans="1:11" ht="25.8" customHeight="1" x14ac:dyDescent="0.4">
      <c r="A73" s="157" t="s">
        <v>128</v>
      </c>
      <c r="B73" s="158"/>
      <c r="C73" s="158"/>
      <c r="D73" s="158"/>
      <c r="E73" s="158"/>
      <c r="F73" s="158"/>
      <c r="G73" s="161">
        <f ca="1">AVERAGE(E61)</f>
        <v>0.33567193675889323</v>
      </c>
      <c r="H73" s="162"/>
      <c r="I73" s="20"/>
      <c r="J73" s="21"/>
      <c r="K73" s="21"/>
    </row>
    <row r="74" spans="1:11" ht="21" x14ac:dyDescent="0.3">
      <c r="A74" s="116" t="s">
        <v>73</v>
      </c>
      <c r="B74" s="117"/>
      <c r="C74" s="117"/>
      <c r="D74" s="117"/>
      <c r="E74" s="117"/>
      <c r="F74" s="117"/>
      <c r="G74" s="117"/>
      <c r="H74" s="118"/>
    </row>
    <row r="75" spans="1:11" ht="42" customHeight="1" x14ac:dyDescent="0.3">
      <c r="A75" s="96" t="s">
        <v>74</v>
      </c>
      <c r="B75" s="97"/>
      <c r="C75" s="120" t="s">
        <v>107</v>
      </c>
      <c r="D75" s="121"/>
      <c r="E75" s="96" t="s">
        <v>143</v>
      </c>
      <c r="F75" s="97" t="s">
        <v>4</v>
      </c>
      <c r="G75" s="119" t="s">
        <v>156</v>
      </c>
      <c r="H75" s="119"/>
    </row>
    <row r="76" spans="1:11" ht="44.25" customHeight="1" x14ac:dyDescent="0.3">
      <c r="A76" s="96" t="s">
        <v>153</v>
      </c>
      <c r="B76" s="97"/>
      <c r="C76" s="120" t="s">
        <v>332</v>
      </c>
      <c r="D76" s="121"/>
      <c r="E76" s="96" t="s">
        <v>154</v>
      </c>
      <c r="F76" s="97" t="s">
        <v>4</v>
      </c>
      <c r="G76" s="100" t="s">
        <v>144</v>
      </c>
      <c r="H76" s="100"/>
    </row>
    <row r="77" spans="1:11" ht="21" x14ac:dyDescent="0.3">
      <c r="A77" s="96" t="s">
        <v>75</v>
      </c>
      <c r="B77" s="97"/>
      <c r="C77" s="101">
        <v>300000</v>
      </c>
      <c r="D77" s="103"/>
      <c r="E77" s="96" t="s">
        <v>101</v>
      </c>
      <c r="F77" s="97" t="s">
        <v>4</v>
      </c>
      <c r="G77" s="120" t="s">
        <v>108</v>
      </c>
      <c r="H77" s="121"/>
    </row>
    <row r="78" spans="1:11" ht="21" x14ac:dyDescent="0.3">
      <c r="A78" s="116" t="s">
        <v>72</v>
      </c>
      <c r="B78" s="117"/>
      <c r="C78" s="117"/>
      <c r="D78" s="117"/>
      <c r="E78" s="117"/>
      <c r="F78" s="117"/>
      <c r="G78" s="117"/>
      <c r="H78" s="118"/>
    </row>
    <row r="79" spans="1:11" ht="20.25" customHeight="1" x14ac:dyDescent="0.3">
      <c r="A79" s="96" t="s">
        <v>8</v>
      </c>
      <c r="B79" s="98"/>
      <c r="C79" s="98"/>
      <c r="D79" s="98"/>
      <c r="E79" s="98"/>
      <c r="F79" s="97"/>
      <c r="G79" s="140">
        <f>9650/10.764</f>
        <v>896.50687476774442</v>
      </c>
      <c r="H79" s="141"/>
    </row>
    <row r="80" spans="1:11" ht="20.25" customHeight="1" x14ac:dyDescent="0.3">
      <c r="A80" s="96" t="s">
        <v>28</v>
      </c>
      <c r="B80" s="98"/>
      <c r="C80" s="98"/>
      <c r="D80" s="98"/>
      <c r="E80" s="98"/>
      <c r="F80" s="97" t="s">
        <v>4</v>
      </c>
      <c r="G80" s="140">
        <f>48200/10.764</f>
        <v>4477.8892604979565</v>
      </c>
      <c r="H80" s="141"/>
    </row>
    <row r="81" spans="1:150 16226:16383" ht="20.25" customHeight="1" x14ac:dyDescent="0.3">
      <c r="A81" s="96" t="s">
        <v>109</v>
      </c>
      <c r="B81" s="98"/>
      <c r="C81" s="98"/>
      <c r="D81" s="98"/>
      <c r="E81" s="98"/>
      <c r="F81" s="97" t="s">
        <v>4</v>
      </c>
      <c r="G81" s="123">
        <f>G79*0.8</f>
        <v>717.2054998141956</v>
      </c>
      <c r="H81" s="123"/>
    </row>
    <row r="82" spans="1:150 16226:16383" ht="21" x14ac:dyDescent="0.3">
      <c r="A82" s="85" t="s">
        <v>350</v>
      </c>
      <c r="B82" s="86"/>
      <c r="C82" s="86"/>
      <c r="D82" s="86"/>
      <c r="E82" s="86"/>
      <c r="F82" s="86"/>
      <c r="G82" s="86"/>
      <c r="H82" s="87"/>
    </row>
    <row r="83" spans="1:150 16226:16383" s="3" customFormat="1" ht="21" x14ac:dyDescent="0.3">
      <c r="A83" s="88" t="s">
        <v>150</v>
      </c>
      <c r="B83" s="89"/>
      <c r="C83" s="88" t="s">
        <v>151</v>
      </c>
      <c r="D83" s="89"/>
      <c r="E83" s="88" t="s">
        <v>149</v>
      </c>
      <c r="F83" s="89"/>
      <c r="G83" s="88" t="s">
        <v>161</v>
      </c>
      <c r="H83" s="8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50 16226:16383" s="3" customFormat="1" ht="21" x14ac:dyDescent="0.3">
      <c r="A84" s="90" t="s">
        <v>307</v>
      </c>
      <c r="B84" s="91"/>
      <c r="C84" s="90" t="s">
        <v>95</v>
      </c>
      <c r="D84" s="91"/>
      <c r="E84" s="90">
        <f>COUNT(E93:E100)</f>
        <v>8</v>
      </c>
      <c r="F84" s="91"/>
      <c r="G84" s="90">
        <f>SUM(H93:H100)</f>
        <v>1092.0077999999999</v>
      </c>
      <c r="H84" s="9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ht="21" x14ac:dyDescent="0.3">
      <c r="A85" s="85" t="s">
        <v>228</v>
      </c>
      <c r="B85" s="86"/>
      <c r="C85" s="86"/>
      <c r="D85" s="86"/>
      <c r="E85" s="86"/>
      <c r="F85" s="86"/>
      <c r="G85" s="86"/>
      <c r="H85" s="87"/>
    </row>
    <row r="86" spans="1:150 16226:16383" s="3" customFormat="1" ht="21" x14ac:dyDescent="0.3">
      <c r="A86" s="88" t="s">
        <v>150</v>
      </c>
      <c r="B86" s="89"/>
      <c r="C86" s="88" t="s">
        <v>151</v>
      </c>
      <c r="D86" s="89"/>
      <c r="E86" s="88" t="s">
        <v>149</v>
      </c>
      <c r="F86" s="89"/>
      <c r="G86" s="88" t="s">
        <v>161</v>
      </c>
      <c r="H86" s="8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s="3" customFormat="1" ht="21" x14ac:dyDescent="0.3">
      <c r="A87" s="90" t="s">
        <v>307</v>
      </c>
      <c r="B87" s="91"/>
      <c r="C87" s="88" t="s">
        <v>95</v>
      </c>
      <c r="D87" s="89"/>
      <c r="E87" s="90">
        <f>COUNT(E102:E106)*18+COUNT(E108:E109,E111:E112)*3+COUNT(E116:E118)</f>
        <v>105</v>
      </c>
      <c r="F87" s="91"/>
      <c r="G87" s="90">
        <f>SUM(H102:H106)*18+SUM(H108:H109,H111:H112)*3+SUM(H116:H118)</f>
        <v>54536.37111</v>
      </c>
      <c r="H87" s="9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1" x14ac:dyDescent="0.3">
      <c r="A88" s="88" t="s">
        <v>152</v>
      </c>
      <c r="B88" s="89"/>
      <c r="C88" s="88" t="s">
        <v>95</v>
      </c>
      <c r="D88" s="89"/>
      <c r="E88" s="88">
        <f>E87+E84</f>
        <v>113</v>
      </c>
      <c r="F88" s="89"/>
      <c r="G88" s="88">
        <f>G87+G84</f>
        <v>55628.378909999999</v>
      </c>
      <c r="H88" s="8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ht="21" x14ac:dyDescent="0.3">
      <c r="A89" s="159" t="s">
        <v>148</v>
      </c>
      <c r="B89" s="160"/>
      <c r="C89" s="160"/>
      <c r="D89" s="160"/>
      <c r="E89" s="160"/>
      <c r="F89" s="160"/>
      <c r="G89" s="160"/>
      <c r="H89" s="87"/>
    </row>
    <row r="90" spans="1:150 16226:16383" ht="66" customHeight="1" x14ac:dyDescent="0.3">
      <c r="A90" s="51" t="s">
        <v>229</v>
      </c>
      <c r="B90" s="32" t="s">
        <v>230</v>
      </c>
      <c r="C90" s="32" t="s">
        <v>231</v>
      </c>
      <c r="D90" s="32" t="s">
        <v>89</v>
      </c>
      <c r="E90" s="31" t="s">
        <v>329</v>
      </c>
      <c r="F90" s="32" t="s">
        <v>330</v>
      </c>
      <c r="G90" s="31" t="s">
        <v>91</v>
      </c>
      <c r="H90" s="31" t="s">
        <v>90</v>
      </c>
    </row>
    <row r="91" spans="1:150 16226:16383" s="3" customFormat="1" ht="21" x14ac:dyDescent="0.3">
      <c r="A91" s="163" t="s">
        <v>307</v>
      </c>
      <c r="B91" s="164"/>
      <c r="C91" s="164"/>
      <c r="D91" s="164"/>
      <c r="E91" s="164"/>
      <c r="F91" s="164"/>
      <c r="G91" s="164"/>
      <c r="H91" s="16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1" customHeight="1" x14ac:dyDescent="0.3">
      <c r="A92" s="92" t="s">
        <v>353</v>
      </c>
      <c r="B92" s="93"/>
      <c r="C92" s="93"/>
      <c r="D92" s="93"/>
      <c r="E92" s="93"/>
      <c r="F92" s="93"/>
      <c r="G92" s="93"/>
      <c r="H92" s="94"/>
      <c r="I92" s="1"/>
      <c r="J92" s="1"/>
      <c r="K92" s="7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1" x14ac:dyDescent="0.3">
      <c r="A93" s="95">
        <v>1</v>
      </c>
      <c r="B93" s="95"/>
      <c r="C93" s="52" t="s">
        <v>95</v>
      </c>
      <c r="D93" s="6" t="s">
        <v>347</v>
      </c>
      <c r="E93" s="6">
        <f>(11.62)*(10.764)</f>
        <v>125.07767999999999</v>
      </c>
      <c r="F93" s="6">
        <v>0</v>
      </c>
      <c r="G93" s="6">
        <v>0</v>
      </c>
      <c r="H93" s="6">
        <f>E93+F93+(IF(G93&lt;101,G93,IF(G93&lt;201,G93/2,IF(G93&lt;=301,G93/3,G93/4))))</f>
        <v>125.07767999999999</v>
      </c>
      <c r="I93" s="75"/>
      <c r="J93" s="6">
        <f>10.764</f>
        <v>10.763999999999999</v>
      </c>
      <c r="K93" s="77"/>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3" customFormat="1" ht="21" x14ac:dyDescent="0.3">
      <c r="A94" s="79">
        <f>A93+1</f>
        <v>2</v>
      </c>
      <c r="B94" s="81"/>
      <c r="C94" s="52" t="s">
        <v>310</v>
      </c>
      <c r="D94" s="6" t="s">
        <v>347</v>
      </c>
      <c r="E94" s="6">
        <f>(17.48)*(10.764)</f>
        <v>188.15472</v>
      </c>
      <c r="F94" s="6">
        <v>0</v>
      </c>
      <c r="G94" s="6">
        <v>0</v>
      </c>
      <c r="H94" s="6">
        <f t="shared" ref="H94:H100" si="0">E94+F94+(IF(G94&lt;101,G94,IF(G94&lt;201,G94/2,IF(G94&lt;=301,G94/3,G94/4))))</f>
        <v>188.15472</v>
      </c>
      <c r="I94" s="75"/>
      <c r="J94" s="1"/>
      <c r="K94" s="77"/>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1" x14ac:dyDescent="0.3">
      <c r="A95" s="79">
        <f t="shared" ref="A95:A100" si="1">A94+1</f>
        <v>3</v>
      </c>
      <c r="B95" s="81"/>
      <c r="C95" s="52" t="s">
        <v>310</v>
      </c>
      <c r="D95" s="6" t="s">
        <v>347</v>
      </c>
      <c r="E95" s="6">
        <f>(10.15)*(10.764)</f>
        <v>109.2546</v>
      </c>
      <c r="F95" s="6">
        <v>0</v>
      </c>
      <c r="G95" s="6">
        <v>0</v>
      </c>
      <c r="H95" s="6">
        <f t="shared" si="0"/>
        <v>109.2546</v>
      </c>
      <c r="I95" s="1"/>
      <c r="J95" s="1"/>
      <c r="K95" s="77"/>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customHeight="1" x14ac:dyDescent="0.3">
      <c r="A96" s="79">
        <f t="shared" si="1"/>
        <v>4</v>
      </c>
      <c r="B96" s="81"/>
      <c r="C96" s="52" t="s">
        <v>310</v>
      </c>
      <c r="D96" s="6" t="s">
        <v>347</v>
      </c>
      <c r="E96" s="6">
        <f>(15.8)*(10.764)</f>
        <v>170.0712</v>
      </c>
      <c r="F96" s="6">
        <v>0</v>
      </c>
      <c r="G96" s="6">
        <v>0</v>
      </c>
      <c r="H96" s="6">
        <f t="shared" si="0"/>
        <v>170.0712</v>
      </c>
      <c r="I96" s="1"/>
      <c r="J96" s="1"/>
      <c r="K96" s="77"/>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customHeight="1" x14ac:dyDescent="0.3">
      <c r="A97" s="79">
        <f t="shared" si="1"/>
        <v>5</v>
      </c>
      <c r="B97" s="81"/>
      <c r="C97" s="52" t="s">
        <v>310</v>
      </c>
      <c r="D97" s="6" t="s">
        <v>347</v>
      </c>
      <c r="E97" s="6">
        <f>(20.26)*(10.764)</f>
        <v>218.07864000000001</v>
      </c>
      <c r="F97" s="6">
        <v>0</v>
      </c>
      <c r="G97" s="6">
        <v>0</v>
      </c>
      <c r="H97" s="6">
        <f t="shared" si="0"/>
        <v>218.07864000000001</v>
      </c>
      <c r="I97" s="1"/>
      <c r="J97" s="1"/>
      <c r="K97" s="77"/>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customHeight="1" x14ac:dyDescent="0.3">
      <c r="A98" s="79">
        <f t="shared" si="1"/>
        <v>6</v>
      </c>
      <c r="B98" s="81"/>
      <c r="C98" s="52" t="s">
        <v>310</v>
      </c>
      <c r="D98" s="6" t="s">
        <v>347</v>
      </c>
      <c r="E98" s="6">
        <f>(10.87)*(10.764)</f>
        <v>117.00467999999998</v>
      </c>
      <c r="F98" s="6">
        <v>0</v>
      </c>
      <c r="G98" s="6">
        <v>0</v>
      </c>
      <c r="H98" s="6">
        <f t="shared" si="0"/>
        <v>117.00467999999998</v>
      </c>
      <c r="I98" s="75"/>
      <c r="J98" s="1"/>
      <c r="K98" s="77"/>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customHeight="1" x14ac:dyDescent="0.3">
      <c r="A99" s="79">
        <f t="shared" si="1"/>
        <v>7</v>
      </c>
      <c r="B99" s="81"/>
      <c r="C99" s="52" t="s">
        <v>310</v>
      </c>
      <c r="D99" s="6" t="s">
        <v>347</v>
      </c>
      <c r="E99" s="6">
        <f>(8.8)*(10.764)</f>
        <v>94.723200000000006</v>
      </c>
      <c r="F99" s="6">
        <v>0</v>
      </c>
      <c r="G99" s="6">
        <v>0</v>
      </c>
      <c r="H99" s="6">
        <f t="shared" si="0"/>
        <v>94.723200000000006</v>
      </c>
      <c r="I99" s="1"/>
      <c r="J99" s="1"/>
      <c r="K99" s="77"/>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3">
      <c r="A100" s="79">
        <f t="shared" si="1"/>
        <v>8</v>
      </c>
      <c r="B100" s="81"/>
      <c r="C100" s="52" t="s">
        <v>310</v>
      </c>
      <c r="D100" s="6" t="s">
        <v>347</v>
      </c>
      <c r="E100" s="6">
        <f>(6.47)*(10.764)</f>
        <v>69.643079999999998</v>
      </c>
      <c r="F100" s="6">
        <v>0</v>
      </c>
      <c r="G100" s="6">
        <v>0</v>
      </c>
      <c r="H100" s="6">
        <f t="shared" si="0"/>
        <v>69.643079999999998</v>
      </c>
      <c r="I100" s="1"/>
      <c r="J100" s="1"/>
      <c r="K100" s="7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1" x14ac:dyDescent="0.3">
      <c r="A101" s="92" t="s">
        <v>309</v>
      </c>
      <c r="B101" s="93"/>
      <c r="C101" s="93"/>
      <c r="D101" s="93"/>
      <c r="E101" s="93"/>
      <c r="F101" s="93"/>
      <c r="G101" s="93"/>
      <c r="H101" s="94"/>
      <c r="I101" s="1">
        <f>6+4+4+4</f>
        <v>18</v>
      </c>
      <c r="J101" s="1"/>
      <c r="K101" s="78">
        <v>8500</v>
      </c>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1" x14ac:dyDescent="0.3">
      <c r="A102" s="95">
        <v>1</v>
      </c>
      <c r="B102" s="95"/>
      <c r="C102" s="52" t="s">
        <v>95</v>
      </c>
      <c r="D102" s="6" t="s">
        <v>311</v>
      </c>
      <c r="E102" s="6">
        <f>(29.88+6.03)*(10.764)</f>
        <v>386.53523999999993</v>
      </c>
      <c r="F102" s="6">
        <f>(0.9*(2.1+2.75+2.85))*(10.764)</f>
        <v>74.594519999999989</v>
      </c>
      <c r="G102" s="6">
        <v>0</v>
      </c>
      <c r="H102" s="6">
        <f>E102+F102+(IF(G102&lt;101,G102,IF(G102&lt;201,G102/2,IF(G102&lt;=301,G102/3,G102/4))))</f>
        <v>461.12975999999992</v>
      </c>
      <c r="I102" s="75"/>
      <c r="J102" s="1"/>
      <c r="K102" s="77">
        <f>$K$101*H102</f>
        <v>3919602.9599999995</v>
      </c>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1" x14ac:dyDescent="0.3">
      <c r="A103" s="79">
        <f>A102+1</f>
        <v>2</v>
      </c>
      <c r="B103" s="81"/>
      <c r="C103" s="52" t="s">
        <v>310</v>
      </c>
      <c r="D103" s="6" t="s">
        <v>311</v>
      </c>
      <c r="E103" s="6">
        <f>(33.85)*(10.764)</f>
        <v>364.3614</v>
      </c>
      <c r="F103" s="6">
        <f>(0.9*(1.8+2.1)+0.6*2.95)*(10.764)</f>
        <v>56.833919999999999</v>
      </c>
      <c r="G103" s="6">
        <v>0</v>
      </c>
      <c r="H103" s="6">
        <f t="shared" ref="H103:H106" si="2">E103+F103+(IF(G103&lt;101,G103,IF(G103&lt;201,G103/2,IF(G103&lt;=301,G103/3,G103/4))))</f>
        <v>421.19531999999998</v>
      </c>
      <c r="I103" s="75"/>
      <c r="J103" s="1"/>
      <c r="K103" s="77">
        <f>$K$101*H103</f>
        <v>3580160.2199999997</v>
      </c>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1" x14ac:dyDescent="0.3">
      <c r="A104" s="79">
        <f t="shared" ref="A104:A106" si="3">A103+1</f>
        <v>3</v>
      </c>
      <c r="B104" s="81"/>
      <c r="C104" s="52" t="s">
        <v>310</v>
      </c>
      <c r="D104" s="6" t="s">
        <v>312</v>
      </c>
      <c r="E104" s="6">
        <f>(48.77)*(10.764)</f>
        <v>524.96028000000001</v>
      </c>
      <c r="F104" s="6">
        <f>(0.9*(1.95+2.75+1.95))*(10.764)</f>
        <v>64.422539999999998</v>
      </c>
      <c r="G104" s="6">
        <v>0</v>
      </c>
      <c r="H104" s="6">
        <f t="shared" si="2"/>
        <v>589.38282000000004</v>
      </c>
      <c r="I104" s="1"/>
      <c r="J104" s="1"/>
      <c r="K104" s="77">
        <f>$K$101*H104</f>
        <v>5009753.9700000007</v>
      </c>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3">
      <c r="A105" s="79">
        <f t="shared" si="3"/>
        <v>4</v>
      </c>
      <c r="B105" s="81"/>
      <c r="C105" s="52" t="s">
        <v>310</v>
      </c>
      <c r="D105" s="6" t="s">
        <v>312</v>
      </c>
      <c r="E105" s="6">
        <f>(49.97)*(10.764)</f>
        <v>537.87707999999998</v>
      </c>
      <c r="F105" s="6">
        <f>(0.9*(2.1+2.75+2.75+2.75))*(10.764)</f>
        <v>100.26665999999999</v>
      </c>
      <c r="G105" s="6">
        <v>0</v>
      </c>
      <c r="H105" s="6">
        <f t="shared" si="2"/>
        <v>638.14373999999998</v>
      </c>
      <c r="I105" s="1"/>
      <c r="J105" s="1"/>
      <c r="K105" s="77">
        <f>$K$101*H105</f>
        <v>5424221.79</v>
      </c>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3">
      <c r="A106" s="79">
        <f t="shared" si="3"/>
        <v>5</v>
      </c>
      <c r="B106" s="81"/>
      <c r="C106" s="52" t="s">
        <v>310</v>
      </c>
      <c r="D106" s="6" t="s">
        <v>311</v>
      </c>
      <c r="E106" s="6">
        <f>(29.89+5.98)*(10.764)</f>
        <v>386.10468000000003</v>
      </c>
      <c r="F106" s="6">
        <f>(0.9*(2.75+2.75+1.95))*(10.764)</f>
        <v>72.172619999999995</v>
      </c>
      <c r="G106" s="6">
        <v>0</v>
      </c>
      <c r="H106" s="6">
        <f t="shared" si="2"/>
        <v>458.27730000000003</v>
      </c>
      <c r="I106" s="1"/>
      <c r="J106" s="1"/>
      <c r="K106" s="77">
        <f>$K$101*H106</f>
        <v>3895357.0500000003</v>
      </c>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1" x14ac:dyDescent="0.3">
      <c r="A107" s="82" t="s">
        <v>313</v>
      </c>
      <c r="B107" s="83"/>
      <c r="C107" s="83"/>
      <c r="D107" s="83"/>
      <c r="E107" s="83"/>
      <c r="F107" s="83"/>
      <c r="G107" s="83"/>
      <c r="H107" s="84"/>
      <c r="I107" s="1">
        <v>3</v>
      </c>
      <c r="J107" s="1"/>
      <c r="K107" s="7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3">
      <c r="A108" s="95">
        <v>1</v>
      </c>
      <c r="B108" s="95"/>
      <c r="C108" s="52" t="s">
        <v>310</v>
      </c>
      <c r="D108" s="6" t="s">
        <v>311</v>
      </c>
      <c r="E108" s="6">
        <f>(29.88+6.03)*(10.764)</f>
        <v>386.53523999999993</v>
      </c>
      <c r="F108" s="6">
        <f>(0.9*(2.1+2.75+2.85))*(10.764)</f>
        <v>74.594519999999989</v>
      </c>
      <c r="G108" s="6">
        <v>0</v>
      </c>
      <c r="H108" s="6">
        <f>E108+F108+(IF(G108&lt;101,G108,IF(G108&lt;201,G108/2,IF(G108&lt;=301,G108/3,G108/4))))</f>
        <v>461.12975999999992</v>
      </c>
      <c r="I108" s="1"/>
      <c r="J108" s="1"/>
      <c r="K108" s="1"/>
      <c r="L108" s="1"/>
      <c r="M108" s="1"/>
      <c r="N108" s="1"/>
      <c r="O108" s="1"/>
      <c r="P108" s="1"/>
      <c r="Q108" s="1"/>
      <c r="R108" s="1"/>
      <c r="S108" s="1"/>
      <c r="T108" s="23" t="str">
        <f t="shared" ref="T108:T112" ca="1" si="4">U108&amp;""&amp;",..,"&amp;""&amp;V108</f>
        <v>701,..,1701</v>
      </c>
      <c r="U108" s="23">
        <f ca="1">(SUMPRODUCT(MID(0&amp;(LEFT(A107,SUM(LEN(A107)-LEN(SUBSTITUTE(A107,{"0","1","2","3"},""))))), LARGE(INDEX(ISNUMBER(--MID((LEFT(A107,SUM(LEN(A107)-LEN(SUBSTITUTE(A107,{"0","1","2","3"},""))))), ROW(INDIRECT("1:"&amp;LEN((LEFT(A107,SUM(LEN(A107)-LEN(SUBSTITUTE(A107,{"0","1","2","3"},"")))))))), 1)) * ROW(INDIRECT("1:"&amp;LEN((LEFT(A107,SUM(LEN(A107)-LEN(SUBSTITUTE(A107,{"0","1","2","3"},"")))))))), 0), ROW(INDIRECT("1:"&amp;LEN((LEFT(A107,SUM(LEN(A107)-LEN(SUBSTITUTE(A107,{"0","1","2","3"},"")))))))))+1, 1) * 10^ROW(INDIRECT("1:"&amp;LEN((LEFT(A107,SUM(LEN(A107)-LEN(SUBSTITUTE(A107,{"0","1","2","3"},""))))))))/10))*100+1</f>
        <v>701</v>
      </c>
      <c r="V108" s="23">
        <f ca="1">(SUMPRODUCT(MID(0&amp;(--TRIM(RIGHT(SUBSTITUTE(LEFT(A107,_xlfn.AGGREGATE(16,6,FIND({0,1,2,3,4,5,6,7,8,9},A107,ROW(INDIRECT("1:"&amp;LEN(A107)))),1))," ",REPT(" ",LEN(A107))),LEN(A107)))), LARGE(INDEX(ISNUMBER(--MID((--TRIM(RIGHT(SUBSTITUTE(LEFT(A107,_xlfn.AGGREGATE(16,6,FIND({0,1,2,3,4,5,6,7,8,9},A107,ROW(INDIRECT("1:"&amp;LEN(A107)))),1))," ",REPT(" ",LEN(A107))),LEN(A107)))), ROW(INDIRECT("1:"&amp;LEN((--TRIM(RIGHT(SUBSTITUTE(LEFT(A107,_xlfn.AGGREGATE(16,6,FIND({0,1,2,3,4,5,6,7,8,9},A107,ROW(INDIRECT("1:"&amp;LEN(A107)))),1))," ",REPT(" ",LEN(A107))),LEN(A107))))))), 1)) * ROW(INDIRECT("1:"&amp;LEN((--TRIM(RIGHT(SUBSTITUTE(LEFT(A107,_xlfn.AGGREGATE(16,6,FIND({0,1,2,3,4,5,6,7,8,9},A107,ROW(INDIRECT("1:"&amp;LEN(A107)))),1))," ",REPT(" ",LEN(A107))),LEN(A107))))))), 0), ROW(INDIRECT("1:"&amp;LEN((--TRIM(RIGHT(SUBSTITUTE(LEFT(A107,_xlfn.AGGREGATE(16,6,FIND({0,1,2,3,4,5,6,7,8,9},A107,ROW(INDIRECT("1:"&amp;LEN(A107)))),1))," ",REPT(" ",LEN(A107))),LEN(A107))))))))+1, 1) * 10^ROW(INDIRECT("1:"&amp;LEN((--TRIM(RIGHT(SUBSTITUTE(LEFT(A107,_xlfn.AGGREGATE(16,6,FIND({0,1,2,3,4,5,6,7,8,9},A107,ROW(INDIRECT("1:"&amp;LEN(A107)))),1))," ",REPT(" ",LEN(A107))),LEN(A107)))))))/10))*100+1</f>
        <v>1701</v>
      </c>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customHeight="1" x14ac:dyDescent="0.3">
      <c r="A109" s="95">
        <v>2</v>
      </c>
      <c r="B109" s="95"/>
      <c r="C109" s="52" t="s">
        <v>310</v>
      </c>
      <c r="D109" s="6" t="s">
        <v>312</v>
      </c>
      <c r="E109" s="6">
        <f>(42.98)*(10.764)</f>
        <v>462.63671999999991</v>
      </c>
      <c r="F109" s="6">
        <f>(0.9*(1.8+2.1)+0.6*2.95)*(10.764)</f>
        <v>56.833919999999999</v>
      </c>
      <c r="G109" s="6">
        <v>0</v>
      </c>
      <c r="H109" s="6">
        <f t="shared" ref="H109:H112" si="5">E109+F109+(IF(G109&lt;101,G109,IF(G109&lt;201,G109/2,IF(G109&lt;=301,G109/3,G109/4))))</f>
        <v>519.47063999999989</v>
      </c>
      <c r="I109" s="1"/>
      <c r="J109" s="1"/>
      <c r="K109" s="1"/>
      <c r="L109" s="1"/>
      <c r="M109" s="1"/>
      <c r="N109" s="1"/>
      <c r="O109" s="1"/>
      <c r="P109" s="1"/>
      <c r="Q109" s="1"/>
      <c r="R109" s="1"/>
      <c r="S109" s="1"/>
      <c r="T109" s="23" t="str">
        <f t="shared" ca="1" si="4"/>
        <v>702,..,1702</v>
      </c>
      <c r="U109" s="23">
        <f ca="1">U108+1</f>
        <v>702</v>
      </c>
      <c r="V109" s="23">
        <f ca="1">V108+1</f>
        <v>1702</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3">
      <c r="A110" s="95">
        <v>3</v>
      </c>
      <c r="B110" s="95"/>
      <c r="C110" s="52" t="s">
        <v>310</v>
      </c>
      <c r="D110" s="79" t="s">
        <v>314</v>
      </c>
      <c r="E110" s="80"/>
      <c r="F110" s="80"/>
      <c r="G110" s="80"/>
      <c r="H110" s="81"/>
      <c r="I110" s="1"/>
      <c r="J110" s="1"/>
      <c r="K110" s="1"/>
      <c r="L110" s="1"/>
      <c r="M110" s="1"/>
      <c r="N110" s="1"/>
      <c r="O110" s="1"/>
      <c r="P110" s="1"/>
      <c r="Q110" s="1"/>
      <c r="R110" s="1"/>
      <c r="S110" s="1"/>
      <c r="T110" s="23" t="str">
        <f t="shared" ca="1" si="4"/>
        <v>703,..,1703</v>
      </c>
      <c r="U110" s="23">
        <f t="shared" ref="U110:U112" ca="1" si="6">U109+1</f>
        <v>703</v>
      </c>
      <c r="V110" s="23">
        <f t="shared" ref="V110:V112" ca="1" si="7">V109+1</f>
        <v>1703</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3">
      <c r="A111" s="95">
        <v>4</v>
      </c>
      <c r="B111" s="95"/>
      <c r="C111" s="52" t="s">
        <v>310</v>
      </c>
      <c r="D111" s="6" t="s">
        <v>312</v>
      </c>
      <c r="E111" s="6">
        <f>(49.49+2.74)*(10.764)</f>
        <v>562.20371999999998</v>
      </c>
      <c r="F111" s="6">
        <f>(0.9*(2.75+2.75+2.1+1.9))*(10.764)</f>
        <v>92.032200000000003</v>
      </c>
      <c r="G111" s="6">
        <v>0</v>
      </c>
      <c r="H111" s="6">
        <f t="shared" si="5"/>
        <v>654.23591999999996</v>
      </c>
      <c r="I111" s="1"/>
      <c r="J111" s="1"/>
      <c r="K111" s="1"/>
      <c r="L111" s="1"/>
      <c r="M111" s="1"/>
      <c r="N111" s="1"/>
      <c r="O111" s="1"/>
      <c r="P111" s="1"/>
      <c r="Q111" s="1"/>
      <c r="R111" s="1"/>
      <c r="S111" s="1"/>
      <c r="T111" s="23" t="str">
        <f t="shared" ca="1" si="4"/>
        <v>704,..,1704</v>
      </c>
      <c r="U111" s="23">
        <f t="shared" ca="1" si="6"/>
        <v>704</v>
      </c>
      <c r="V111" s="23">
        <f t="shared" ca="1" si="7"/>
        <v>1704</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3">
      <c r="A112" s="95">
        <v>5</v>
      </c>
      <c r="B112" s="95"/>
      <c r="C112" s="52" t="s">
        <v>310</v>
      </c>
      <c r="D112" s="6" t="s">
        <v>311</v>
      </c>
      <c r="E112" s="6">
        <f>(40.33+5.98)*(10.764)</f>
        <v>498.48084</v>
      </c>
      <c r="F112" s="6">
        <f>(0.9*(2.75+2.75+2.75+1.95))*(10.764)</f>
        <v>98.813519999999997</v>
      </c>
      <c r="G112" s="6">
        <v>0</v>
      </c>
      <c r="H112" s="6">
        <f t="shared" si="5"/>
        <v>597.29435999999998</v>
      </c>
      <c r="I112" s="1"/>
      <c r="J112" s="1"/>
      <c r="K112" s="1"/>
      <c r="L112" s="1"/>
      <c r="M112" s="1"/>
      <c r="N112" s="1"/>
      <c r="O112" s="1"/>
      <c r="P112" s="1"/>
      <c r="Q112" s="1"/>
      <c r="R112" s="1"/>
      <c r="S112" s="1"/>
      <c r="T112" s="23" t="str">
        <f t="shared" ca="1" si="4"/>
        <v>705,..,1705</v>
      </c>
      <c r="U112" s="23">
        <f t="shared" ca="1" si="6"/>
        <v>705</v>
      </c>
      <c r="V112" s="23">
        <f t="shared" ca="1" si="7"/>
        <v>1705</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1" customHeight="1" x14ac:dyDescent="0.3">
      <c r="A113" s="82" t="s">
        <v>348</v>
      </c>
      <c r="B113" s="83"/>
      <c r="C113" s="83"/>
      <c r="D113" s="83"/>
      <c r="E113" s="83"/>
      <c r="F113" s="83"/>
      <c r="G113" s="83"/>
      <c r="H113" s="84"/>
      <c r="I113" s="1">
        <v>1</v>
      </c>
      <c r="J113" s="1"/>
      <c r="K113" s="78">
        <v>8500</v>
      </c>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1" x14ac:dyDescent="0.3">
      <c r="A114" s="95">
        <v>1</v>
      </c>
      <c r="B114" s="95"/>
      <c r="C114" s="52" t="s">
        <v>95</v>
      </c>
      <c r="D114" s="79" t="s">
        <v>315</v>
      </c>
      <c r="E114" s="80"/>
      <c r="F114" s="80"/>
      <c r="G114" s="80"/>
      <c r="H114" s="81"/>
      <c r="I114" s="75"/>
      <c r="J114" s="1"/>
      <c r="K114" s="77">
        <f>$K$101*H114</f>
        <v>0</v>
      </c>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1" x14ac:dyDescent="0.3">
      <c r="A115" s="79">
        <f>A114+1</f>
        <v>2</v>
      </c>
      <c r="B115" s="81"/>
      <c r="C115" s="52" t="s">
        <v>310</v>
      </c>
      <c r="D115" s="79" t="s">
        <v>349</v>
      </c>
      <c r="E115" s="80"/>
      <c r="F115" s="80"/>
      <c r="G115" s="80"/>
      <c r="H115" s="81"/>
      <c r="I115" s="75"/>
      <c r="J115" s="1"/>
      <c r="K115" s="77">
        <f t="shared" ref="K115:K118" si="8">$K$101*H115</f>
        <v>0</v>
      </c>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1" x14ac:dyDescent="0.3">
      <c r="A116" s="79">
        <f t="shared" ref="A116:A118" si="9">A115+1</f>
        <v>3</v>
      </c>
      <c r="B116" s="81"/>
      <c r="C116" s="52" t="s">
        <v>310</v>
      </c>
      <c r="D116" s="6" t="s">
        <v>312</v>
      </c>
      <c r="E116" s="6">
        <f>(46.49)*(10.764)</f>
        <v>500.41836000000001</v>
      </c>
      <c r="F116" s="6">
        <f>(0.9*(1.95+2.75+1.9))*(10.764)</f>
        <v>63.938159999999989</v>
      </c>
      <c r="G116" s="6">
        <v>0</v>
      </c>
      <c r="H116" s="6">
        <f t="shared" ref="H116:H118" si="10">E116+F116+(IF(G116&lt;101,G116,IF(G116&lt;201,G116/2,IF(G116&lt;=301,G116/3,G116/4))))</f>
        <v>564.35652000000005</v>
      </c>
      <c r="I116" s="1"/>
      <c r="J116" s="1"/>
      <c r="K116" s="77">
        <f t="shared" si="8"/>
        <v>4797030.42</v>
      </c>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3">
      <c r="A117" s="79">
        <f t="shared" si="9"/>
        <v>4</v>
      </c>
      <c r="B117" s="81"/>
      <c r="C117" s="52" t="s">
        <v>310</v>
      </c>
      <c r="D117" s="6" t="s">
        <v>311</v>
      </c>
      <c r="E117" s="6">
        <f>(39.68)*(10.764)</f>
        <v>427.11551999999995</v>
      </c>
      <c r="F117" s="6">
        <f>(0.9*(2.1+2.75+2.75))*(10.764)</f>
        <v>73.62576</v>
      </c>
      <c r="G117" s="6">
        <f>(3.05*2.75)*10.764</f>
        <v>90.283049999999989</v>
      </c>
      <c r="H117" s="6">
        <f t="shared" si="10"/>
        <v>591.02432999999996</v>
      </c>
      <c r="I117" s="1"/>
      <c r="J117" s="1"/>
      <c r="K117" s="77">
        <f t="shared" si="8"/>
        <v>5023706.8049999997</v>
      </c>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3">
      <c r="A118" s="79">
        <f t="shared" si="9"/>
        <v>5</v>
      </c>
      <c r="B118" s="81"/>
      <c r="C118" s="52" t="s">
        <v>310</v>
      </c>
      <c r="D118" s="6" t="s">
        <v>311</v>
      </c>
      <c r="E118" s="6">
        <f>(29.89+5.98)*(10.764)</f>
        <v>386.10468000000003</v>
      </c>
      <c r="F118" s="6">
        <f>(0.9*(2.75+2.75+1.95))*(10.764)</f>
        <v>72.172619999999995</v>
      </c>
      <c r="G118" s="6">
        <v>0</v>
      </c>
      <c r="H118" s="6">
        <f t="shared" si="10"/>
        <v>458.27730000000003</v>
      </c>
      <c r="I118" s="1"/>
      <c r="J118" s="1"/>
      <c r="K118" s="77">
        <f t="shared" si="8"/>
        <v>3895357.0500000003</v>
      </c>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ht="21" x14ac:dyDescent="0.3">
      <c r="A119" s="115" t="s">
        <v>70</v>
      </c>
      <c r="B119" s="115"/>
      <c r="C119" s="115"/>
      <c r="D119" s="115"/>
      <c r="E119" s="115"/>
      <c r="F119" s="115"/>
      <c r="G119" s="115"/>
      <c r="H119" s="115"/>
    </row>
    <row r="120" spans="1:150 16226:16383" ht="21" x14ac:dyDescent="0.3">
      <c r="A120" s="2">
        <v>1</v>
      </c>
      <c r="B120" s="101" t="s">
        <v>326</v>
      </c>
      <c r="C120" s="102"/>
      <c r="D120" s="102"/>
      <c r="E120" s="102"/>
      <c r="F120" s="102"/>
      <c r="G120" s="102"/>
      <c r="H120" s="103"/>
    </row>
    <row r="121" spans="1:150 16226:16383" ht="21" x14ac:dyDescent="0.3">
      <c r="A121" s="2">
        <f>A120+1</f>
        <v>2</v>
      </c>
      <c r="B121" s="101" t="s">
        <v>232</v>
      </c>
      <c r="C121" s="102"/>
      <c r="D121" s="102"/>
      <c r="E121" s="102"/>
      <c r="F121" s="102"/>
      <c r="G121" s="102"/>
      <c r="H121" s="103"/>
    </row>
    <row r="122" spans="1:150 16226:16383" ht="21" x14ac:dyDescent="0.3">
      <c r="A122" s="2">
        <f t="shared" ref="A122:A126" si="11">A121+1</f>
        <v>3</v>
      </c>
      <c r="B122" s="101" t="s">
        <v>316</v>
      </c>
      <c r="C122" s="102"/>
      <c r="D122" s="102"/>
      <c r="E122" s="102"/>
      <c r="F122" s="102"/>
      <c r="G122" s="102"/>
      <c r="H122" s="103"/>
    </row>
    <row r="123" spans="1:150 16226:16383" ht="21" x14ac:dyDescent="0.3">
      <c r="A123" s="2">
        <f t="shared" si="11"/>
        <v>4</v>
      </c>
      <c r="B123" s="101" t="s">
        <v>233</v>
      </c>
      <c r="C123" s="102"/>
      <c r="D123" s="102"/>
      <c r="E123" s="102"/>
      <c r="F123" s="102"/>
      <c r="G123" s="102"/>
      <c r="H123" s="103"/>
    </row>
    <row r="124" spans="1:150 16226:16383" ht="21" x14ac:dyDescent="0.3">
      <c r="A124" s="2">
        <f t="shared" si="11"/>
        <v>5</v>
      </c>
      <c r="B124" s="101" t="s">
        <v>234</v>
      </c>
      <c r="C124" s="102"/>
      <c r="D124" s="102"/>
      <c r="E124" s="102"/>
      <c r="F124" s="102"/>
      <c r="G124" s="102"/>
      <c r="H124" s="103"/>
    </row>
    <row r="125" spans="1:150 16226:16383" ht="21" x14ac:dyDescent="0.3">
      <c r="A125" s="2">
        <f t="shared" si="11"/>
        <v>6</v>
      </c>
      <c r="B125" s="101" t="s">
        <v>327</v>
      </c>
      <c r="C125" s="102"/>
      <c r="D125" s="102"/>
      <c r="E125" s="102"/>
      <c r="F125" s="102"/>
      <c r="G125" s="102"/>
      <c r="H125" s="103"/>
    </row>
    <row r="126" spans="1:150 16226:16383" ht="21" x14ac:dyDescent="0.3">
      <c r="A126" s="2">
        <f t="shared" si="11"/>
        <v>7</v>
      </c>
      <c r="B126" s="101" t="s">
        <v>355</v>
      </c>
      <c r="C126" s="102"/>
      <c r="D126" s="102"/>
      <c r="E126" s="102"/>
      <c r="F126" s="102"/>
      <c r="G126" s="102"/>
      <c r="H126" s="103"/>
    </row>
    <row r="127" spans="1:150 16226:16383" ht="21" x14ac:dyDescent="0.3">
      <c r="A127" s="2">
        <f>A126+1</f>
        <v>8</v>
      </c>
      <c r="B127" s="101" t="s">
        <v>317</v>
      </c>
      <c r="C127" s="102"/>
      <c r="D127" s="102"/>
      <c r="E127" s="102"/>
      <c r="F127" s="102"/>
      <c r="G127" s="102"/>
      <c r="H127" s="103"/>
    </row>
    <row r="128" spans="1:150 16226:16383" ht="21" x14ac:dyDescent="0.3">
      <c r="A128" s="125" t="s">
        <v>76</v>
      </c>
      <c r="B128" s="125"/>
      <c r="C128" s="125"/>
      <c r="D128" s="125"/>
      <c r="E128" s="125"/>
      <c r="F128" s="125"/>
      <c r="G128" s="125"/>
      <c r="H128" s="125"/>
    </row>
    <row r="129" spans="1:8" ht="21" x14ac:dyDescent="0.3">
      <c r="A129" s="99" t="s">
        <v>71</v>
      </c>
      <c r="B129" s="99"/>
      <c r="C129" s="99"/>
      <c r="D129" s="101" t="str">
        <f>C3</f>
        <v>Nakshatra Nirvaana I</v>
      </c>
      <c r="E129" s="102"/>
      <c r="F129" s="102"/>
      <c r="G129" s="102"/>
      <c r="H129" s="103"/>
    </row>
    <row r="130" spans="1:8" ht="40.5" customHeight="1" x14ac:dyDescent="0.3">
      <c r="A130" s="99" t="s">
        <v>104</v>
      </c>
      <c r="B130" s="99"/>
      <c r="C130" s="99"/>
      <c r="D130" s="101" t="str">
        <f>C11</f>
        <v>Nakshatra Nirvaana II, S.No.330 H.No.3/1 &amp; 2, near Ornate Serenity, Naigaon East Vasai Link Road, Juchandra, Juchandra, Naigaon East, Vasai, Palghar - 401208.</v>
      </c>
      <c r="E130" s="102"/>
      <c r="F130" s="102"/>
      <c r="G130" s="102"/>
      <c r="H130" s="103"/>
    </row>
    <row r="131" spans="1:8" ht="20.25" customHeight="1" x14ac:dyDescent="0.3">
      <c r="A131" s="135" t="s">
        <v>110</v>
      </c>
      <c r="B131" s="135"/>
      <c r="C131" s="135"/>
      <c r="D131" s="101" t="str">
        <f>G3</f>
        <v>11/09/2025 @ 11:42AM</v>
      </c>
      <c r="E131" s="102"/>
      <c r="F131" s="102"/>
      <c r="G131" s="102"/>
      <c r="H131" s="103"/>
    </row>
    <row r="132" spans="1:8" ht="21" x14ac:dyDescent="0.3">
      <c r="A132" s="10"/>
      <c r="B132" s="11"/>
      <c r="C132" s="11"/>
      <c r="D132" s="11"/>
      <c r="E132" s="11"/>
      <c r="F132" s="11"/>
      <c r="G132" s="11"/>
      <c r="H132" s="7"/>
    </row>
    <row r="133" spans="1:8" ht="21" x14ac:dyDescent="0.3">
      <c r="A133" s="12"/>
      <c r="B133" s="13"/>
      <c r="C133" s="13"/>
      <c r="D133" s="13"/>
      <c r="E133" s="13"/>
      <c r="F133" s="13"/>
      <c r="G133" s="13"/>
      <c r="H133" s="8"/>
    </row>
    <row r="134" spans="1:8" ht="21" x14ac:dyDescent="0.3">
      <c r="A134" s="12"/>
      <c r="B134" s="13"/>
      <c r="C134" s="13"/>
      <c r="D134" s="13"/>
      <c r="E134" s="13"/>
      <c r="F134" s="13"/>
      <c r="G134" s="13"/>
      <c r="H134" s="8"/>
    </row>
    <row r="135" spans="1:8" ht="21" x14ac:dyDescent="0.3">
      <c r="A135" s="12"/>
      <c r="B135" s="13"/>
      <c r="C135" s="13"/>
      <c r="D135" s="13"/>
      <c r="E135" s="13"/>
      <c r="F135" s="13"/>
      <c r="G135" s="13"/>
      <c r="H135" s="8"/>
    </row>
    <row r="136" spans="1:8" ht="21" x14ac:dyDescent="0.3">
      <c r="A136" s="12"/>
      <c r="B136" s="13"/>
      <c r="C136" s="13"/>
      <c r="D136" s="13"/>
      <c r="E136" s="13"/>
      <c r="F136" s="13"/>
      <c r="G136" s="13"/>
      <c r="H136" s="8"/>
    </row>
    <row r="137" spans="1:8" ht="21" x14ac:dyDescent="0.3">
      <c r="A137" s="12"/>
      <c r="B137" s="13"/>
      <c r="C137" s="13"/>
      <c r="D137" s="13"/>
      <c r="E137" s="13"/>
      <c r="F137" s="13"/>
      <c r="G137" s="13"/>
      <c r="H137" s="8"/>
    </row>
    <row r="138" spans="1:8" ht="21" x14ac:dyDescent="0.3">
      <c r="A138" s="12"/>
      <c r="B138" s="13"/>
      <c r="C138" s="13"/>
      <c r="D138" s="13"/>
      <c r="E138" s="13"/>
      <c r="F138" s="13"/>
      <c r="G138" s="13"/>
      <c r="H138" s="8"/>
    </row>
    <row r="139" spans="1:8" ht="21" x14ac:dyDescent="0.3">
      <c r="A139" s="12"/>
      <c r="B139" s="13"/>
      <c r="C139" s="13"/>
      <c r="D139" s="13"/>
      <c r="E139" s="13"/>
      <c r="F139" s="13"/>
      <c r="G139" s="13"/>
      <c r="H139" s="8"/>
    </row>
    <row r="140" spans="1:8" ht="21" x14ac:dyDescent="0.3">
      <c r="A140" s="12"/>
      <c r="B140" s="13"/>
      <c r="C140" s="13"/>
      <c r="D140" s="13"/>
      <c r="E140" s="13"/>
      <c r="F140" s="13"/>
      <c r="G140" s="13"/>
      <c r="H140" s="8"/>
    </row>
    <row r="141" spans="1:8" ht="21" x14ac:dyDescent="0.3">
      <c r="A141" s="12"/>
      <c r="B141" s="13"/>
      <c r="C141" s="13"/>
      <c r="D141" s="13"/>
      <c r="E141" s="13"/>
      <c r="F141" s="13"/>
      <c r="G141" s="13"/>
      <c r="H141" s="8"/>
    </row>
    <row r="142" spans="1:8" ht="21" x14ac:dyDescent="0.3">
      <c r="A142" s="12"/>
      <c r="B142" s="13"/>
      <c r="C142" s="13"/>
      <c r="D142" s="13"/>
      <c r="E142" s="13"/>
      <c r="F142" s="13"/>
      <c r="G142" s="13"/>
      <c r="H142" s="8"/>
    </row>
    <row r="143" spans="1:8" ht="21" x14ac:dyDescent="0.3">
      <c r="A143" s="12"/>
      <c r="B143" s="13"/>
      <c r="C143" s="13"/>
      <c r="D143" s="13"/>
      <c r="E143" s="13"/>
      <c r="F143" s="13"/>
      <c r="G143" s="13"/>
      <c r="H143" s="8"/>
    </row>
    <row r="144" spans="1:8" ht="21" x14ac:dyDescent="0.3">
      <c r="A144" s="12"/>
      <c r="B144" s="13"/>
      <c r="C144" s="13"/>
      <c r="D144" s="13"/>
      <c r="E144" s="13"/>
      <c r="F144" s="13"/>
      <c r="G144" s="13"/>
      <c r="H144" s="8"/>
    </row>
    <row r="145" spans="1:8" ht="21" x14ac:dyDescent="0.3">
      <c r="A145" s="12"/>
      <c r="B145" s="13"/>
      <c r="C145" s="13"/>
      <c r="D145" s="13"/>
      <c r="E145" s="13"/>
      <c r="F145" s="13"/>
      <c r="G145" s="13"/>
      <c r="H145" s="8"/>
    </row>
    <row r="146" spans="1:8" ht="21" x14ac:dyDescent="0.3">
      <c r="A146" s="12"/>
      <c r="B146" s="13"/>
      <c r="C146" s="13"/>
      <c r="D146" s="13"/>
      <c r="E146" s="13"/>
      <c r="F146" s="13"/>
      <c r="G146" s="13"/>
      <c r="H146" s="8"/>
    </row>
    <row r="147" spans="1:8" ht="21" x14ac:dyDescent="0.3">
      <c r="A147" s="12"/>
      <c r="B147" s="13"/>
      <c r="C147" s="13"/>
      <c r="D147" s="13"/>
      <c r="E147" s="13"/>
      <c r="F147" s="13"/>
      <c r="G147" s="13"/>
      <c r="H147" s="8"/>
    </row>
    <row r="148" spans="1:8" ht="21" x14ac:dyDescent="0.3">
      <c r="A148" s="12"/>
      <c r="B148" s="13"/>
      <c r="C148" s="13"/>
      <c r="D148" s="13"/>
      <c r="E148" s="13"/>
      <c r="F148" s="13"/>
      <c r="G148" s="13"/>
      <c r="H148" s="8"/>
    </row>
    <row r="149" spans="1:8" ht="21" x14ac:dyDescent="0.3">
      <c r="A149" s="12"/>
      <c r="B149" s="13"/>
      <c r="C149" s="13"/>
      <c r="D149" s="13"/>
      <c r="E149" s="13"/>
      <c r="F149" s="13"/>
      <c r="G149" s="13"/>
      <c r="H149" s="8"/>
    </row>
    <row r="150" spans="1:8" ht="21" x14ac:dyDescent="0.3">
      <c r="A150" s="12"/>
      <c r="B150" s="13"/>
      <c r="C150" s="13"/>
      <c r="D150" s="13"/>
      <c r="E150" s="13"/>
      <c r="F150" s="13"/>
      <c r="G150" s="13"/>
      <c r="H150" s="8"/>
    </row>
    <row r="151" spans="1:8" ht="21" x14ac:dyDescent="0.3">
      <c r="A151" s="12"/>
      <c r="B151" s="13"/>
      <c r="C151" s="13"/>
      <c r="D151" s="13"/>
      <c r="E151" s="13"/>
      <c r="F151" s="13"/>
      <c r="G151" s="13"/>
      <c r="H151" s="8"/>
    </row>
    <row r="152" spans="1:8" ht="21" x14ac:dyDescent="0.3">
      <c r="A152" s="12"/>
      <c r="B152" s="13"/>
      <c r="C152" s="13"/>
      <c r="D152" s="13"/>
      <c r="E152" s="13"/>
      <c r="F152" s="13"/>
      <c r="G152" s="13"/>
      <c r="H152" s="8"/>
    </row>
    <row r="153" spans="1:8" ht="21" x14ac:dyDescent="0.3">
      <c r="A153" s="12"/>
      <c r="B153" s="13"/>
      <c r="C153" s="13"/>
      <c r="D153" s="13"/>
      <c r="E153" s="13"/>
      <c r="F153" s="13"/>
      <c r="G153" s="13"/>
      <c r="H153" s="8"/>
    </row>
    <row r="154" spans="1:8" ht="21" x14ac:dyDescent="0.3">
      <c r="A154" s="12"/>
      <c r="B154" s="13"/>
      <c r="C154" s="13"/>
      <c r="D154" s="13"/>
      <c r="E154" s="13"/>
      <c r="F154" s="13"/>
      <c r="G154" s="13"/>
      <c r="H154" s="8"/>
    </row>
    <row r="155" spans="1:8" ht="21" x14ac:dyDescent="0.3">
      <c r="A155" s="12"/>
      <c r="B155" s="13"/>
      <c r="C155" s="13"/>
      <c r="D155" s="13"/>
      <c r="E155" s="13"/>
      <c r="F155" s="13"/>
      <c r="G155" s="13"/>
      <c r="H155" s="8"/>
    </row>
    <row r="156" spans="1:8" ht="21" x14ac:dyDescent="0.3">
      <c r="A156" s="12"/>
      <c r="B156" s="13"/>
      <c r="C156" s="13"/>
      <c r="D156" s="13"/>
      <c r="E156" s="13"/>
      <c r="F156" s="13"/>
      <c r="G156" s="13"/>
      <c r="H156" s="8"/>
    </row>
    <row r="157" spans="1:8" ht="21" x14ac:dyDescent="0.3">
      <c r="A157" s="12"/>
      <c r="B157" s="13"/>
      <c r="C157" s="13"/>
      <c r="D157" s="13"/>
      <c r="E157" s="13"/>
      <c r="F157" s="13"/>
      <c r="G157" s="13"/>
      <c r="H157" s="8"/>
    </row>
    <row r="158" spans="1:8" ht="21" x14ac:dyDescent="0.3">
      <c r="A158" s="12"/>
      <c r="B158" s="13"/>
      <c r="C158" s="13"/>
      <c r="D158" s="13"/>
      <c r="E158" s="13"/>
      <c r="F158" s="13"/>
      <c r="G158" s="13"/>
      <c r="H158" s="8"/>
    </row>
    <row r="159" spans="1:8" ht="21" x14ac:dyDescent="0.3">
      <c r="A159" s="12"/>
      <c r="B159" s="13"/>
      <c r="C159" s="13"/>
      <c r="D159" s="13"/>
      <c r="E159" s="13"/>
      <c r="F159" s="13"/>
      <c r="G159" s="13"/>
      <c r="H159" s="8"/>
    </row>
    <row r="160" spans="1:8" ht="21" x14ac:dyDescent="0.3">
      <c r="A160" s="12"/>
      <c r="B160" s="13"/>
      <c r="C160" s="13"/>
      <c r="D160" s="13"/>
      <c r="E160" s="13"/>
      <c r="F160" s="13"/>
      <c r="G160" s="13"/>
      <c r="H160" s="8"/>
    </row>
    <row r="161" spans="1:8" ht="21" x14ac:dyDescent="0.3">
      <c r="A161" s="12"/>
      <c r="B161" s="13"/>
      <c r="C161" s="13"/>
      <c r="D161" s="13"/>
      <c r="E161" s="13"/>
      <c r="F161" s="13"/>
      <c r="G161" s="13"/>
      <c r="H161" s="8"/>
    </row>
    <row r="162" spans="1:8" ht="21" x14ac:dyDescent="0.3">
      <c r="A162" s="12"/>
      <c r="B162" s="13"/>
      <c r="C162" s="13"/>
      <c r="D162" s="13"/>
      <c r="E162" s="13"/>
      <c r="F162" s="13"/>
      <c r="G162" s="13"/>
      <c r="H162" s="8"/>
    </row>
    <row r="163" spans="1:8" ht="21" x14ac:dyDescent="0.3">
      <c r="A163" s="12"/>
      <c r="B163" s="13"/>
      <c r="C163" s="13"/>
      <c r="D163" s="13"/>
      <c r="E163" s="13"/>
      <c r="F163" s="13"/>
      <c r="G163" s="13"/>
      <c r="H163" s="8"/>
    </row>
    <row r="164" spans="1:8" ht="21" x14ac:dyDescent="0.3">
      <c r="A164" s="12"/>
      <c r="B164" s="13"/>
      <c r="C164" s="13"/>
      <c r="D164" s="13"/>
      <c r="E164" s="13"/>
      <c r="F164" s="13"/>
      <c r="G164" s="13"/>
      <c r="H164" s="8"/>
    </row>
    <row r="165" spans="1:8" ht="21" x14ac:dyDescent="0.3">
      <c r="A165" s="12"/>
      <c r="B165" s="13"/>
      <c r="C165" s="13"/>
      <c r="D165" s="13"/>
      <c r="E165" s="13"/>
      <c r="F165" s="13"/>
      <c r="G165" s="13"/>
      <c r="H165" s="8"/>
    </row>
    <row r="166" spans="1:8" ht="21" x14ac:dyDescent="0.3">
      <c r="A166" s="12"/>
      <c r="B166" s="13"/>
      <c r="C166" s="13"/>
      <c r="D166" s="13"/>
      <c r="E166" s="13"/>
      <c r="F166" s="13"/>
      <c r="G166" s="13"/>
      <c r="H166" s="8"/>
    </row>
    <row r="167" spans="1:8" ht="21" x14ac:dyDescent="0.3">
      <c r="A167" s="12"/>
      <c r="B167" s="13"/>
      <c r="C167" s="13"/>
      <c r="D167" s="13"/>
      <c r="E167" s="13"/>
      <c r="F167" s="13"/>
      <c r="G167" s="13"/>
      <c r="H167" s="8"/>
    </row>
    <row r="168" spans="1:8" ht="21" x14ac:dyDescent="0.3">
      <c r="A168" s="12"/>
      <c r="B168" s="13"/>
      <c r="C168" s="13"/>
      <c r="D168" s="13"/>
      <c r="E168" s="13"/>
      <c r="F168" s="13"/>
      <c r="G168" s="13"/>
      <c r="H168" s="8"/>
    </row>
    <row r="169" spans="1:8" ht="21" x14ac:dyDescent="0.3">
      <c r="A169" s="12"/>
      <c r="B169" s="13"/>
      <c r="C169" s="13"/>
      <c r="D169" s="13"/>
      <c r="E169" s="13"/>
      <c r="F169" s="13"/>
      <c r="G169" s="13"/>
      <c r="H169" s="8"/>
    </row>
    <row r="170" spans="1:8" ht="21" x14ac:dyDescent="0.3">
      <c r="A170" s="14"/>
      <c r="B170" s="15"/>
      <c r="C170" s="15"/>
      <c r="D170" s="15"/>
      <c r="E170" s="15"/>
      <c r="F170" s="15"/>
      <c r="G170" s="15"/>
      <c r="H170" s="9"/>
    </row>
    <row r="171" spans="1:8" ht="21" x14ac:dyDescent="0.3">
      <c r="A171" s="115" t="s">
        <v>356</v>
      </c>
      <c r="B171" s="115"/>
      <c r="C171" s="115"/>
      <c r="D171" s="115"/>
      <c r="E171" s="115"/>
      <c r="F171" s="115"/>
      <c r="G171" s="115"/>
      <c r="H171" s="115"/>
    </row>
    <row r="172" spans="1:8" ht="21" x14ac:dyDescent="0.3">
      <c r="A172" s="10"/>
      <c r="B172" s="11"/>
      <c r="C172" s="11"/>
      <c r="D172" s="11"/>
      <c r="E172" s="11"/>
      <c r="F172" s="11"/>
      <c r="G172" s="11"/>
      <c r="H172" s="7"/>
    </row>
    <row r="173" spans="1:8" ht="21" x14ac:dyDescent="0.3">
      <c r="A173" s="12"/>
      <c r="B173" s="13"/>
      <c r="C173" s="13"/>
      <c r="D173" s="13"/>
      <c r="E173" s="13"/>
      <c r="F173" s="13"/>
      <c r="G173" s="13"/>
      <c r="H173" s="8"/>
    </row>
    <row r="174" spans="1:8" ht="21" x14ac:dyDescent="0.3">
      <c r="A174" s="12"/>
      <c r="B174" s="13"/>
      <c r="C174" s="13"/>
      <c r="D174" s="13"/>
      <c r="E174" s="13"/>
      <c r="F174" s="13"/>
      <c r="G174" s="13"/>
      <c r="H174" s="8"/>
    </row>
    <row r="175" spans="1:8" ht="21" x14ac:dyDescent="0.3">
      <c r="A175" s="12"/>
      <c r="B175" s="13"/>
      <c r="C175" s="13"/>
      <c r="D175" s="13"/>
      <c r="E175" s="13"/>
      <c r="F175" s="13"/>
      <c r="G175" s="13"/>
      <c r="H175" s="8"/>
    </row>
    <row r="176" spans="1:8" ht="21" x14ac:dyDescent="0.3">
      <c r="A176" s="12"/>
      <c r="B176" s="13"/>
      <c r="C176" s="13"/>
      <c r="D176" s="13"/>
      <c r="E176" s="13"/>
      <c r="F176" s="13"/>
      <c r="G176" s="13"/>
      <c r="H176" s="8"/>
    </row>
    <row r="177" spans="1:8" ht="21" x14ac:dyDescent="0.3">
      <c r="A177" s="12"/>
      <c r="B177" s="13"/>
      <c r="C177" s="13"/>
      <c r="D177" s="13"/>
      <c r="E177" s="13"/>
      <c r="F177" s="13"/>
      <c r="G177" s="13"/>
      <c r="H177" s="8"/>
    </row>
    <row r="178" spans="1:8" ht="21" x14ac:dyDescent="0.3">
      <c r="A178" s="12"/>
      <c r="B178" s="13"/>
      <c r="C178" s="13"/>
      <c r="D178" s="13"/>
      <c r="E178" s="13"/>
      <c r="F178" s="13"/>
      <c r="G178" s="13"/>
      <c r="H178" s="8"/>
    </row>
    <row r="179" spans="1:8" ht="21" x14ac:dyDescent="0.3">
      <c r="A179" s="12"/>
      <c r="B179" s="13"/>
      <c r="C179" s="13"/>
      <c r="D179" s="13"/>
      <c r="E179" s="13"/>
      <c r="F179" s="13"/>
      <c r="G179" s="13"/>
      <c r="H179" s="8"/>
    </row>
    <row r="180" spans="1:8" ht="21" x14ac:dyDescent="0.3">
      <c r="A180" s="12"/>
      <c r="B180" s="13"/>
      <c r="C180" s="13"/>
      <c r="D180" s="13"/>
      <c r="E180" s="13"/>
      <c r="F180" s="13"/>
      <c r="G180" s="13"/>
      <c r="H180" s="8"/>
    </row>
    <row r="181" spans="1:8" ht="21" x14ac:dyDescent="0.3">
      <c r="A181" s="12"/>
      <c r="B181" s="13"/>
      <c r="C181" s="13"/>
      <c r="D181" s="13"/>
      <c r="E181" s="13"/>
      <c r="F181" s="13"/>
      <c r="G181" s="13"/>
      <c r="H181" s="8"/>
    </row>
    <row r="182" spans="1:8" ht="21" x14ac:dyDescent="0.3">
      <c r="A182" s="12"/>
      <c r="B182" s="13"/>
      <c r="C182" s="13"/>
      <c r="D182" s="13"/>
      <c r="E182" s="13"/>
      <c r="F182" s="13"/>
      <c r="G182" s="13"/>
      <c r="H182" s="8"/>
    </row>
    <row r="183" spans="1:8" ht="21" x14ac:dyDescent="0.3">
      <c r="A183" s="12"/>
      <c r="B183" s="13"/>
      <c r="C183" s="13"/>
      <c r="D183" s="13"/>
      <c r="E183" s="13"/>
      <c r="F183" s="13"/>
      <c r="G183" s="13"/>
      <c r="H183" s="8"/>
    </row>
    <row r="184" spans="1:8" ht="21" x14ac:dyDescent="0.3">
      <c r="A184" s="12"/>
      <c r="B184" s="13"/>
      <c r="C184" s="13"/>
      <c r="D184" s="13"/>
      <c r="E184" s="13"/>
      <c r="F184" s="13"/>
      <c r="G184" s="13"/>
      <c r="H184" s="8"/>
    </row>
    <row r="185" spans="1:8" ht="21" x14ac:dyDescent="0.3">
      <c r="A185" s="12"/>
      <c r="B185" s="13"/>
      <c r="C185" s="13"/>
      <c r="D185" s="13"/>
      <c r="E185" s="13"/>
      <c r="F185" s="13"/>
      <c r="G185" s="13"/>
      <c r="H185" s="8"/>
    </row>
    <row r="186" spans="1:8" ht="21" x14ac:dyDescent="0.3">
      <c r="A186" s="12"/>
      <c r="B186" s="13"/>
      <c r="C186" s="13"/>
      <c r="D186" s="13"/>
      <c r="E186" s="13"/>
      <c r="F186" s="13"/>
      <c r="G186" s="13"/>
      <c r="H186" s="8"/>
    </row>
    <row r="187" spans="1:8" ht="21" x14ac:dyDescent="0.3">
      <c r="A187" s="12"/>
      <c r="B187" s="13"/>
      <c r="C187" s="13"/>
      <c r="D187" s="13"/>
      <c r="E187" s="13"/>
      <c r="F187" s="13"/>
      <c r="G187" s="13"/>
      <c r="H187" s="8"/>
    </row>
    <row r="188" spans="1:8" ht="21" x14ac:dyDescent="0.3">
      <c r="A188" s="12"/>
      <c r="B188" s="13"/>
      <c r="C188" s="13"/>
      <c r="D188" s="13"/>
      <c r="E188" s="13"/>
      <c r="F188" s="13"/>
      <c r="G188" s="13"/>
      <c r="H188" s="8"/>
    </row>
    <row r="189" spans="1:8" ht="21" x14ac:dyDescent="0.3">
      <c r="A189" s="12"/>
      <c r="B189" s="13"/>
      <c r="C189" s="13"/>
      <c r="D189" s="13"/>
      <c r="E189" s="13"/>
      <c r="F189" s="13"/>
      <c r="G189" s="13"/>
      <c r="H189" s="8"/>
    </row>
    <row r="190" spans="1:8" ht="21" x14ac:dyDescent="0.3">
      <c r="A190" s="12"/>
      <c r="B190" s="13"/>
      <c r="C190" s="13"/>
      <c r="D190" s="13"/>
      <c r="E190" s="13"/>
      <c r="F190" s="13"/>
      <c r="G190" s="13"/>
      <c r="H190" s="8"/>
    </row>
    <row r="191" spans="1:8" ht="21" x14ac:dyDescent="0.3">
      <c r="A191" s="12"/>
      <c r="B191" s="13"/>
      <c r="C191" s="13"/>
      <c r="D191" s="13"/>
      <c r="E191" s="13"/>
      <c r="F191" s="13"/>
      <c r="G191" s="13"/>
      <c r="H191" s="8"/>
    </row>
    <row r="192" spans="1:8" ht="21" x14ac:dyDescent="0.3">
      <c r="A192" s="12"/>
      <c r="B192" s="13"/>
      <c r="C192" s="13"/>
      <c r="D192" s="13"/>
      <c r="E192" s="13"/>
      <c r="F192" s="13"/>
      <c r="G192" s="13"/>
      <c r="H192" s="8"/>
    </row>
    <row r="193" spans="1:8" ht="21" x14ac:dyDescent="0.3">
      <c r="A193" s="12"/>
      <c r="B193" s="13"/>
      <c r="C193" s="13"/>
      <c r="D193" s="13"/>
      <c r="E193" s="13"/>
      <c r="F193" s="13"/>
      <c r="G193" s="13"/>
      <c r="H193" s="8"/>
    </row>
    <row r="194" spans="1:8" ht="21" x14ac:dyDescent="0.3">
      <c r="A194" s="12"/>
      <c r="B194" s="13"/>
      <c r="C194" s="13"/>
      <c r="D194" s="13"/>
      <c r="E194" s="13"/>
      <c r="F194" s="13"/>
      <c r="G194" s="13"/>
      <c r="H194" s="8"/>
    </row>
    <row r="195" spans="1:8" ht="21" x14ac:dyDescent="0.3">
      <c r="A195" s="12"/>
      <c r="B195" s="13"/>
      <c r="C195" s="13"/>
      <c r="D195" s="13"/>
      <c r="E195" s="13"/>
      <c r="F195" s="13"/>
      <c r="G195" s="13"/>
      <c r="H195" s="8"/>
    </row>
    <row r="196" spans="1:8" ht="21" x14ac:dyDescent="0.3">
      <c r="A196" s="12"/>
      <c r="B196" s="13"/>
      <c r="C196" s="13"/>
      <c r="D196" s="13"/>
      <c r="E196" s="13"/>
      <c r="F196" s="13"/>
      <c r="G196" s="13"/>
      <c r="H196" s="8"/>
    </row>
    <row r="197" spans="1:8" ht="21" x14ac:dyDescent="0.3">
      <c r="A197" s="12"/>
      <c r="B197" s="13"/>
      <c r="C197" s="13"/>
      <c r="D197" s="13"/>
      <c r="E197" s="13"/>
      <c r="F197" s="13"/>
      <c r="G197" s="13"/>
      <c r="H197" s="8"/>
    </row>
    <row r="198" spans="1:8" ht="21" x14ac:dyDescent="0.3">
      <c r="A198" s="12"/>
      <c r="B198" s="13"/>
      <c r="C198" s="13"/>
      <c r="D198" s="13"/>
      <c r="E198" s="13"/>
      <c r="F198" s="13"/>
      <c r="G198" s="13"/>
      <c r="H198" s="8"/>
    </row>
    <row r="199" spans="1:8" ht="21" x14ac:dyDescent="0.3">
      <c r="A199" s="12"/>
      <c r="B199" s="13"/>
      <c r="C199" s="13"/>
      <c r="D199" s="13"/>
      <c r="E199" s="13"/>
      <c r="F199" s="13"/>
      <c r="G199" s="13"/>
      <c r="H199" s="8"/>
    </row>
    <row r="200" spans="1:8" ht="21" x14ac:dyDescent="0.3">
      <c r="A200" s="12"/>
      <c r="B200" s="13"/>
      <c r="C200" s="13"/>
      <c r="D200" s="13"/>
      <c r="E200" s="13"/>
      <c r="F200" s="13"/>
      <c r="G200" s="13"/>
      <c r="H200" s="8"/>
    </row>
    <row r="201" spans="1:8" ht="21" x14ac:dyDescent="0.3">
      <c r="A201" s="12"/>
      <c r="B201" s="13"/>
      <c r="C201" s="13"/>
      <c r="D201" s="13"/>
      <c r="E201" s="13"/>
      <c r="F201" s="13"/>
      <c r="G201" s="13"/>
      <c r="H201" s="8"/>
    </row>
    <row r="202" spans="1:8" ht="21" x14ac:dyDescent="0.3">
      <c r="A202" s="12"/>
      <c r="B202" s="13"/>
      <c r="C202" s="13"/>
      <c r="D202" s="13"/>
      <c r="E202" s="13"/>
      <c r="F202" s="13"/>
      <c r="G202" s="13"/>
      <c r="H202" s="8"/>
    </row>
    <row r="203" spans="1:8" ht="21" x14ac:dyDescent="0.3">
      <c r="A203" s="12"/>
      <c r="B203" s="13"/>
      <c r="C203" s="13"/>
      <c r="D203" s="13"/>
      <c r="E203" s="13"/>
      <c r="F203" s="13"/>
      <c r="G203" s="13"/>
      <c r="H203" s="8"/>
    </row>
    <row r="204" spans="1:8" ht="21" x14ac:dyDescent="0.3">
      <c r="A204" s="12"/>
      <c r="B204" s="13"/>
      <c r="C204" s="13"/>
      <c r="D204" s="13"/>
      <c r="E204" s="13"/>
      <c r="F204" s="13"/>
      <c r="G204" s="13"/>
      <c r="H204" s="8"/>
    </row>
    <row r="205" spans="1:8" ht="21" x14ac:dyDescent="0.3">
      <c r="A205" s="12"/>
      <c r="B205" s="13"/>
      <c r="C205" s="13"/>
      <c r="D205" s="13"/>
      <c r="E205" s="13"/>
      <c r="F205" s="13"/>
      <c r="G205" s="13"/>
      <c r="H205" s="8"/>
    </row>
    <row r="206" spans="1:8" ht="21" x14ac:dyDescent="0.3">
      <c r="A206" s="12"/>
      <c r="B206" s="13"/>
      <c r="C206" s="13"/>
      <c r="D206" s="13"/>
      <c r="E206" s="13"/>
      <c r="F206" s="13"/>
      <c r="G206" s="13"/>
      <c r="H206" s="8"/>
    </row>
    <row r="207" spans="1:8" ht="21" x14ac:dyDescent="0.3">
      <c r="A207" s="12"/>
      <c r="B207" s="13"/>
      <c r="C207" s="13"/>
      <c r="D207" s="13"/>
      <c r="E207" s="13"/>
      <c r="F207" s="13"/>
      <c r="G207" s="13"/>
      <c r="H207" s="8"/>
    </row>
    <row r="208" spans="1:8" ht="21" x14ac:dyDescent="0.3">
      <c r="A208" s="12"/>
      <c r="B208" s="13"/>
      <c r="C208" s="13"/>
      <c r="D208" s="13"/>
      <c r="E208" s="13"/>
      <c r="F208" s="13"/>
      <c r="G208" s="13"/>
      <c r="H208" s="8"/>
    </row>
    <row r="209" spans="1:8" ht="21" x14ac:dyDescent="0.3">
      <c r="A209" s="12"/>
      <c r="B209" s="13"/>
      <c r="C209" s="13"/>
      <c r="D209" s="13"/>
      <c r="E209" s="13"/>
      <c r="F209" s="13"/>
      <c r="G209" s="13"/>
      <c r="H209" s="8"/>
    </row>
    <row r="210" spans="1:8" ht="21" x14ac:dyDescent="0.3">
      <c r="A210" s="12"/>
      <c r="B210" s="13"/>
      <c r="C210" s="13"/>
      <c r="D210" s="13"/>
      <c r="E210" s="13"/>
      <c r="F210" s="13"/>
      <c r="G210" s="13"/>
      <c r="H210" s="8"/>
    </row>
    <row r="211" spans="1:8" ht="21" x14ac:dyDescent="0.3">
      <c r="A211" s="12"/>
      <c r="B211" s="13"/>
      <c r="C211" s="13"/>
      <c r="D211" s="13"/>
      <c r="E211" s="13"/>
      <c r="F211" s="13"/>
      <c r="G211" s="13"/>
      <c r="H211" s="8"/>
    </row>
    <row r="212" spans="1:8" ht="21" x14ac:dyDescent="0.3">
      <c r="A212" s="12"/>
      <c r="B212" s="13"/>
      <c r="C212" s="13"/>
      <c r="D212" s="13"/>
      <c r="E212" s="13"/>
      <c r="F212" s="13"/>
      <c r="G212" s="13"/>
      <c r="H212" s="8"/>
    </row>
    <row r="213" spans="1:8" ht="21" x14ac:dyDescent="0.3">
      <c r="A213" s="12"/>
      <c r="B213" s="13"/>
      <c r="C213" s="13"/>
      <c r="D213" s="13"/>
      <c r="E213" s="13"/>
      <c r="F213" s="13"/>
      <c r="G213" s="13"/>
      <c r="H213" s="8"/>
    </row>
    <row r="214" spans="1:8" ht="21" x14ac:dyDescent="0.3">
      <c r="A214" s="14"/>
      <c r="B214" s="15"/>
      <c r="C214" s="15"/>
      <c r="D214" s="15"/>
      <c r="E214" s="15"/>
      <c r="F214" s="15"/>
      <c r="G214" s="15"/>
      <c r="H214" s="9"/>
    </row>
    <row r="215" spans="1:8" ht="21" x14ac:dyDescent="0.3">
      <c r="A215" s="115" t="s">
        <v>158</v>
      </c>
      <c r="B215" s="115"/>
      <c r="C215" s="115"/>
      <c r="D215" s="115"/>
      <c r="E215" s="115"/>
      <c r="F215" s="115"/>
      <c r="G215" s="115"/>
      <c r="H215" s="115"/>
    </row>
    <row r="216" spans="1:8" ht="21" x14ac:dyDescent="0.3">
      <c r="A216" s="10"/>
      <c r="B216" s="11"/>
      <c r="C216" s="11"/>
      <c r="D216" s="11"/>
      <c r="E216" s="11"/>
      <c r="F216" s="11"/>
      <c r="G216" s="11"/>
      <c r="H216" s="7"/>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
      <c r="B256" s="13"/>
      <c r="C256" s="13"/>
      <c r="D256" s="13"/>
      <c r="E256" s="13"/>
      <c r="F256" s="13"/>
      <c r="G256" s="13"/>
      <c r="H256" s="8"/>
    </row>
    <row r="257" spans="1:8" ht="21" x14ac:dyDescent="0.3">
      <c r="A257" s="12"/>
      <c r="B257" s="13"/>
      <c r="C257" s="13"/>
      <c r="D257" s="13"/>
      <c r="E257" s="13"/>
      <c r="F257" s="13"/>
      <c r="G257" s="13"/>
      <c r="H257" s="8"/>
    </row>
    <row r="258" spans="1:8" ht="21" x14ac:dyDescent="0.3">
      <c r="A258" s="14"/>
      <c r="B258" s="15"/>
      <c r="C258" s="15"/>
      <c r="D258" s="15"/>
      <c r="E258" s="15"/>
      <c r="F258" s="15"/>
      <c r="G258" s="15"/>
      <c r="H258" s="9"/>
    </row>
    <row r="259" spans="1:8" ht="21" x14ac:dyDescent="0.3">
      <c r="A259" s="116" t="s">
        <v>77</v>
      </c>
      <c r="B259" s="117"/>
      <c r="C259" s="117"/>
      <c r="D259" s="117"/>
      <c r="E259" s="117"/>
      <c r="F259" s="117"/>
      <c r="G259" s="117"/>
      <c r="H259" s="118"/>
    </row>
    <row r="260" spans="1:8" ht="21" x14ac:dyDescent="0.3">
      <c r="A260" s="10"/>
      <c r="B260" s="11"/>
      <c r="C260" s="11"/>
      <c r="D260" s="11"/>
      <c r="E260" s="11"/>
      <c r="F260" s="11"/>
      <c r="G260" s="11"/>
      <c r="H260" s="7"/>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15" t="s">
        <v>24</v>
      </c>
      <c r="B287" s="115"/>
      <c r="C287" s="115"/>
      <c r="D287" s="115"/>
      <c r="E287" s="115"/>
      <c r="F287" s="115"/>
      <c r="G287" s="115"/>
      <c r="H287" s="115"/>
    </row>
    <row r="288" spans="1:8" ht="21" x14ac:dyDescent="0.3">
      <c r="A288" s="126" t="s">
        <v>78</v>
      </c>
      <c r="B288" s="127"/>
      <c r="C288" s="127"/>
      <c r="D288" s="127"/>
      <c r="E288" s="127"/>
      <c r="F288" s="127"/>
      <c r="G288" s="127"/>
      <c r="H288" s="128"/>
    </row>
    <row r="289" spans="1:8" ht="21" x14ac:dyDescent="0.3">
      <c r="A289" s="129" t="s">
        <v>79</v>
      </c>
      <c r="B289" s="130"/>
      <c r="C289" s="130"/>
      <c r="D289" s="130"/>
      <c r="E289" s="130"/>
      <c r="F289" s="130"/>
      <c r="G289" s="130"/>
      <c r="H289" s="131"/>
    </row>
    <row r="290" spans="1:8" ht="45" customHeight="1" x14ac:dyDescent="0.3">
      <c r="A290" s="129" t="s">
        <v>80</v>
      </c>
      <c r="B290" s="130"/>
      <c r="C290" s="130"/>
      <c r="D290" s="130"/>
      <c r="E290" s="130"/>
      <c r="F290" s="130"/>
      <c r="G290" s="130"/>
      <c r="H290" s="131"/>
    </row>
    <row r="291" spans="1:8" ht="42.75" customHeight="1" x14ac:dyDescent="0.3">
      <c r="A291" s="129" t="s">
        <v>81</v>
      </c>
      <c r="B291" s="130"/>
      <c r="C291" s="130"/>
      <c r="D291" s="130"/>
      <c r="E291" s="130"/>
      <c r="F291" s="130"/>
      <c r="G291" s="130"/>
      <c r="H291" s="131"/>
    </row>
    <row r="292" spans="1:8" ht="21" x14ac:dyDescent="0.3">
      <c r="A292" s="129" t="s">
        <v>82</v>
      </c>
      <c r="B292" s="130"/>
      <c r="C292" s="130"/>
      <c r="D292" s="130"/>
      <c r="E292" s="130"/>
      <c r="F292" s="130"/>
      <c r="G292" s="130"/>
      <c r="H292" s="131"/>
    </row>
    <row r="293" spans="1:8" ht="21" x14ac:dyDescent="0.3">
      <c r="A293" s="129" t="s">
        <v>83</v>
      </c>
      <c r="B293" s="130"/>
      <c r="C293" s="130"/>
      <c r="D293" s="130"/>
      <c r="E293" s="130"/>
      <c r="F293" s="130"/>
      <c r="G293" s="130"/>
      <c r="H293" s="131"/>
    </row>
    <row r="294" spans="1:8" ht="45" customHeight="1" x14ac:dyDescent="0.3">
      <c r="A294" s="129" t="s">
        <v>84</v>
      </c>
      <c r="B294" s="130"/>
      <c r="C294" s="130"/>
      <c r="D294" s="130"/>
      <c r="E294" s="130"/>
      <c r="F294" s="130"/>
      <c r="G294" s="130"/>
      <c r="H294" s="131"/>
    </row>
    <row r="295" spans="1:8" ht="45" customHeight="1" x14ac:dyDescent="0.3">
      <c r="A295" s="129" t="s">
        <v>85</v>
      </c>
      <c r="B295" s="130"/>
      <c r="C295" s="130"/>
      <c r="D295" s="130"/>
      <c r="E295" s="130"/>
      <c r="F295" s="130"/>
      <c r="G295" s="130"/>
      <c r="H295" s="131"/>
    </row>
    <row r="296" spans="1:8" ht="21" x14ac:dyDescent="0.3">
      <c r="A296" s="132" t="s">
        <v>86</v>
      </c>
      <c r="B296" s="133"/>
      <c r="C296" s="133"/>
      <c r="D296" s="133"/>
      <c r="E296" s="133"/>
      <c r="F296" s="133"/>
      <c r="G296" s="133"/>
      <c r="H296" s="134"/>
    </row>
    <row r="297" spans="1:8" ht="61.8" customHeight="1" x14ac:dyDescent="0.3">
      <c r="A297" s="136" t="s">
        <v>30</v>
      </c>
      <c r="B297" s="137"/>
      <c r="C297" s="138" t="s">
        <v>323</v>
      </c>
      <c r="D297" s="139"/>
      <c r="E297" s="136" t="s">
        <v>9</v>
      </c>
      <c r="F297" s="137"/>
      <c r="G297" s="124"/>
      <c r="H297" s="124"/>
    </row>
  </sheetData>
  <mergeCells count="286">
    <mergeCell ref="A171:H171"/>
    <mergeCell ref="B127:H127"/>
    <mergeCell ref="A91:H91"/>
    <mergeCell ref="A115:B115"/>
    <mergeCell ref="A116:B116"/>
    <mergeCell ref="A117:B117"/>
    <mergeCell ref="D114:H114"/>
    <mergeCell ref="A103:B103"/>
    <mergeCell ref="A104:B104"/>
    <mergeCell ref="A105:B105"/>
    <mergeCell ref="A106:B106"/>
    <mergeCell ref="A101:H101"/>
    <mergeCell ref="A102:B102"/>
    <mergeCell ref="A112:B112"/>
    <mergeCell ref="A114:B114"/>
    <mergeCell ref="A110:B110"/>
    <mergeCell ref="A109:B109"/>
    <mergeCell ref="A107:H107"/>
    <mergeCell ref="A111:B111"/>
    <mergeCell ref="B126:H126"/>
    <mergeCell ref="G86:H86"/>
    <mergeCell ref="A87:B87"/>
    <mergeCell ref="G87:H87"/>
    <mergeCell ref="A88:B88"/>
    <mergeCell ref="G88:H88"/>
    <mergeCell ref="G73:H73"/>
    <mergeCell ref="G79:H79"/>
    <mergeCell ref="A85:H85"/>
    <mergeCell ref="A86:B86"/>
    <mergeCell ref="E86:F86"/>
    <mergeCell ref="G77:H77"/>
    <mergeCell ref="G81:H81"/>
    <mergeCell ref="A78:H78"/>
    <mergeCell ref="E75:F75"/>
    <mergeCell ref="A77:B77"/>
    <mergeCell ref="E76:F76"/>
    <mergeCell ref="G76:H76"/>
    <mergeCell ref="E88:F88"/>
    <mergeCell ref="A45:B45"/>
    <mergeCell ref="A46:B46"/>
    <mergeCell ref="D46:F46"/>
    <mergeCell ref="D45:F45"/>
    <mergeCell ref="A55:B55"/>
    <mergeCell ref="A56:B56"/>
    <mergeCell ref="C53:F53"/>
    <mergeCell ref="C54:F54"/>
    <mergeCell ref="A65:B65"/>
    <mergeCell ref="E58:F58"/>
    <mergeCell ref="E59:F59"/>
    <mergeCell ref="A58:C59"/>
    <mergeCell ref="E61:F72"/>
    <mergeCell ref="A64:B64"/>
    <mergeCell ref="A66:B66"/>
    <mergeCell ref="C18:D18"/>
    <mergeCell ref="C19:D19"/>
    <mergeCell ref="C20:D20"/>
    <mergeCell ref="C21:D21"/>
    <mergeCell ref="C22:D22"/>
    <mergeCell ref="C24:H24"/>
    <mergeCell ref="C23:H23"/>
    <mergeCell ref="A31:B31"/>
    <mergeCell ref="A32:B32"/>
    <mergeCell ref="E26:F26"/>
    <mergeCell ref="A1:H1"/>
    <mergeCell ref="A129:C129"/>
    <mergeCell ref="G27:H27"/>
    <mergeCell ref="G28:H28"/>
    <mergeCell ref="A37:H37"/>
    <mergeCell ref="A44:H44"/>
    <mergeCell ref="A47:H47"/>
    <mergeCell ref="G80:H80"/>
    <mergeCell ref="G7:H7"/>
    <mergeCell ref="G45:H45"/>
    <mergeCell ref="A25:H25"/>
    <mergeCell ref="G26:H26"/>
    <mergeCell ref="G20:H20"/>
    <mergeCell ref="G21:H21"/>
    <mergeCell ref="A9:A11"/>
    <mergeCell ref="G6:H6"/>
    <mergeCell ref="A5:H5"/>
    <mergeCell ref="A33:H33"/>
    <mergeCell ref="G30:H30"/>
    <mergeCell ref="G29:H29"/>
    <mergeCell ref="A13:H13"/>
    <mergeCell ref="A57:H57"/>
    <mergeCell ref="A60:B60"/>
    <mergeCell ref="A61:B61"/>
    <mergeCell ref="G14:H14"/>
    <mergeCell ref="G297:H297"/>
    <mergeCell ref="A128:H128"/>
    <mergeCell ref="D130:H130"/>
    <mergeCell ref="A288:H288"/>
    <mergeCell ref="A294:H294"/>
    <mergeCell ref="A295:H295"/>
    <mergeCell ref="A296:H296"/>
    <mergeCell ref="A289:H289"/>
    <mergeCell ref="A290:H290"/>
    <mergeCell ref="A291:H291"/>
    <mergeCell ref="A292:H292"/>
    <mergeCell ref="A130:C130"/>
    <mergeCell ref="A287:H287"/>
    <mergeCell ref="A293:H293"/>
    <mergeCell ref="A259:H259"/>
    <mergeCell ref="D129:H129"/>
    <mergeCell ref="A131:C131"/>
    <mergeCell ref="D131:H131"/>
    <mergeCell ref="A215:H215"/>
    <mergeCell ref="E297:F297"/>
    <mergeCell ref="A297:B297"/>
    <mergeCell ref="C297:D297"/>
    <mergeCell ref="C55:F55"/>
    <mergeCell ref="G16:H16"/>
    <mergeCell ref="G17:H17"/>
    <mergeCell ref="G15:H15"/>
    <mergeCell ref="G18:H18"/>
    <mergeCell ref="G19:H19"/>
    <mergeCell ref="G46:H46"/>
    <mergeCell ref="G31:H31"/>
    <mergeCell ref="G22:H22"/>
    <mergeCell ref="G36:H36"/>
    <mergeCell ref="G35:H35"/>
    <mergeCell ref="B125:H125"/>
    <mergeCell ref="A119:H119"/>
    <mergeCell ref="E3:F3"/>
    <mergeCell ref="E4:F4"/>
    <mergeCell ref="A83:B83"/>
    <mergeCell ref="A84:B84"/>
    <mergeCell ref="A62:B62"/>
    <mergeCell ref="C27:D27"/>
    <mergeCell ref="A69:B69"/>
    <mergeCell ref="A70:B70"/>
    <mergeCell ref="A71:B71"/>
    <mergeCell ref="A72:B72"/>
    <mergeCell ref="A63:B63"/>
    <mergeCell ref="C86:D86"/>
    <mergeCell ref="A108:B108"/>
    <mergeCell ref="A74:H74"/>
    <mergeCell ref="G75:H75"/>
    <mergeCell ref="B121:H121"/>
    <mergeCell ref="B120:H120"/>
    <mergeCell ref="B124:H124"/>
    <mergeCell ref="B123:H123"/>
    <mergeCell ref="B122:H122"/>
    <mergeCell ref="A75:B75"/>
    <mergeCell ref="C75:D75"/>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8:D28"/>
    <mergeCell ref="C29:D29"/>
    <mergeCell ref="C30:D30"/>
    <mergeCell ref="C31:D31"/>
    <mergeCell ref="C32:H32"/>
    <mergeCell ref="A28:B28"/>
    <mergeCell ref="A29:B29"/>
    <mergeCell ref="A30:B30"/>
    <mergeCell ref="A26:B26"/>
    <mergeCell ref="A27:B27"/>
    <mergeCell ref="E27:F27"/>
    <mergeCell ref="E28:F28"/>
    <mergeCell ref="E29:F29"/>
    <mergeCell ref="E30:F30"/>
    <mergeCell ref="E31:F31"/>
    <mergeCell ref="C26:D26"/>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E77:F77"/>
    <mergeCell ref="A79:F79"/>
    <mergeCell ref="A80:F80"/>
    <mergeCell ref="A81:F81"/>
    <mergeCell ref="A76:B76"/>
    <mergeCell ref="A48:B48"/>
    <mergeCell ref="A50:B50"/>
    <mergeCell ref="A53:B53"/>
    <mergeCell ref="A54:B54"/>
    <mergeCell ref="A49:B49"/>
    <mergeCell ref="C48:H48"/>
    <mergeCell ref="C49:F49"/>
    <mergeCell ref="C50:F50"/>
    <mergeCell ref="C51:F51"/>
    <mergeCell ref="A51:B52"/>
    <mergeCell ref="C52:H52"/>
    <mergeCell ref="G61:H72"/>
    <mergeCell ref="C76:D76"/>
    <mergeCell ref="C77:D77"/>
    <mergeCell ref="C56:F56"/>
    <mergeCell ref="E60:F60"/>
    <mergeCell ref="A68:B68"/>
    <mergeCell ref="A67:B67"/>
    <mergeCell ref="A73:F73"/>
    <mergeCell ref="D110:H110"/>
    <mergeCell ref="A113:H113"/>
    <mergeCell ref="A118:B118"/>
    <mergeCell ref="D115:H115"/>
    <mergeCell ref="A82:H82"/>
    <mergeCell ref="C83:D83"/>
    <mergeCell ref="E83:F83"/>
    <mergeCell ref="G83:H83"/>
    <mergeCell ref="C84:D84"/>
    <mergeCell ref="E84:F84"/>
    <mergeCell ref="G84:H84"/>
    <mergeCell ref="A92:H92"/>
    <mergeCell ref="A93:B93"/>
    <mergeCell ref="A94:B94"/>
    <mergeCell ref="A95:B95"/>
    <mergeCell ref="A96:B96"/>
    <mergeCell ref="A97:B97"/>
    <mergeCell ref="A98:B98"/>
    <mergeCell ref="A99:B99"/>
    <mergeCell ref="A100:B100"/>
    <mergeCell ref="A89:H89"/>
    <mergeCell ref="E87:F87"/>
    <mergeCell ref="C87:D87"/>
    <mergeCell ref="C88:D88"/>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77" xr:uid="{00000000-0002-0000-0000-000002000000}">
      <formula1>"300000,350000,400000,500000,600000,700000,800000,900000,1000000,1200000,1400000,1500000,1600000"</formula1>
    </dataValidation>
    <dataValidation type="list" allowBlank="1" showInputMessage="1" showErrorMessage="1" sqref="F90" xr:uid="{00000000-0002-0000-0000-000003000000}">
      <formula1>"AF Area, 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90" xr:uid="{00000000-0002-0000-0000-000006000000}">
      <formula1>"Sale /         Rehab /           PAP,Sale / Mhada,Sale / Landowner"</formula1>
    </dataValidation>
  </dataValidations>
  <hyperlinks>
    <hyperlink ref="C23" r:id="rId1" xr:uid="{00000000-0004-0000-0000-000000000000}"/>
    <hyperlink ref="I24" r:id="rId2" location="amenities"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5" manualBreakCount="5">
    <brk id="56" max="16383" man="1"/>
    <brk id="127" max="7" man="1"/>
    <brk id="170" max="16383" man="1"/>
    <brk id="214" max="16383" man="1"/>
    <brk id="258"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15" t="s">
        <v>69</v>
      </c>
      <c r="B3" s="115"/>
      <c r="C3" s="115"/>
      <c r="D3" s="115"/>
      <c r="E3" s="115"/>
      <c r="F3" s="115"/>
      <c r="G3" s="115"/>
      <c r="H3" s="115"/>
      <c r="I3" s="115"/>
    </row>
    <row r="4" spans="1:11" s="1" customFormat="1" ht="20.25" customHeight="1" x14ac:dyDescent="0.4">
      <c r="A4" s="166">
        <v>1</v>
      </c>
      <c r="B4" s="166"/>
      <c r="C4" s="166"/>
      <c r="D4" s="167" t="s">
        <v>4</v>
      </c>
      <c r="E4" s="30" t="s">
        <v>115</v>
      </c>
      <c r="F4" s="149" t="s">
        <v>102</v>
      </c>
      <c r="G4" s="149"/>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66"/>
      <c r="B5" s="166"/>
      <c r="C5" s="166"/>
      <c r="D5" s="167"/>
      <c r="E5" s="30">
        <v>3</v>
      </c>
      <c r="F5" s="149">
        <v>1</v>
      </c>
      <c r="G5" s="149"/>
      <c r="H5" s="30">
        <v>0</v>
      </c>
      <c r="I5" s="30">
        <f ca="1">--TRIM(RIGHT(SUBSTITUTE(LEFT(A4,_xlfn.AGGREGATE(16,6,FIND({0,1,2,3,4,5,6,7,8,9},A4,ROW(INDIRECT("1:"&amp;LEN(A4)))),1))," ",REPT(" ",LEN(A4))),LEN(A4)))</f>
        <v>1</v>
      </c>
      <c r="J5" s="17" t="s">
        <v>121</v>
      </c>
      <c r="K5" s="18"/>
    </row>
    <row r="6" spans="1:11" s="1" customFormat="1" ht="20.25" customHeight="1" x14ac:dyDescent="0.4">
      <c r="A6" s="143" t="s">
        <v>119</v>
      </c>
      <c r="B6" s="143"/>
      <c r="C6" s="143" t="s">
        <v>129</v>
      </c>
      <c r="D6" s="143"/>
      <c r="E6" s="28" t="s">
        <v>130</v>
      </c>
      <c r="F6" s="143" t="s">
        <v>120</v>
      </c>
      <c r="G6" s="143"/>
      <c r="H6" s="29" t="s">
        <v>118</v>
      </c>
      <c r="I6" s="29"/>
      <c r="J6" s="20" t="s">
        <v>131</v>
      </c>
      <c r="K6" s="19">
        <f ca="1">I5*25%</f>
        <v>0.25</v>
      </c>
    </row>
    <row r="7" spans="1:11" s="1" customFormat="1" ht="20.25" customHeight="1" x14ac:dyDescent="0.4">
      <c r="A7" s="104" t="s">
        <v>132</v>
      </c>
      <c r="B7" s="104"/>
      <c r="C7" s="149">
        <f ca="1">K8</f>
        <v>1</v>
      </c>
      <c r="D7" s="149"/>
      <c r="E7" s="5">
        <f ca="1">((100/I5)*C7)/100</f>
        <v>1</v>
      </c>
      <c r="F7" s="104">
        <f ca="1">(((C7/I5*5)+(C8/I5*20)+(25/(F5+H5+I5)*C9)+(5/(I5)*C10)+(2.5/(I5)*C11)+(2.5/(I5)*C12)+(5/I5*C13)+(10/I5*C14)+(2.5/I5*C15)+(2.5/I5*C16)+(10/I5*C17)+(10/I5*C18))/100)</f>
        <v>0.25</v>
      </c>
      <c r="G7" s="104"/>
      <c r="H7" s="104" t="str">
        <f ca="1">J4</f>
        <v>Excavation work Completed. Plinth work completed</v>
      </c>
      <c r="I7" s="104"/>
      <c r="J7" s="20" t="s">
        <v>122</v>
      </c>
      <c r="K7" s="24">
        <f ca="1">I5*50%</f>
        <v>0.5</v>
      </c>
    </row>
    <row r="8" spans="1:11" s="1" customFormat="1" ht="21" x14ac:dyDescent="0.4">
      <c r="A8" s="104" t="s">
        <v>103</v>
      </c>
      <c r="B8" s="104"/>
      <c r="C8" s="168">
        <f ca="1">K16</f>
        <v>1</v>
      </c>
      <c r="D8" s="149"/>
      <c r="E8" s="5">
        <f ca="1">((100/I5)*C8)/100</f>
        <v>1</v>
      </c>
      <c r="F8" s="104"/>
      <c r="G8" s="104"/>
      <c r="H8" s="104"/>
      <c r="I8" s="104"/>
      <c r="J8" s="20" t="s">
        <v>123</v>
      </c>
      <c r="K8" s="24">
        <f ca="1">I5</f>
        <v>1</v>
      </c>
    </row>
    <row r="9" spans="1:11" s="1" customFormat="1" ht="21" customHeight="1" x14ac:dyDescent="0.4">
      <c r="A9" s="104" t="s">
        <v>133</v>
      </c>
      <c r="B9" s="104"/>
      <c r="C9" s="149">
        <v>0</v>
      </c>
      <c r="D9" s="149"/>
      <c r="E9" s="5">
        <f ca="1">((100/(F5+H5+I5))*C9)/100</f>
        <v>0</v>
      </c>
      <c r="F9" s="104"/>
      <c r="G9" s="104"/>
      <c r="H9" s="104"/>
      <c r="I9" s="104"/>
      <c r="J9" s="20" t="s">
        <v>124</v>
      </c>
      <c r="K9" s="25">
        <f ca="1">(IF(E5&gt;1,(I5/(E5+2)),I5*0.2))</f>
        <v>0.2</v>
      </c>
    </row>
    <row r="10" spans="1:11" s="1" customFormat="1" ht="21" customHeight="1" x14ac:dyDescent="0.4">
      <c r="A10" s="104" t="s">
        <v>134</v>
      </c>
      <c r="B10" s="104"/>
      <c r="C10" s="149">
        <v>0</v>
      </c>
      <c r="D10" s="149"/>
      <c r="E10" s="5">
        <f ca="1">((100/I5)*C10)/100</f>
        <v>0</v>
      </c>
      <c r="F10" s="104"/>
      <c r="G10" s="104"/>
      <c r="H10" s="104"/>
      <c r="I10" s="104"/>
      <c r="J10" s="20" t="s">
        <v>125</v>
      </c>
      <c r="K10" s="25">
        <f ca="1">(IF(E5&gt;1,(I5/(E5+2)+K9),I5*0.2+K9))</f>
        <v>0.4</v>
      </c>
    </row>
    <row r="11" spans="1:11" s="1" customFormat="1" ht="21" customHeight="1" x14ac:dyDescent="0.4">
      <c r="A11" s="147" t="s">
        <v>135</v>
      </c>
      <c r="B11" s="148"/>
      <c r="C11" s="149">
        <v>0</v>
      </c>
      <c r="D11" s="149"/>
      <c r="E11" s="5">
        <f ca="1">((100/I5)*C11)/100</f>
        <v>0</v>
      </c>
      <c r="F11" s="104"/>
      <c r="G11" s="104"/>
      <c r="H11" s="104"/>
      <c r="I11" s="104"/>
      <c r="J11" s="20" t="s">
        <v>136</v>
      </c>
      <c r="K11" s="25">
        <f ca="1">(IF(E5&gt;1,(I5/(E5+2)+K10),0))</f>
        <v>0.60000000000000009</v>
      </c>
    </row>
    <row r="12" spans="1:11" s="1" customFormat="1" ht="21" customHeight="1" x14ac:dyDescent="0.4">
      <c r="A12" s="147" t="s">
        <v>165</v>
      </c>
      <c r="B12" s="148"/>
      <c r="C12" s="149">
        <v>0</v>
      </c>
      <c r="D12" s="149"/>
      <c r="E12" s="5">
        <f ca="1">((100/I5)*C12)/100</f>
        <v>0</v>
      </c>
      <c r="F12" s="104"/>
      <c r="G12" s="104"/>
      <c r="H12" s="104"/>
      <c r="I12" s="104"/>
      <c r="J12" s="20" t="s">
        <v>137</v>
      </c>
      <c r="K12" s="25">
        <f ca="1">(IF(E5&gt;2,(I5/(E5+2)+K11),0))</f>
        <v>0.8</v>
      </c>
    </row>
    <row r="13" spans="1:11" s="1" customFormat="1" ht="57.75" customHeight="1" x14ac:dyDescent="0.4">
      <c r="A13" s="147" t="s">
        <v>162</v>
      </c>
      <c r="B13" s="148"/>
      <c r="C13" s="149">
        <v>0</v>
      </c>
      <c r="D13" s="149"/>
      <c r="E13" s="5">
        <f ca="1">((100/(I5))*C13)/100</f>
        <v>0</v>
      </c>
      <c r="F13" s="104"/>
      <c r="G13" s="104"/>
      <c r="H13" s="104"/>
      <c r="I13" s="104"/>
      <c r="J13" s="20" t="s">
        <v>139</v>
      </c>
      <c r="K13" s="26">
        <f>(IF(E5&gt;3,(I5/(E5+2)+K12),0))</f>
        <v>0</v>
      </c>
    </row>
    <row r="14" spans="1:11" s="1" customFormat="1" ht="21" x14ac:dyDescent="0.4">
      <c r="A14" s="104" t="s">
        <v>138</v>
      </c>
      <c r="B14" s="104"/>
      <c r="C14" s="149">
        <v>0</v>
      </c>
      <c r="D14" s="149"/>
      <c r="E14" s="5">
        <f ca="1">((100/(I5))*C14)/100</f>
        <v>0</v>
      </c>
      <c r="F14" s="104"/>
      <c r="G14" s="104"/>
      <c r="H14" s="104"/>
      <c r="I14" s="104"/>
      <c r="J14" s="20" t="s">
        <v>140</v>
      </c>
      <c r="K14" s="25">
        <f>(IF(E5&gt;4,(I5/(E5+2)+K13),0))</f>
        <v>0</v>
      </c>
    </row>
    <row r="15" spans="1:11" s="1" customFormat="1" ht="21" customHeight="1" x14ac:dyDescent="0.4">
      <c r="A15" s="104" t="s">
        <v>164</v>
      </c>
      <c r="B15" s="104"/>
      <c r="C15" s="149">
        <v>0</v>
      </c>
      <c r="D15" s="149"/>
      <c r="E15" s="5">
        <f ca="1">((100/I5)*C15)/100</f>
        <v>0</v>
      </c>
      <c r="F15" s="104"/>
      <c r="G15" s="104"/>
      <c r="H15" s="104"/>
      <c r="I15" s="104"/>
      <c r="J15" s="20" t="s">
        <v>126</v>
      </c>
      <c r="K15" s="25">
        <f>(IF(E5=1,(I5/(E5+3)+K10),IF(E5=0,(I5*0.3+K10),IF(E5&gt;1,0))))</f>
        <v>0</v>
      </c>
    </row>
    <row r="16" spans="1:11" s="1" customFormat="1" ht="21.6" thickBot="1" x14ac:dyDescent="0.45">
      <c r="A16" s="104" t="s">
        <v>163</v>
      </c>
      <c r="B16" s="104"/>
      <c r="C16" s="149">
        <v>0</v>
      </c>
      <c r="D16" s="149"/>
      <c r="E16" s="5">
        <f ca="1">((100/I5)*C16)/100</f>
        <v>0</v>
      </c>
      <c r="F16" s="104"/>
      <c r="G16" s="104"/>
      <c r="H16" s="104"/>
      <c r="I16" s="104"/>
      <c r="J16" s="22" t="s">
        <v>127</v>
      </c>
      <c r="K16" s="27">
        <f ca="1">(IF(E5&gt;1.5,(I5/(E5+2)+K10+MAX(0,K11-K10)+MAX(0,K12-K11)+MAX(0,K13-K12)+MAX(0,K14-K13)+MAX(0,K15-K14)),IF(E5=1,(I5/(E5+3)+K15),IF(E5=0,I5*0.3+K15))))</f>
        <v>1</v>
      </c>
    </row>
    <row r="17" spans="1:9" s="1" customFormat="1" ht="21" x14ac:dyDescent="0.3">
      <c r="A17" s="104" t="s">
        <v>141</v>
      </c>
      <c r="B17" s="104"/>
      <c r="C17" s="149">
        <v>0</v>
      </c>
      <c r="D17" s="149"/>
      <c r="E17" s="5">
        <f ca="1">((100/(I5))*C17)/100</f>
        <v>0</v>
      </c>
      <c r="F17" s="104"/>
      <c r="G17" s="104"/>
      <c r="H17" s="104"/>
      <c r="I17" s="104"/>
    </row>
    <row r="18" spans="1:9" s="1" customFormat="1" ht="21" x14ac:dyDescent="0.3">
      <c r="A18" s="104" t="s">
        <v>142</v>
      </c>
      <c r="B18" s="104"/>
      <c r="C18" s="149">
        <v>0</v>
      </c>
      <c r="D18" s="149"/>
      <c r="E18" s="5">
        <f ca="1">((100/(I5))*C18)/100</f>
        <v>0</v>
      </c>
      <c r="F18" s="104"/>
      <c r="G18" s="104"/>
      <c r="H18" s="104"/>
      <c r="I18" s="104"/>
    </row>
    <row r="23" spans="1:9" x14ac:dyDescent="0.3">
      <c r="B23" s="169" t="s">
        <v>166</v>
      </c>
      <c r="C23" s="169"/>
      <c r="D23" s="169"/>
      <c r="E23" s="169"/>
      <c r="F23" s="169"/>
      <c r="G23" s="169"/>
    </row>
    <row r="24" spans="1:9" ht="14.4" customHeight="1" x14ac:dyDescent="0.3">
      <c r="B24" s="172" t="s">
        <v>167</v>
      </c>
      <c r="C24" s="172" t="s">
        <v>168</v>
      </c>
      <c r="D24" s="175" t="s">
        <v>169</v>
      </c>
      <c r="E24" s="176" t="s">
        <v>170</v>
      </c>
      <c r="F24" s="173" t="s">
        <v>171</v>
      </c>
      <c r="G24" s="172" t="s">
        <v>172</v>
      </c>
    </row>
    <row r="25" spans="1:9" x14ac:dyDescent="0.3">
      <c r="B25" s="172"/>
      <c r="C25" s="172"/>
      <c r="D25" s="175"/>
      <c r="E25" s="176"/>
      <c r="F25" s="173"/>
      <c r="G25" s="172"/>
    </row>
    <row r="26" spans="1:9" x14ac:dyDescent="0.3">
      <c r="B26" s="36" t="s">
        <v>173</v>
      </c>
      <c r="C26" s="37">
        <v>10</v>
      </c>
      <c r="D26" s="37">
        <v>1</v>
      </c>
      <c r="E26" s="38"/>
      <c r="F26" s="39">
        <f>((E26/D26)*0.05)*100</f>
        <v>0</v>
      </c>
      <c r="G26" s="39">
        <f t="shared" ref="G26:G37" si="0">((E26/D26)*(C26/100))*100</f>
        <v>0</v>
      </c>
    </row>
    <row r="27" spans="1:9" x14ac:dyDescent="0.3">
      <c r="B27" s="36" t="s">
        <v>174</v>
      </c>
      <c r="C27" s="38">
        <v>10</v>
      </c>
      <c r="D27" s="38">
        <v>1</v>
      </c>
      <c r="E27" s="38"/>
      <c r="F27" s="39">
        <f>((E27/D27)*0.05)*100</f>
        <v>0</v>
      </c>
      <c r="G27" s="39">
        <f t="shared" si="0"/>
        <v>0</v>
      </c>
    </row>
    <row r="28" spans="1:9" x14ac:dyDescent="0.3">
      <c r="B28" s="36" t="s">
        <v>175</v>
      </c>
      <c r="C28" s="38">
        <v>15</v>
      </c>
      <c r="D28" s="38">
        <v>1</v>
      </c>
      <c r="E28" s="38"/>
      <c r="F28" s="39">
        <f>((E28/D28)*0.15)*100</f>
        <v>0</v>
      </c>
      <c r="G28" s="39">
        <f t="shared" si="0"/>
        <v>0</v>
      </c>
    </row>
    <row r="29" spans="1:9" x14ac:dyDescent="0.3">
      <c r="B29" s="40" t="s">
        <v>176</v>
      </c>
      <c r="C29" s="38">
        <v>25</v>
      </c>
      <c r="D29" s="38">
        <v>40</v>
      </c>
      <c r="E29" s="38"/>
      <c r="F29" s="39">
        <f>((E29/D29)*0.25)*100</f>
        <v>0</v>
      </c>
      <c r="G29" s="39">
        <f t="shared" si="0"/>
        <v>0</v>
      </c>
    </row>
    <row r="30" spans="1:9" x14ac:dyDescent="0.3">
      <c r="B30" s="40" t="s">
        <v>177</v>
      </c>
      <c r="C30" s="38">
        <v>5</v>
      </c>
      <c r="D30" s="38">
        <v>39</v>
      </c>
      <c r="E30" s="38"/>
      <c r="F30" s="39">
        <f>((E30/D30)*0.05)*100</f>
        <v>0</v>
      </c>
      <c r="G30" s="39">
        <f t="shared" si="0"/>
        <v>0</v>
      </c>
    </row>
    <row r="31" spans="1:9" ht="28.8" x14ac:dyDescent="0.3">
      <c r="B31" s="40" t="s">
        <v>178</v>
      </c>
      <c r="C31" s="38">
        <v>2.5</v>
      </c>
      <c r="D31" s="38">
        <v>39</v>
      </c>
      <c r="E31" s="38"/>
      <c r="F31" s="39">
        <f>((E31/D31)*0.025)*100</f>
        <v>0</v>
      </c>
      <c r="G31" s="39">
        <f t="shared" si="0"/>
        <v>0</v>
      </c>
    </row>
    <row r="32" spans="1:9" ht="28.8" x14ac:dyDescent="0.3">
      <c r="B32" s="40" t="s">
        <v>179</v>
      </c>
      <c r="C32" s="38">
        <v>2.5</v>
      </c>
      <c r="D32" s="38">
        <v>39</v>
      </c>
      <c r="E32" s="38"/>
      <c r="F32" s="39">
        <f>((E32/D32)*0.025)*100</f>
        <v>0</v>
      </c>
      <c r="G32" s="39">
        <f t="shared" si="0"/>
        <v>0</v>
      </c>
    </row>
    <row r="33" spans="1:7" ht="43.2" x14ac:dyDescent="0.3">
      <c r="B33" s="41" t="s">
        <v>180</v>
      </c>
      <c r="C33" s="38">
        <v>5</v>
      </c>
      <c r="D33" s="38">
        <v>39</v>
      </c>
      <c r="E33" s="38"/>
      <c r="F33" s="39">
        <f>((E33/D33)*0.05)*100</f>
        <v>0</v>
      </c>
      <c r="G33" s="39">
        <f t="shared" si="0"/>
        <v>0</v>
      </c>
    </row>
    <row r="34" spans="1:7" ht="28.8" x14ac:dyDescent="0.3">
      <c r="B34" s="41" t="s">
        <v>181</v>
      </c>
      <c r="C34" s="38">
        <v>5</v>
      </c>
      <c r="D34" s="38">
        <v>39</v>
      </c>
      <c r="E34" s="38"/>
      <c r="F34" s="39">
        <f>((E34/D34)*0.1)*100</f>
        <v>0</v>
      </c>
      <c r="G34" s="39">
        <f t="shared" si="0"/>
        <v>0</v>
      </c>
    </row>
    <row r="35" spans="1:7" ht="28.8" x14ac:dyDescent="0.3">
      <c r="B35" s="41" t="s">
        <v>182</v>
      </c>
      <c r="C35" s="38">
        <v>5</v>
      </c>
      <c r="D35" s="38">
        <v>39</v>
      </c>
      <c r="E35" s="38"/>
      <c r="F35" s="39">
        <f>((E35/D35)*0.05)*100</f>
        <v>0</v>
      </c>
      <c r="G35" s="39">
        <f t="shared" si="0"/>
        <v>0</v>
      </c>
    </row>
    <row r="36" spans="1:7" ht="43.2" x14ac:dyDescent="0.3">
      <c r="B36" s="41" t="s">
        <v>183</v>
      </c>
      <c r="C36" s="38">
        <v>10</v>
      </c>
      <c r="D36" s="38">
        <v>39</v>
      </c>
      <c r="E36" s="38"/>
      <c r="F36" s="39">
        <f>((E36/D36)*0.1)*100</f>
        <v>0</v>
      </c>
      <c r="G36" s="39">
        <f t="shared" si="0"/>
        <v>0</v>
      </c>
    </row>
    <row r="37" spans="1:7" ht="43.2" x14ac:dyDescent="0.3">
      <c r="B37" s="41" t="s">
        <v>184</v>
      </c>
      <c r="C37" s="38">
        <v>5</v>
      </c>
      <c r="D37" s="38">
        <v>39</v>
      </c>
      <c r="E37" s="38"/>
      <c r="F37" s="39">
        <f>((E37/D37)*0.1)*100</f>
        <v>0</v>
      </c>
      <c r="G37" s="39">
        <f t="shared" si="0"/>
        <v>0</v>
      </c>
    </row>
    <row r="38" spans="1:7" ht="15.6" x14ac:dyDescent="0.3">
      <c r="B38" s="42" t="s">
        <v>185</v>
      </c>
      <c r="C38" s="43">
        <f>SUM(C26:C37)</f>
        <v>100</v>
      </c>
      <c r="D38" s="42"/>
      <c r="E38" s="42"/>
      <c r="F38" s="43">
        <f>SUM(F26:F37)</f>
        <v>0</v>
      </c>
      <c r="G38" s="43">
        <f>SUM(G26:G37)</f>
        <v>0</v>
      </c>
    </row>
    <row r="39" spans="1:7" x14ac:dyDescent="0.3">
      <c r="B39" s="173" t="s">
        <v>186</v>
      </c>
      <c r="C39" s="173"/>
      <c r="D39" s="173"/>
      <c r="E39" s="173"/>
      <c r="F39" s="173"/>
      <c r="G39" s="173"/>
    </row>
    <row r="40" spans="1:7" x14ac:dyDescent="0.3">
      <c r="B40" s="174" t="s">
        <v>187</v>
      </c>
      <c r="C40" s="174"/>
      <c r="D40" s="174"/>
      <c r="E40" s="174" t="s">
        <v>188</v>
      </c>
      <c r="F40" s="174"/>
      <c r="G40" s="174"/>
    </row>
    <row r="41" spans="1:7" x14ac:dyDescent="0.3">
      <c r="B41" s="170" t="s">
        <v>189</v>
      </c>
      <c r="C41" s="170"/>
      <c r="D41" s="170"/>
      <c r="E41" s="170" t="s">
        <v>190</v>
      </c>
      <c r="F41" s="170"/>
      <c r="G41" s="170"/>
    </row>
    <row r="42" spans="1:7" x14ac:dyDescent="0.3">
      <c r="B42" s="170" t="s">
        <v>191</v>
      </c>
      <c r="C42" s="170"/>
      <c r="D42" s="170"/>
      <c r="E42" s="170" t="s">
        <v>192</v>
      </c>
      <c r="F42" s="170"/>
      <c r="G42" s="170"/>
    </row>
    <row r="43" spans="1:7" x14ac:dyDescent="0.3">
      <c r="B43" s="171" t="s">
        <v>193</v>
      </c>
      <c r="C43" s="171"/>
      <c r="D43" s="171"/>
      <c r="E43" s="171" t="s">
        <v>194</v>
      </c>
      <c r="F43" s="171"/>
      <c r="G43" s="171"/>
    </row>
    <row r="45" spans="1:7" ht="15" thickBot="1" x14ac:dyDescent="0.35"/>
    <row r="46" spans="1:7" ht="16.8" thickTop="1" thickBot="1" x14ac:dyDescent="0.35">
      <c r="A46" s="44" t="s">
        <v>195</v>
      </c>
      <c r="B46" s="44" t="s">
        <v>167</v>
      </c>
      <c r="C46" s="45" t="s">
        <v>196</v>
      </c>
      <c r="D46" s="45" t="s">
        <v>197</v>
      </c>
      <c r="E46" s="45" t="s">
        <v>198</v>
      </c>
    </row>
    <row r="47" spans="1:7" ht="30" thickTop="1" thickBot="1" x14ac:dyDescent="0.35">
      <c r="A47" s="46">
        <v>1</v>
      </c>
      <c r="B47" s="47" t="s">
        <v>199</v>
      </c>
      <c r="C47" s="48">
        <v>0</v>
      </c>
      <c r="D47" s="49">
        <v>0.1</v>
      </c>
      <c r="E47" s="48">
        <v>0.1</v>
      </c>
    </row>
    <row r="48" spans="1:7" ht="15.6" thickTop="1" thickBot="1" x14ac:dyDescent="0.35">
      <c r="A48" s="46">
        <v>2</v>
      </c>
      <c r="B48" s="47" t="s">
        <v>200</v>
      </c>
      <c r="C48" s="48" t="s">
        <v>201</v>
      </c>
      <c r="D48" s="49" t="s">
        <v>202</v>
      </c>
      <c r="E48" s="48">
        <v>0.3</v>
      </c>
    </row>
    <row r="49" spans="1:5" ht="58.8" thickTop="1" thickBot="1" x14ac:dyDescent="0.35">
      <c r="A49" s="46">
        <v>3</v>
      </c>
      <c r="B49" s="47" t="s">
        <v>203</v>
      </c>
      <c r="C49" s="48" t="s">
        <v>204</v>
      </c>
      <c r="D49" s="49" t="s">
        <v>205</v>
      </c>
      <c r="E49" s="48">
        <v>0.45</v>
      </c>
    </row>
    <row r="50" spans="1:5" ht="73.2" thickTop="1" thickBot="1" x14ac:dyDescent="0.35">
      <c r="A50" s="46">
        <v>4</v>
      </c>
      <c r="B50" s="47" t="s">
        <v>206</v>
      </c>
      <c r="C50" s="48" t="s">
        <v>207</v>
      </c>
      <c r="D50" s="49" t="s">
        <v>208</v>
      </c>
      <c r="E50" s="48">
        <v>0.7</v>
      </c>
    </row>
    <row r="51" spans="1:5" ht="58.8" thickTop="1" thickBot="1" x14ac:dyDescent="0.35">
      <c r="A51" s="46">
        <v>5</v>
      </c>
      <c r="B51" s="47" t="s">
        <v>209</v>
      </c>
      <c r="C51" s="48" t="s">
        <v>210</v>
      </c>
      <c r="D51" s="49" t="s">
        <v>211</v>
      </c>
      <c r="E51" s="48">
        <v>0.75</v>
      </c>
    </row>
    <row r="52" spans="1:5" ht="73.2" thickTop="1" thickBot="1" x14ac:dyDescent="0.35">
      <c r="A52" s="46">
        <v>6</v>
      </c>
      <c r="B52" s="47" t="s">
        <v>212</v>
      </c>
      <c r="C52" s="48" t="s">
        <v>213</v>
      </c>
      <c r="D52" s="49" t="s">
        <v>214</v>
      </c>
      <c r="E52" s="48">
        <v>0.8</v>
      </c>
    </row>
    <row r="53" spans="1:5" ht="102" thickTop="1" thickBot="1" x14ac:dyDescent="0.35">
      <c r="A53" s="46">
        <v>7</v>
      </c>
      <c r="B53" s="47" t="s">
        <v>215</v>
      </c>
      <c r="C53" s="48" t="s">
        <v>216</v>
      </c>
      <c r="D53" s="49" t="s">
        <v>217</v>
      </c>
      <c r="E53" s="48">
        <v>0.85</v>
      </c>
    </row>
    <row r="54" spans="1:5" ht="174" thickTop="1" thickBot="1" x14ac:dyDescent="0.35">
      <c r="A54" s="46">
        <v>8</v>
      </c>
      <c r="B54" s="47" t="s">
        <v>218</v>
      </c>
      <c r="C54" s="48" t="s">
        <v>219</v>
      </c>
      <c r="D54" s="49" t="s">
        <v>220</v>
      </c>
      <c r="E54" s="48">
        <v>0.95</v>
      </c>
    </row>
    <row r="55" spans="1:5" ht="87.6" thickTop="1" thickBot="1" x14ac:dyDescent="0.35">
      <c r="A55" s="46">
        <v>9</v>
      </c>
      <c r="B55" s="47" t="s">
        <v>221</v>
      </c>
      <c r="C55" s="48" t="s">
        <v>222</v>
      </c>
      <c r="D55" s="49" t="s">
        <v>223</v>
      </c>
      <c r="E55" s="48">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8">
        <v>1</v>
      </c>
      <c r="C2" s="55" t="s">
        <v>236</v>
      </c>
    </row>
    <row r="3" spans="2:3" x14ac:dyDescent="0.3">
      <c r="B3" s="38">
        <v>2</v>
      </c>
      <c r="C3" s="56" t="s">
        <v>237</v>
      </c>
    </row>
    <row r="4" spans="2:3" x14ac:dyDescent="0.3">
      <c r="B4" s="38">
        <v>3</v>
      </c>
      <c r="C4" s="38" t="s">
        <v>238</v>
      </c>
    </row>
    <row r="5" spans="2:3" x14ac:dyDescent="0.3">
      <c r="B5" s="38">
        <v>4</v>
      </c>
      <c r="C5" s="56" t="s">
        <v>239</v>
      </c>
    </row>
    <row r="6" spans="2:3" x14ac:dyDescent="0.3">
      <c r="B6" s="38">
        <v>5</v>
      </c>
      <c r="C6" s="38" t="s">
        <v>240</v>
      </c>
    </row>
    <row r="7" spans="2:3" x14ac:dyDescent="0.3">
      <c r="B7" s="38">
        <v>6</v>
      </c>
      <c r="C7" s="56" t="s">
        <v>241</v>
      </c>
    </row>
    <row r="8" spans="2:3" ht="72" x14ac:dyDescent="0.3">
      <c r="B8" s="38">
        <v>7</v>
      </c>
      <c r="C8" s="56" t="s">
        <v>242</v>
      </c>
    </row>
    <row r="9" spans="2:3" x14ac:dyDescent="0.3">
      <c r="B9" s="38">
        <v>8</v>
      </c>
      <c r="C9" s="38" t="s">
        <v>243</v>
      </c>
    </row>
    <row r="10" spans="2:3" x14ac:dyDescent="0.3">
      <c r="B10" s="38">
        <v>9</v>
      </c>
      <c r="C10" s="38" t="s">
        <v>244</v>
      </c>
    </row>
    <row r="11" spans="2:3" x14ac:dyDescent="0.3">
      <c r="B11" s="38">
        <v>10</v>
      </c>
      <c r="C11" s="38" t="s">
        <v>245</v>
      </c>
    </row>
    <row r="12" spans="2:3" x14ac:dyDescent="0.3">
      <c r="B12" s="38">
        <v>11</v>
      </c>
      <c r="C12" s="38" t="s">
        <v>246</v>
      </c>
    </row>
    <row r="13" spans="2:3" x14ac:dyDescent="0.3">
      <c r="B13" s="38">
        <v>12</v>
      </c>
      <c r="C13" s="38" t="s">
        <v>247</v>
      </c>
    </row>
    <row r="14" spans="2:3" x14ac:dyDescent="0.3">
      <c r="B14" s="38">
        <v>13</v>
      </c>
      <c r="C14" s="38" t="s">
        <v>248</v>
      </c>
    </row>
    <row r="15" spans="2:3" x14ac:dyDescent="0.3">
      <c r="B15" s="38">
        <v>14</v>
      </c>
      <c r="C15" s="38" t="s">
        <v>238</v>
      </c>
    </row>
    <row r="16" spans="2:3" x14ac:dyDescent="0.3">
      <c r="B16" s="38">
        <v>15</v>
      </c>
      <c r="C16" s="38" t="s">
        <v>235</v>
      </c>
    </row>
    <row r="17" spans="2:3" x14ac:dyDescent="0.3">
      <c r="B17" s="57">
        <v>16</v>
      </c>
      <c r="C17" s="58" t="s">
        <v>249</v>
      </c>
    </row>
    <row r="18" spans="2:3" x14ac:dyDescent="0.3">
      <c r="B18" s="59">
        <v>17</v>
      </c>
      <c r="C18" s="58" t="s">
        <v>250</v>
      </c>
    </row>
    <row r="19" spans="2:3" x14ac:dyDescent="0.3">
      <c r="B19" s="60">
        <v>18</v>
      </c>
      <c r="C19" s="38" t="s">
        <v>251</v>
      </c>
    </row>
    <row r="20" spans="2:3" x14ac:dyDescent="0.3">
      <c r="B20" s="59">
        <v>19</v>
      </c>
      <c r="C20" s="38" t="s">
        <v>252</v>
      </c>
    </row>
    <row r="21" spans="2:3" x14ac:dyDescent="0.3">
      <c r="B21" s="38">
        <v>20</v>
      </c>
      <c r="C21" s="38" t="s">
        <v>253</v>
      </c>
    </row>
    <row r="22" spans="2:3" x14ac:dyDescent="0.3">
      <c r="B22" s="59">
        <v>21</v>
      </c>
      <c r="C22" s="38" t="s">
        <v>251</v>
      </c>
    </row>
    <row r="23" spans="2:3" s="62" customFormat="1" ht="28.8" x14ac:dyDescent="0.3">
      <c r="B23" s="61">
        <v>22</v>
      </c>
      <c r="C23" s="55" t="s">
        <v>254</v>
      </c>
    </row>
    <row r="24" spans="2:3" s="62" customFormat="1" ht="28.8" x14ac:dyDescent="0.3">
      <c r="B24" s="63">
        <v>23</v>
      </c>
      <c r="C24" s="55" t="s">
        <v>255</v>
      </c>
    </row>
    <row r="25" spans="2:3" x14ac:dyDescent="0.3">
      <c r="B25" s="38">
        <v>24</v>
      </c>
      <c r="C25" s="38" t="s">
        <v>256</v>
      </c>
    </row>
    <row r="26" spans="2:3" x14ac:dyDescent="0.3">
      <c r="B26" s="59">
        <v>25</v>
      </c>
      <c r="C26" s="38" t="s">
        <v>257</v>
      </c>
    </row>
    <row r="27" spans="2:3" x14ac:dyDescent="0.3">
      <c r="B27" s="63">
        <v>26</v>
      </c>
      <c r="C27" s="38" t="s">
        <v>258</v>
      </c>
    </row>
    <row r="28" spans="2:3" x14ac:dyDescent="0.3">
      <c r="B28" s="59">
        <v>27</v>
      </c>
      <c r="C28" s="38" t="s">
        <v>259</v>
      </c>
    </row>
    <row r="29" spans="2:3" ht="43.2" x14ac:dyDescent="0.3">
      <c r="B29" s="64">
        <v>28</v>
      </c>
      <c r="C29" s="56" t="s">
        <v>260</v>
      </c>
    </row>
    <row r="30" spans="2:3" x14ac:dyDescent="0.3">
      <c r="B30" s="63">
        <v>29</v>
      </c>
      <c r="C30" s="38" t="s">
        <v>261</v>
      </c>
    </row>
    <row r="31" spans="2:3" ht="28.8" x14ac:dyDescent="0.3">
      <c r="B31" s="63">
        <v>30</v>
      </c>
      <c r="C31" s="56" t="s">
        <v>289</v>
      </c>
    </row>
    <row r="32" spans="2:3" x14ac:dyDescent="0.3">
      <c r="B32" s="63">
        <v>31</v>
      </c>
      <c r="C32" s="38" t="s">
        <v>290</v>
      </c>
    </row>
    <row r="33" spans="2:3" x14ac:dyDescent="0.3">
      <c r="B33" s="63">
        <v>32</v>
      </c>
      <c r="C33" s="38" t="s">
        <v>291</v>
      </c>
    </row>
    <row r="34" spans="2:3" ht="28.8" x14ac:dyDescent="0.3">
      <c r="B34" s="63">
        <v>33</v>
      </c>
      <c r="C34" s="58" t="s">
        <v>292</v>
      </c>
    </row>
    <row r="35" spans="2:3" x14ac:dyDescent="0.3">
      <c r="B35" s="63">
        <v>34</v>
      </c>
      <c r="C35" s="38"/>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5"/>
    <col min="2" max="2" width="12.33203125" style="65" customWidth="1"/>
    <col min="3" max="16384" width="9.109375" style="65"/>
  </cols>
  <sheetData>
    <row r="2" spans="1:12" x14ac:dyDescent="0.3">
      <c r="B2" s="66" t="s">
        <v>262</v>
      </c>
      <c r="C2" s="177"/>
      <c r="D2" s="177"/>
    </row>
    <row r="3" spans="1:12" x14ac:dyDescent="0.3">
      <c r="D3" s="67"/>
      <c r="E3" s="67"/>
      <c r="F3" s="67"/>
      <c r="G3" s="67"/>
      <c r="H3" s="67"/>
      <c r="I3" s="67"/>
    </row>
    <row r="4" spans="1:12" x14ac:dyDescent="0.3">
      <c r="A4" s="66" t="s">
        <v>263</v>
      </c>
      <c r="B4" s="54" t="s">
        <v>264</v>
      </c>
      <c r="C4" s="178" t="s">
        <v>265</v>
      </c>
      <c r="D4" s="178"/>
      <c r="E4" s="178"/>
      <c r="F4" s="54"/>
      <c r="G4" s="179" t="s">
        <v>266</v>
      </c>
      <c r="H4" s="179"/>
      <c r="I4" s="179"/>
      <c r="J4" s="180" t="s">
        <v>267</v>
      </c>
      <c r="K4" s="180"/>
      <c r="L4" s="180"/>
    </row>
    <row r="5" spans="1:12" x14ac:dyDescent="0.3">
      <c r="A5" s="66"/>
      <c r="B5" s="54"/>
      <c r="C5" s="54" t="s">
        <v>268</v>
      </c>
      <c r="D5" s="54" t="s">
        <v>269</v>
      </c>
      <c r="E5" s="54" t="s">
        <v>270</v>
      </c>
      <c r="F5" s="54"/>
      <c r="G5" s="54" t="s">
        <v>268</v>
      </c>
      <c r="H5" s="54" t="s">
        <v>269</v>
      </c>
      <c r="I5" s="54" t="s">
        <v>270</v>
      </c>
      <c r="J5" s="54" t="s">
        <v>268</v>
      </c>
      <c r="K5" s="54" t="s">
        <v>269</v>
      </c>
      <c r="L5" s="54" t="s">
        <v>270</v>
      </c>
    </row>
    <row r="6" spans="1:12" x14ac:dyDescent="0.3">
      <c r="B6" s="53" t="s">
        <v>271</v>
      </c>
      <c r="C6" s="53"/>
      <c r="D6" s="53"/>
      <c r="E6" s="53">
        <f>C6*D6</f>
        <v>0</v>
      </c>
      <c r="F6" s="53" t="s">
        <v>272</v>
      </c>
      <c r="G6" s="53"/>
      <c r="H6" s="53"/>
      <c r="I6" s="53">
        <f>G6*H6</f>
        <v>0</v>
      </c>
      <c r="J6" s="53"/>
      <c r="K6" s="53"/>
      <c r="L6" s="53">
        <f>J6*K6</f>
        <v>0</v>
      </c>
    </row>
    <row r="7" spans="1:12" x14ac:dyDescent="0.3">
      <c r="B7" s="53"/>
      <c r="C7" s="53"/>
      <c r="D7" s="53"/>
      <c r="E7" s="53">
        <f t="shared" ref="E7:E41" si="0">C7*D7</f>
        <v>0</v>
      </c>
      <c r="F7" s="53" t="s">
        <v>272</v>
      </c>
      <c r="G7" s="53"/>
      <c r="H7" s="53"/>
      <c r="I7" s="53">
        <f t="shared" ref="I7:I35" si="1">G7*H7</f>
        <v>0</v>
      </c>
      <c r="J7" s="53"/>
      <c r="K7" s="53"/>
      <c r="L7" s="53">
        <f t="shared" ref="L7:L35" si="2">J7*K7</f>
        <v>0</v>
      </c>
    </row>
    <row r="8" spans="1:12" x14ac:dyDescent="0.3">
      <c r="B8" s="53"/>
      <c r="C8" s="53"/>
      <c r="D8" s="53"/>
      <c r="E8" s="53">
        <f t="shared" si="0"/>
        <v>0</v>
      </c>
      <c r="F8" s="53"/>
      <c r="G8" s="53"/>
      <c r="H8" s="53"/>
      <c r="I8" s="53">
        <f t="shared" si="1"/>
        <v>0</v>
      </c>
      <c r="J8" s="53"/>
      <c r="K8" s="53"/>
      <c r="L8" s="53">
        <f t="shared" si="2"/>
        <v>0</v>
      </c>
    </row>
    <row r="9" spans="1:12" x14ac:dyDescent="0.3">
      <c r="B9" s="53"/>
      <c r="C9" s="53"/>
      <c r="D9" s="53"/>
      <c r="E9" s="53">
        <f t="shared" si="0"/>
        <v>0</v>
      </c>
      <c r="F9" s="53" t="s">
        <v>273</v>
      </c>
      <c r="G9" s="53"/>
      <c r="H9" s="53"/>
      <c r="I9" s="53">
        <f t="shared" si="1"/>
        <v>0</v>
      </c>
      <c r="J9" s="53"/>
      <c r="K9" s="53"/>
      <c r="L9" s="53">
        <f t="shared" si="2"/>
        <v>0</v>
      </c>
    </row>
    <row r="10" spans="1:12" x14ac:dyDescent="0.3">
      <c r="B10" s="53" t="s">
        <v>274</v>
      </c>
      <c r="C10" s="53"/>
      <c r="D10" s="53"/>
      <c r="E10" s="53">
        <f t="shared" si="0"/>
        <v>0</v>
      </c>
      <c r="F10" s="53" t="s">
        <v>273</v>
      </c>
      <c r="G10" s="53"/>
      <c r="H10" s="53"/>
      <c r="I10" s="53">
        <f t="shared" si="1"/>
        <v>0</v>
      </c>
      <c r="J10" s="53"/>
      <c r="K10" s="53"/>
      <c r="L10" s="53">
        <f t="shared" si="2"/>
        <v>0</v>
      </c>
    </row>
    <row r="11" spans="1:12" x14ac:dyDescent="0.3">
      <c r="B11" s="53"/>
      <c r="C11" s="53"/>
      <c r="D11" s="53"/>
      <c r="E11" s="53">
        <f t="shared" si="0"/>
        <v>0</v>
      </c>
      <c r="F11" s="53" t="s">
        <v>275</v>
      </c>
      <c r="G11" s="53"/>
      <c r="H11" s="53"/>
      <c r="I11" s="53">
        <f t="shared" si="1"/>
        <v>0</v>
      </c>
      <c r="J11" s="53"/>
      <c r="K11" s="53"/>
      <c r="L11" s="53">
        <f t="shared" si="2"/>
        <v>0</v>
      </c>
    </row>
    <row r="12" spans="1:12" x14ac:dyDescent="0.3">
      <c r="B12" s="53"/>
      <c r="C12" s="53"/>
      <c r="D12" s="53"/>
      <c r="E12" s="53">
        <f t="shared" si="0"/>
        <v>0</v>
      </c>
      <c r="F12" s="53"/>
      <c r="G12" s="53"/>
      <c r="H12" s="53"/>
      <c r="I12" s="53">
        <f t="shared" si="1"/>
        <v>0</v>
      </c>
      <c r="J12" s="53"/>
      <c r="K12" s="53"/>
      <c r="L12" s="53">
        <f t="shared" si="2"/>
        <v>0</v>
      </c>
    </row>
    <row r="13" spans="1:12" x14ac:dyDescent="0.3">
      <c r="B13" s="53"/>
      <c r="C13" s="53"/>
      <c r="D13" s="53"/>
      <c r="E13" s="53">
        <f t="shared" si="0"/>
        <v>0</v>
      </c>
      <c r="F13" s="53"/>
      <c r="G13" s="53"/>
      <c r="H13" s="53"/>
      <c r="I13" s="53">
        <f t="shared" si="1"/>
        <v>0</v>
      </c>
      <c r="J13" s="53"/>
      <c r="K13" s="53"/>
      <c r="L13" s="53">
        <f t="shared" si="2"/>
        <v>0</v>
      </c>
    </row>
    <row r="14" spans="1:12" x14ac:dyDescent="0.3">
      <c r="B14" s="53" t="s">
        <v>276</v>
      </c>
      <c r="C14" s="53"/>
      <c r="D14" s="53"/>
      <c r="E14" s="53">
        <f t="shared" si="0"/>
        <v>0</v>
      </c>
      <c r="F14" s="53" t="s">
        <v>273</v>
      </c>
      <c r="G14" s="53"/>
      <c r="H14" s="53"/>
      <c r="I14" s="53">
        <f t="shared" si="1"/>
        <v>0</v>
      </c>
      <c r="J14" s="53"/>
      <c r="K14" s="53"/>
      <c r="L14" s="53">
        <f t="shared" si="2"/>
        <v>0</v>
      </c>
    </row>
    <row r="15" spans="1:12" x14ac:dyDescent="0.3">
      <c r="B15" s="53"/>
      <c r="C15" s="53"/>
      <c r="D15" s="53"/>
      <c r="E15" s="53">
        <f t="shared" si="0"/>
        <v>0</v>
      </c>
      <c r="F15" s="53" t="s">
        <v>275</v>
      </c>
      <c r="G15" s="53"/>
      <c r="H15" s="53"/>
      <c r="I15" s="53">
        <f t="shared" si="1"/>
        <v>0</v>
      </c>
      <c r="J15" s="53"/>
      <c r="K15" s="53"/>
      <c r="L15" s="53">
        <f t="shared" si="2"/>
        <v>0</v>
      </c>
    </row>
    <row r="16" spans="1:12" x14ac:dyDescent="0.3">
      <c r="B16" s="53"/>
      <c r="C16" s="53"/>
      <c r="D16" s="53"/>
      <c r="E16" s="53">
        <f t="shared" si="0"/>
        <v>0</v>
      </c>
      <c r="F16" s="53"/>
      <c r="G16" s="53"/>
      <c r="H16" s="53"/>
      <c r="I16" s="53">
        <f t="shared" si="1"/>
        <v>0</v>
      </c>
      <c r="J16" s="53"/>
      <c r="K16" s="53"/>
      <c r="L16" s="53">
        <f t="shared" si="2"/>
        <v>0</v>
      </c>
    </row>
    <row r="17" spans="2:12" x14ac:dyDescent="0.3">
      <c r="B17" s="53"/>
      <c r="C17" s="53"/>
      <c r="D17" s="53"/>
      <c r="E17" s="53">
        <f t="shared" si="0"/>
        <v>0</v>
      </c>
      <c r="F17" s="53"/>
      <c r="G17" s="53"/>
      <c r="H17" s="53"/>
      <c r="I17" s="53">
        <f t="shared" si="1"/>
        <v>0</v>
      </c>
      <c r="J17" s="53"/>
      <c r="K17" s="53"/>
      <c r="L17" s="53">
        <f t="shared" si="2"/>
        <v>0</v>
      </c>
    </row>
    <row r="18" spans="2:12" x14ac:dyDescent="0.3">
      <c r="B18" s="53" t="s">
        <v>277</v>
      </c>
      <c r="C18" s="53"/>
      <c r="D18" s="53"/>
      <c r="E18" s="53">
        <f t="shared" si="0"/>
        <v>0</v>
      </c>
      <c r="F18" s="53" t="s">
        <v>273</v>
      </c>
      <c r="G18" s="53"/>
      <c r="H18" s="53"/>
      <c r="I18" s="53">
        <f t="shared" si="1"/>
        <v>0</v>
      </c>
      <c r="J18" s="53"/>
      <c r="K18" s="53"/>
      <c r="L18" s="53">
        <f t="shared" si="2"/>
        <v>0</v>
      </c>
    </row>
    <row r="19" spans="2:12" x14ac:dyDescent="0.3">
      <c r="B19" s="53"/>
      <c r="C19" s="53"/>
      <c r="D19" s="53"/>
      <c r="E19" s="53">
        <f t="shared" si="0"/>
        <v>0</v>
      </c>
      <c r="F19" s="53" t="s">
        <v>275</v>
      </c>
      <c r="G19" s="53"/>
      <c r="H19" s="53"/>
      <c r="I19" s="53">
        <f t="shared" si="1"/>
        <v>0</v>
      </c>
      <c r="J19" s="53"/>
      <c r="K19" s="53"/>
      <c r="L19" s="53">
        <f t="shared" si="2"/>
        <v>0</v>
      </c>
    </row>
    <row r="20" spans="2:12" x14ac:dyDescent="0.3">
      <c r="B20" s="53"/>
      <c r="C20" s="53"/>
      <c r="D20" s="53"/>
      <c r="E20" s="53">
        <f t="shared" si="0"/>
        <v>0</v>
      </c>
      <c r="F20" s="53"/>
      <c r="G20" s="53"/>
      <c r="H20" s="53"/>
      <c r="I20" s="53">
        <f t="shared" si="1"/>
        <v>0</v>
      </c>
      <c r="J20" s="53"/>
      <c r="K20" s="53"/>
      <c r="L20" s="53">
        <f t="shared" si="2"/>
        <v>0</v>
      </c>
    </row>
    <row r="21" spans="2:12" x14ac:dyDescent="0.3">
      <c r="B21" s="53" t="s">
        <v>278</v>
      </c>
      <c r="C21" s="53"/>
      <c r="D21" s="53"/>
      <c r="E21" s="53">
        <f t="shared" si="0"/>
        <v>0</v>
      </c>
      <c r="F21" s="53" t="s">
        <v>273</v>
      </c>
      <c r="G21" s="53"/>
      <c r="H21" s="53"/>
      <c r="I21" s="53">
        <f t="shared" si="1"/>
        <v>0</v>
      </c>
      <c r="J21" s="53"/>
      <c r="K21" s="53"/>
      <c r="L21" s="53">
        <f t="shared" si="2"/>
        <v>0</v>
      </c>
    </row>
    <row r="22" spans="2:12" x14ac:dyDescent="0.3">
      <c r="B22" s="53"/>
      <c r="C22" s="53"/>
      <c r="D22" s="53"/>
      <c r="E22" s="53">
        <f t="shared" si="0"/>
        <v>0</v>
      </c>
      <c r="F22" s="53" t="s">
        <v>275</v>
      </c>
      <c r="G22" s="53"/>
      <c r="H22" s="53"/>
      <c r="I22" s="53">
        <f t="shared" si="1"/>
        <v>0</v>
      </c>
      <c r="J22" s="53"/>
      <c r="K22" s="53"/>
      <c r="L22" s="53">
        <f t="shared" si="2"/>
        <v>0</v>
      </c>
    </row>
    <row r="23" spans="2:12" x14ac:dyDescent="0.3">
      <c r="B23" s="53"/>
      <c r="C23" s="53"/>
      <c r="D23" s="53"/>
      <c r="E23" s="53">
        <f t="shared" si="0"/>
        <v>0</v>
      </c>
      <c r="F23" s="53"/>
      <c r="G23" s="53"/>
      <c r="H23" s="53"/>
      <c r="I23" s="53">
        <f t="shared" si="1"/>
        <v>0</v>
      </c>
      <c r="J23" s="53"/>
      <c r="K23" s="53"/>
      <c r="L23" s="53">
        <f t="shared" si="2"/>
        <v>0</v>
      </c>
    </row>
    <row r="24" spans="2:12" x14ac:dyDescent="0.3">
      <c r="B24" s="53" t="s">
        <v>279</v>
      </c>
      <c r="C24" s="53"/>
      <c r="D24" s="53"/>
      <c r="E24" s="53">
        <f t="shared" si="0"/>
        <v>0</v>
      </c>
      <c r="F24" s="53" t="s">
        <v>280</v>
      </c>
      <c r="G24" s="53"/>
      <c r="H24" s="53"/>
      <c r="I24" s="53">
        <f t="shared" si="1"/>
        <v>0</v>
      </c>
      <c r="J24" s="53"/>
      <c r="K24" s="53"/>
      <c r="L24" s="53">
        <f t="shared" si="2"/>
        <v>0</v>
      </c>
    </row>
    <row r="25" spans="2:12" x14ac:dyDescent="0.3">
      <c r="B25" s="53"/>
      <c r="C25" s="53"/>
      <c r="D25" s="53"/>
      <c r="E25" s="53">
        <f t="shared" si="0"/>
        <v>0</v>
      </c>
      <c r="F25" s="53" t="s">
        <v>280</v>
      </c>
      <c r="G25" s="53"/>
      <c r="H25" s="53"/>
      <c r="I25" s="53">
        <f t="shared" si="1"/>
        <v>0</v>
      </c>
      <c r="J25" s="53"/>
      <c r="K25" s="53"/>
      <c r="L25" s="53">
        <f t="shared" si="2"/>
        <v>0</v>
      </c>
    </row>
    <row r="26" spans="2:12" x14ac:dyDescent="0.3">
      <c r="B26" s="53"/>
      <c r="C26" s="53"/>
      <c r="D26" s="53"/>
      <c r="E26" s="53">
        <f t="shared" si="0"/>
        <v>0</v>
      </c>
      <c r="F26" s="53" t="s">
        <v>280</v>
      </c>
      <c r="G26" s="53"/>
      <c r="H26" s="53"/>
      <c r="I26" s="53">
        <f t="shared" si="1"/>
        <v>0</v>
      </c>
      <c r="J26" s="53"/>
      <c r="K26" s="53"/>
      <c r="L26" s="53">
        <f t="shared" si="2"/>
        <v>0</v>
      </c>
    </row>
    <row r="27" spans="2:12" x14ac:dyDescent="0.3">
      <c r="B27" s="53"/>
      <c r="C27" s="53"/>
      <c r="D27" s="53"/>
      <c r="E27" s="53">
        <f t="shared" si="0"/>
        <v>0</v>
      </c>
      <c r="F27" s="53" t="s">
        <v>280</v>
      </c>
      <c r="G27" s="53"/>
      <c r="H27" s="53"/>
      <c r="I27" s="53">
        <f t="shared" si="1"/>
        <v>0</v>
      </c>
      <c r="J27" s="53"/>
      <c r="K27" s="53"/>
      <c r="L27" s="53">
        <f t="shared" si="2"/>
        <v>0</v>
      </c>
    </row>
    <row r="28" spans="2:12" x14ac:dyDescent="0.3">
      <c r="B28" s="53" t="s">
        <v>281</v>
      </c>
      <c r="C28" s="53"/>
      <c r="D28" s="53"/>
      <c r="E28" s="53">
        <f t="shared" si="0"/>
        <v>0</v>
      </c>
      <c r="F28" s="53" t="s">
        <v>280</v>
      </c>
      <c r="G28" s="53"/>
      <c r="H28" s="53"/>
      <c r="I28" s="53">
        <f t="shared" si="1"/>
        <v>0</v>
      </c>
      <c r="J28" s="53"/>
      <c r="K28" s="53"/>
      <c r="L28" s="53">
        <f t="shared" si="2"/>
        <v>0</v>
      </c>
    </row>
    <row r="29" spans="2:12" x14ac:dyDescent="0.3">
      <c r="B29" s="53" t="s">
        <v>282</v>
      </c>
      <c r="C29" s="53"/>
      <c r="D29" s="53"/>
      <c r="E29" s="53">
        <f t="shared" si="0"/>
        <v>0</v>
      </c>
      <c r="F29" s="53" t="s">
        <v>280</v>
      </c>
      <c r="G29" s="53"/>
      <c r="H29" s="53"/>
      <c r="I29" s="53">
        <f t="shared" si="1"/>
        <v>0</v>
      </c>
      <c r="J29" s="53"/>
      <c r="K29" s="53"/>
      <c r="L29" s="53">
        <f t="shared" si="2"/>
        <v>0</v>
      </c>
    </row>
    <row r="30" spans="2:12" x14ac:dyDescent="0.3">
      <c r="B30" s="53" t="s">
        <v>283</v>
      </c>
      <c r="C30" s="53"/>
      <c r="D30" s="53"/>
      <c r="E30" s="53">
        <f t="shared" si="0"/>
        <v>0</v>
      </c>
      <c r="F30" s="53"/>
      <c r="G30" s="53"/>
      <c r="H30" s="53"/>
      <c r="I30" s="53">
        <f t="shared" si="1"/>
        <v>0</v>
      </c>
      <c r="J30" s="53"/>
      <c r="K30" s="53"/>
      <c r="L30" s="53">
        <f t="shared" si="2"/>
        <v>0</v>
      </c>
    </row>
    <row r="31" spans="2:12" x14ac:dyDescent="0.3">
      <c r="B31" s="53"/>
      <c r="C31" s="53"/>
      <c r="D31" s="53"/>
      <c r="E31" s="53">
        <f t="shared" si="0"/>
        <v>0</v>
      </c>
      <c r="F31" s="53"/>
      <c r="G31" s="53"/>
      <c r="H31" s="53"/>
      <c r="I31" s="53">
        <f t="shared" si="1"/>
        <v>0</v>
      </c>
      <c r="J31" s="53"/>
      <c r="K31" s="53"/>
      <c r="L31" s="53">
        <f t="shared" si="2"/>
        <v>0</v>
      </c>
    </row>
    <row r="32" spans="2:12" x14ac:dyDescent="0.3">
      <c r="B32" s="53"/>
      <c r="C32" s="53"/>
      <c r="D32" s="53"/>
      <c r="E32" s="53">
        <f t="shared" si="0"/>
        <v>0</v>
      </c>
      <c r="F32" s="53"/>
      <c r="G32" s="53"/>
      <c r="H32" s="53"/>
      <c r="I32" s="53">
        <f t="shared" si="1"/>
        <v>0</v>
      </c>
      <c r="J32" s="53"/>
      <c r="K32" s="53"/>
      <c r="L32" s="53">
        <f t="shared" si="2"/>
        <v>0</v>
      </c>
    </row>
    <row r="33" spans="2:12" x14ac:dyDescent="0.3">
      <c r="B33" s="53" t="s">
        <v>284</v>
      </c>
      <c r="C33" s="53"/>
      <c r="D33" s="53"/>
      <c r="E33" s="53">
        <f t="shared" si="0"/>
        <v>0</v>
      </c>
      <c r="F33" s="53"/>
      <c r="G33" s="53"/>
      <c r="H33" s="53"/>
      <c r="I33" s="53">
        <f t="shared" si="1"/>
        <v>0</v>
      </c>
      <c r="J33" s="53"/>
      <c r="K33" s="53"/>
      <c r="L33" s="53">
        <f t="shared" si="2"/>
        <v>0</v>
      </c>
    </row>
    <row r="34" spans="2:12" x14ac:dyDescent="0.3">
      <c r="B34" s="53" t="s">
        <v>285</v>
      </c>
      <c r="C34" s="53"/>
      <c r="D34" s="53"/>
      <c r="E34" s="53">
        <f t="shared" si="0"/>
        <v>0</v>
      </c>
      <c r="F34" s="53"/>
      <c r="G34" s="53"/>
      <c r="H34" s="53"/>
      <c r="I34" s="53">
        <f t="shared" si="1"/>
        <v>0</v>
      </c>
      <c r="J34" s="53"/>
      <c r="K34" s="53"/>
      <c r="L34" s="53">
        <f t="shared" si="2"/>
        <v>0</v>
      </c>
    </row>
    <row r="35" spans="2:12" x14ac:dyDescent="0.3">
      <c r="B35" s="53" t="s">
        <v>286</v>
      </c>
      <c r="C35" s="53"/>
      <c r="D35" s="53"/>
      <c r="E35" s="53">
        <f t="shared" si="0"/>
        <v>0</v>
      </c>
      <c r="F35" s="53"/>
      <c r="G35" s="53"/>
      <c r="H35" s="53"/>
      <c r="I35" s="53">
        <f t="shared" si="1"/>
        <v>0</v>
      </c>
      <c r="J35" s="53"/>
      <c r="K35" s="53"/>
      <c r="L35" s="53">
        <f t="shared" si="2"/>
        <v>0</v>
      </c>
    </row>
    <row r="36" spans="2:12" x14ac:dyDescent="0.3">
      <c r="B36" s="53" t="s">
        <v>287</v>
      </c>
      <c r="C36" s="53"/>
      <c r="D36" s="53"/>
      <c r="E36" s="53">
        <f t="shared" si="0"/>
        <v>0</v>
      </c>
      <c r="F36" s="53"/>
      <c r="G36" s="53"/>
      <c r="H36" s="53"/>
      <c r="I36" s="53">
        <f>G36*H36</f>
        <v>0</v>
      </c>
      <c r="J36" s="53"/>
      <c r="K36" s="53"/>
      <c r="L36" s="53">
        <f>J36*K36</f>
        <v>0</v>
      </c>
    </row>
    <row r="37" spans="2:12" x14ac:dyDescent="0.3">
      <c r="B37" s="53"/>
      <c r="C37" s="53"/>
      <c r="D37" s="53"/>
      <c r="E37" s="53">
        <f t="shared" si="0"/>
        <v>0</v>
      </c>
      <c r="F37" s="53"/>
      <c r="G37" s="53"/>
      <c r="H37" s="53"/>
      <c r="I37" s="53">
        <f t="shared" ref="I37:I38" si="3">G37*H37</f>
        <v>0</v>
      </c>
      <c r="J37" s="53"/>
      <c r="K37" s="53"/>
      <c r="L37" s="53">
        <f t="shared" ref="L37:L38" si="4">J37*K37</f>
        <v>0</v>
      </c>
    </row>
    <row r="38" spans="2:12" x14ac:dyDescent="0.3">
      <c r="B38" s="53" t="s">
        <v>288</v>
      </c>
      <c r="C38" s="53"/>
      <c r="D38" s="53"/>
      <c r="E38" s="53">
        <f t="shared" si="0"/>
        <v>0</v>
      </c>
      <c r="F38" s="53"/>
      <c r="G38" s="53"/>
      <c r="H38" s="53"/>
      <c r="I38" s="53">
        <f t="shared" si="3"/>
        <v>0</v>
      </c>
      <c r="J38" s="53"/>
      <c r="K38" s="53"/>
      <c r="L38" s="53">
        <f t="shared" si="4"/>
        <v>0</v>
      </c>
    </row>
    <row r="39" spans="2:12" x14ac:dyDescent="0.3">
      <c r="B39" s="53"/>
      <c r="C39" s="53"/>
      <c r="D39" s="53"/>
      <c r="E39" s="53">
        <f t="shared" si="0"/>
        <v>0</v>
      </c>
      <c r="F39" s="53"/>
      <c r="G39" s="53"/>
      <c r="H39" s="53"/>
      <c r="I39" s="53">
        <f>G39*H39</f>
        <v>0</v>
      </c>
      <c r="J39" s="53"/>
      <c r="K39" s="53"/>
      <c r="L39" s="53">
        <f>J39*K39</f>
        <v>0</v>
      </c>
    </row>
    <row r="40" spans="2:12" x14ac:dyDescent="0.3">
      <c r="B40" s="53"/>
      <c r="C40" s="53"/>
      <c r="D40" s="53"/>
      <c r="E40" s="53">
        <f t="shared" si="0"/>
        <v>0</v>
      </c>
      <c r="F40" s="53"/>
      <c r="G40" s="53"/>
      <c r="H40" s="53"/>
      <c r="I40" s="53">
        <f>G40*H40</f>
        <v>0</v>
      </c>
      <c r="J40" s="53"/>
      <c r="K40" s="53"/>
      <c r="L40" s="53">
        <f>J40*K40</f>
        <v>0</v>
      </c>
    </row>
    <row r="41" spans="2:12" x14ac:dyDescent="0.3">
      <c r="B41" s="53"/>
      <c r="C41" s="53"/>
      <c r="D41" s="53"/>
      <c r="E41" s="53">
        <f t="shared" si="0"/>
        <v>0</v>
      </c>
      <c r="F41" s="53"/>
      <c r="G41" s="53"/>
      <c r="H41" s="53"/>
      <c r="I41" s="53">
        <f>G41*H41</f>
        <v>0</v>
      </c>
      <c r="J41" s="53"/>
      <c r="K41" s="53"/>
      <c r="L41" s="53">
        <f>J41*K41</f>
        <v>0</v>
      </c>
    </row>
    <row r="42" spans="2:12" x14ac:dyDescent="0.3">
      <c r="B42" s="53" t="s">
        <v>152</v>
      </c>
      <c r="C42" s="53"/>
      <c r="D42" s="53">
        <f>E42*10.764</f>
        <v>0</v>
      </c>
      <c r="E42" s="68">
        <f>SUM(E6:E41)</f>
        <v>0</v>
      </c>
      <c r="F42" s="53"/>
      <c r="G42" s="53"/>
      <c r="H42" s="53">
        <f>I42*10.764</f>
        <v>0</v>
      </c>
      <c r="I42" s="69">
        <f>SUM(I6:I41)</f>
        <v>0</v>
      </c>
      <c r="J42" s="53"/>
      <c r="K42" s="53">
        <f>L42*10.764</f>
        <v>0</v>
      </c>
      <c r="L42" s="70">
        <f>SUM(L6:L41)</f>
        <v>0</v>
      </c>
    </row>
    <row r="44" spans="2:12" x14ac:dyDescent="0.3">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2025-09-12T06:21:17Z</cp:lastPrinted>
  <dcterms:created xsi:type="dcterms:W3CDTF">2010-11-23T11:42:48Z</dcterms:created>
  <dcterms:modified xsi:type="dcterms:W3CDTF">2025-09-12T06:35:18Z</dcterms:modified>
</cp:coreProperties>
</file>